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D:\PATRICE\Dev\Repos\EIE\EIEx\EIEx\Données\ALAMANO\"/>
    </mc:Choice>
  </mc:AlternateContent>
  <bookViews>
    <workbookView xWindow="480" yWindow="290" windowWidth="13920" windowHeight="9770" tabRatio="811" firstSheet="2" activeTab="7"/>
  </bookViews>
  <sheets>
    <sheet name="PG" sheetId="32" state="hidden" r:id="rId1"/>
    <sheet name="Préambule" sheetId="16" state="hidden" r:id="rId2"/>
    <sheet name="BATIMENT G1,G2&amp;PKINGS-ELEC 1" sheetId="22" r:id="rId3"/>
    <sheet name="BATIMENT G1,G2&amp;PKINGS-ELEC 2" sheetId="21" r:id="rId4"/>
    <sheet name="BATIMENT SOHO-ELEC 1" sheetId="30" r:id="rId5"/>
    <sheet name="BATIMENT SOHO-ELEC 2" sheetId="31" r:id="rId6"/>
    <sheet name="Compil - bak" sheetId="37" state="hidden" r:id="rId7"/>
    <sheet name="Compil" sheetId="38" r:id="rId8"/>
    <sheet name="CCTP" sheetId="33" state="hidden" r:id="rId9"/>
    <sheet name="Devis" sheetId="34" state="hidden" r:id="rId10"/>
    <sheet name="QTE" sheetId="35" r:id="rId11"/>
  </sheets>
  <definedNames>
    <definedName name="_xlnm._FilterDatabase" localSheetId="7" hidden="1">Compil!$B$5:$K$1158</definedName>
    <definedName name="aa" localSheetId="4">#REF!</definedName>
    <definedName name="aa" localSheetId="5">#REF!</definedName>
    <definedName name="aa" localSheetId="7">#REF!</definedName>
    <definedName name="aa">#REF!</definedName>
    <definedName name="aaa" localSheetId="4">#REF!</definedName>
    <definedName name="aaa" localSheetId="5">#REF!</definedName>
    <definedName name="aaa" localSheetId="7">#REF!</definedName>
    <definedName name="aaa">#REF!</definedName>
    <definedName name="aaaaaaa" localSheetId="4">#REF!</definedName>
    <definedName name="aaaaaaa" localSheetId="5">#REF!</definedName>
    <definedName name="aaaaaaa" localSheetId="7">#REF!</definedName>
    <definedName name="aaaaaaa">#REF!</definedName>
    <definedName name="BLOC_AMB" localSheetId="7">#REF!</definedName>
    <definedName name="BLOC_AMB">#REF!</definedName>
    <definedName name="BLOC_PRIN" localSheetId="7">#REF!</definedName>
    <definedName name="BLOC_PRIN">#REF!</definedName>
    <definedName name="BLOCS" localSheetId="7">#REF!</definedName>
    <definedName name="BLOCS">#REF!</definedName>
    <definedName name="Bord1">'BATIMENT G1,G2&amp;PKINGS-ELEC 1'!$A$16:$G$359</definedName>
    <definedName name="Bord2">'BATIMENT G1,G2&amp;PKINGS-ELEC 2'!$A$16:$G$388</definedName>
    <definedName name="Bord3">'BATIMENT SOHO-ELEC 1'!$A$16:$G$280</definedName>
    <definedName name="Bord4">'BATIMENT SOHO-ELEC 2'!$A$16:$G$186</definedName>
    <definedName name="BRANCARD" localSheetId="7">#REF!</definedName>
    <definedName name="BRANCARD">#REF!</definedName>
    <definedName name="C_EXT" localSheetId="7">#REF!</definedName>
    <definedName name="C_EXT">#REF!</definedName>
    <definedName name="C_EXT_POLE1" localSheetId="7">#REF!</definedName>
    <definedName name="C_EXT_POLE1">#REF!</definedName>
    <definedName name="C_EXT_POLE2" localSheetId="7">#REF!</definedName>
    <definedName name="C_EXT_POLE2">#REF!</definedName>
    <definedName name="COEFF" localSheetId="2">#REF!</definedName>
    <definedName name="COEFF" localSheetId="3">#REF!</definedName>
    <definedName name="COEFF" localSheetId="4">#REF!</definedName>
    <definedName name="COEFF" localSheetId="5">#REF!</definedName>
    <definedName name="COEFF" localSheetId="7">#REF!</definedName>
    <definedName name="COEFF">#REF!</definedName>
    <definedName name="CONNEXES" localSheetId="7">#REF!</definedName>
    <definedName name="CONNEXES">#REF!</definedName>
    <definedName name="cons_POLE_1" localSheetId="7">#REF!</definedName>
    <definedName name="cons_POLE_1">#REF!</definedName>
    <definedName name="COURANTS_FAIBLES" localSheetId="7">#REF!</definedName>
    <definedName name="COURANTS_FAIBLES">#REF!</definedName>
    <definedName name="_xlnm.Criteria" localSheetId="7">Compil!$B$1:$K$3</definedName>
    <definedName name="ENDO" localSheetId="7">#REF!</definedName>
    <definedName name="ENDO">#REF!</definedName>
    <definedName name="FEDERATION_DES_LABORATOIRES" localSheetId="7">#REF!</definedName>
    <definedName name="FEDERATION_DES_LABORATOIRES">#REF!</definedName>
    <definedName name="HDJ" localSheetId="7">#REF!</definedName>
    <definedName name="HDJ">#REF!</definedName>
    <definedName name="HEMO" localSheetId="7">#REF!</definedName>
    <definedName name="HEMO">#REF!</definedName>
    <definedName name="HEMODIA" localSheetId="7">#REF!</definedName>
    <definedName name="HEMODIA">#REF!</definedName>
    <definedName name="HOS_B" localSheetId="7">#REF!</definedName>
    <definedName name="HOS_B">#REF!</definedName>
    <definedName name="HOT_GARDE" localSheetId="7">#REF!</definedName>
    <definedName name="HOT_GARDE">#REF!</definedName>
    <definedName name="IMA" localSheetId="7">#REF!</definedName>
    <definedName name="IMA">#REF!</definedName>
    <definedName name="_xlnm.Print_Titles" localSheetId="2">'BATIMENT G1,G2&amp;PKINGS-ELEC 1'!$11:$15</definedName>
    <definedName name="_xlnm.Print_Titles" localSheetId="3">'BATIMENT G1,G2&amp;PKINGS-ELEC 2'!$11:$15</definedName>
    <definedName name="_xlnm.Print_Titles" localSheetId="4">'BATIMENT SOHO-ELEC 1'!$11:$15</definedName>
    <definedName name="_xlnm.Print_Titles" localSheetId="5">'BATIMENT SOHO-ELEC 2'!$11:$15</definedName>
    <definedName name="LABO" localSheetId="7">#REF!</definedName>
    <definedName name="LABO">#REF!</definedName>
    <definedName name="LOG" localSheetId="2">#REF!</definedName>
    <definedName name="LOG" localSheetId="3">#REF!</definedName>
    <definedName name="LOG" localSheetId="4">#REF!</definedName>
    <definedName name="LOG" localSheetId="5">#REF!</definedName>
    <definedName name="LOG" localSheetId="7">#REF!</definedName>
    <definedName name="LOG">#REF!</definedName>
    <definedName name="M_NUCL" localSheetId="7">#REF!</definedName>
    <definedName name="M_NUCL">#REF!</definedName>
    <definedName name="mmmmmmmmmmmmmmmmmmmmmmm" localSheetId="4">#REF!</definedName>
    <definedName name="mmmmmmmmmmmmmmmmmmmmmmm" localSheetId="5">#REF!</definedName>
    <definedName name="mmmmmmmmmmmmmmmmmmmmmmm" localSheetId="7">#REF!</definedName>
    <definedName name="mmmmmmmmmmmmmmmmmmmmmmm">#REF!</definedName>
    <definedName name="MORGUE" localSheetId="7">#REF!</definedName>
    <definedName name="MORGUE">#REF!</definedName>
    <definedName name="MOYENS_LOGIS" localSheetId="7">#REF!</definedName>
    <definedName name="MOYENS_LOGIS">#REF!</definedName>
    <definedName name="PHARMA" localSheetId="7">#REF!</definedName>
    <definedName name="PHARMA">#REF!</definedName>
    <definedName name="pp" localSheetId="4">#REF!</definedName>
    <definedName name="pp" localSheetId="5">#REF!</definedName>
    <definedName name="pp" localSheetId="7">#REF!</definedName>
    <definedName name="pp">#REF!</definedName>
    <definedName name="qqqqqqq" localSheetId="4">#REF!</definedName>
    <definedName name="qqqqqqq" localSheetId="5">#REF!</definedName>
    <definedName name="qqqqqqq" localSheetId="7">#REF!</definedName>
    <definedName name="qqqqqqq">#REF!</definedName>
    <definedName name="REA_BRU" localSheetId="7">#REF!</definedName>
    <definedName name="REA_BRU">#REF!</definedName>
    <definedName name="RESTAU" localSheetId="7">#REF!</definedName>
    <definedName name="RESTAU">#REF!</definedName>
    <definedName name="S.H.O.BRUTE" localSheetId="2">#REF!</definedName>
    <definedName name="S.H.O.BRUTE" localSheetId="3">#REF!</definedName>
    <definedName name="S.H.O.BRUTE" localSheetId="4">#REF!</definedName>
    <definedName name="S.H.O.BRUTE" localSheetId="5">#REF!</definedName>
    <definedName name="S.H.O.BRUTE" localSheetId="7">#REF!</definedName>
    <definedName name="S.H.O.BRUTE">#REF!</definedName>
    <definedName name="S_ADMINISTRATIF" localSheetId="7">#REF!</definedName>
    <definedName name="S_ADMINISTRATIF">#REF!</definedName>
    <definedName name="S_AMBU" localSheetId="7">#REF!</definedName>
    <definedName name="S_AMBU">#REF!</definedName>
    <definedName name="S_CHAUD" localSheetId="7">#REF!</definedName>
    <definedName name="S_CHAUD">#REF!</definedName>
    <definedName name="S_CHAUD_REA_BRULES" localSheetId="7">#REF!</definedName>
    <definedName name="S_CHAUD_REA_BRULES">#REF!</definedName>
    <definedName name="S_CHAUD_SIC" localSheetId="7">#REF!</definedName>
    <definedName name="S_CHAUD_SIC">#REF!</definedName>
    <definedName name="S_CHAUD_ZONE_COMMUNE" localSheetId="7">#REF!</definedName>
    <definedName name="S_CHAUD_ZONE_COMMUNE">#REF!</definedName>
    <definedName name="S_DIRECTION" localSheetId="7">#REF!</definedName>
    <definedName name="S_DIRECTION">#REF!</definedName>
    <definedName name="SAU" localSheetId="7">#REF!</definedName>
    <definedName name="SAU">#REF!</definedName>
    <definedName name="SHO" localSheetId="7">#REF!</definedName>
    <definedName name="SHO">#REF!</definedName>
    <definedName name="SI_CARDIO" localSheetId="7">#REF!</definedName>
    <definedName name="SI_CARDIO">#REF!</definedName>
    <definedName name="SMTGSSIMG" localSheetId="7">#REF!</definedName>
    <definedName name="SMTGSSIMG">#REF!</definedName>
    <definedName name="STER" localSheetId="7">#REF!</definedName>
    <definedName name="STER">#REF!</definedName>
    <definedName name="trier" localSheetId="7">#REF!</definedName>
    <definedName name="trier">#REF!</definedName>
    <definedName name="URGENCES" localSheetId="7">#REF!</definedName>
    <definedName name="URGENCES">#REF!</definedName>
    <definedName name="VESTIAIRES" localSheetId="7">#REF!</definedName>
    <definedName name="VESTIAIRES">#REF!</definedName>
    <definedName name="_xlnm.Print_Area" localSheetId="2">'BATIMENT G1,G2&amp;PKINGS-ELEC 1'!$A$11:$F$365</definedName>
    <definedName name="_xlnm.Print_Area" localSheetId="3">'BATIMENT G1,G2&amp;PKINGS-ELEC 2'!$A$11:$F$421</definedName>
    <definedName name="_xlnm.Print_Area" localSheetId="4">'BATIMENT SOHO-ELEC 1'!$A$11:$F$286</definedName>
    <definedName name="_xlnm.Print_Area" localSheetId="5">'BATIMENT SOHO-ELEC 2'!$A$11:$F$229</definedName>
  </definedNames>
  <calcPr calcId="162913"/>
</workbook>
</file>

<file path=xl/calcChain.xml><?xml version="1.0" encoding="utf-8"?>
<calcChain xmlns="http://schemas.openxmlformats.org/spreadsheetml/2006/main">
  <c r="D6" i="38" l="1"/>
  <c r="D7" i="38"/>
  <c r="D8" i="38"/>
  <c r="D9" i="38"/>
  <c r="D10" i="38"/>
  <c r="D11" i="38"/>
  <c r="D12" i="38"/>
  <c r="D13" i="38"/>
  <c r="D14" i="38"/>
  <c r="D15" i="38"/>
  <c r="D557" i="38"/>
  <c r="D17" i="38"/>
  <c r="D1073" i="38"/>
  <c r="D19" i="38"/>
  <c r="D929" i="38"/>
  <c r="D21" i="38"/>
  <c r="D928" i="38"/>
  <c r="D23" i="38"/>
  <c r="D932" i="38"/>
  <c r="D25" i="38"/>
  <c r="D927" i="38"/>
  <c r="D27" i="38"/>
  <c r="D921" i="38"/>
  <c r="D29" i="38"/>
  <c r="D30" i="38"/>
  <c r="D31" i="38"/>
  <c r="D522" i="38"/>
  <c r="D523" i="38"/>
  <c r="D34" i="38"/>
  <c r="D752" i="38"/>
  <c r="D754" i="38"/>
  <c r="D758" i="38"/>
  <c r="D759" i="38"/>
  <c r="D39" i="38"/>
  <c r="D1074" i="38"/>
  <c r="D1098" i="38"/>
  <c r="D42" i="38"/>
  <c r="D892" i="38"/>
  <c r="D44" i="38"/>
  <c r="D1099" i="38"/>
  <c r="D46" i="38"/>
  <c r="D894" i="38"/>
  <c r="D48" i="38"/>
  <c r="D455" i="38"/>
  <c r="D456" i="38"/>
  <c r="D459" i="38"/>
  <c r="D458" i="38"/>
  <c r="D460" i="38"/>
  <c r="D54" i="38"/>
  <c r="D920" i="38"/>
  <c r="D56" i="38"/>
  <c r="D573" i="38"/>
  <c r="D576" i="38"/>
  <c r="D59" i="38"/>
  <c r="D434" i="38"/>
  <c r="D61" i="38"/>
  <c r="D435" i="38"/>
  <c r="D63" i="38"/>
  <c r="D525" i="38"/>
  <c r="D528" i="38"/>
  <c r="D66" i="38"/>
  <c r="D739" i="38"/>
  <c r="D741" i="38"/>
  <c r="D742" i="38"/>
  <c r="D744" i="38"/>
  <c r="D71" i="38"/>
  <c r="D542" i="38"/>
  <c r="D73" i="38"/>
  <c r="D299" i="38"/>
  <c r="D303" i="38"/>
  <c r="D76" i="38"/>
  <c r="D421" i="38"/>
  <c r="D78" i="38"/>
  <c r="D429" i="38"/>
  <c r="D80" i="38"/>
  <c r="D432" i="38"/>
  <c r="D82" i="38"/>
  <c r="D1153" i="38"/>
  <c r="D84" i="38"/>
  <c r="D560" i="38"/>
  <c r="D86" i="38"/>
  <c r="D87" i="38"/>
  <c r="D88" i="38"/>
  <c r="D89" i="38"/>
  <c r="D90" i="38"/>
  <c r="D286" i="38"/>
  <c r="D1065" i="38"/>
  <c r="D765" i="38"/>
  <c r="D469" i="38"/>
  <c r="D755" i="38"/>
  <c r="D769" i="38"/>
  <c r="D97" i="38"/>
  <c r="D98" i="38"/>
  <c r="D99" i="38"/>
  <c r="D100" i="38"/>
  <c r="D101" i="38"/>
  <c r="D102" i="38"/>
  <c r="D454" i="38"/>
  <c r="D452" i="38"/>
  <c r="D449" i="38"/>
  <c r="D106" i="38"/>
  <c r="D443" i="38"/>
  <c r="D567" i="38"/>
  <c r="D109" i="38"/>
  <c r="D110" i="38"/>
  <c r="D453" i="38"/>
  <c r="D450" i="38"/>
  <c r="D446" i="38"/>
  <c r="D568" i="38"/>
  <c r="D115" i="38"/>
  <c r="D116" i="38"/>
  <c r="D117" i="38"/>
  <c r="D118" i="38"/>
  <c r="D119" i="38"/>
  <c r="D1150" i="38"/>
  <c r="D1148" i="38"/>
  <c r="D1149" i="38"/>
  <c r="D123" i="38"/>
  <c r="D1137" i="38"/>
  <c r="D1139" i="38"/>
  <c r="D32" i="38"/>
  <c r="D127" i="38"/>
  <c r="D128" i="38"/>
  <c r="D129" i="38"/>
  <c r="D130" i="38"/>
  <c r="D131" i="38"/>
  <c r="D492" i="38"/>
  <c r="D133" i="38"/>
  <c r="D134" i="38"/>
  <c r="D135" i="38"/>
  <c r="D136" i="38"/>
  <c r="D137" i="38"/>
  <c r="D183" i="38"/>
  <c r="D184" i="38"/>
  <c r="D150" i="38"/>
  <c r="D151" i="38"/>
  <c r="D148" i="38"/>
  <c r="D72" i="38"/>
  <c r="D185" i="38"/>
  <c r="D186" i="38"/>
  <c r="D152" i="38"/>
  <c r="D153" i="38"/>
  <c r="D68" i="38"/>
  <c r="D69" i="38"/>
  <c r="D70" i="38"/>
  <c r="D187" i="38"/>
  <c r="D188" i="38"/>
  <c r="D146" i="38"/>
  <c r="D147" i="38"/>
  <c r="D189" i="38"/>
  <c r="D81" i="38"/>
  <c r="D83" i="38"/>
  <c r="D273" i="38"/>
  <c r="D274" i="38"/>
  <c r="D260" i="38"/>
  <c r="D275" i="38"/>
  <c r="D75" i="38"/>
  <c r="D257" i="38"/>
  <c r="D277" i="38"/>
  <c r="D278" i="38"/>
  <c r="D493" i="38"/>
  <c r="D167" i="38"/>
  <c r="D168" i="38"/>
  <c r="D169" i="38"/>
  <c r="D170" i="38"/>
  <c r="D171" i="38"/>
  <c r="D437" i="38"/>
  <c r="D438" i="38"/>
  <c r="D440" i="38"/>
  <c r="D786" i="38"/>
  <c r="D176" i="38"/>
  <c r="D177" i="38"/>
  <c r="D178" i="38"/>
  <c r="D179" i="38"/>
  <c r="D180" i="38"/>
  <c r="D181" i="38"/>
  <c r="D1131" i="38"/>
  <c r="D37" i="38"/>
  <c r="D603" i="38"/>
  <c r="D489" i="38"/>
  <c r="D490" i="38"/>
  <c r="D785" i="38"/>
  <c r="D784" i="38"/>
  <c r="D783" i="38"/>
  <c r="D190" i="38"/>
  <c r="D191" i="38"/>
  <c r="D192" i="38"/>
  <c r="D193" i="38"/>
  <c r="D194" i="38"/>
  <c r="D195" i="38"/>
  <c r="D295" i="38"/>
  <c r="D294" i="38"/>
  <c r="D297" i="38"/>
  <c r="D1140" i="38"/>
  <c r="D397" i="38"/>
  <c r="D599" i="38"/>
  <c r="D1155" i="38"/>
  <c r="D203" i="38"/>
  <c r="D204" i="38"/>
  <c r="D205" i="38"/>
  <c r="D206" i="38"/>
  <c r="D207" i="38"/>
  <c r="D208" i="38"/>
  <c r="D209" i="38"/>
  <c r="D569" i="38"/>
  <c r="D466" i="38"/>
  <c r="D472" i="38"/>
  <c r="D1094" i="38"/>
  <c r="D214" i="38"/>
  <c r="D215" i="38"/>
  <c r="D762" i="38"/>
  <c r="D1101" i="38"/>
  <c r="D1096" i="38"/>
  <c r="D247" i="38"/>
  <c r="D255" i="38"/>
  <c r="D259" i="38"/>
  <c r="D222" i="38"/>
  <c r="D24" i="38"/>
  <c r="D224" i="38"/>
  <c r="D225" i="38"/>
  <c r="D226" i="38"/>
  <c r="D227" i="38"/>
  <c r="D570" i="38"/>
  <c r="D229" i="38"/>
  <c r="D230" i="38"/>
  <c r="D231" i="38"/>
  <c r="D916" i="38"/>
  <c r="D1108" i="38"/>
  <c r="D914" i="38"/>
  <c r="D235" i="38"/>
  <c r="D415" i="38"/>
  <c r="D237" i="38"/>
  <c r="D416" i="38"/>
  <c r="D239" i="38"/>
  <c r="D418" i="38"/>
  <c r="D241" i="38"/>
  <c r="D559" i="38"/>
  <c r="D243" i="38"/>
  <c r="D26" i="38"/>
  <c r="D16" i="38"/>
  <c r="D246" i="38"/>
  <c r="D1081" i="38"/>
  <c r="D1106" i="38"/>
  <c r="D249" i="38"/>
  <c r="D250" i="38"/>
  <c r="D251" i="38"/>
  <c r="D252" i="38"/>
  <c r="D253" i="38"/>
  <c r="D254" i="38"/>
  <c r="D52" i="38"/>
  <c r="D482" i="38"/>
  <c r="D781" i="38"/>
  <c r="D258" i="38"/>
  <c r="D579" i="38"/>
  <c r="D279" i="38"/>
  <c r="D261" i="38"/>
  <c r="D262" i="38"/>
  <c r="D263" i="38"/>
  <c r="D264" i="38"/>
  <c r="D265" i="38"/>
  <c r="D545" i="38"/>
  <c r="D267" i="38"/>
  <c r="D268" i="38"/>
  <c r="D269" i="38"/>
  <c r="D270" i="38"/>
  <c r="D271" i="38"/>
  <c r="D272" i="38"/>
  <c r="D484" i="38"/>
  <c r="D773" i="38"/>
  <c r="D486" i="38"/>
  <c r="D276" i="38"/>
  <c r="D735" i="38"/>
  <c r="D504" i="38"/>
  <c r="D387" i="38"/>
  <c r="D35" i="38"/>
  <c r="D281" i="38"/>
  <c r="D1142" i="38"/>
  <c r="D283" i="38"/>
  <c r="D282" i="38"/>
  <c r="D285" i="38"/>
  <c r="D404" i="38"/>
  <c r="D549" i="38"/>
  <c r="D288" i="38"/>
  <c r="D289" i="38"/>
  <c r="D290" i="38"/>
  <c r="D291" i="38"/>
  <c r="D628" i="38"/>
  <c r="D680" i="38"/>
  <c r="D682" i="38"/>
  <c r="D347" i="38"/>
  <c r="D296" i="38"/>
  <c r="D901" i="38"/>
  <c r="D883" i="38"/>
  <c r="D879" i="38"/>
  <c r="D300" i="38"/>
  <c r="D301" i="38"/>
  <c r="D629" i="38"/>
  <c r="D681" i="38"/>
  <c r="D683" i="38"/>
  <c r="D358" i="38"/>
  <c r="D306" i="38"/>
  <c r="D908" i="38"/>
  <c r="D890" i="38"/>
  <c r="D880" i="38"/>
  <c r="D310" i="38"/>
  <c r="D311" i="38"/>
  <c r="D510" i="38"/>
  <c r="D508" i="38"/>
  <c r="D506" i="38"/>
  <c r="D512" i="38"/>
  <c r="D514" i="38"/>
  <c r="D317" i="38"/>
  <c r="D604" i="38"/>
  <c r="D319" i="38"/>
  <c r="D320" i="38"/>
  <c r="D321" i="38"/>
  <c r="D322" i="38"/>
  <c r="D323" i="38"/>
  <c r="D324" i="38"/>
  <c r="D325" i="38"/>
  <c r="D836" i="38"/>
  <c r="D838" i="38"/>
  <c r="D840" i="38"/>
  <c r="D815" i="38"/>
  <c r="D817" i="38"/>
  <c r="D331" i="38"/>
  <c r="D391" i="38"/>
  <c r="D395" i="38"/>
  <c r="D551" i="38"/>
  <c r="D335" i="38"/>
  <c r="D336" i="38"/>
  <c r="D337" i="38"/>
  <c r="D338" i="38"/>
  <c r="D339" i="38"/>
  <c r="D340" i="38"/>
  <c r="D341" i="38"/>
  <c r="D342" i="38"/>
  <c r="D343" i="38"/>
  <c r="D344" i="38"/>
  <c r="D345" i="38"/>
  <c r="D912" i="38"/>
  <c r="D531" i="38"/>
  <c r="D348" i="38"/>
  <c r="D349" i="38"/>
  <c r="D350" i="38"/>
  <c r="D351" i="38"/>
  <c r="D352" i="38"/>
  <c r="D353" i="38"/>
  <c r="D354" i="38"/>
  <c r="D355" i="38"/>
  <c r="D356" i="38"/>
  <c r="D357" i="38"/>
  <c r="D1114" i="38"/>
  <c r="D1117" i="38"/>
  <c r="D1118" i="38"/>
  <c r="D1127" i="38"/>
  <c r="D1128" i="38"/>
  <c r="D1129" i="38"/>
  <c r="D364" i="38"/>
  <c r="D365" i="38"/>
  <c r="D491" i="38"/>
  <c r="D1152" i="38"/>
  <c r="D412" i="38"/>
  <c r="D369" i="38"/>
  <c r="D370" i="38"/>
  <c r="D371" i="38"/>
  <c r="D372" i="38"/>
  <c r="D373" i="38"/>
  <c r="D374" i="38"/>
  <c r="D375" i="38"/>
  <c r="D376" i="38"/>
  <c r="D631" i="38"/>
  <c r="D660" i="38"/>
  <c r="D606" i="38"/>
  <c r="D687" i="38"/>
  <c r="D359" i="38"/>
  <c r="D382" i="38"/>
  <c r="D934" i="38"/>
  <c r="D965" i="38"/>
  <c r="D1012" i="38"/>
  <c r="D91" i="38"/>
  <c r="D114" i="38"/>
  <c r="D121" i="38"/>
  <c r="D154" i="38"/>
  <c r="D219" i="38"/>
  <c r="D196" i="38"/>
  <c r="D392" i="38"/>
  <c r="D393" i="38"/>
  <c r="D632" i="38"/>
  <c r="D661" i="38"/>
  <c r="D607" i="38"/>
  <c r="D688" i="38"/>
  <c r="D360" i="38"/>
  <c r="D399" i="38"/>
  <c r="D935" i="38"/>
  <c r="D966" i="38"/>
  <c r="D1013" i="38"/>
  <c r="D92" i="38"/>
  <c r="D122" i="38"/>
  <c r="D155" i="38"/>
  <c r="D220" i="38"/>
  <c r="D197" i="38"/>
  <c r="D408" i="38"/>
  <c r="D587" i="38"/>
  <c r="D495" i="38"/>
  <c r="D411" i="38"/>
  <c r="D848" i="38"/>
  <c r="D855" i="38"/>
  <c r="D795" i="38"/>
  <c r="D305" i="38"/>
  <c r="D55" i="38"/>
  <c r="D417" i="38"/>
  <c r="D40" i="38"/>
  <c r="D419" i="38"/>
  <c r="D420" i="38"/>
  <c r="D866" i="38"/>
  <c r="D422" i="38"/>
  <c r="D423" i="38"/>
  <c r="D424" i="38"/>
  <c r="D425" i="38"/>
  <c r="D426" i="38"/>
  <c r="D427" i="38"/>
  <c r="D634" i="38"/>
  <c r="D662" i="38"/>
  <c r="D608" i="38"/>
  <c r="D690" i="38"/>
  <c r="D361" i="38"/>
  <c r="D433" i="38"/>
  <c r="D937" i="38"/>
  <c r="D967" i="38"/>
  <c r="D1014" i="38"/>
  <c r="D1029" i="38"/>
  <c r="D1046" i="38"/>
  <c r="D93" i="38"/>
  <c r="D124" i="38"/>
  <c r="D156" i="38"/>
  <c r="D221" i="38"/>
  <c r="D198" i="38"/>
  <c r="D444" i="38"/>
  <c r="D445" i="38"/>
  <c r="D635" i="38"/>
  <c r="D685" i="38"/>
  <c r="D609" i="38"/>
  <c r="D691" i="38"/>
  <c r="D362" i="38"/>
  <c r="D451" i="38"/>
  <c r="D938" i="38"/>
  <c r="D968" i="38"/>
  <c r="D1015" i="38"/>
  <c r="D1030" i="38"/>
  <c r="D1048" i="38"/>
  <c r="D94" i="38"/>
  <c r="D125" i="38"/>
  <c r="D157" i="38"/>
  <c r="D223" i="38"/>
  <c r="D199" i="38"/>
  <c r="D462" i="38"/>
  <c r="D594" i="38"/>
  <c r="D496" i="38"/>
  <c r="D465" i="38"/>
  <c r="D849" i="38"/>
  <c r="D856" i="38"/>
  <c r="D798" i="38"/>
  <c r="D307" i="38"/>
  <c r="D57" i="38"/>
  <c r="D471" i="38"/>
  <c r="D41" i="38"/>
  <c r="D473" i="38"/>
  <c r="D474" i="38"/>
  <c r="D870" i="38"/>
  <c r="D476" i="38"/>
  <c r="D477" i="38"/>
  <c r="D478" i="38"/>
  <c r="D479" i="38"/>
  <c r="D480" i="38"/>
  <c r="D481" i="38"/>
  <c r="D636" i="38"/>
  <c r="D663" i="38"/>
  <c r="D610" i="38"/>
  <c r="D692" i="38"/>
  <c r="D315" i="38"/>
  <c r="D363" i="38"/>
  <c r="D488" i="38"/>
  <c r="D940" i="38"/>
  <c r="D969" i="38"/>
  <c r="D1017" i="38"/>
  <c r="D1031" i="38"/>
  <c r="D1051" i="38"/>
  <c r="D95" i="38"/>
  <c r="D126" i="38"/>
  <c r="D158" i="38"/>
  <c r="D228" i="38"/>
  <c r="D200" i="38"/>
  <c r="D499" i="38"/>
  <c r="D500" i="38"/>
  <c r="D637" i="38"/>
  <c r="D664" i="38"/>
  <c r="D613" i="38"/>
  <c r="D693" i="38"/>
  <c r="D316" i="38"/>
  <c r="D366" i="38"/>
  <c r="D507" i="38"/>
  <c r="D941" i="38"/>
  <c r="D970" i="38"/>
  <c r="D1018" i="38"/>
  <c r="D1033" i="38"/>
  <c r="D1058" i="38"/>
  <c r="D96" i="38"/>
  <c r="D132" i="38"/>
  <c r="D159" i="38"/>
  <c r="D232" i="38"/>
  <c r="D201" i="38"/>
  <c r="D518" i="38"/>
  <c r="D595" i="38"/>
  <c r="D497" i="38"/>
  <c r="D521" i="38"/>
  <c r="D850" i="38"/>
  <c r="D857" i="38"/>
  <c r="D799" i="38"/>
  <c r="D308" i="38"/>
  <c r="D58" i="38"/>
  <c r="D527" i="38"/>
  <c r="D43" i="38"/>
  <c r="D529" i="38"/>
  <c r="D530" i="38"/>
  <c r="D871" i="38"/>
  <c r="D532" i="38"/>
  <c r="D533" i="38"/>
  <c r="D534" i="38"/>
  <c r="D535" i="38"/>
  <c r="D536" i="38"/>
  <c r="D537" i="38"/>
  <c r="D638" i="38"/>
  <c r="D665" i="38"/>
  <c r="D614" i="38"/>
  <c r="D694" i="38"/>
  <c r="D318" i="38"/>
  <c r="D367" i="38"/>
  <c r="D544" i="38"/>
  <c r="D942" i="38"/>
  <c r="D971" i="38"/>
  <c r="D1019" i="38"/>
  <c r="D1034" i="38"/>
  <c r="D1059" i="38"/>
  <c r="D103" i="38"/>
  <c r="D138" i="38"/>
  <c r="D160" i="38"/>
  <c r="D233" i="38"/>
  <c r="D202" i="38"/>
  <c r="D555" i="38"/>
  <c r="D556" i="38"/>
  <c r="D640" i="38"/>
  <c r="D666" i="38"/>
  <c r="D615" i="38"/>
  <c r="D696" i="38"/>
  <c r="D326" i="38"/>
  <c r="D368" i="38"/>
  <c r="D563" i="38"/>
  <c r="D943" i="38"/>
  <c r="D972" i="38"/>
  <c r="D1020" i="38"/>
  <c r="D1035" i="38"/>
  <c r="D1060" i="38"/>
  <c r="D104" i="38"/>
  <c r="D139" i="38"/>
  <c r="D161" i="38"/>
  <c r="D234" i="38"/>
  <c r="D210" i="38"/>
  <c r="D574" i="38"/>
  <c r="D596" i="38"/>
  <c r="D498" i="38"/>
  <c r="D577" i="38"/>
  <c r="D851" i="38"/>
  <c r="D858" i="38"/>
  <c r="D801" i="38"/>
  <c r="D309" i="38"/>
  <c r="D60" i="38"/>
  <c r="D583" i="38"/>
  <c r="D45" i="38"/>
  <c r="D585" i="38"/>
  <c r="D586" i="38"/>
  <c r="D874" i="38"/>
  <c r="D588" i="38"/>
  <c r="D589" i="38"/>
  <c r="D590" i="38"/>
  <c r="D591" i="38"/>
  <c r="D592" i="38"/>
  <c r="D593" i="38"/>
  <c r="D643" i="38"/>
  <c r="D669" i="38"/>
  <c r="D616" i="38"/>
  <c r="D699" i="38"/>
  <c r="D327" i="38"/>
  <c r="D377" i="38"/>
  <c r="D600" i="38"/>
  <c r="D944" i="38"/>
  <c r="D978" i="38"/>
  <c r="D1021" i="38"/>
  <c r="D1036" i="38"/>
  <c r="D1061" i="38"/>
  <c r="D105" i="38"/>
  <c r="D140" i="38"/>
  <c r="D162" i="38"/>
  <c r="D236" i="38"/>
  <c r="D211" i="38"/>
  <c r="D611" i="38"/>
  <c r="D612" i="38"/>
  <c r="D650" i="38"/>
  <c r="D670" i="38"/>
  <c r="D617" i="38"/>
  <c r="D707" i="38"/>
  <c r="D328" i="38"/>
  <c r="D378" i="38"/>
  <c r="D619" i="38"/>
  <c r="D950" i="38"/>
  <c r="D984" i="38"/>
  <c r="D1022" i="38"/>
  <c r="D1037" i="38"/>
  <c r="D1062" i="38"/>
  <c r="D107" i="38"/>
  <c r="D141" i="38"/>
  <c r="D163" i="38"/>
  <c r="D238" i="38"/>
  <c r="D212" i="38"/>
  <c r="D630" i="38"/>
  <c r="D597" i="38"/>
  <c r="D501" i="38"/>
  <c r="D633" i="38"/>
  <c r="D852" i="38"/>
  <c r="D859" i="38"/>
  <c r="D807" i="38"/>
  <c r="D312" i="38"/>
  <c r="D62" i="38"/>
  <c r="D639" i="38"/>
  <c r="D47" i="38"/>
  <c r="D641" i="38"/>
  <c r="D642" i="38"/>
  <c r="D876" i="38"/>
  <c r="D644" i="38"/>
  <c r="D645" i="38"/>
  <c r="D646" i="38"/>
  <c r="D647" i="38"/>
  <c r="D648" i="38"/>
  <c r="D649" i="38"/>
  <c r="D651" i="38"/>
  <c r="D671" i="38"/>
  <c r="D618" i="38"/>
  <c r="D708" i="38"/>
  <c r="D329" i="38"/>
  <c r="D379" i="38"/>
  <c r="D656" i="38"/>
  <c r="D951" i="38"/>
  <c r="D985" i="38"/>
  <c r="D1023" i="38"/>
  <c r="D1038" i="38"/>
  <c r="D1063" i="38"/>
  <c r="D108" i="38"/>
  <c r="D142" i="38"/>
  <c r="D164" i="38"/>
  <c r="D240" i="38"/>
  <c r="D213" i="38"/>
  <c r="D667" i="38"/>
  <c r="D668" i="38"/>
  <c r="D652" i="38"/>
  <c r="D672" i="38"/>
  <c r="D620" i="38"/>
  <c r="D709" i="38"/>
  <c r="D330" i="38"/>
  <c r="D380" i="38"/>
  <c r="D675" i="38"/>
  <c r="D952" i="38"/>
  <c r="D996" i="38"/>
  <c r="D1024" i="38"/>
  <c r="D1039" i="38"/>
  <c r="D1064" i="38"/>
  <c r="D111" i="38"/>
  <c r="D143" i="38"/>
  <c r="D165" i="38"/>
  <c r="D242" i="38"/>
  <c r="D216" i="38"/>
  <c r="D686" i="38"/>
  <c r="D598" i="38"/>
  <c r="D502" i="38"/>
  <c r="D689" i="38"/>
  <c r="D853" i="38"/>
  <c r="D860" i="38"/>
  <c r="D809" i="38"/>
  <c r="D313" i="38"/>
  <c r="D64" i="38"/>
  <c r="D695" i="38"/>
  <c r="D49" i="38"/>
  <c r="D697" i="38"/>
  <c r="D698" i="38"/>
  <c r="D878" i="38"/>
  <c r="D700" i="38"/>
  <c r="D701" i="38"/>
  <c r="D702" i="38"/>
  <c r="D703" i="38"/>
  <c r="D704" i="38"/>
  <c r="D705" i="38"/>
  <c r="D706" i="38"/>
  <c r="D463" i="38"/>
  <c r="D1071" i="38"/>
  <c r="D406" i="38"/>
  <c r="D553" i="38"/>
  <c r="D711" i="38"/>
  <c r="D562" i="38"/>
  <c r="D713" i="38"/>
  <c r="D714" i="38"/>
  <c r="D715" i="38"/>
  <c r="D716" i="38"/>
  <c r="D717" i="38"/>
  <c r="D51" i="38"/>
  <c r="D1072" i="38"/>
  <c r="D403" i="38"/>
  <c r="D721" i="38"/>
  <c r="D722" i="38"/>
  <c r="D723" i="38"/>
  <c r="D724" i="38"/>
  <c r="D725" i="38"/>
  <c r="D726" i="38"/>
  <c r="D727" i="38"/>
  <c r="D728" i="38"/>
  <c r="D729" i="38"/>
  <c r="D730" i="38"/>
  <c r="D731" i="38"/>
  <c r="D732" i="38"/>
  <c r="D558" i="38"/>
  <c r="D734" i="38"/>
  <c r="D1075" i="38"/>
  <c r="D736" i="38"/>
  <c r="D930" i="38"/>
  <c r="D738" i="38"/>
  <c r="D933" i="38"/>
  <c r="D740" i="38"/>
  <c r="D1077" i="38"/>
  <c r="D1100" i="38"/>
  <c r="D743" i="38"/>
  <c r="D895" i="38"/>
  <c r="D745" i="38"/>
  <c r="D457" i="38"/>
  <c r="D461" i="38"/>
  <c r="D748" i="38"/>
  <c r="D575" i="38"/>
  <c r="D578" i="38"/>
  <c r="D751" i="38"/>
  <c r="D436" i="38"/>
  <c r="D753" i="38"/>
  <c r="D524" i="38"/>
  <c r="D526" i="38"/>
  <c r="D756" i="38"/>
  <c r="D746" i="38"/>
  <c r="D747" i="38"/>
  <c r="D749" i="38"/>
  <c r="D750" i="38"/>
  <c r="D761" i="38"/>
  <c r="D543" i="38"/>
  <c r="D763" i="38"/>
  <c r="D302" i="38"/>
  <c r="D304" i="38"/>
  <c r="D766" i="38"/>
  <c r="D428" i="38"/>
  <c r="D768" i="38"/>
  <c r="D430" i="38"/>
  <c r="D770" i="38"/>
  <c r="D431" i="38"/>
  <c r="D772" i="38"/>
  <c r="D1154" i="38"/>
  <c r="D774" i="38"/>
  <c r="D561" i="38"/>
  <c r="D776" i="38"/>
  <c r="D777" i="38"/>
  <c r="D778" i="38"/>
  <c r="D779" i="38"/>
  <c r="D780" i="38"/>
  <c r="D287" i="38"/>
  <c r="D1068" i="38"/>
  <c r="D767" i="38"/>
  <c r="D470" i="38"/>
  <c r="D757" i="38"/>
  <c r="D771" i="38"/>
  <c r="D787" i="38"/>
  <c r="D788" i="38"/>
  <c r="D789" i="38"/>
  <c r="D790" i="38"/>
  <c r="D791" i="38"/>
  <c r="D792" i="38"/>
  <c r="D793" i="38"/>
  <c r="D447" i="38"/>
  <c r="D565" i="38"/>
  <c r="D796" i="38"/>
  <c r="D797" i="38"/>
  <c r="D448" i="38"/>
  <c r="D566" i="38"/>
  <c r="D800" i="38"/>
  <c r="D584" i="38"/>
  <c r="D802" i="38"/>
  <c r="D803" i="38"/>
  <c r="D804" i="38"/>
  <c r="D805" i="38"/>
  <c r="D806" i="38"/>
  <c r="D1151" i="38"/>
  <c r="D808" i="38"/>
  <c r="D33" i="38"/>
  <c r="D810" i="38"/>
  <c r="D811" i="38"/>
  <c r="D812" i="38"/>
  <c r="D813" i="38"/>
  <c r="D814" i="38"/>
  <c r="D67" i="38"/>
  <c r="D74" i="38"/>
  <c r="D79" i="38"/>
  <c r="D85" i="38"/>
  <c r="D149" i="38"/>
  <c r="D266" i="38"/>
  <c r="D77" i="38"/>
  <c r="D494" i="38"/>
  <c r="D823" i="38"/>
  <c r="D824" i="38"/>
  <c r="D825" i="38"/>
  <c r="D826" i="38"/>
  <c r="D827" i="38"/>
  <c r="D439" i="38"/>
  <c r="D794" i="38"/>
  <c r="D830" i="38"/>
  <c r="D831" i="38"/>
  <c r="D832" i="38"/>
  <c r="D833" i="38"/>
  <c r="D834" i="38"/>
  <c r="D292" i="38"/>
  <c r="D293" i="38"/>
  <c r="D298" i="38"/>
  <c r="D1141" i="38"/>
  <c r="D398" i="38"/>
  <c r="D601" i="38"/>
  <c r="D1156" i="38"/>
  <c r="D842" i="38"/>
  <c r="D843" i="38"/>
  <c r="D844" i="38"/>
  <c r="D845" i="38"/>
  <c r="D846" i="38"/>
  <c r="D847" i="38"/>
  <c r="D581" i="38"/>
  <c r="D571" i="38"/>
  <c r="D467" i="38"/>
  <c r="D475" i="38"/>
  <c r="D1095" i="38"/>
  <c r="D1085" i="38"/>
  <c r="D854" i="38"/>
  <c r="D764" i="38"/>
  <c r="D760" i="38"/>
  <c r="D1104" i="38"/>
  <c r="D1097" i="38"/>
  <c r="D248" i="38"/>
  <c r="D256" i="38"/>
  <c r="D861" i="38"/>
  <c r="D28" i="38"/>
  <c r="D863" i="38"/>
  <c r="D864" i="38"/>
  <c r="D865" i="38"/>
  <c r="D582" i="38"/>
  <c r="D572" i="38"/>
  <c r="D868" i="38"/>
  <c r="D869" i="38"/>
  <c r="D918" i="38"/>
  <c r="D1109" i="38"/>
  <c r="D915" i="38"/>
  <c r="D873" i="38"/>
  <c r="D414" i="38"/>
  <c r="D875" i="38"/>
  <c r="D413" i="38"/>
  <c r="D877" i="38"/>
  <c r="D22" i="38"/>
  <c r="D20" i="38"/>
  <c r="D18" i="38"/>
  <c r="D881" i="38"/>
  <c r="D1082" i="38"/>
  <c r="D1107" i="38"/>
  <c r="D884" i="38"/>
  <c r="D885" i="38"/>
  <c r="D886" i="38"/>
  <c r="D887" i="38"/>
  <c r="D888" i="38"/>
  <c r="D889" i="38"/>
  <c r="D53" i="38"/>
  <c r="D483" i="38"/>
  <c r="D782" i="38"/>
  <c r="D893" i="38"/>
  <c r="D580" i="38"/>
  <c r="D280" i="38"/>
  <c r="D896" i="38"/>
  <c r="D897" i="38"/>
  <c r="D898" i="38"/>
  <c r="D899" i="38"/>
  <c r="D900" i="38"/>
  <c r="D546" i="38"/>
  <c r="D902" i="38"/>
  <c r="D903" i="38"/>
  <c r="D904" i="38"/>
  <c r="D905" i="38"/>
  <c r="D906" i="38"/>
  <c r="D907" i="38"/>
  <c r="D485" i="38"/>
  <c r="D775" i="38"/>
  <c r="D487" i="38"/>
  <c r="D911" i="38"/>
  <c r="D737" i="38"/>
  <c r="D505" i="38"/>
  <c r="D388" i="38"/>
  <c r="D36" i="38"/>
  <c r="D1105" i="38"/>
  <c r="D917" i="38"/>
  <c r="D284" i="38"/>
  <c r="D919" i="38"/>
  <c r="D405" i="38"/>
  <c r="D550" i="38"/>
  <c r="D922" i="38"/>
  <c r="D923" i="38"/>
  <c r="D924" i="38"/>
  <c r="D925" i="38"/>
  <c r="D926" i="38"/>
  <c r="D684" i="38"/>
  <c r="D621" i="38"/>
  <c r="D386" i="38"/>
  <c r="D1110" i="38"/>
  <c r="D931" i="38"/>
  <c r="D511" i="38"/>
  <c r="D509" i="38"/>
  <c r="D513" i="38"/>
  <c r="D515" i="38"/>
  <c r="D936" i="38"/>
  <c r="D605" i="38"/>
  <c r="D1111" i="38"/>
  <c r="D939" i="38"/>
  <c r="D909" i="38"/>
  <c r="D891" i="38"/>
  <c r="D882" i="38"/>
  <c r="D910" i="38"/>
  <c r="D38" i="38"/>
  <c r="D945" i="38"/>
  <c r="D946" i="38"/>
  <c r="D947" i="38"/>
  <c r="D948" i="38"/>
  <c r="D949" i="38"/>
  <c r="D837" i="38"/>
  <c r="D839" i="38"/>
  <c r="D841" i="38"/>
  <c r="D816" i="38"/>
  <c r="D818" i="38"/>
  <c r="D955" i="38"/>
  <c r="D394" i="38"/>
  <c r="D396" i="38"/>
  <c r="D552" i="38"/>
  <c r="D959" i="38"/>
  <c r="D960" i="38"/>
  <c r="D961" i="38"/>
  <c r="D962" i="38"/>
  <c r="D963" i="38"/>
  <c r="D441" i="38"/>
  <c r="D389" i="38"/>
  <c r="D516" i="38"/>
  <c r="D519" i="38"/>
  <c r="D400" i="38"/>
  <c r="D409" i="38"/>
  <c r="D538" i="38"/>
  <c r="D547" i="38"/>
  <c r="D1078" i="38"/>
  <c r="D973" i="38"/>
  <c r="D974" i="38"/>
  <c r="D975" i="38"/>
  <c r="D976" i="38"/>
  <c r="D977" i="38"/>
  <c r="D602" i="38"/>
  <c r="D979" i="38"/>
  <c r="D980" i="38"/>
  <c r="D981" i="38"/>
  <c r="D982" i="38"/>
  <c r="D983" i="38"/>
  <c r="D913" i="38"/>
  <c r="D539" i="38"/>
  <c r="D986" i="38"/>
  <c r="D987" i="38"/>
  <c r="D988" i="38"/>
  <c r="D989" i="38"/>
  <c r="D990" i="38"/>
  <c r="D991" i="38"/>
  <c r="D992" i="38"/>
  <c r="D993" i="38"/>
  <c r="D994" i="38"/>
  <c r="D995" i="38"/>
  <c r="D1116" i="38"/>
  <c r="D1121" i="38"/>
  <c r="D998" i="38"/>
  <c r="D999" i="38"/>
  <c r="D1000" i="38"/>
  <c r="D1001" i="38"/>
  <c r="D1002" i="38"/>
  <c r="D1113" i="38"/>
  <c r="D1004" i="38"/>
  <c r="D1005" i="38"/>
  <c r="D1006" i="38"/>
  <c r="D1007" i="38"/>
  <c r="D1008" i="38"/>
  <c r="D1009" i="38"/>
  <c r="D1010" i="38"/>
  <c r="D1011" i="38"/>
  <c r="D653" i="38"/>
  <c r="D673" i="38"/>
  <c r="D622" i="38"/>
  <c r="D710" i="38"/>
  <c r="D1016" i="38"/>
  <c r="D953" i="38"/>
  <c r="D997" i="38"/>
  <c r="D1025" i="38"/>
  <c r="D112" i="38"/>
  <c r="D120" i="38"/>
  <c r="D144" i="38"/>
  <c r="D166" i="38"/>
  <c r="D244" i="38"/>
  <c r="D217" i="38"/>
  <c r="D1026" i="38"/>
  <c r="D1027" i="38"/>
  <c r="D654" i="38"/>
  <c r="D674" i="38"/>
  <c r="D623" i="38"/>
  <c r="D712" i="38"/>
  <c r="D1032" i="38"/>
  <c r="D954" i="38"/>
  <c r="D1003" i="38"/>
  <c r="D1028" i="38"/>
  <c r="D113" i="38"/>
  <c r="D145" i="38"/>
  <c r="D172" i="38"/>
  <c r="D245" i="38"/>
  <c r="D218" i="38"/>
  <c r="D1041" i="38"/>
  <c r="D503" i="38"/>
  <c r="D1043" i="38"/>
  <c r="D835" i="38"/>
  <c r="D314" i="38"/>
  <c r="D65" i="38"/>
  <c r="D1047" i="38"/>
  <c r="D50" i="38"/>
  <c r="D1049" i="38"/>
  <c r="D1050" i="38"/>
  <c r="D867" i="38"/>
  <c r="D1052" i="38"/>
  <c r="D1053" i="38"/>
  <c r="D1054" i="38"/>
  <c r="D1055" i="38"/>
  <c r="D1056" i="38"/>
  <c r="D1057" i="38"/>
  <c r="D655" i="38"/>
  <c r="D676" i="38"/>
  <c r="D624" i="38"/>
  <c r="D718" i="38"/>
  <c r="D332" i="38"/>
  <c r="D381" i="38"/>
  <c r="D956" i="38"/>
  <c r="D1040" i="38"/>
  <c r="D1066" i="38"/>
  <c r="D1067" i="38"/>
  <c r="D657" i="38"/>
  <c r="D677" i="38"/>
  <c r="D625" i="38"/>
  <c r="D719" i="38"/>
  <c r="D333" i="38"/>
  <c r="D383" i="38"/>
  <c r="D957" i="38"/>
  <c r="D1042" i="38"/>
  <c r="D1076" i="38"/>
  <c r="D173" i="38"/>
  <c r="D175" i="38"/>
  <c r="D1079" i="38"/>
  <c r="D819" i="38"/>
  <c r="D821" i="38"/>
  <c r="D828" i="38"/>
  <c r="D1083" i="38"/>
  <c r="D1084" i="38"/>
  <c r="D872" i="38"/>
  <c r="D1086" i="38"/>
  <c r="D1087" i="38"/>
  <c r="D1088" i="38"/>
  <c r="D1089" i="38"/>
  <c r="D1090" i="38"/>
  <c r="D1091" i="38"/>
  <c r="D1092" i="38"/>
  <c r="D1093" i="38"/>
  <c r="D658" i="38"/>
  <c r="D678" i="38"/>
  <c r="D626" i="38"/>
  <c r="D720" i="38"/>
  <c r="D334" i="38"/>
  <c r="D384" i="38"/>
  <c r="D958" i="38"/>
  <c r="D1044" i="38"/>
  <c r="D1102" i="38"/>
  <c r="D1103" i="38"/>
  <c r="D659" i="38"/>
  <c r="D679" i="38"/>
  <c r="D627" i="38"/>
  <c r="D733" i="38"/>
  <c r="D346" i="38"/>
  <c r="D385" i="38"/>
  <c r="D964" i="38"/>
  <c r="D1045" i="38"/>
  <c r="D1112" i="38"/>
  <c r="D174" i="38"/>
  <c r="D182" i="38"/>
  <c r="D1115" i="38"/>
  <c r="D820" i="38"/>
  <c r="D822" i="38"/>
  <c r="D829" i="38"/>
  <c r="D1119" i="38"/>
  <c r="D1120" i="38"/>
  <c r="D862" i="38"/>
  <c r="D1122" i="38"/>
  <c r="D1123" i="38"/>
  <c r="D1124" i="38"/>
  <c r="D1125" i="38"/>
  <c r="D1126" i="38"/>
  <c r="D464" i="38"/>
  <c r="D407" i="38"/>
  <c r="D554" i="38"/>
  <c r="D1130" i="38"/>
  <c r="D564" i="38"/>
  <c r="D1132" i="38"/>
  <c r="D1133" i="38"/>
  <c r="D1134" i="38"/>
  <c r="D1135" i="38"/>
  <c r="D1136" i="38"/>
  <c r="D468" i="38"/>
  <c r="D1138" i="38"/>
  <c r="D1069" i="38"/>
  <c r="D1070" i="38"/>
  <c r="D402" i="38"/>
  <c r="D541" i="38"/>
  <c r="D1143" i="38"/>
  <c r="D1144" i="38"/>
  <c r="D1145" i="38"/>
  <c r="D1146" i="38"/>
  <c r="D1147" i="38"/>
  <c r="D442" i="38"/>
  <c r="D390" i="38"/>
  <c r="D517" i="38"/>
  <c r="D520" i="38"/>
  <c r="D401" i="38"/>
  <c r="D410" i="38"/>
  <c r="D540" i="38"/>
  <c r="D548" i="38"/>
  <c r="D1080" i="38"/>
  <c r="D1157" i="38"/>
  <c r="D1158" i="38"/>
  <c r="Q1158" i="38" l="1"/>
  <c r="Q1146" i="38"/>
  <c r="Q517" i="38"/>
  <c r="Q540" i="38"/>
  <c r="Q182" i="38"/>
  <c r="Q334" i="38"/>
  <c r="Q1090" i="38"/>
  <c r="Q1086" i="38"/>
  <c r="Q175" i="38"/>
  <c r="Q655" i="38"/>
  <c r="Q503" i="38"/>
  <c r="Q623" i="38"/>
  <c r="Q1026" i="38"/>
  <c r="Q1010" i="38"/>
  <c r="Q994" i="38"/>
  <c r="Q602" i="38"/>
  <c r="Q516" i="38"/>
  <c r="Q837" i="38"/>
  <c r="Q1111" i="38"/>
  <c r="Q388" i="38"/>
  <c r="Q902" i="38"/>
  <c r="Q898" i="38"/>
  <c r="Q1082" i="38"/>
  <c r="Q582" i="38"/>
  <c r="Q467" i="38"/>
  <c r="Q842" i="38"/>
  <c r="Q494" i="38"/>
  <c r="Q810" i="38"/>
  <c r="Q802" i="38"/>
  <c r="Q447" i="38"/>
  <c r="Q778" i="38"/>
  <c r="Q766" i="38"/>
  <c r="Q524" i="38"/>
  <c r="Q734" i="38"/>
  <c r="Q730" i="38"/>
  <c r="Q726" i="38"/>
  <c r="Q679" i="38"/>
  <c r="Q1009" i="38"/>
  <c r="Q945" i="38"/>
  <c r="Q881" i="38"/>
  <c r="Q757" i="38"/>
  <c r="Q753" i="38"/>
  <c r="Q1138" i="38"/>
  <c r="Q1130" i="38"/>
  <c r="Q964" i="38"/>
  <c r="Q332" i="38"/>
  <c r="Q1054" i="38"/>
  <c r="Q172" i="38"/>
  <c r="Q144" i="38"/>
  <c r="Q1006" i="38"/>
  <c r="Q1002" i="38"/>
  <c r="Q998" i="38"/>
  <c r="Q986" i="38"/>
  <c r="Q538" i="38"/>
  <c r="Q818" i="38"/>
  <c r="Q1110" i="38"/>
  <c r="Q922" i="38"/>
  <c r="Q906" i="38"/>
  <c r="Q414" i="38"/>
  <c r="Q854" i="38"/>
  <c r="Q846" i="38"/>
  <c r="Q826" i="38"/>
  <c r="Q814" i="38"/>
  <c r="Q806" i="38"/>
  <c r="Q790" i="38"/>
  <c r="Q774" i="38"/>
  <c r="Q747" i="38"/>
  <c r="Q1100" i="38"/>
  <c r="Q383" i="38"/>
  <c r="Q1041" i="38"/>
  <c r="Q505" i="38"/>
  <c r="Q79" i="38"/>
  <c r="Q689" i="38"/>
  <c r="Q829" i="38"/>
  <c r="Q658" i="38"/>
  <c r="Q625" i="38"/>
  <c r="Q65" i="38"/>
  <c r="Q997" i="38"/>
  <c r="Q982" i="38"/>
  <c r="Q552" i="38"/>
  <c r="Q882" i="38"/>
  <c r="Q284" i="38"/>
  <c r="Q580" i="38"/>
  <c r="Q22" i="38"/>
  <c r="Q28" i="38"/>
  <c r="Q85" i="38"/>
  <c r="Q771" i="38"/>
  <c r="Q770" i="38"/>
  <c r="Q578" i="38"/>
  <c r="Q738" i="38"/>
  <c r="Q51" i="38"/>
  <c r="Q548" i="38"/>
  <c r="Q1147" i="38"/>
  <c r="Q1143" i="38"/>
  <c r="Q1135" i="38"/>
  <c r="Q541" i="38"/>
  <c r="Q1134" i="38"/>
  <c r="Q1126" i="38"/>
  <c r="Q1122" i="38"/>
  <c r="Q627" i="38"/>
  <c r="Q1102" i="38"/>
  <c r="Q828" i="38"/>
  <c r="Q957" i="38"/>
  <c r="Q1066" i="38"/>
  <c r="Q1050" i="38"/>
  <c r="Q1003" i="38"/>
  <c r="Q622" i="38"/>
  <c r="Q990" i="38"/>
  <c r="Q974" i="38"/>
  <c r="Q962" i="38"/>
  <c r="Q946" i="38"/>
  <c r="Q513" i="38"/>
  <c r="Q926" i="38"/>
  <c r="Q487" i="38"/>
  <c r="Q53" i="38"/>
  <c r="Q886" i="38"/>
  <c r="Q918" i="38"/>
  <c r="Q1097" i="38"/>
  <c r="Q1141" i="38"/>
  <c r="Q834" i="38"/>
  <c r="Q830" i="38"/>
  <c r="Q448" i="38"/>
  <c r="Q1068" i="38"/>
  <c r="Q543" i="38"/>
  <c r="Q457" i="38"/>
  <c r="Q722" i="38"/>
  <c r="Q520" i="38"/>
  <c r="Q571" i="38"/>
  <c r="Q593" i="38"/>
  <c r="Q326" i="38"/>
  <c r="Q553" i="38"/>
  <c r="Q702" i="38"/>
  <c r="Q143" i="38"/>
  <c r="Q329" i="38"/>
  <c r="Q646" i="38"/>
  <c r="Q1022" i="38"/>
  <c r="Q474" i="38"/>
  <c r="Q125" i="38"/>
  <c r="Q362" i="38"/>
  <c r="Q221" i="38"/>
  <c r="Q608" i="38"/>
  <c r="Q1157" i="38"/>
  <c r="Q401" i="38"/>
  <c r="Q442" i="38"/>
  <c r="Q1070" i="38"/>
  <c r="Q1136" i="38"/>
  <c r="Q1132" i="38"/>
  <c r="Q1124" i="38"/>
  <c r="Q1120" i="38"/>
  <c r="Q1112" i="38"/>
  <c r="Q659" i="38"/>
  <c r="Q626" i="38"/>
  <c r="Q1092" i="38"/>
  <c r="Q1088" i="38"/>
  <c r="Q819" i="38"/>
  <c r="Q1076" i="38"/>
  <c r="Q657" i="38"/>
  <c r="Q956" i="38"/>
  <c r="Q624" i="38"/>
  <c r="Q1056" i="38"/>
  <c r="Q1052" i="38"/>
  <c r="Q50" i="38"/>
  <c r="Q835" i="38"/>
  <c r="Q218" i="38"/>
  <c r="Q113" i="38"/>
  <c r="Q1032" i="38"/>
  <c r="Q654" i="38"/>
  <c r="Q244" i="38"/>
  <c r="Q112" i="38"/>
  <c r="Q1016" i="38"/>
  <c r="Q653" i="38"/>
  <c r="Q1008" i="38"/>
  <c r="Q1004" i="38"/>
  <c r="Q1000" i="38"/>
  <c r="Q1116" i="38"/>
  <c r="Q992" i="38"/>
  <c r="Q988" i="38"/>
  <c r="Q913" i="38"/>
  <c r="Q980" i="38"/>
  <c r="Q976" i="38"/>
  <c r="Q1078" i="38"/>
  <c r="Q400" i="38"/>
  <c r="Q441" i="38"/>
  <c r="Q960" i="38"/>
  <c r="Q394" i="38"/>
  <c r="Q841" i="38"/>
  <c r="Q948" i="38"/>
  <c r="Q18" i="38"/>
  <c r="Q864" i="38"/>
  <c r="Q256" i="38"/>
  <c r="Q1095" i="38"/>
  <c r="Q601" i="38"/>
  <c r="Q439" i="38"/>
  <c r="Q266" i="38"/>
  <c r="Q792" i="38"/>
  <c r="Q470" i="38"/>
  <c r="Q776" i="38"/>
  <c r="Q750" i="38"/>
  <c r="Q756" i="38"/>
  <c r="Q895" i="38"/>
  <c r="Q403" i="38"/>
  <c r="Q562" i="38"/>
  <c r="Q704" i="38"/>
  <c r="Q700" i="38"/>
  <c r="Q809" i="38"/>
  <c r="Q242" i="38"/>
  <c r="Q709" i="38"/>
  <c r="Q164" i="38"/>
  <c r="Q618" i="38"/>
  <c r="Q648" i="38"/>
  <c r="Q644" i="38"/>
  <c r="Q706" i="38"/>
  <c r="Q64" i="38"/>
  <c r="Q686" i="38"/>
  <c r="Q672" i="38"/>
  <c r="Q985" i="38"/>
  <c r="Q62" i="38"/>
  <c r="Q141" i="38"/>
  <c r="Q211" i="38"/>
  <c r="Q327" i="38"/>
  <c r="Q590" i="38"/>
  <c r="Q851" i="38"/>
  <c r="Q574" i="38"/>
  <c r="Q368" i="38"/>
  <c r="Q318" i="38"/>
  <c r="Q530" i="38"/>
  <c r="Q518" i="38"/>
  <c r="Q1018" i="38"/>
  <c r="Q200" i="38"/>
  <c r="Q315" i="38"/>
  <c r="Q57" i="38"/>
  <c r="Q1015" i="38"/>
  <c r="Q635" i="38"/>
  <c r="Q937" i="38"/>
  <c r="Q1080" i="38"/>
  <c r="Q1144" i="38"/>
  <c r="Q407" i="38"/>
  <c r="Q820" i="38"/>
  <c r="Q346" i="38"/>
  <c r="Q958" i="38"/>
  <c r="Q1084" i="38"/>
  <c r="Q333" i="38"/>
  <c r="Q38" i="38"/>
  <c r="Q909" i="38"/>
  <c r="Q936" i="38"/>
  <c r="Q511" i="38"/>
  <c r="Q621" i="38"/>
  <c r="Q924" i="38"/>
  <c r="Q405" i="38"/>
  <c r="Q1105" i="38"/>
  <c r="Q737" i="38"/>
  <c r="Q485" i="38"/>
  <c r="Q904" i="38"/>
  <c r="Q900" i="38"/>
  <c r="Q896" i="38"/>
  <c r="Q782" i="38"/>
  <c r="Q888" i="38"/>
  <c r="Q884" i="38"/>
  <c r="Q413" i="38"/>
  <c r="Q915" i="38"/>
  <c r="Q868" i="38"/>
  <c r="Q760" i="38"/>
  <c r="Q581" i="38"/>
  <c r="Q844" i="38"/>
  <c r="Q293" i="38"/>
  <c r="Q832" i="38"/>
  <c r="Q824" i="38"/>
  <c r="Q74" i="38"/>
  <c r="Q812" i="38"/>
  <c r="Q808" i="38"/>
  <c r="Q804" i="38"/>
  <c r="Q800" i="38"/>
  <c r="Q796" i="38"/>
  <c r="Q788" i="38"/>
  <c r="Q780" i="38"/>
  <c r="Q772" i="38"/>
  <c r="Q768" i="38"/>
  <c r="Q302" i="38"/>
  <c r="Q436" i="38"/>
  <c r="Q748" i="38"/>
  <c r="Q740" i="38"/>
  <c r="Q736" i="38"/>
  <c r="Q732" i="38"/>
  <c r="Q728" i="38"/>
  <c r="Q724" i="38"/>
  <c r="Q716" i="38"/>
  <c r="Q1071" i="38"/>
  <c r="Q49" i="38"/>
  <c r="Q502" i="38"/>
  <c r="Q1064" i="38"/>
  <c r="Q952" i="38"/>
  <c r="Q668" i="38"/>
  <c r="Q1038" i="38"/>
  <c r="Q656" i="38"/>
  <c r="Q47" i="38"/>
  <c r="Q807" i="38"/>
  <c r="Q501" i="38"/>
  <c r="Q238" i="38"/>
  <c r="Q1062" i="38"/>
  <c r="Q950" i="38"/>
  <c r="Q707" i="38"/>
  <c r="Q612" i="38"/>
  <c r="Q162" i="38"/>
  <c r="Q1036" i="38"/>
  <c r="Q600" i="38"/>
  <c r="Q616" i="38"/>
  <c r="Q592" i="38"/>
  <c r="Q544" i="38"/>
  <c r="Q324" i="38"/>
  <c r="Q977" i="38"/>
  <c r="Q721" i="38"/>
  <c r="Q1069" i="38"/>
  <c r="Q564" i="38"/>
  <c r="Q464" i="38"/>
  <c r="Q1123" i="38"/>
  <c r="Q1119" i="38"/>
  <c r="Q1115" i="38"/>
  <c r="Q1045" i="38"/>
  <c r="Q733" i="38"/>
  <c r="Q1103" i="38"/>
  <c r="Q384" i="38"/>
  <c r="Q678" i="38"/>
  <c r="Q1091" i="38"/>
  <c r="Q1087" i="38"/>
  <c r="Q1083" i="38"/>
  <c r="Q1079" i="38"/>
  <c r="Q1042" i="38"/>
  <c r="Q719" i="38"/>
  <c r="Q1067" i="38"/>
  <c r="Q381" i="38"/>
  <c r="Q676" i="38"/>
  <c r="Q1055" i="38"/>
  <c r="Q867" i="38"/>
  <c r="Q1047" i="38"/>
  <c r="Q1043" i="38"/>
  <c r="Q245" i="38"/>
  <c r="Q1028" i="38"/>
  <c r="Q712" i="38"/>
  <c r="Q1027" i="38"/>
  <c r="Q166" i="38"/>
  <c r="Q1025" i="38"/>
  <c r="Q710" i="38"/>
  <c r="Q1011" i="38"/>
  <c r="Q1007" i="38"/>
  <c r="Q1113" i="38"/>
  <c r="Q999" i="38"/>
  <c r="Q995" i="38"/>
  <c r="Q991" i="38"/>
  <c r="Q987" i="38"/>
  <c r="Q983" i="38"/>
  <c r="Q979" i="38"/>
  <c r="Q975" i="38"/>
  <c r="Q547" i="38"/>
  <c r="Q519" i="38"/>
  <c r="Q963" i="38"/>
  <c r="Q959" i="38"/>
  <c r="Q955" i="38"/>
  <c r="Q839" i="38"/>
  <c r="Q947" i="38"/>
  <c r="Q910" i="38"/>
  <c r="Q939" i="38"/>
  <c r="Q515" i="38"/>
  <c r="Q931" i="38"/>
  <c r="Q684" i="38"/>
  <c r="Q923" i="38"/>
  <c r="Q919" i="38"/>
  <c r="Q36" i="38"/>
  <c r="Q911" i="38"/>
  <c r="Q907" i="38"/>
  <c r="Q903" i="38"/>
  <c r="Q899" i="38"/>
  <c r="Q714" i="38"/>
  <c r="Q698" i="38"/>
  <c r="Q1024" i="38"/>
  <c r="Q213" i="38"/>
  <c r="Q651" i="38"/>
  <c r="Q852" i="38"/>
  <c r="Q378" i="38"/>
  <c r="Q105" i="38"/>
  <c r="Q643" i="38"/>
  <c r="Q60" i="38"/>
  <c r="Q139" i="38"/>
  <c r="Q666" i="38"/>
  <c r="Q103" i="38"/>
  <c r="Q638" i="38"/>
  <c r="Q58" i="38"/>
  <c r="Q132" i="38"/>
  <c r="Q366" i="38"/>
  <c r="Q95" i="38"/>
  <c r="Q636" i="38"/>
  <c r="Q478" i="38"/>
  <c r="Q426" i="38"/>
  <c r="Q422" i="38"/>
  <c r="Q40" i="38"/>
  <c r="Q795" i="38"/>
  <c r="Q495" i="38"/>
  <c r="Q220" i="38"/>
  <c r="Q1013" i="38"/>
  <c r="Q360" i="38"/>
  <c r="Q632" i="38"/>
  <c r="Q219" i="38"/>
  <c r="Q91" i="38"/>
  <c r="Q382" i="38"/>
  <c r="Q660" i="38"/>
  <c r="Q374" i="38"/>
  <c r="Q370" i="38"/>
  <c r="Q491" i="38"/>
  <c r="Q1128" i="38"/>
  <c r="Q1114" i="38"/>
  <c r="Q354" i="38"/>
  <c r="Q350" i="38"/>
  <c r="Q912" i="38"/>
  <c r="Q342" i="38"/>
  <c r="Q338" i="38"/>
  <c r="Q551" i="38"/>
  <c r="Q817" i="38"/>
  <c r="Q836" i="38"/>
  <c r="Q322" i="38"/>
  <c r="Q604" i="38"/>
  <c r="Q506" i="38"/>
  <c r="Q310" i="38"/>
  <c r="Q306" i="38"/>
  <c r="Q629" i="38"/>
  <c r="Q883" i="38"/>
  <c r="Q682" i="38"/>
  <c r="Q290" i="38"/>
  <c r="Q404" i="38"/>
  <c r="Q1142" i="38"/>
  <c r="Q504" i="38"/>
  <c r="Q773" i="38"/>
  <c r="Q270" i="38"/>
  <c r="Q545" i="38"/>
  <c r="Q262" i="38"/>
  <c r="Q258" i="38"/>
  <c r="Q254" i="38"/>
  <c r="Q250" i="38"/>
  <c r="Q246" i="38"/>
  <c r="Q559" i="38"/>
  <c r="Q416" i="38"/>
  <c r="Q914" i="38"/>
  <c r="Q230" i="38"/>
  <c r="Q226" i="38"/>
  <c r="Q222" i="38"/>
  <c r="Q1096" i="38"/>
  <c r="Q214" i="38"/>
  <c r="Q569" i="38"/>
  <c r="Q206" i="38"/>
  <c r="Q1155" i="38"/>
  <c r="Q297" i="38"/>
  <c r="Q194" i="38"/>
  <c r="Q190" i="38"/>
  <c r="Q490" i="38"/>
  <c r="Q1131" i="38"/>
  <c r="Q178" i="38"/>
  <c r="Q440" i="38"/>
  <c r="Q170" i="38"/>
  <c r="Q493" i="38"/>
  <c r="Q75" i="38"/>
  <c r="Q273" i="38"/>
  <c r="Q147" i="38"/>
  <c r="Q70" i="38"/>
  <c r="Q152" i="38"/>
  <c r="Q148" i="38"/>
  <c r="Q183" i="38"/>
  <c r="Q134" i="38"/>
  <c r="Q130" i="38"/>
  <c r="Q32" i="38"/>
  <c r="Q1149" i="38"/>
  <c r="Q118" i="38"/>
  <c r="Q568" i="38"/>
  <c r="Q110" i="38"/>
  <c r="Q106" i="38"/>
  <c r="Q102" i="38"/>
  <c r="Q98" i="38"/>
  <c r="Q469" i="38"/>
  <c r="Q90" i="38"/>
  <c r="Q86" i="38"/>
  <c r="Q82" i="38"/>
  <c r="Q78" i="38"/>
  <c r="Q299" i="38"/>
  <c r="Q744" i="38"/>
  <c r="Q66" i="38"/>
  <c r="Q435" i="38"/>
  <c r="Q576" i="38"/>
  <c r="Q54" i="38"/>
  <c r="Q456" i="38"/>
  <c r="Q46" i="38"/>
  <c r="Q42" i="38"/>
  <c r="Q759" i="38"/>
  <c r="Q34" i="38"/>
  <c r="Q30" i="38"/>
  <c r="Q927" i="38"/>
  <c r="Q928" i="38"/>
  <c r="Q1073" i="38"/>
  <c r="Q14" i="38"/>
  <c r="Q10" i="38"/>
  <c r="Q6" i="38"/>
  <c r="Q951" i="38"/>
  <c r="Q940" i="38"/>
  <c r="Q853" i="38"/>
  <c r="Q380" i="38"/>
  <c r="Q108" i="38"/>
  <c r="Q642" i="38"/>
  <c r="Q630" i="38"/>
  <c r="Q670" i="38"/>
  <c r="Q978" i="38"/>
  <c r="Q586" i="38"/>
  <c r="Q1020" i="38"/>
  <c r="Q202" i="38"/>
  <c r="Q971" i="38"/>
  <c r="Q534" i="38"/>
  <c r="Q850" i="38"/>
  <c r="Q664" i="38"/>
  <c r="Q969" i="38"/>
  <c r="Q849" i="38"/>
  <c r="Q462" i="38"/>
  <c r="Q1046" i="38"/>
  <c r="Q410" i="38"/>
  <c r="Q390" i="38"/>
  <c r="Q1145" i="38"/>
  <c r="Q402" i="38"/>
  <c r="Q468" i="38"/>
  <c r="Q1133" i="38"/>
  <c r="Q554" i="38"/>
  <c r="Q1125" i="38"/>
  <c r="Q862" i="38"/>
  <c r="Q822" i="38"/>
  <c r="Q174" i="38"/>
  <c r="Q385" i="38"/>
  <c r="Q1044" i="38"/>
  <c r="Q720" i="38"/>
  <c r="Q1093" i="38"/>
  <c r="Q1089" i="38"/>
  <c r="Q872" i="38"/>
  <c r="Q821" i="38"/>
  <c r="Q173" i="38"/>
  <c r="Q677" i="38"/>
  <c r="Q1040" i="38"/>
  <c r="Q718" i="38"/>
  <c r="Q1057" i="38"/>
  <c r="Q1053" i="38"/>
  <c r="Q1049" i="38"/>
  <c r="Q314" i="38"/>
  <c r="Q145" i="38"/>
  <c r="Q954" i="38"/>
  <c r="Q674" i="38"/>
  <c r="Q217" i="38"/>
  <c r="Q120" i="38"/>
  <c r="Q953" i="38"/>
  <c r="Q673" i="38"/>
  <c r="Q1005" i="38"/>
  <c r="Q1001" i="38"/>
  <c r="Q1121" i="38"/>
  <c r="Q993" i="38"/>
  <c r="Q989" i="38"/>
  <c r="Q539" i="38"/>
  <c r="Q981" i="38"/>
  <c r="Q973" i="38"/>
  <c r="Q409" i="38"/>
  <c r="Q389" i="38"/>
  <c r="Q961" i="38"/>
  <c r="Q396" i="38"/>
  <c r="Q816" i="38"/>
  <c r="Q949" i="38"/>
  <c r="Q891" i="38"/>
  <c r="Q605" i="38"/>
  <c r="Q509" i="38"/>
  <c r="Q386" i="38"/>
  <c r="Q925" i="38"/>
  <c r="Q550" i="38"/>
  <c r="Q917" i="38"/>
  <c r="Q775" i="38"/>
  <c r="Q905" i="38"/>
  <c r="Q546" i="38"/>
  <c r="Q897" i="38"/>
  <c r="Q893" i="38"/>
  <c r="Q889" i="38"/>
  <c r="Q885" i="38"/>
  <c r="Q877" i="38"/>
  <c r="Q873" i="38"/>
  <c r="Q869" i="38"/>
  <c r="Q865" i="38"/>
  <c r="Q861" i="38"/>
  <c r="Q1104" i="38"/>
  <c r="Q1085" i="38"/>
  <c r="Q845" i="38"/>
  <c r="Q1156" i="38"/>
  <c r="Q298" i="38"/>
  <c r="Q833" i="38"/>
  <c r="Q794" i="38"/>
  <c r="Q825" i="38"/>
  <c r="Q77" i="38"/>
  <c r="Q813" i="38"/>
  <c r="Q33" i="38"/>
  <c r="Q805" i="38"/>
  <c r="Q584" i="38"/>
  <c r="Q797" i="38"/>
  <c r="Q793" i="38"/>
  <c r="Q789" i="38"/>
  <c r="Q287" i="38"/>
  <c r="Q777" i="38"/>
  <c r="Q1154" i="38"/>
  <c r="Q430" i="38"/>
  <c r="Q304" i="38"/>
  <c r="Q761" i="38"/>
  <c r="Q746" i="38"/>
  <c r="Q575" i="38"/>
  <c r="Q745" i="38"/>
  <c r="Q1077" i="38"/>
  <c r="Q930" i="38"/>
  <c r="Q558" i="38"/>
  <c r="Q729" i="38"/>
  <c r="Q725" i="38"/>
  <c r="Q717" i="38"/>
  <c r="Q713" i="38"/>
  <c r="Q406" i="38"/>
  <c r="Q705" i="38"/>
  <c r="Q701" i="38"/>
  <c r="Q697" i="38"/>
  <c r="Q313" i="38"/>
  <c r="Q216" i="38"/>
  <c r="Q111" i="38"/>
  <c r="Q330" i="38"/>
  <c r="Q240" i="38"/>
  <c r="Q649" i="38"/>
  <c r="Q641" i="38"/>
  <c r="Q633" i="38"/>
  <c r="Q328" i="38"/>
  <c r="Q236" i="38"/>
  <c r="Q944" i="38"/>
  <c r="Q585" i="38"/>
  <c r="Q577" i="38"/>
  <c r="Q104" i="38"/>
  <c r="Q233" i="38"/>
  <c r="Q521" i="38"/>
  <c r="Q94" i="38"/>
  <c r="Q425" i="38"/>
  <c r="Q393" i="38"/>
  <c r="Q281" i="38"/>
  <c r="Q225" i="38"/>
  <c r="Q107" i="38"/>
  <c r="Q1127" i="38"/>
  <c r="Q996" i="38"/>
  <c r="Q652" i="38"/>
  <c r="Q1063" i="38"/>
  <c r="Q708" i="38"/>
  <c r="Q645" i="38"/>
  <c r="Q312" i="38"/>
  <c r="Q212" i="38"/>
  <c r="Q984" i="38"/>
  <c r="Q650" i="38"/>
  <c r="Q1061" i="38"/>
  <c r="Q699" i="38"/>
  <c r="Q589" i="38"/>
  <c r="Q309" i="38"/>
  <c r="Q210" i="38"/>
  <c r="Q972" i="38"/>
  <c r="Q640" i="38"/>
  <c r="Q1059" i="38"/>
  <c r="Q942" i="38"/>
  <c r="Q694" i="38"/>
  <c r="Q537" i="38"/>
  <c r="Q533" i="38"/>
  <c r="Q529" i="38"/>
  <c r="Q308" i="38"/>
  <c r="Q201" i="38"/>
  <c r="Q96" i="38"/>
  <c r="Q970" i="38"/>
  <c r="Q316" i="38"/>
  <c r="Q637" i="38"/>
  <c r="Q228" i="38"/>
  <c r="Q1051" i="38"/>
  <c r="Q692" i="38"/>
  <c r="Q481" i="38"/>
  <c r="Q477" i="38"/>
  <c r="Q473" i="38"/>
  <c r="Q307" i="38"/>
  <c r="Q465" i="38"/>
  <c r="Q199" i="38"/>
  <c r="Q968" i="38"/>
  <c r="Q691" i="38"/>
  <c r="Q445" i="38"/>
  <c r="Q156" i="38"/>
  <c r="Q1029" i="38"/>
  <c r="Q433" i="38"/>
  <c r="Q662" i="38"/>
  <c r="Q866" i="38"/>
  <c r="Q417" i="38"/>
  <c r="Q855" i="38"/>
  <c r="Q587" i="38"/>
  <c r="Q155" i="38"/>
  <c r="Q966" i="38"/>
  <c r="Q688" i="38"/>
  <c r="Q154" i="38"/>
  <c r="Q1012" i="38"/>
  <c r="Q359" i="38"/>
  <c r="Q631" i="38"/>
  <c r="Q373" i="38"/>
  <c r="Q369" i="38"/>
  <c r="Q365" i="38"/>
  <c r="Q357" i="38"/>
  <c r="Q353" i="38"/>
  <c r="Q349" i="38"/>
  <c r="Q345" i="38"/>
  <c r="Q341" i="38"/>
  <c r="Q337" i="38"/>
  <c r="Q395" i="38"/>
  <c r="Q815" i="38"/>
  <c r="Q325" i="38"/>
  <c r="Q321" i="38"/>
  <c r="Q317" i="38"/>
  <c r="Q508" i="38"/>
  <c r="Q880" i="38"/>
  <c r="Q358" i="38"/>
  <c r="Q301" i="38"/>
  <c r="Q901" i="38"/>
  <c r="Q680" i="38"/>
  <c r="Q289" i="38"/>
  <c r="Q285" i="38"/>
  <c r="Q735" i="38"/>
  <c r="Q484" i="38"/>
  <c r="Q269" i="38"/>
  <c r="Q265" i="38"/>
  <c r="Q261" i="38"/>
  <c r="Q781" i="38"/>
  <c r="Q253" i="38"/>
  <c r="Q249" i="38"/>
  <c r="Q16" i="38"/>
  <c r="Q241" i="38"/>
  <c r="Q237" i="38"/>
  <c r="Q1108" i="38"/>
  <c r="Q229" i="38"/>
  <c r="Q259" i="38"/>
  <c r="Q1101" i="38"/>
  <c r="Q1094" i="38"/>
  <c r="Q209" i="38"/>
  <c r="Q205" i="38"/>
  <c r="Q599" i="38"/>
  <c r="Q294" i="38"/>
  <c r="Q193" i="38"/>
  <c r="Q783" i="38"/>
  <c r="Q489" i="38"/>
  <c r="Q181" i="38"/>
  <c r="Q177" i="38"/>
  <c r="Q438" i="38"/>
  <c r="Q169" i="38"/>
  <c r="Q278" i="38"/>
  <c r="Q275" i="38"/>
  <c r="Q83" i="38"/>
  <c r="Q146" i="38"/>
  <c r="Q69" i="38"/>
  <c r="Q186" i="38"/>
  <c r="Q151" i="38"/>
  <c r="Q137" i="38"/>
  <c r="Q133" i="38"/>
  <c r="Q129" i="38"/>
  <c r="Q1139" i="38"/>
  <c r="Q1148" i="38"/>
  <c r="Q117" i="38"/>
  <c r="Q446" i="38"/>
  <c r="Q109" i="38"/>
  <c r="Q449" i="38"/>
  <c r="Q101" i="38"/>
  <c r="Q97" i="38"/>
  <c r="Q765" i="38"/>
  <c r="Q89" i="38"/>
  <c r="Q560" i="38"/>
  <c r="Q432" i="38"/>
  <c r="Q421" i="38"/>
  <c r="Q73" i="38"/>
  <c r="Q742" i="38"/>
  <c r="Q528" i="38"/>
  <c r="Q61" i="38"/>
  <c r="Q573" i="38"/>
  <c r="Q460" i="38"/>
  <c r="Q455" i="38"/>
  <c r="Q1099" i="38"/>
  <c r="Q1098" i="38"/>
  <c r="Q758" i="38"/>
  <c r="Q523" i="38"/>
  <c r="Q29" i="38"/>
  <c r="Q25" i="38"/>
  <c r="Q21" i="38"/>
  <c r="Q17" i="38"/>
  <c r="Q13" i="38"/>
  <c r="Q9" i="38"/>
  <c r="Q588" i="38"/>
  <c r="Q45" i="38"/>
  <c r="Q801" i="38"/>
  <c r="Q498" i="38"/>
  <c r="Q234" i="38"/>
  <c r="Q1060" i="38"/>
  <c r="Q943" i="38"/>
  <c r="Q696" i="38"/>
  <c r="Q556" i="38"/>
  <c r="Q160" i="38"/>
  <c r="Q1034" i="38"/>
  <c r="Q614" i="38"/>
  <c r="Q536" i="38"/>
  <c r="Q532" i="38"/>
  <c r="Q43" i="38"/>
  <c r="Q799" i="38"/>
  <c r="Q497" i="38"/>
  <c r="Q232" i="38"/>
  <c r="Q1058" i="38"/>
  <c r="Q941" i="38"/>
  <c r="Q693" i="38"/>
  <c r="Q500" i="38"/>
  <c r="Q158" i="38"/>
  <c r="Q1031" i="38"/>
  <c r="Q488" i="38"/>
  <c r="Q610" i="38"/>
  <c r="Q480" i="38"/>
  <c r="Q476" i="38"/>
  <c r="Q41" i="38"/>
  <c r="Q798" i="38"/>
  <c r="Q496" i="38"/>
  <c r="Q223" i="38"/>
  <c r="Q1048" i="38"/>
  <c r="Q938" i="38"/>
  <c r="Q609" i="38"/>
  <c r="Q444" i="38"/>
  <c r="Q124" i="38"/>
  <c r="Q1014" i="38"/>
  <c r="Q361" i="38"/>
  <c r="Q634" i="38"/>
  <c r="Q424" i="38"/>
  <c r="Q420" i="38"/>
  <c r="Q55" i="38"/>
  <c r="Q848" i="38"/>
  <c r="Q408" i="38"/>
  <c r="Q122" i="38"/>
  <c r="Q935" i="38"/>
  <c r="Q607" i="38"/>
  <c r="Q392" i="38"/>
  <c r="Q121" i="38"/>
  <c r="Q965" i="38"/>
  <c r="Q687" i="38"/>
  <c r="Q376" i="38"/>
  <c r="Q372" i="38"/>
  <c r="Q412" i="38"/>
  <c r="Q364" i="38"/>
  <c r="Q1118" i="38"/>
  <c r="Q356" i="38"/>
  <c r="Q352" i="38"/>
  <c r="Q348" i="38"/>
  <c r="Q344" i="38"/>
  <c r="Q340" i="38"/>
  <c r="Q336" i="38"/>
  <c r="Q391" i="38"/>
  <c r="Q840" i="38"/>
  <c r="Q320" i="38"/>
  <c r="Q514" i="38"/>
  <c r="Q510" i="38"/>
  <c r="Q890" i="38"/>
  <c r="Q683" i="38"/>
  <c r="Q300" i="38"/>
  <c r="Q296" i="38"/>
  <c r="Q628" i="38"/>
  <c r="Q288" i="38"/>
  <c r="Q282" i="38"/>
  <c r="Q35" i="38"/>
  <c r="Q276" i="38"/>
  <c r="Q272" i="38"/>
  <c r="Q268" i="38"/>
  <c r="Q264" i="38"/>
  <c r="Q279" i="38"/>
  <c r="Q482" i="38"/>
  <c r="Q252" i="38"/>
  <c r="Q1106" i="38"/>
  <c r="Q26" i="38"/>
  <c r="Q418" i="38"/>
  <c r="Q415" i="38"/>
  <c r="Q916" i="38"/>
  <c r="Q570" i="38"/>
  <c r="Q224" i="38"/>
  <c r="Q255" i="38"/>
  <c r="Q762" i="38"/>
  <c r="Q472" i="38"/>
  <c r="Q208" i="38"/>
  <c r="Q204" i="38"/>
  <c r="Q397" i="38"/>
  <c r="Q295" i="38"/>
  <c r="Q192" i="38"/>
  <c r="Q784" i="38"/>
  <c r="Q603" i="38"/>
  <c r="Q180" i="38"/>
  <c r="Q176" i="38"/>
  <c r="Q437" i="38"/>
  <c r="Q168" i="38"/>
  <c r="Q277" i="38"/>
  <c r="Q260" i="38"/>
  <c r="Q81" i="38"/>
  <c r="Q188" i="38"/>
  <c r="Q68" i="38"/>
  <c r="Q185" i="38"/>
  <c r="Q150" i="38"/>
  <c r="Q136" i="38"/>
  <c r="Q492" i="38"/>
  <c r="Q128" i="38"/>
  <c r="Q1137" i="38"/>
  <c r="Q1150" i="38"/>
  <c r="Q116" i="38"/>
  <c r="Q450" i="38"/>
  <c r="Q567" i="38"/>
  <c r="Q452" i="38"/>
  <c r="Q100" i="38"/>
  <c r="Q769" i="38"/>
  <c r="Q1065" i="38"/>
  <c r="Q88" i="38"/>
  <c r="Q84" i="38"/>
  <c r="Q80" i="38"/>
  <c r="Q76" i="38"/>
  <c r="Q542" i="38"/>
  <c r="Q741" i="38"/>
  <c r="Q525" i="38"/>
  <c r="Q434" i="38"/>
  <c r="Q56" i="38"/>
  <c r="Q458" i="38"/>
  <c r="Q48" i="38"/>
  <c r="Q44" i="38"/>
  <c r="Q1074" i="38"/>
  <c r="Q754" i="38"/>
  <c r="Q522" i="38"/>
  <c r="Q921" i="38"/>
  <c r="Q932" i="38"/>
  <c r="Q929" i="38"/>
  <c r="Q557" i="38"/>
  <c r="Q12" i="38"/>
  <c r="Q8" i="38"/>
  <c r="Q280" i="38"/>
  <c r="Q483" i="38"/>
  <c r="Q887" i="38"/>
  <c r="Q1107" i="38"/>
  <c r="Q20" i="38"/>
  <c r="Q875" i="38"/>
  <c r="Q1109" i="38"/>
  <c r="Q572" i="38"/>
  <c r="Q863" i="38"/>
  <c r="Q248" i="38"/>
  <c r="Q764" i="38"/>
  <c r="Q475" i="38"/>
  <c r="Q847" i="38"/>
  <c r="Q843" i="38"/>
  <c r="Q398" i="38"/>
  <c r="Q292" i="38"/>
  <c r="Q831" i="38"/>
  <c r="Q827" i="38"/>
  <c r="Q823" i="38"/>
  <c r="Q149" i="38"/>
  <c r="Q67" i="38"/>
  <c r="Q811" i="38"/>
  <c r="Q1151" i="38"/>
  <c r="Q803" i="38"/>
  <c r="Q566" i="38"/>
  <c r="Q565" i="38"/>
  <c r="Q791" i="38"/>
  <c r="Q787" i="38"/>
  <c r="Q767" i="38"/>
  <c r="Q779" i="38"/>
  <c r="Q561" i="38"/>
  <c r="Q431" i="38"/>
  <c r="Q428" i="38"/>
  <c r="Q763" i="38"/>
  <c r="Q749" i="38"/>
  <c r="Q526" i="38"/>
  <c r="Q751" i="38"/>
  <c r="Q461" i="38"/>
  <c r="Q743" i="38"/>
  <c r="Q933" i="38"/>
  <c r="Q1075" i="38"/>
  <c r="Q731" i="38"/>
  <c r="Q727" i="38"/>
  <c r="Q723" i="38"/>
  <c r="Q1072" i="38"/>
  <c r="Q715" i="38"/>
  <c r="Q711" i="38"/>
  <c r="Q463" i="38"/>
  <c r="Q703" i="38"/>
  <c r="Q878" i="38"/>
  <c r="Q695" i="38"/>
  <c r="Q860" i="38"/>
  <c r="Q598" i="38"/>
  <c r="Q165" i="38"/>
  <c r="Q1039" i="38"/>
  <c r="Q675" i="38"/>
  <c r="Q620" i="38"/>
  <c r="Q667" i="38"/>
  <c r="Q142" i="38"/>
  <c r="Q1023" i="38"/>
  <c r="Q379" i="38"/>
  <c r="Q671" i="38"/>
  <c r="Q647" i="38"/>
  <c r="Q876" i="38"/>
  <c r="Q639" i="38"/>
  <c r="Q859" i="38"/>
  <c r="Q597" i="38"/>
  <c r="Q163" i="38"/>
  <c r="Q1037" i="38"/>
  <c r="Q619" i="38"/>
  <c r="Q617" i="38"/>
  <c r="Q611" i="38"/>
  <c r="Q140" i="38"/>
  <c r="Q1021" i="38"/>
  <c r="Q377" i="38"/>
  <c r="Q669" i="38"/>
  <c r="Q591" i="38"/>
  <c r="Q874" i="38"/>
  <c r="Q583" i="38"/>
  <c r="Q858" i="38"/>
  <c r="Q596" i="38"/>
  <c r="Q161" i="38"/>
  <c r="Q1035" i="38"/>
  <c r="Q563" i="38"/>
  <c r="Q615" i="38"/>
  <c r="Q555" i="38"/>
  <c r="Q138" i="38"/>
  <c r="Q1019" i="38"/>
  <c r="Q367" i="38"/>
  <c r="Q665" i="38"/>
  <c r="Q535" i="38"/>
  <c r="Q871" i="38"/>
  <c r="Q527" i="38"/>
  <c r="Q857" i="38"/>
  <c r="Q595" i="38"/>
  <c r="Q159" i="38"/>
  <c r="Q1033" i="38"/>
  <c r="Q507" i="38"/>
  <c r="Q613" i="38"/>
  <c r="Q499" i="38"/>
  <c r="Q126" i="38"/>
  <c r="Q1017" i="38"/>
  <c r="Q363" i="38"/>
  <c r="Q663" i="38"/>
  <c r="Q479" i="38"/>
  <c r="Q870" i="38"/>
  <c r="Q471" i="38"/>
  <c r="Q856" i="38"/>
  <c r="Q594" i="38"/>
  <c r="Q157" i="38"/>
  <c r="Q1030" i="38"/>
  <c r="Q451" i="38"/>
  <c r="Q685" i="38"/>
  <c r="Q198" i="38"/>
  <c r="Q93" i="38"/>
  <c r="Q967" i="38"/>
  <c r="Q690" i="38"/>
  <c r="Q427" i="38"/>
  <c r="Q423" i="38"/>
  <c r="Q419" i="38"/>
  <c r="Q305" i="38"/>
  <c r="Q411" i="38"/>
  <c r="Q197" i="38"/>
  <c r="Q92" i="38"/>
  <c r="Q399" i="38"/>
  <c r="Q661" i="38"/>
  <c r="Q196" i="38"/>
  <c r="Q114" i="38"/>
  <c r="Q934" i="38"/>
  <c r="Q606" i="38"/>
  <c r="Q375" i="38"/>
  <c r="Q371" i="38"/>
  <c r="Q1152" i="38"/>
  <c r="Q1129" i="38"/>
  <c r="Q1117" i="38"/>
  <c r="Q355" i="38"/>
  <c r="Q351" i="38"/>
  <c r="Q531" i="38"/>
  <c r="Q343" i="38"/>
  <c r="Q339" i="38"/>
  <c r="Q335" i="38"/>
  <c r="Q331" i="38"/>
  <c r="Q838" i="38"/>
  <c r="Q323" i="38"/>
  <c r="Q319" i="38"/>
  <c r="Q512" i="38"/>
  <c r="Q311" i="38"/>
  <c r="Q908" i="38"/>
  <c r="Q681" i="38"/>
  <c r="Q879" i="38"/>
  <c r="Q347" i="38"/>
  <c r="Q291" i="38"/>
  <c r="Q549" i="38"/>
  <c r="Q283" i="38"/>
  <c r="Q387" i="38"/>
  <c r="Q486" i="38"/>
  <c r="Q271" i="38"/>
  <c r="Q267" i="38"/>
  <c r="Q263" i="38"/>
  <c r="Q579" i="38"/>
  <c r="Q52" i="38"/>
  <c r="Q251" i="38"/>
  <c r="Q1081" i="38"/>
  <c r="Q243" i="38"/>
  <c r="Q239" i="38"/>
  <c r="Q235" i="38"/>
  <c r="Q231" i="38"/>
  <c r="Q227" i="38"/>
  <c r="Q24" i="38"/>
  <c r="Q247" i="38"/>
  <c r="Q215" i="38"/>
  <c r="Q466" i="38"/>
  <c r="Q207" i="38"/>
  <c r="Q203" i="38"/>
  <c r="Q1140" i="38"/>
  <c r="Q195" i="38"/>
  <c r="Q191" i="38"/>
  <c r="Q785" i="38"/>
  <c r="Q37" i="38"/>
  <c r="Q179" i="38"/>
  <c r="Q786" i="38"/>
  <c r="Q171" i="38"/>
  <c r="Q167" i="38"/>
  <c r="Q257" i="38"/>
  <c r="Q274" i="38"/>
  <c r="Q189" i="38"/>
  <c r="Q187" i="38"/>
  <c r="Q153" i="38"/>
  <c r="Q72" i="38"/>
  <c r="Q184" i="38"/>
  <c r="Q135" i="38"/>
  <c r="Q131" i="38"/>
  <c r="Q127" i="38"/>
  <c r="Q123" i="38"/>
  <c r="Q119" i="38"/>
  <c r="Q115" i="38"/>
  <c r="Q453" i="38"/>
  <c r="Q443" i="38"/>
  <c r="Q454" i="38"/>
  <c r="Q99" i="38"/>
  <c r="Q755" i="38"/>
  <c r="Q286" i="38"/>
  <c r="Q87" i="38"/>
  <c r="Q1153" i="38"/>
  <c r="Q429" i="38"/>
  <c r="Q303" i="38"/>
  <c r="Q71" i="38"/>
  <c r="Q739" i="38"/>
  <c r="Q63" i="38"/>
  <c r="Q59" i="38"/>
  <c r="Q920" i="38"/>
  <c r="Q459" i="38"/>
  <c r="Q894" i="38"/>
  <c r="Q892" i="38"/>
  <c r="Q39" i="38"/>
  <c r="Q752" i="38"/>
  <c r="Q31" i="38"/>
  <c r="Q27" i="38"/>
  <c r="Q23" i="38"/>
  <c r="Q19" i="38"/>
  <c r="Q15" i="38"/>
  <c r="Q11" i="38"/>
  <c r="Q7" i="38"/>
  <c r="L6" i="38" l="1"/>
  <c r="L7" i="38"/>
  <c r="L8" i="38"/>
  <c r="L9" i="38"/>
  <c r="L10" i="38"/>
  <c r="L11" i="38"/>
  <c r="L12" i="38"/>
  <c r="L13" i="38"/>
  <c r="L14" i="38"/>
  <c r="L15" i="38"/>
  <c r="L557" i="38"/>
  <c r="L17" i="38"/>
  <c r="L1073" i="38"/>
  <c r="L19" i="38"/>
  <c r="L929" i="38"/>
  <c r="L21" i="38"/>
  <c r="L928" i="38"/>
  <c r="L23" i="38"/>
  <c r="L932" i="38"/>
  <c r="L25" i="38"/>
  <c r="L927" i="38"/>
  <c r="L27" i="38"/>
  <c r="L921" i="38"/>
  <c r="L29" i="38"/>
  <c r="L30" i="38"/>
  <c r="L31" i="38"/>
  <c r="L522" i="38"/>
  <c r="L523" i="38"/>
  <c r="L34" i="38"/>
  <c r="L752" i="38"/>
  <c r="L754" i="38"/>
  <c r="L758" i="38"/>
  <c r="L759" i="38"/>
  <c r="L39" i="38"/>
  <c r="L1074" i="38"/>
  <c r="L1098" i="38"/>
  <c r="L42" i="38"/>
  <c r="L892" i="38"/>
  <c r="L44" i="38"/>
  <c r="L1099" i="38"/>
  <c r="L46" i="38"/>
  <c r="L894" i="38"/>
  <c r="L48" i="38"/>
  <c r="L455" i="38"/>
  <c r="L456" i="38"/>
  <c r="L459" i="38"/>
  <c r="L458" i="38"/>
  <c r="L460" i="38"/>
  <c r="L54" i="38"/>
  <c r="L920" i="38"/>
  <c r="L56" i="38"/>
  <c r="L573" i="38"/>
  <c r="L576" i="38"/>
  <c r="L59" i="38"/>
  <c r="L434" i="38"/>
  <c r="L61" i="38"/>
  <c r="L435" i="38"/>
  <c r="L63" i="38"/>
  <c r="L525" i="38"/>
  <c r="L528" i="38"/>
  <c r="L66" i="38"/>
  <c r="L739" i="38"/>
  <c r="L741" i="38"/>
  <c r="L742" i="38"/>
  <c r="L744" i="38"/>
  <c r="L71" i="38"/>
  <c r="L542" i="38"/>
  <c r="L73" i="38"/>
  <c r="L299" i="38"/>
  <c r="L303" i="38"/>
  <c r="L76" i="38"/>
  <c r="L421" i="38"/>
  <c r="L78" i="38"/>
  <c r="L429" i="38"/>
  <c r="L80" i="38"/>
  <c r="L432" i="38"/>
  <c r="L82" i="38"/>
  <c r="L1153" i="38"/>
  <c r="L84" i="38"/>
  <c r="L560" i="38"/>
  <c r="L86" i="38"/>
  <c r="L87" i="38"/>
  <c r="L88" i="38"/>
  <c r="L89" i="38"/>
  <c r="L90" i="38"/>
  <c r="L286" i="38"/>
  <c r="L1065" i="38"/>
  <c r="L765" i="38"/>
  <c r="L469" i="38"/>
  <c r="L755" i="38"/>
  <c r="L769" i="38"/>
  <c r="L97" i="38"/>
  <c r="L98" i="38"/>
  <c r="L99" i="38"/>
  <c r="L100" i="38"/>
  <c r="L101" i="38"/>
  <c r="L102" i="38"/>
  <c r="L454" i="38"/>
  <c r="L452" i="38"/>
  <c r="L449" i="38"/>
  <c r="L106" i="38"/>
  <c r="L443" i="38"/>
  <c r="L567" i="38"/>
  <c r="L109" i="38"/>
  <c r="L110" i="38"/>
  <c r="L453" i="38"/>
  <c r="L450" i="38"/>
  <c r="L446" i="38"/>
  <c r="L568" i="38"/>
  <c r="L115" i="38"/>
  <c r="L116" i="38"/>
  <c r="L117" i="38"/>
  <c r="L118" i="38"/>
  <c r="L119" i="38"/>
  <c r="L1150" i="38"/>
  <c r="L1148" i="38"/>
  <c r="L1149" i="38"/>
  <c r="L123" i="38"/>
  <c r="L1137" i="38"/>
  <c r="L1139" i="38"/>
  <c r="L32" i="38"/>
  <c r="L127" i="38"/>
  <c r="L128" i="38"/>
  <c r="L129" i="38"/>
  <c r="L130" i="38"/>
  <c r="L131" i="38"/>
  <c r="L492" i="38"/>
  <c r="L133" i="38"/>
  <c r="L134" i="38"/>
  <c r="L135" i="38"/>
  <c r="L136" i="38"/>
  <c r="L137" i="38"/>
  <c r="L183" i="38"/>
  <c r="L184" i="38"/>
  <c r="L150" i="38"/>
  <c r="L151" i="38"/>
  <c r="L148" i="38"/>
  <c r="L72" i="38"/>
  <c r="L185" i="38"/>
  <c r="L186" i="38"/>
  <c r="L152" i="38"/>
  <c r="L153" i="38"/>
  <c r="L68" i="38"/>
  <c r="L69" i="38"/>
  <c r="L70" i="38"/>
  <c r="L187" i="38"/>
  <c r="L188" i="38"/>
  <c r="L146" i="38"/>
  <c r="L147" i="38"/>
  <c r="L189" i="38"/>
  <c r="L81" i="38"/>
  <c r="L83" i="38"/>
  <c r="L273" i="38"/>
  <c r="L274" i="38"/>
  <c r="L260" i="38"/>
  <c r="L275" i="38"/>
  <c r="L75" i="38"/>
  <c r="L257" i="38"/>
  <c r="L277" i="38"/>
  <c r="L278" i="38"/>
  <c r="L493" i="38"/>
  <c r="L167" i="38"/>
  <c r="L168" i="38"/>
  <c r="L169" i="38"/>
  <c r="L170" i="38"/>
  <c r="L171" i="38"/>
  <c r="L437" i="38"/>
  <c r="L438" i="38"/>
  <c r="L440" i="38"/>
  <c r="L786" i="38"/>
  <c r="L176" i="38"/>
  <c r="L177" i="38"/>
  <c r="L178" i="38"/>
  <c r="L179" i="38"/>
  <c r="L180" i="38"/>
  <c r="L181" i="38"/>
  <c r="L1131" i="38"/>
  <c r="L37" i="38"/>
  <c r="L603" i="38"/>
  <c r="L489" i="38"/>
  <c r="L490" i="38"/>
  <c r="L785" i="38"/>
  <c r="L784" i="38"/>
  <c r="L783" i="38"/>
  <c r="L190" i="38"/>
  <c r="L191" i="38"/>
  <c r="L192" i="38"/>
  <c r="L193" i="38"/>
  <c r="L194" i="38"/>
  <c r="L195" i="38"/>
  <c r="L295" i="38"/>
  <c r="L294" i="38"/>
  <c r="L297" i="38"/>
  <c r="L1140" i="38"/>
  <c r="L397" i="38"/>
  <c r="L599" i="38"/>
  <c r="L1155" i="38"/>
  <c r="L203" i="38"/>
  <c r="L204" i="38"/>
  <c r="L205" i="38"/>
  <c r="L206" i="38"/>
  <c r="L207" i="38"/>
  <c r="L208" i="38"/>
  <c r="L209" i="38"/>
  <c r="L569" i="38"/>
  <c r="L466" i="38"/>
  <c r="L472" i="38"/>
  <c r="L1094" i="38"/>
  <c r="L214" i="38"/>
  <c r="L215" i="38"/>
  <c r="L762" i="38"/>
  <c r="L1101" i="38"/>
  <c r="L1096" i="38"/>
  <c r="L247" i="38"/>
  <c r="L255" i="38"/>
  <c r="L259" i="38"/>
  <c r="L222" i="38"/>
  <c r="L24" i="38"/>
  <c r="L224" i="38"/>
  <c r="L225" i="38"/>
  <c r="L226" i="38"/>
  <c r="L227" i="38"/>
  <c r="L570" i="38"/>
  <c r="L229" i="38"/>
  <c r="L230" i="38"/>
  <c r="L231" i="38"/>
  <c r="L916" i="38"/>
  <c r="L1108" i="38"/>
  <c r="L914" i="38"/>
  <c r="L235" i="38"/>
  <c r="L415" i="38"/>
  <c r="L237" i="38"/>
  <c r="L416" i="38"/>
  <c r="L239" i="38"/>
  <c r="L418" i="38"/>
  <c r="L241" i="38"/>
  <c r="L559" i="38"/>
  <c r="L243" i="38"/>
  <c r="L26" i="38"/>
  <c r="L16" i="38"/>
  <c r="L246" i="38"/>
  <c r="L1081" i="38"/>
  <c r="L1106" i="38"/>
  <c r="L249" i="38"/>
  <c r="L250" i="38"/>
  <c r="L251" i="38"/>
  <c r="L252" i="38"/>
  <c r="L253" i="38"/>
  <c r="L254" i="38"/>
  <c r="L52" i="38"/>
  <c r="L482" i="38"/>
  <c r="L781" i="38"/>
  <c r="L258" i="38"/>
  <c r="L579" i="38"/>
  <c r="L279" i="38"/>
  <c r="L261" i="38"/>
  <c r="L262" i="38"/>
  <c r="L263" i="38"/>
  <c r="L264" i="38"/>
  <c r="L265" i="38"/>
  <c r="L545" i="38"/>
  <c r="L267" i="38"/>
  <c r="L268" i="38"/>
  <c r="L269" i="38"/>
  <c r="L270" i="38"/>
  <c r="L271" i="38"/>
  <c r="L272" i="38"/>
  <c r="L484" i="38"/>
  <c r="L773" i="38"/>
  <c r="L486" i="38"/>
  <c r="L276" i="38"/>
  <c r="L735" i="38"/>
  <c r="L504" i="38"/>
  <c r="L387" i="38"/>
  <c r="L35" i="38"/>
  <c r="L281" i="38"/>
  <c r="L1142" i="38"/>
  <c r="L283" i="38"/>
  <c r="L282" i="38"/>
  <c r="L285" i="38"/>
  <c r="L404" i="38"/>
  <c r="L549" i="38"/>
  <c r="L288" i="38"/>
  <c r="L289" i="38"/>
  <c r="L290" i="38"/>
  <c r="L291" i="38"/>
  <c r="L628" i="38"/>
  <c r="L680" i="38"/>
  <c r="L682" i="38"/>
  <c r="L347" i="38"/>
  <c r="L296" i="38"/>
  <c r="L901" i="38"/>
  <c r="L883" i="38"/>
  <c r="L879" i="38"/>
  <c r="L300" i="38"/>
  <c r="L301" i="38"/>
  <c r="L629" i="38"/>
  <c r="L681" i="38"/>
  <c r="L683" i="38"/>
  <c r="L358" i="38"/>
  <c r="L306" i="38"/>
  <c r="L908" i="38"/>
  <c r="L890" i="38"/>
  <c r="L880" i="38"/>
  <c r="L310" i="38"/>
  <c r="L311" i="38"/>
  <c r="L510" i="38"/>
  <c r="L508" i="38"/>
  <c r="L506" i="38"/>
  <c r="L512" i="38"/>
  <c r="L514" i="38"/>
  <c r="L317" i="38"/>
  <c r="L604" i="38"/>
  <c r="L319" i="38"/>
  <c r="L320" i="38"/>
  <c r="L321" i="38"/>
  <c r="L322" i="38"/>
  <c r="L323" i="38"/>
  <c r="L324" i="38"/>
  <c r="L325" i="38"/>
  <c r="L836" i="38"/>
  <c r="L838" i="38"/>
  <c r="L840" i="38"/>
  <c r="L815" i="38"/>
  <c r="L817" i="38"/>
  <c r="L331" i="38"/>
  <c r="L391" i="38"/>
  <c r="L395" i="38"/>
  <c r="L551" i="38"/>
  <c r="L335" i="38"/>
  <c r="L336" i="38"/>
  <c r="L337" i="38"/>
  <c r="L338" i="38"/>
  <c r="L339" i="38"/>
  <c r="L340" i="38"/>
  <c r="L341" i="38"/>
  <c r="L342" i="38"/>
  <c r="L343" i="38"/>
  <c r="L344" i="38"/>
  <c r="L345" i="38"/>
  <c r="L912" i="38"/>
  <c r="L531" i="38"/>
  <c r="L348" i="38"/>
  <c r="L349" i="38"/>
  <c r="L350" i="38"/>
  <c r="L351" i="38"/>
  <c r="L352" i="38"/>
  <c r="L353" i="38"/>
  <c r="L354" i="38"/>
  <c r="L355" i="38"/>
  <c r="L356" i="38"/>
  <c r="L357" i="38"/>
  <c r="L1114" i="38"/>
  <c r="L1117" i="38"/>
  <c r="L1118" i="38"/>
  <c r="L1127" i="38"/>
  <c r="L1128" i="38"/>
  <c r="L1129" i="38"/>
  <c r="L364" i="38"/>
  <c r="L365" i="38"/>
  <c r="L491" i="38"/>
  <c r="L1152" i="38"/>
  <c r="L412" i="38"/>
  <c r="L369" i="38"/>
  <c r="L370" i="38"/>
  <c r="L371" i="38"/>
  <c r="L372" i="38"/>
  <c r="L373" i="38"/>
  <c r="L374" i="38"/>
  <c r="L375" i="38"/>
  <c r="L376" i="38"/>
  <c r="L631" i="38"/>
  <c r="L660" i="38"/>
  <c r="L606" i="38"/>
  <c r="L687" i="38"/>
  <c r="L359" i="38"/>
  <c r="L382" i="38"/>
  <c r="L934" i="38"/>
  <c r="L965" i="38"/>
  <c r="L1012" i="38"/>
  <c r="L91" i="38"/>
  <c r="L114" i="38"/>
  <c r="L121" i="38"/>
  <c r="L154" i="38"/>
  <c r="L219" i="38"/>
  <c r="L196" i="38"/>
  <c r="L392" i="38"/>
  <c r="L393" i="38"/>
  <c r="L632" i="38"/>
  <c r="L661" i="38"/>
  <c r="L607" i="38"/>
  <c r="L688" i="38"/>
  <c r="L360" i="38"/>
  <c r="L399" i="38"/>
  <c r="L935" i="38"/>
  <c r="L966" i="38"/>
  <c r="L1013" i="38"/>
  <c r="L92" i="38"/>
  <c r="L122" i="38"/>
  <c r="L155" i="38"/>
  <c r="L220" i="38"/>
  <c r="L197" i="38"/>
  <c r="L408" i="38"/>
  <c r="L587" i="38"/>
  <c r="L495" i="38"/>
  <c r="L411" i="38"/>
  <c r="L848" i="38"/>
  <c r="L855" i="38"/>
  <c r="L795" i="38"/>
  <c r="L305" i="38"/>
  <c r="L55" i="38"/>
  <c r="L417" i="38"/>
  <c r="L40" i="38"/>
  <c r="L419" i="38"/>
  <c r="L420" i="38"/>
  <c r="L866" i="38"/>
  <c r="L422" i="38"/>
  <c r="L423" i="38"/>
  <c r="L424" i="38"/>
  <c r="L425" i="38"/>
  <c r="L426" i="38"/>
  <c r="L427" i="38"/>
  <c r="L634" i="38"/>
  <c r="L662" i="38"/>
  <c r="L608" i="38"/>
  <c r="L690" i="38"/>
  <c r="L361" i="38"/>
  <c r="L433" i="38"/>
  <c r="L937" i="38"/>
  <c r="L967" i="38"/>
  <c r="L1014" i="38"/>
  <c r="L1029" i="38"/>
  <c r="L1046" i="38"/>
  <c r="L93" i="38"/>
  <c r="L124" i="38"/>
  <c r="L156" i="38"/>
  <c r="L221" i="38"/>
  <c r="L198" i="38"/>
  <c r="L444" i="38"/>
  <c r="L445" i="38"/>
  <c r="L635" i="38"/>
  <c r="L685" i="38"/>
  <c r="L609" i="38"/>
  <c r="L691" i="38"/>
  <c r="L362" i="38"/>
  <c r="L451" i="38"/>
  <c r="L938" i="38"/>
  <c r="L968" i="38"/>
  <c r="L1015" i="38"/>
  <c r="L1030" i="38"/>
  <c r="L1048" i="38"/>
  <c r="L94" i="38"/>
  <c r="L125" i="38"/>
  <c r="L157" i="38"/>
  <c r="L223" i="38"/>
  <c r="L199" i="38"/>
  <c r="L462" i="38"/>
  <c r="L594" i="38"/>
  <c r="L496" i="38"/>
  <c r="L465" i="38"/>
  <c r="L849" i="38"/>
  <c r="L856" i="38"/>
  <c r="L798" i="38"/>
  <c r="L307" i="38"/>
  <c r="L57" i="38"/>
  <c r="L471" i="38"/>
  <c r="L41" i="38"/>
  <c r="L473" i="38"/>
  <c r="L474" i="38"/>
  <c r="L870" i="38"/>
  <c r="L476" i="38"/>
  <c r="L477" i="38"/>
  <c r="L478" i="38"/>
  <c r="L479" i="38"/>
  <c r="L480" i="38"/>
  <c r="L481" i="38"/>
  <c r="L636" i="38"/>
  <c r="L663" i="38"/>
  <c r="L610" i="38"/>
  <c r="L692" i="38"/>
  <c r="L315" i="38"/>
  <c r="L363" i="38"/>
  <c r="L488" i="38"/>
  <c r="L940" i="38"/>
  <c r="L969" i="38"/>
  <c r="L1017" i="38"/>
  <c r="L1031" i="38"/>
  <c r="L1051" i="38"/>
  <c r="L95" i="38"/>
  <c r="L126" i="38"/>
  <c r="L158" i="38"/>
  <c r="L228" i="38"/>
  <c r="L200" i="38"/>
  <c r="L499" i="38"/>
  <c r="L500" i="38"/>
  <c r="L637" i="38"/>
  <c r="L664" i="38"/>
  <c r="L613" i="38"/>
  <c r="L693" i="38"/>
  <c r="L316" i="38"/>
  <c r="L366" i="38"/>
  <c r="L507" i="38"/>
  <c r="L941" i="38"/>
  <c r="L970" i="38"/>
  <c r="L1018" i="38"/>
  <c r="L1033" i="38"/>
  <c r="L1058" i="38"/>
  <c r="L96" i="38"/>
  <c r="L132" i="38"/>
  <c r="L159" i="38"/>
  <c r="L232" i="38"/>
  <c r="L201" i="38"/>
  <c r="L518" i="38"/>
  <c r="L595" i="38"/>
  <c r="L497" i="38"/>
  <c r="L521" i="38"/>
  <c r="L850" i="38"/>
  <c r="L857" i="38"/>
  <c r="L799" i="38"/>
  <c r="L308" i="38"/>
  <c r="L58" i="38"/>
  <c r="L527" i="38"/>
  <c r="L43" i="38"/>
  <c r="L529" i="38"/>
  <c r="L530" i="38"/>
  <c r="L871" i="38"/>
  <c r="L532" i="38"/>
  <c r="L533" i="38"/>
  <c r="L534" i="38"/>
  <c r="L535" i="38"/>
  <c r="L536" i="38"/>
  <c r="L537" i="38"/>
  <c r="L638" i="38"/>
  <c r="L665" i="38"/>
  <c r="L614" i="38"/>
  <c r="L694" i="38"/>
  <c r="L318" i="38"/>
  <c r="L367" i="38"/>
  <c r="L544" i="38"/>
  <c r="L942" i="38"/>
  <c r="L971" i="38"/>
  <c r="L1019" i="38"/>
  <c r="L1034" i="38"/>
  <c r="L1059" i="38"/>
  <c r="L103" i="38"/>
  <c r="L138" i="38"/>
  <c r="L160" i="38"/>
  <c r="L233" i="38"/>
  <c r="L202" i="38"/>
  <c r="L555" i="38"/>
  <c r="L556" i="38"/>
  <c r="L640" i="38"/>
  <c r="L666" i="38"/>
  <c r="L615" i="38"/>
  <c r="L696" i="38"/>
  <c r="L326" i="38"/>
  <c r="L368" i="38"/>
  <c r="L563" i="38"/>
  <c r="L943" i="38"/>
  <c r="L972" i="38"/>
  <c r="L1020" i="38"/>
  <c r="L1035" i="38"/>
  <c r="L1060" i="38"/>
  <c r="L104" i="38"/>
  <c r="L139" i="38"/>
  <c r="L161" i="38"/>
  <c r="L234" i="38"/>
  <c r="L210" i="38"/>
  <c r="L574" i="38"/>
  <c r="L596" i="38"/>
  <c r="L498" i="38"/>
  <c r="L577" i="38"/>
  <c r="L851" i="38"/>
  <c r="L858" i="38"/>
  <c r="L801" i="38"/>
  <c r="L309" i="38"/>
  <c r="L60" i="38"/>
  <c r="L583" i="38"/>
  <c r="L45" i="38"/>
  <c r="L585" i="38"/>
  <c r="L586" i="38"/>
  <c r="L874" i="38"/>
  <c r="L588" i="38"/>
  <c r="L589" i="38"/>
  <c r="L590" i="38"/>
  <c r="L591" i="38"/>
  <c r="L592" i="38"/>
  <c r="L593" i="38"/>
  <c r="L643" i="38"/>
  <c r="L669" i="38"/>
  <c r="L616" i="38"/>
  <c r="L699" i="38"/>
  <c r="L327" i="38"/>
  <c r="L377" i="38"/>
  <c r="L600" i="38"/>
  <c r="L944" i="38"/>
  <c r="L978" i="38"/>
  <c r="L1021" i="38"/>
  <c r="L1036" i="38"/>
  <c r="L1061" i="38"/>
  <c r="L105" i="38"/>
  <c r="L140" i="38"/>
  <c r="L162" i="38"/>
  <c r="L236" i="38"/>
  <c r="L211" i="38"/>
  <c r="L611" i="38"/>
  <c r="L612" i="38"/>
  <c r="L650" i="38"/>
  <c r="L670" i="38"/>
  <c r="L617" i="38"/>
  <c r="L707" i="38"/>
  <c r="L328" i="38"/>
  <c r="L378" i="38"/>
  <c r="L619" i="38"/>
  <c r="L950" i="38"/>
  <c r="L984" i="38"/>
  <c r="L1022" i="38"/>
  <c r="L1037" i="38"/>
  <c r="L1062" i="38"/>
  <c r="L107" i="38"/>
  <c r="L141" i="38"/>
  <c r="L163" i="38"/>
  <c r="L238" i="38"/>
  <c r="L212" i="38"/>
  <c r="L630" i="38"/>
  <c r="L597" i="38"/>
  <c r="L501" i="38"/>
  <c r="L633" i="38"/>
  <c r="L852" i="38"/>
  <c r="L859" i="38"/>
  <c r="L807" i="38"/>
  <c r="L312" i="38"/>
  <c r="L62" i="38"/>
  <c r="L639" i="38"/>
  <c r="L47" i="38"/>
  <c r="L641" i="38"/>
  <c r="L642" i="38"/>
  <c r="L876" i="38"/>
  <c r="L644" i="38"/>
  <c r="L645" i="38"/>
  <c r="L646" i="38"/>
  <c r="L647" i="38"/>
  <c r="L648" i="38"/>
  <c r="L649" i="38"/>
  <c r="L651" i="38"/>
  <c r="L671" i="38"/>
  <c r="L618" i="38"/>
  <c r="L708" i="38"/>
  <c r="L329" i="38"/>
  <c r="L379" i="38"/>
  <c r="L656" i="38"/>
  <c r="L951" i="38"/>
  <c r="L985" i="38"/>
  <c r="L1023" i="38"/>
  <c r="L1038" i="38"/>
  <c r="L1063" i="38"/>
  <c r="L108" i="38"/>
  <c r="L142" i="38"/>
  <c r="L164" i="38"/>
  <c r="L240" i="38"/>
  <c r="L213" i="38"/>
  <c r="L667" i="38"/>
  <c r="L668" i="38"/>
  <c r="L652" i="38"/>
  <c r="L672" i="38"/>
  <c r="L620" i="38"/>
  <c r="L709" i="38"/>
  <c r="L330" i="38"/>
  <c r="L380" i="38"/>
  <c r="L675" i="38"/>
  <c r="L952" i="38"/>
  <c r="L996" i="38"/>
  <c r="L1024" i="38"/>
  <c r="L1039" i="38"/>
  <c r="L1064" i="38"/>
  <c r="L111" i="38"/>
  <c r="L143" i="38"/>
  <c r="L165" i="38"/>
  <c r="L242" i="38"/>
  <c r="L216" i="38"/>
  <c r="L686" i="38"/>
  <c r="L598" i="38"/>
  <c r="L502" i="38"/>
  <c r="L689" i="38"/>
  <c r="L853" i="38"/>
  <c r="L860" i="38"/>
  <c r="L809" i="38"/>
  <c r="L313" i="38"/>
  <c r="L64" i="38"/>
  <c r="L695" i="38"/>
  <c r="L49" i="38"/>
  <c r="L697" i="38"/>
  <c r="L698" i="38"/>
  <c r="L878" i="38"/>
  <c r="L700" i="38"/>
  <c r="L701" i="38"/>
  <c r="L702" i="38"/>
  <c r="L703" i="38"/>
  <c r="L704" i="38"/>
  <c r="L705" i="38"/>
  <c r="L706" i="38"/>
  <c r="L463" i="38"/>
  <c r="L1071" i="38"/>
  <c r="L406" i="38"/>
  <c r="L553" i="38"/>
  <c r="L711" i="38"/>
  <c r="L562" i="38"/>
  <c r="L713" i="38"/>
  <c r="L714" i="38"/>
  <c r="L715" i="38"/>
  <c r="L716" i="38"/>
  <c r="L717" i="38"/>
  <c r="L51" i="38"/>
  <c r="L1072" i="38"/>
  <c r="L403" i="38"/>
  <c r="L721" i="38"/>
  <c r="L722" i="38"/>
  <c r="L723" i="38"/>
  <c r="L724" i="38"/>
  <c r="L725" i="38"/>
  <c r="L726" i="38"/>
  <c r="L727" i="38"/>
  <c r="L728" i="38"/>
  <c r="L729" i="38"/>
  <c r="L730" i="38"/>
  <c r="L731" i="38"/>
  <c r="L732" i="38"/>
  <c r="L558" i="38"/>
  <c r="L734" i="38"/>
  <c r="L1075" i="38"/>
  <c r="L736" i="38"/>
  <c r="L930" i="38"/>
  <c r="L738" i="38"/>
  <c r="L933" i="38"/>
  <c r="L740" i="38"/>
  <c r="L1077" i="38"/>
  <c r="L1100" i="38"/>
  <c r="L743" i="38"/>
  <c r="L895" i="38"/>
  <c r="L745" i="38"/>
  <c r="L457" i="38"/>
  <c r="L461" i="38"/>
  <c r="L748" i="38"/>
  <c r="L575" i="38"/>
  <c r="L578" i="38"/>
  <c r="L751" i="38"/>
  <c r="L436" i="38"/>
  <c r="L753" i="38"/>
  <c r="L524" i="38"/>
  <c r="L526" i="38"/>
  <c r="L756" i="38"/>
  <c r="L746" i="38"/>
  <c r="L747" i="38"/>
  <c r="L749" i="38"/>
  <c r="L750" i="38"/>
  <c r="L761" i="38"/>
  <c r="L543" i="38"/>
  <c r="L763" i="38"/>
  <c r="L302" i="38"/>
  <c r="L304" i="38"/>
  <c r="L766" i="38"/>
  <c r="L428" i="38"/>
  <c r="L768" i="38"/>
  <c r="L430" i="38"/>
  <c r="L770" i="38"/>
  <c r="L431" i="38"/>
  <c r="L772" i="38"/>
  <c r="L1154" i="38"/>
  <c r="L774" i="38"/>
  <c r="L561" i="38"/>
  <c r="L776" i="38"/>
  <c r="L777" i="38"/>
  <c r="L778" i="38"/>
  <c r="L779" i="38"/>
  <c r="L780" i="38"/>
  <c r="L287" i="38"/>
  <c r="L1068" i="38"/>
  <c r="L767" i="38"/>
  <c r="L470" i="38"/>
  <c r="L757" i="38"/>
  <c r="L771" i="38"/>
  <c r="L787" i="38"/>
  <c r="L788" i="38"/>
  <c r="L789" i="38"/>
  <c r="L790" i="38"/>
  <c r="L791" i="38"/>
  <c r="L792" i="38"/>
  <c r="L793" i="38"/>
  <c r="L447" i="38"/>
  <c r="L565" i="38"/>
  <c r="L796" i="38"/>
  <c r="L797" i="38"/>
  <c r="L448" i="38"/>
  <c r="L566" i="38"/>
  <c r="L800" i="38"/>
  <c r="L584" i="38"/>
  <c r="L802" i="38"/>
  <c r="L803" i="38"/>
  <c r="L804" i="38"/>
  <c r="L805" i="38"/>
  <c r="L806" i="38"/>
  <c r="L1151" i="38"/>
  <c r="L808" i="38"/>
  <c r="L33" i="38"/>
  <c r="L810" i="38"/>
  <c r="L811" i="38"/>
  <c r="L812" i="38"/>
  <c r="L813" i="38"/>
  <c r="L814" i="38"/>
  <c r="L67" i="38"/>
  <c r="L74" i="38"/>
  <c r="L79" i="38"/>
  <c r="L85" i="38"/>
  <c r="L149" i="38"/>
  <c r="L266" i="38"/>
  <c r="L77" i="38"/>
  <c r="L494" i="38"/>
  <c r="L823" i="38"/>
  <c r="L824" i="38"/>
  <c r="L825" i="38"/>
  <c r="L826" i="38"/>
  <c r="L827" i="38"/>
  <c r="L439" i="38"/>
  <c r="L794" i="38"/>
  <c r="L830" i="38"/>
  <c r="L831" i="38"/>
  <c r="L832" i="38"/>
  <c r="L833" i="38"/>
  <c r="L834" i="38"/>
  <c r="L292" i="38"/>
  <c r="L293" i="38"/>
  <c r="L298" i="38"/>
  <c r="L1141" i="38"/>
  <c r="L398" i="38"/>
  <c r="L601" i="38"/>
  <c r="L1156" i="38"/>
  <c r="L842" i="38"/>
  <c r="L843" i="38"/>
  <c r="L844" i="38"/>
  <c r="L845" i="38"/>
  <c r="L846" i="38"/>
  <c r="L847" i="38"/>
  <c r="L581" i="38"/>
  <c r="L571" i="38"/>
  <c r="L467" i="38"/>
  <c r="L475" i="38"/>
  <c r="L1095" i="38"/>
  <c r="L1085" i="38"/>
  <c r="L854" i="38"/>
  <c r="L764" i="38"/>
  <c r="L760" i="38"/>
  <c r="L1104" i="38"/>
  <c r="L1097" i="38"/>
  <c r="L248" i="38"/>
  <c r="L256" i="38"/>
  <c r="L861" i="38"/>
  <c r="L28" i="38"/>
  <c r="L863" i="38"/>
  <c r="L864" i="38"/>
  <c r="L865" i="38"/>
  <c r="L582" i="38"/>
  <c r="L572" i="38"/>
  <c r="L868" i="38"/>
  <c r="L869" i="38"/>
  <c r="L918" i="38"/>
  <c r="L1109" i="38"/>
  <c r="L915" i="38"/>
  <c r="L873" i="38"/>
  <c r="L414" i="38"/>
  <c r="L875" i="38"/>
  <c r="L413" i="38"/>
  <c r="L877" i="38"/>
  <c r="L22" i="38"/>
  <c r="L20" i="38"/>
  <c r="L18" i="38"/>
  <c r="L881" i="38"/>
  <c r="L1082" i="38"/>
  <c r="L1107" i="38"/>
  <c r="L884" i="38"/>
  <c r="L885" i="38"/>
  <c r="L886" i="38"/>
  <c r="L887" i="38"/>
  <c r="L888" i="38"/>
  <c r="L889" i="38"/>
  <c r="L53" i="38"/>
  <c r="L483" i="38"/>
  <c r="L782" i="38"/>
  <c r="L893" i="38"/>
  <c r="L580" i="38"/>
  <c r="L280" i="38"/>
  <c r="L896" i="38"/>
  <c r="L897" i="38"/>
  <c r="L898" i="38"/>
  <c r="L899" i="38"/>
  <c r="L900" i="38"/>
  <c r="L546" i="38"/>
  <c r="L902" i="38"/>
  <c r="L903" i="38"/>
  <c r="L904" i="38"/>
  <c r="L905" i="38"/>
  <c r="L906" i="38"/>
  <c r="L907" i="38"/>
  <c r="L485" i="38"/>
  <c r="L775" i="38"/>
  <c r="L487" i="38"/>
  <c r="L911" i="38"/>
  <c r="L737" i="38"/>
  <c r="L505" i="38"/>
  <c r="L388" i="38"/>
  <c r="L36" i="38"/>
  <c r="L1105" i="38"/>
  <c r="L917" i="38"/>
  <c r="L284" i="38"/>
  <c r="L919" i="38"/>
  <c r="L405" i="38"/>
  <c r="L550" i="38"/>
  <c r="L922" i="38"/>
  <c r="L923" i="38"/>
  <c r="L924" i="38"/>
  <c r="L925" i="38"/>
  <c r="L926" i="38"/>
  <c r="L684" i="38"/>
  <c r="L621" i="38"/>
  <c r="L386" i="38"/>
  <c r="L1110" i="38"/>
  <c r="L931" i="38"/>
  <c r="L511" i="38"/>
  <c r="L509" i="38"/>
  <c r="L513" i="38"/>
  <c r="L515" i="38"/>
  <c r="L936" i="38"/>
  <c r="L605" i="38"/>
  <c r="L1111" i="38"/>
  <c r="L939" i="38"/>
  <c r="L909" i="38"/>
  <c r="L891" i="38"/>
  <c r="L882" i="38"/>
  <c r="L910" i="38"/>
  <c r="L38" i="38"/>
  <c r="L945" i="38"/>
  <c r="L946" i="38"/>
  <c r="L947" i="38"/>
  <c r="L948" i="38"/>
  <c r="L949" i="38"/>
  <c r="L837" i="38"/>
  <c r="L839" i="38"/>
  <c r="L841" i="38"/>
  <c r="L816" i="38"/>
  <c r="L818" i="38"/>
  <c r="L955" i="38"/>
  <c r="L394" i="38"/>
  <c r="L396" i="38"/>
  <c r="L552" i="38"/>
  <c r="L959" i="38"/>
  <c r="L960" i="38"/>
  <c r="L961" i="38"/>
  <c r="L962" i="38"/>
  <c r="L963" i="38"/>
  <c r="L441" i="38"/>
  <c r="L389" i="38"/>
  <c r="L516" i="38"/>
  <c r="L519" i="38"/>
  <c r="L400" i="38"/>
  <c r="L409" i="38"/>
  <c r="L538" i="38"/>
  <c r="L547" i="38"/>
  <c r="L1078" i="38"/>
  <c r="L973" i="38"/>
  <c r="L974" i="38"/>
  <c r="L975" i="38"/>
  <c r="L976" i="38"/>
  <c r="L977" i="38"/>
  <c r="L602" i="38"/>
  <c r="L979" i="38"/>
  <c r="L980" i="38"/>
  <c r="L981" i="38"/>
  <c r="L982" i="38"/>
  <c r="L983" i="38"/>
  <c r="L913" i="38"/>
  <c r="L539" i="38"/>
  <c r="L986" i="38"/>
  <c r="L987" i="38"/>
  <c r="L988" i="38"/>
  <c r="L16" i="31" s="1"/>
  <c r="L989" i="38"/>
  <c r="L990" i="38"/>
  <c r="L18" i="31" s="1"/>
  <c r="L991" i="38"/>
  <c r="L19" i="31" s="1"/>
  <c r="L992" i="38"/>
  <c r="L20" i="31" s="1"/>
  <c r="L993" i="38"/>
  <c r="L21" i="31" s="1"/>
  <c r="L994" i="38"/>
  <c r="L22" i="31" s="1"/>
  <c r="L995" i="38"/>
  <c r="L23" i="31" s="1"/>
  <c r="L1116" i="38"/>
  <c r="L24" i="31" s="1"/>
  <c r="L1121" i="38"/>
  <c r="L25" i="31" s="1"/>
  <c r="L998" i="38"/>
  <c r="L26" i="31" s="1"/>
  <c r="L999" i="38"/>
  <c r="L27" i="31" s="1"/>
  <c r="L1000" i="38"/>
  <c r="L28" i="31" s="1"/>
  <c r="L1001" i="38"/>
  <c r="L29" i="31" s="1"/>
  <c r="L1002" i="38"/>
  <c r="L30" i="31" s="1"/>
  <c r="L1113" i="38"/>
  <c r="L31" i="31" s="1"/>
  <c r="L1004" i="38"/>
  <c r="L32" i="31" s="1"/>
  <c r="L1005" i="38"/>
  <c r="L33" i="31" s="1"/>
  <c r="L1006" i="38"/>
  <c r="L34" i="31" s="1"/>
  <c r="L1007" i="38"/>
  <c r="L35" i="31" s="1"/>
  <c r="L1008" i="38"/>
  <c r="L36" i="31" s="1"/>
  <c r="L1009" i="38"/>
  <c r="L1010" i="38"/>
  <c r="L1011" i="38"/>
  <c r="L653" i="38"/>
  <c r="L673" i="38"/>
  <c r="L622" i="38"/>
  <c r="L710" i="38"/>
  <c r="L1016" i="38"/>
  <c r="L953" i="38"/>
  <c r="L997" i="38"/>
  <c r="L1025" i="38"/>
  <c r="L112" i="38"/>
  <c r="L120" i="38"/>
  <c r="L144" i="38"/>
  <c r="L166" i="38"/>
  <c r="L244" i="38"/>
  <c r="L217" i="38"/>
  <c r="L1026" i="38"/>
  <c r="L1027" i="38"/>
  <c r="L654" i="38"/>
  <c r="L674" i="38"/>
  <c r="L623" i="38"/>
  <c r="L712" i="38"/>
  <c r="L1032" i="38"/>
  <c r="L954" i="38"/>
  <c r="L1003" i="38"/>
  <c r="L1028" i="38"/>
  <c r="L113" i="38"/>
  <c r="L145" i="38"/>
  <c r="L172" i="38"/>
  <c r="L245" i="38"/>
  <c r="L218" i="38"/>
  <c r="L1041" i="38"/>
  <c r="L503" i="38"/>
  <c r="L1043" i="38"/>
  <c r="L835" i="38"/>
  <c r="L314" i="38"/>
  <c r="L65" i="38"/>
  <c r="L1047" i="38"/>
  <c r="L50" i="38"/>
  <c r="L1049" i="38"/>
  <c r="L1050" i="38"/>
  <c r="L867" i="38"/>
  <c r="L1052" i="38"/>
  <c r="L1053" i="38"/>
  <c r="L1054" i="38"/>
  <c r="L1055" i="38"/>
  <c r="L1056" i="38"/>
  <c r="L1057" i="38"/>
  <c r="L655" i="38"/>
  <c r="L676" i="38"/>
  <c r="L624" i="38"/>
  <c r="L718" i="38"/>
  <c r="L332" i="38"/>
  <c r="L381" i="38"/>
  <c r="L956" i="38"/>
  <c r="L1040" i="38"/>
  <c r="L1066" i="38"/>
  <c r="L1067" i="38"/>
  <c r="L657" i="38"/>
  <c r="L677" i="38"/>
  <c r="L625" i="38"/>
  <c r="L719" i="38"/>
  <c r="L333" i="38"/>
  <c r="L383" i="38"/>
  <c r="L957" i="38"/>
  <c r="L1042" i="38"/>
  <c r="L1076" i="38"/>
  <c r="L173" i="38"/>
  <c r="L175" i="38"/>
  <c r="L1079" i="38"/>
  <c r="L819" i="38"/>
  <c r="L821" i="38"/>
  <c r="L828" i="38"/>
  <c r="L1083" i="38"/>
  <c r="L1084" i="38"/>
  <c r="L872" i="38"/>
  <c r="L1086" i="38"/>
  <c r="L1087" i="38"/>
  <c r="L1088" i="38"/>
  <c r="L1089" i="38"/>
  <c r="L1090" i="38"/>
  <c r="L1091" i="38"/>
  <c r="L1092" i="38"/>
  <c r="L1093" i="38"/>
  <c r="L658" i="38"/>
  <c r="L678" i="38"/>
  <c r="L626" i="38"/>
  <c r="L720" i="38"/>
  <c r="L334" i="38"/>
  <c r="L384" i="38"/>
  <c r="L958" i="38"/>
  <c r="L1044" i="38"/>
  <c r="L1102" i="38"/>
  <c r="L1103" i="38"/>
  <c r="L659" i="38"/>
  <c r="L679" i="38"/>
  <c r="L627" i="38"/>
  <c r="L733" i="38"/>
  <c r="L346" i="38"/>
  <c r="L385" i="38"/>
  <c r="L964" i="38"/>
  <c r="L1045" i="38"/>
  <c r="L1112" i="38"/>
  <c r="L174" i="38"/>
  <c r="L182" i="38"/>
  <c r="L1115" i="38"/>
  <c r="L820" i="38"/>
  <c r="L822" i="38"/>
  <c r="L829" i="38"/>
  <c r="L1119" i="38"/>
  <c r="L1120" i="38"/>
  <c r="L862" i="38"/>
  <c r="L1122" i="38"/>
  <c r="L1123" i="38"/>
  <c r="L1124" i="38"/>
  <c r="L1125" i="38"/>
  <c r="L1126" i="38"/>
  <c r="L464" i="38"/>
  <c r="L407" i="38"/>
  <c r="L554" i="38"/>
  <c r="L1130" i="38"/>
  <c r="L564" i="38"/>
  <c r="L1132" i="38"/>
  <c r="L1133" i="38"/>
  <c r="L1134" i="38"/>
  <c r="L1135" i="38"/>
  <c r="L1136" i="38"/>
  <c r="L468" i="38"/>
  <c r="L1138" i="38"/>
  <c r="L1069" i="38"/>
  <c r="L1070" i="38"/>
  <c r="L402" i="38"/>
  <c r="L541" i="38"/>
  <c r="L1143" i="38"/>
  <c r="L1144" i="38"/>
  <c r="L1145" i="38"/>
  <c r="L1146" i="38"/>
  <c r="L1147" i="38"/>
  <c r="L442" i="38"/>
  <c r="L390" i="38"/>
  <c r="L517" i="38"/>
  <c r="L520" i="38"/>
  <c r="L401" i="38"/>
  <c r="L410" i="38"/>
  <c r="L540" i="38"/>
  <c r="L548" i="38"/>
  <c r="L1080" i="38"/>
  <c r="L1157" i="38"/>
  <c r="L1158" i="38"/>
  <c r="K6" i="38"/>
  <c r="J6" i="38" s="1"/>
  <c r="K7" i="38"/>
  <c r="J7" i="38" s="1"/>
  <c r="K8" i="38"/>
  <c r="J8" i="38" s="1"/>
  <c r="K9" i="38"/>
  <c r="J9" i="38" s="1"/>
  <c r="K10" i="38"/>
  <c r="J10" i="38" s="1"/>
  <c r="K11" i="38"/>
  <c r="J11" i="38" s="1"/>
  <c r="K12" i="38"/>
  <c r="J12" i="38" s="1"/>
  <c r="K13" i="38"/>
  <c r="J13" i="38" s="1"/>
  <c r="K14" i="38"/>
  <c r="J14" i="38" s="1"/>
  <c r="K15" i="38"/>
  <c r="J15" i="38" s="1"/>
  <c r="K557" i="38"/>
  <c r="J557" i="38" s="1"/>
  <c r="K17" i="38"/>
  <c r="J17" i="38" s="1"/>
  <c r="K1073" i="38"/>
  <c r="J1073" i="38" s="1"/>
  <c r="K19" i="38"/>
  <c r="J19" i="38" s="1"/>
  <c r="K929" i="38"/>
  <c r="J929" i="38" s="1"/>
  <c r="K21" i="38"/>
  <c r="J21" i="38" s="1"/>
  <c r="K928" i="38"/>
  <c r="J928" i="38" s="1"/>
  <c r="K23" i="38"/>
  <c r="J23" i="38" s="1"/>
  <c r="K932" i="38"/>
  <c r="J932" i="38" s="1"/>
  <c r="K25" i="38"/>
  <c r="J25" i="38" s="1"/>
  <c r="K927" i="38"/>
  <c r="J927" i="38" s="1"/>
  <c r="K27" i="38"/>
  <c r="J27" i="38" s="1"/>
  <c r="K921" i="38"/>
  <c r="J921" i="38" s="1"/>
  <c r="K29" i="38"/>
  <c r="J29" i="38" s="1"/>
  <c r="K30" i="38"/>
  <c r="J30" i="38" s="1"/>
  <c r="K31" i="38"/>
  <c r="J31" i="38" s="1"/>
  <c r="K522" i="38"/>
  <c r="J522" i="38" s="1"/>
  <c r="K523" i="38"/>
  <c r="J523" i="38" s="1"/>
  <c r="K34" i="38"/>
  <c r="J34" i="38" s="1"/>
  <c r="K752" i="38"/>
  <c r="J752" i="38" s="1"/>
  <c r="K754" i="38"/>
  <c r="J754" i="38" s="1"/>
  <c r="K758" i="38"/>
  <c r="J758" i="38" s="1"/>
  <c r="K759" i="38"/>
  <c r="J759" i="38" s="1"/>
  <c r="K39" i="38"/>
  <c r="J39" i="38" s="1"/>
  <c r="K1074" i="38"/>
  <c r="J1074" i="38" s="1"/>
  <c r="K1098" i="38"/>
  <c r="J1098" i="38" s="1"/>
  <c r="K42" i="38"/>
  <c r="J42" i="38" s="1"/>
  <c r="K892" i="38"/>
  <c r="J892" i="38" s="1"/>
  <c r="K44" i="38"/>
  <c r="J44" i="38" s="1"/>
  <c r="K1099" i="38"/>
  <c r="J1099" i="38" s="1"/>
  <c r="K46" i="38"/>
  <c r="J46" i="38" s="1"/>
  <c r="K894" i="38"/>
  <c r="J894" i="38" s="1"/>
  <c r="K48" i="38"/>
  <c r="J48" i="38" s="1"/>
  <c r="K455" i="38"/>
  <c r="J455" i="38" s="1"/>
  <c r="K456" i="38"/>
  <c r="J456" i="38" s="1"/>
  <c r="K459" i="38"/>
  <c r="J459" i="38" s="1"/>
  <c r="K458" i="38"/>
  <c r="J458" i="38" s="1"/>
  <c r="K460" i="38"/>
  <c r="J460" i="38" s="1"/>
  <c r="K54" i="38"/>
  <c r="J54" i="38" s="1"/>
  <c r="K920" i="38"/>
  <c r="J920" i="38" s="1"/>
  <c r="K56" i="38"/>
  <c r="J56" i="38" s="1"/>
  <c r="K573" i="38"/>
  <c r="J573" i="38" s="1"/>
  <c r="K576" i="38"/>
  <c r="J576" i="38" s="1"/>
  <c r="K59" i="38"/>
  <c r="J59" i="38" s="1"/>
  <c r="K434" i="38"/>
  <c r="J434" i="38" s="1"/>
  <c r="K61" i="38"/>
  <c r="J61" i="38" s="1"/>
  <c r="K435" i="38"/>
  <c r="J435" i="38" s="1"/>
  <c r="K63" i="38"/>
  <c r="J63" i="38" s="1"/>
  <c r="K525" i="38"/>
  <c r="J525" i="38" s="1"/>
  <c r="K528" i="38"/>
  <c r="J528" i="38" s="1"/>
  <c r="K66" i="38"/>
  <c r="J66" i="38" s="1"/>
  <c r="K739" i="38"/>
  <c r="J739" i="38" s="1"/>
  <c r="K741" i="38"/>
  <c r="J741" i="38" s="1"/>
  <c r="K742" i="38"/>
  <c r="J742" i="38" s="1"/>
  <c r="K744" i="38"/>
  <c r="J744" i="38" s="1"/>
  <c r="K71" i="38"/>
  <c r="J71" i="38" s="1"/>
  <c r="K542" i="38"/>
  <c r="J542" i="38" s="1"/>
  <c r="K73" i="38"/>
  <c r="J73" i="38" s="1"/>
  <c r="K299" i="38"/>
  <c r="J299" i="38" s="1"/>
  <c r="K303" i="38"/>
  <c r="J303" i="38" s="1"/>
  <c r="K76" i="38"/>
  <c r="J76" i="38" s="1"/>
  <c r="K421" i="38"/>
  <c r="J421" i="38" s="1"/>
  <c r="K78" i="38"/>
  <c r="J78" i="38" s="1"/>
  <c r="K429" i="38"/>
  <c r="J429" i="38" s="1"/>
  <c r="K80" i="38"/>
  <c r="J80" i="38" s="1"/>
  <c r="K432" i="38"/>
  <c r="J432" i="38" s="1"/>
  <c r="K82" i="38"/>
  <c r="J82" i="38" s="1"/>
  <c r="K1153" i="38"/>
  <c r="J1153" i="38" s="1"/>
  <c r="K84" i="38"/>
  <c r="J84" i="38" s="1"/>
  <c r="K560" i="38"/>
  <c r="J560" i="38" s="1"/>
  <c r="K86" i="38"/>
  <c r="J86" i="38" s="1"/>
  <c r="K87" i="38"/>
  <c r="J87" i="38" s="1"/>
  <c r="K88" i="38"/>
  <c r="J88" i="38" s="1"/>
  <c r="K89" i="38"/>
  <c r="J89" i="38" s="1"/>
  <c r="K90" i="38"/>
  <c r="J90" i="38" s="1"/>
  <c r="K286" i="38"/>
  <c r="J286" i="38" s="1"/>
  <c r="K1065" i="38"/>
  <c r="J1065" i="38" s="1"/>
  <c r="K765" i="38"/>
  <c r="J765" i="38" s="1"/>
  <c r="K469" i="38"/>
  <c r="J469" i="38" s="1"/>
  <c r="K755" i="38"/>
  <c r="J755" i="38" s="1"/>
  <c r="K769" i="38"/>
  <c r="J769" i="38" s="1"/>
  <c r="K97" i="38"/>
  <c r="J97" i="38" s="1"/>
  <c r="K98" i="38"/>
  <c r="J98" i="38" s="1"/>
  <c r="K99" i="38"/>
  <c r="J99" i="38" s="1"/>
  <c r="K100" i="38"/>
  <c r="J100" i="38" s="1"/>
  <c r="K101" i="38"/>
  <c r="J101" i="38" s="1"/>
  <c r="K102" i="38"/>
  <c r="J102" i="38" s="1"/>
  <c r="K454" i="38"/>
  <c r="J454" i="38" s="1"/>
  <c r="K452" i="38"/>
  <c r="J452" i="38" s="1"/>
  <c r="K449" i="38"/>
  <c r="J449" i="38" s="1"/>
  <c r="K106" i="38"/>
  <c r="J106" i="38" s="1"/>
  <c r="K443" i="38"/>
  <c r="J443" i="38" s="1"/>
  <c r="K567" i="38"/>
  <c r="J567" i="38" s="1"/>
  <c r="K109" i="38"/>
  <c r="J109" i="38" s="1"/>
  <c r="K110" i="38"/>
  <c r="J110" i="38" s="1"/>
  <c r="K453" i="38"/>
  <c r="J453" i="38" s="1"/>
  <c r="K450" i="38"/>
  <c r="J450" i="38" s="1"/>
  <c r="K446" i="38"/>
  <c r="J446" i="38" s="1"/>
  <c r="K568" i="38"/>
  <c r="J568" i="38" s="1"/>
  <c r="K115" i="38"/>
  <c r="J115" i="38" s="1"/>
  <c r="K116" i="38"/>
  <c r="J116" i="38" s="1"/>
  <c r="K117" i="38"/>
  <c r="J117" i="38" s="1"/>
  <c r="K118" i="38"/>
  <c r="J118" i="38" s="1"/>
  <c r="K119" i="38"/>
  <c r="J119" i="38" s="1"/>
  <c r="K1150" i="38"/>
  <c r="J1150" i="38" s="1"/>
  <c r="K1148" i="38"/>
  <c r="J1148" i="38" s="1"/>
  <c r="K1149" i="38"/>
  <c r="J1149" i="38" s="1"/>
  <c r="K123" i="38"/>
  <c r="J123" i="38" s="1"/>
  <c r="K1137" i="38"/>
  <c r="J1137" i="38" s="1"/>
  <c r="K1139" i="38"/>
  <c r="J1139" i="38" s="1"/>
  <c r="K32" i="38"/>
  <c r="J32" i="38" s="1"/>
  <c r="K127" i="38"/>
  <c r="J127" i="38" s="1"/>
  <c r="K128" i="38"/>
  <c r="J128" i="38" s="1"/>
  <c r="K129" i="38"/>
  <c r="J129" i="38" s="1"/>
  <c r="K130" i="38"/>
  <c r="J130" i="38" s="1"/>
  <c r="K131" i="38"/>
  <c r="J131" i="38" s="1"/>
  <c r="K492" i="38"/>
  <c r="J492" i="38" s="1"/>
  <c r="K133" i="38"/>
  <c r="J133" i="38" s="1"/>
  <c r="K134" i="38"/>
  <c r="J134" i="38" s="1"/>
  <c r="K135" i="38"/>
  <c r="J135" i="38" s="1"/>
  <c r="K136" i="38"/>
  <c r="J136" i="38" s="1"/>
  <c r="K137" i="38"/>
  <c r="J137" i="38" s="1"/>
  <c r="K183" i="38"/>
  <c r="J183" i="38" s="1"/>
  <c r="K184" i="38"/>
  <c r="J184" i="38" s="1"/>
  <c r="K150" i="38"/>
  <c r="J150" i="38" s="1"/>
  <c r="K151" i="38"/>
  <c r="J151" i="38" s="1"/>
  <c r="K148" i="38"/>
  <c r="J148" i="38" s="1"/>
  <c r="K72" i="38"/>
  <c r="J72" i="38" s="1"/>
  <c r="K185" i="38"/>
  <c r="J185" i="38" s="1"/>
  <c r="K186" i="38"/>
  <c r="J186" i="38" s="1"/>
  <c r="K152" i="38"/>
  <c r="J152" i="38" s="1"/>
  <c r="K153" i="38"/>
  <c r="J153" i="38" s="1"/>
  <c r="K68" i="38"/>
  <c r="J68" i="38" s="1"/>
  <c r="K69" i="38"/>
  <c r="J69" i="38" s="1"/>
  <c r="K70" i="38"/>
  <c r="J70" i="38" s="1"/>
  <c r="K187" i="38"/>
  <c r="J187" i="38" s="1"/>
  <c r="K188" i="38"/>
  <c r="J188" i="38" s="1"/>
  <c r="K146" i="38"/>
  <c r="J146" i="38" s="1"/>
  <c r="K147" i="38"/>
  <c r="J147" i="38" s="1"/>
  <c r="K189" i="38"/>
  <c r="J189" i="38" s="1"/>
  <c r="K81" i="38"/>
  <c r="J81" i="38" s="1"/>
  <c r="K83" i="38"/>
  <c r="J83" i="38" s="1"/>
  <c r="K273" i="38"/>
  <c r="J273" i="38" s="1"/>
  <c r="K274" i="38"/>
  <c r="J274" i="38" s="1"/>
  <c r="K260" i="38"/>
  <c r="J260" i="38" s="1"/>
  <c r="K275" i="38"/>
  <c r="J275" i="38" s="1"/>
  <c r="K75" i="38"/>
  <c r="J75" i="38" s="1"/>
  <c r="K257" i="38"/>
  <c r="J257" i="38" s="1"/>
  <c r="K277" i="38"/>
  <c r="J277" i="38" s="1"/>
  <c r="K278" i="38"/>
  <c r="J278" i="38" s="1"/>
  <c r="K493" i="38"/>
  <c r="J493" i="38" s="1"/>
  <c r="K167" i="38"/>
  <c r="J167" i="38" s="1"/>
  <c r="K168" i="38"/>
  <c r="J168" i="38" s="1"/>
  <c r="K169" i="38"/>
  <c r="J169" i="38" s="1"/>
  <c r="K170" i="38"/>
  <c r="J170" i="38" s="1"/>
  <c r="K171" i="38"/>
  <c r="J171" i="38" s="1"/>
  <c r="K437" i="38"/>
  <c r="J437" i="38" s="1"/>
  <c r="K438" i="38"/>
  <c r="J438" i="38" s="1"/>
  <c r="K440" i="38"/>
  <c r="J440" i="38" s="1"/>
  <c r="K786" i="38"/>
  <c r="J786" i="38" s="1"/>
  <c r="K176" i="38"/>
  <c r="J176" i="38" s="1"/>
  <c r="K177" i="38"/>
  <c r="J177" i="38" s="1"/>
  <c r="K178" i="38"/>
  <c r="J178" i="38" s="1"/>
  <c r="K179" i="38"/>
  <c r="J179" i="38" s="1"/>
  <c r="K180" i="38"/>
  <c r="J180" i="38" s="1"/>
  <c r="K181" i="38"/>
  <c r="J181" i="38" s="1"/>
  <c r="K1131" i="38"/>
  <c r="J1131" i="38" s="1"/>
  <c r="K37" i="38"/>
  <c r="J37" i="38" s="1"/>
  <c r="K603" i="38"/>
  <c r="J603" i="38" s="1"/>
  <c r="K489" i="38"/>
  <c r="J489" i="38" s="1"/>
  <c r="K490" i="38"/>
  <c r="J490" i="38" s="1"/>
  <c r="K785" i="38"/>
  <c r="J785" i="38" s="1"/>
  <c r="K784" i="38"/>
  <c r="J784" i="38" s="1"/>
  <c r="K783" i="38"/>
  <c r="J783" i="38" s="1"/>
  <c r="K190" i="38"/>
  <c r="J190" i="38" s="1"/>
  <c r="K191" i="38"/>
  <c r="J191" i="38" s="1"/>
  <c r="K192" i="38"/>
  <c r="J192" i="38" s="1"/>
  <c r="K193" i="38"/>
  <c r="J193" i="38" s="1"/>
  <c r="K194" i="38"/>
  <c r="J194" i="38" s="1"/>
  <c r="K195" i="38"/>
  <c r="J195" i="38" s="1"/>
  <c r="K295" i="38"/>
  <c r="J295" i="38" s="1"/>
  <c r="K294" i="38"/>
  <c r="J294" i="38" s="1"/>
  <c r="K297" i="38"/>
  <c r="J297" i="38" s="1"/>
  <c r="K1140" i="38"/>
  <c r="J1140" i="38" s="1"/>
  <c r="K397" i="38"/>
  <c r="J397" i="38" s="1"/>
  <c r="K599" i="38"/>
  <c r="J599" i="38" s="1"/>
  <c r="K1155" i="38"/>
  <c r="J1155" i="38" s="1"/>
  <c r="K203" i="38"/>
  <c r="J203" i="38" s="1"/>
  <c r="K204" i="38"/>
  <c r="J204" i="38" s="1"/>
  <c r="K205" i="38"/>
  <c r="J205" i="38" s="1"/>
  <c r="K206" i="38"/>
  <c r="J206" i="38" s="1"/>
  <c r="K207" i="38"/>
  <c r="J207" i="38" s="1"/>
  <c r="K208" i="38"/>
  <c r="J208" i="38" s="1"/>
  <c r="K209" i="38"/>
  <c r="J209" i="38" s="1"/>
  <c r="K569" i="38"/>
  <c r="J569" i="38" s="1"/>
  <c r="K466" i="38"/>
  <c r="J466" i="38" s="1"/>
  <c r="K472" i="38"/>
  <c r="J472" i="38" s="1"/>
  <c r="K1094" i="38"/>
  <c r="J1094" i="38" s="1"/>
  <c r="K214" i="38"/>
  <c r="J214" i="38" s="1"/>
  <c r="K215" i="38"/>
  <c r="J215" i="38" s="1"/>
  <c r="K762" i="38"/>
  <c r="J762" i="38" s="1"/>
  <c r="K1101" i="38"/>
  <c r="J1101" i="38" s="1"/>
  <c r="K1096" i="38"/>
  <c r="J1096" i="38" s="1"/>
  <c r="K247" i="38"/>
  <c r="J247" i="38" s="1"/>
  <c r="K255" i="38"/>
  <c r="J255" i="38" s="1"/>
  <c r="K259" i="38"/>
  <c r="J259" i="38" s="1"/>
  <c r="K222" i="38"/>
  <c r="J222" i="38" s="1"/>
  <c r="K24" i="38"/>
  <c r="J24" i="38" s="1"/>
  <c r="K224" i="38"/>
  <c r="J224" i="38" s="1"/>
  <c r="K225" i="38"/>
  <c r="J225" i="38" s="1"/>
  <c r="K226" i="38"/>
  <c r="J226" i="38" s="1"/>
  <c r="K227" i="38"/>
  <c r="J227" i="38" s="1"/>
  <c r="K570" i="38"/>
  <c r="J570" i="38" s="1"/>
  <c r="K229" i="38"/>
  <c r="J229" i="38" s="1"/>
  <c r="K230" i="38"/>
  <c r="J230" i="38" s="1"/>
  <c r="K231" i="38"/>
  <c r="J231" i="38" s="1"/>
  <c r="K916" i="38"/>
  <c r="J916" i="38" s="1"/>
  <c r="K1108" i="38"/>
  <c r="J1108" i="38" s="1"/>
  <c r="K914" i="38"/>
  <c r="J914" i="38" s="1"/>
  <c r="K235" i="38"/>
  <c r="J235" i="38" s="1"/>
  <c r="K415" i="38"/>
  <c r="J415" i="38" s="1"/>
  <c r="K237" i="38"/>
  <c r="J237" i="38" s="1"/>
  <c r="K416" i="38"/>
  <c r="J416" i="38" s="1"/>
  <c r="K239" i="38"/>
  <c r="J239" i="38" s="1"/>
  <c r="K418" i="38"/>
  <c r="J418" i="38" s="1"/>
  <c r="K241" i="38"/>
  <c r="J241" i="38" s="1"/>
  <c r="K559" i="38"/>
  <c r="J559" i="38" s="1"/>
  <c r="K243" i="38"/>
  <c r="J243" i="38" s="1"/>
  <c r="K26" i="38"/>
  <c r="J26" i="38" s="1"/>
  <c r="K16" i="38"/>
  <c r="J16" i="38" s="1"/>
  <c r="K246" i="38"/>
  <c r="J246" i="38" s="1"/>
  <c r="K1081" i="38"/>
  <c r="J1081" i="38" s="1"/>
  <c r="K1106" i="38"/>
  <c r="J1106" i="38" s="1"/>
  <c r="K249" i="38"/>
  <c r="J249" i="38" s="1"/>
  <c r="K250" i="38"/>
  <c r="J250" i="38" s="1"/>
  <c r="K251" i="38"/>
  <c r="J251" i="38" s="1"/>
  <c r="K252" i="38"/>
  <c r="J252" i="38" s="1"/>
  <c r="K253" i="38"/>
  <c r="J253" i="38" s="1"/>
  <c r="K254" i="38"/>
  <c r="J254" i="38" s="1"/>
  <c r="K52" i="38"/>
  <c r="J52" i="38" s="1"/>
  <c r="K482" i="38"/>
  <c r="J482" i="38" s="1"/>
  <c r="K781" i="38"/>
  <c r="J781" i="38" s="1"/>
  <c r="K258" i="38"/>
  <c r="J258" i="38" s="1"/>
  <c r="K579" i="38"/>
  <c r="J579" i="38" s="1"/>
  <c r="K279" i="38"/>
  <c r="J279" i="38" s="1"/>
  <c r="K261" i="38"/>
  <c r="J261" i="38" s="1"/>
  <c r="K262" i="38"/>
  <c r="J262" i="38" s="1"/>
  <c r="K263" i="38"/>
  <c r="J263" i="38" s="1"/>
  <c r="K264" i="38"/>
  <c r="J264" i="38" s="1"/>
  <c r="K265" i="38"/>
  <c r="J265" i="38" s="1"/>
  <c r="K545" i="38"/>
  <c r="J545" i="38" s="1"/>
  <c r="K267" i="38"/>
  <c r="J267" i="38" s="1"/>
  <c r="K268" i="38"/>
  <c r="J268" i="38" s="1"/>
  <c r="K269" i="38"/>
  <c r="J269" i="38" s="1"/>
  <c r="K270" i="38"/>
  <c r="J270" i="38" s="1"/>
  <c r="K271" i="38"/>
  <c r="J271" i="38" s="1"/>
  <c r="K272" i="38"/>
  <c r="J272" i="38" s="1"/>
  <c r="K484" i="38"/>
  <c r="J484" i="38" s="1"/>
  <c r="K773" i="38"/>
  <c r="J773" i="38" s="1"/>
  <c r="K486" i="38"/>
  <c r="J486" i="38" s="1"/>
  <c r="K276" i="38"/>
  <c r="J276" i="38" s="1"/>
  <c r="K735" i="38"/>
  <c r="J735" i="38" s="1"/>
  <c r="K504" i="38"/>
  <c r="J504" i="38" s="1"/>
  <c r="K387" i="38"/>
  <c r="J387" i="38" s="1"/>
  <c r="K35" i="38"/>
  <c r="J35" i="38" s="1"/>
  <c r="K281" i="38"/>
  <c r="J281" i="38" s="1"/>
  <c r="K1142" i="38"/>
  <c r="J1142" i="38" s="1"/>
  <c r="K283" i="38"/>
  <c r="J283" i="38" s="1"/>
  <c r="K282" i="38"/>
  <c r="J282" i="38" s="1"/>
  <c r="K285" i="38"/>
  <c r="J285" i="38" s="1"/>
  <c r="K404" i="38"/>
  <c r="J404" i="38" s="1"/>
  <c r="K549" i="38"/>
  <c r="J549" i="38" s="1"/>
  <c r="K288" i="38"/>
  <c r="J288" i="38" s="1"/>
  <c r="K289" i="38"/>
  <c r="J289" i="38" s="1"/>
  <c r="K290" i="38"/>
  <c r="J290" i="38" s="1"/>
  <c r="K291" i="38"/>
  <c r="J291" i="38" s="1"/>
  <c r="K628" i="38"/>
  <c r="J628" i="38" s="1"/>
  <c r="K680" i="38"/>
  <c r="J680" i="38" s="1"/>
  <c r="K682" i="38"/>
  <c r="J682" i="38" s="1"/>
  <c r="K347" i="38"/>
  <c r="J347" i="38" s="1"/>
  <c r="K296" i="38"/>
  <c r="J296" i="38" s="1"/>
  <c r="K901" i="38"/>
  <c r="J901" i="38" s="1"/>
  <c r="K883" i="38"/>
  <c r="J883" i="38" s="1"/>
  <c r="K879" i="38"/>
  <c r="J879" i="38" s="1"/>
  <c r="K300" i="38"/>
  <c r="J300" i="38" s="1"/>
  <c r="K301" i="38"/>
  <c r="J301" i="38" s="1"/>
  <c r="K629" i="38"/>
  <c r="J629" i="38" s="1"/>
  <c r="K681" i="38"/>
  <c r="J681" i="38" s="1"/>
  <c r="K683" i="38"/>
  <c r="J683" i="38" s="1"/>
  <c r="K358" i="38"/>
  <c r="J358" i="38" s="1"/>
  <c r="K306" i="38"/>
  <c r="J306" i="38" s="1"/>
  <c r="K908" i="38"/>
  <c r="J908" i="38" s="1"/>
  <c r="K890" i="38"/>
  <c r="J890" i="38" s="1"/>
  <c r="K880" i="38"/>
  <c r="J880" i="38" s="1"/>
  <c r="K310" i="38"/>
  <c r="J310" i="38" s="1"/>
  <c r="K311" i="38"/>
  <c r="J311" i="38" s="1"/>
  <c r="K510" i="38"/>
  <c r="J510" i="38" s="1"/>
  <c r="K508" i="38"/>
  <c r="J508" i="38" s="1"/>
  <c r="K506" i="38"/>
  <c r="J506" i="38" s="1"/>
  <c r="K512" i="38"/>
  <c r="J512" i="38" s="1"/>
  <c r="K514" i="38"/>
  <c r="J514" i="38" s="1"/>
  <c r="K317" i="38"/>
  <c r="J317" i="38" s="1"/>
  <c r="K604" i="38"/>
  <c r="J604" i="38" s="1"/>
  <c r="K319" i="38"/>
  <c r="J319" i="38" s="1"/>
  <c r="K320" i="38"/>
  <c r="J320" i="38" s="1"/>
  <c r="K321" i="38"/>
  <c r="J321" i="38" s="1"/>
  <c r="K322" i="38"/>
  <c r="J322" i="38" s="1"/>
  <c r="K323" i="38"/>
  <c r="J323" i="38" s="1"/>
  <c r="K324" i="38"/>
  <c r="J324" i="38" s="1"/>
  <c r="K325" i="38"/>
  <c r="J325" i="38" s="1"/>
  <c r="K836" i="38"/>
  <c r="J836" i="38" s="1"/>
  <c r="K838" i="38"/>
  <c r="J838" i="38" s="1"/>
  <c r="K840" i="38"/>
  <c r="J840" i="38" s="1"/>
  <c r="K815" i="38"/>
  <c r="J815" i="38" s="1"/>
  <c r="K817" i="38"/>
  <c r="J817" i="38" s="1"/>
  <c r="K331" i="38"/>
  <c r="J331" i="38" s="1"/>
  <c r="K391" i="38"/>
  <c r="J391" i="38" s="1"/>
  <c r="K395" i="38"/>
  <c r="J395" i="38" s="1"/>
  <c r="K551" i="38"/>
  <c r="J551" i="38" s="1"/>
  <c r="K335" i="38"/>
  <c r="J335" i="38" s="1"/>
  <c r="K336" i="38"/>
  <c r="J336" i="38" s="1"/>
  <c r="K337" i="38"/>
  <c r="J337" i="38" s="1"/>
  <c r="K338" i="38"/>
  <c r="J338" i="38" s="1"/>
  <c r="K339" i="38"/>
  <c r="J339" i="38" s="1"/>
  <c r="K340" i="38"/>
  <c r="J340" i="38" s="1"/>
  <c r="K341" i="38"/>
  <c r="J341" i="38" s="1"/>
  <c r="K342" i="38"/>
  <c r="J342" i="38" s="1"/>
  <c r="K343" i="38"/>
  <c r="J343" i="38" s="1"/>
  <c r="K344" i="38"/>
  <c r="J344" i="38" s="1"/>
  <c r="K345" i="38"/>
  <c r="J345" i="38" s="1"/>
  <c r="K912" i="38"/>
  <c r="J912" i="38" s="1"/>
  <c r="K531" i="38"/>
  <c r="J531" i="38" s="1"/>
  <c r="K348" i="38"/>
  <c r="J348" i="38" s="1"/>
  <c r="K349" i="38"/>
  <c r="J349" i="38" s="1"/>
  <c r="K350" i="38"/>
  <c r="J350" i="38" s="1"/>
  <c r="K351" i="38"/>
  <c r="J351" i="38" s="1"/>
  <c r="K352" i="38"/>
  <c r="J352" i="38" s="1"/>
  <c r="K353" i="38"/>
  <c r="J353" i="38" s="1"/>
  <c r="K354" i="38"/>
  <c r="J354" i="38" s="1"/>
  <c r="K355" i="38"/>
  <c r="J355" i="38" s="1"/>
  <c r="K356" i="38"/>
  <c r="J356" i="38" s="1"/>
  <c r="K357" i="38"/>
  <c r="J357" i="38" s="1"/>
  <c r="K1114" i="38"/>
  <c r="J1114" i="38" s="1"/>
  <c r="K1117" i="38"/>
  <c r="J1117" i="38" s="1"/>
  <c r="K1118" i="38"/>
  <c r="J1118" i="38" s="1"/>
  <c r="K1127" i="38"/>
  <c r="J1127" i="38" s="1"/>
  <c r="K1128" i="38"/>
  <c r="J1128" i="38" s="1"/>
  <c r="K1129" i="38"/>
  <c r="J1129" i="38" s="1"/>
  <c r="K364" i="38"/>
  <c r="J364" i="38" s="1"/>
  <c r="K365" i="38"/>
  <c r="J365" i="38" s="1"/>
  <c r="K491" i="38"/>
  <c r="J491" i="38" s="1"/>
  <c r="K1152" i="38"/>
  <c r="J1152" i="38" s="1"/>
  <c r="K412" i="38"/>
  <c r="J412" i="38" s="1"/>
  <c r="K369" i="38"/>
  <c r="J369" i="38" s="1"/>
  <c r="K370" i="38"/>
  <c r="J370" i="38" s="1"/>
  <c r="K371" i="38"/>
  <c r="J371" i="38" s="1"/>
  <c r="K372" i="38"/>
  <c r="J372" i="38" s="1"/>
  <c r="K373" i="38"/>
  <c r="J373" i="38" s="1"/>
  <c r="K374" i="38"/>
  <c r="J374" i="38" s="1"/>
  <c r="K375" i="38"/>
  <c r="J375" i="38" s="1"/>
  <c r="K376" i="38"/>
  <c r="J376" i="38" s="1"/>
  <c r="K631" i="38"/>
  <c r="J631" i="38" s="1"/>
  <c r="K660" i="38"/>
  <c r="J660" i="38" s="1"/>
  <c r="K606" i="38"/>
  <c r="J606" i="38" s="1"/>
  <c r="K687" i="38"/>
  <c r="J687" i="38" s="1"/>
  <c r="K359" i="38"/>
  <c r="J359" i="38" s="1"/>
  <c r="K382" i="38"/>
  <c r="J382" i="38" s="1"/>
  <c r="K934" i="38"/>
  <c r="J934" i="38" s="1"/>
  <c r="K965" i="38"/>
  <c r="J965" i="38" s="1"/>
  <c r="K1012" i="38"/>
  <c r="J1012" i="38" s="1"/>
  <c r="K91" i="38"/>
  <c r="J91" i="38" s="1"/>
  <c r="K114" i="38"/>
  <c r="J114" i="38" s="1"/>
  <c r="K121" i="38"/>
  <c r="J121" i="38" s="1"/>
  <c r="K154" i="38"/>
  <c r="J154" i="38" s="1"/>
  <c r="K219" i="38"/>
  <c r="J219" i="38" s="1"/>
  <c r="K196" i="38"/>
  <c r="J196" i="38" s="1"/>
  <c r="K392" i="38"/>
  <c r="J392" i="38" s="1"/>
  <c r="K393" i="38"/>
  <c r="J393" i="38" s="1"/>
  <c r="K632" i="38"/>
  <c r="J632" i="38" s="1"/>
  <c r="K661" i="38"/>
  <c r="J661" i="38" s="1"/>
  <c r="K607" i="38"/>
  <c r="J607" i="38" s="1"/>
  <c r="K688" i="38"/>
  <c r="J688" i="38" s="1"/>
  <c r="K360" i="38"/>
  <c r="J360" i="38" s="1"/>
  <c r="K399" i="38"/>
  <c r="J399" i="38" s="1"/>
  <c r="K935" i="38"/>
  <c r="J935" i="38" s="1"/>
  <c r="K966" i="38"/>
  <c r="J966" i="38" s="1"/>
  <c r="K1013" i="38"/>
  <c r="J1013" i="38" s="1"/>
  <c r="K92" i="38"/>
  <c r="J92" i="38" s="1"/>
  <c r="K122" i="38"/>
  <c r="J122" i="38" s="1"/>
  <c r="K155" i="38"/>
  <c r="J155" i="38" s="1"/>
  <c r="K220" i="38"/>
  <c r="J220" i="38" s="1"/>
  <c r="K197" i="38"/>
  <c r="J197" i="38" s="1"/>
  <c r="K408" i="38"/>
  <c r="J408" i="38" s="1"/>
  <c r="K587" i="38"/>
  <c r="J587" i="38" s="1"/>
  <c r="K495" i="38"/>
  <c r="J495" i="38" s="1"/>
  <c r="K411" i="38"/>
  <c r="J411" i="38" s="1"/>
  <c r="K848" i="38"/>
  <c r="J848" i="38" s="1"/>
  <c r="K855" i="38"/>
  <c r="J855" i="38" s="1"/>
  <c r="K795" i="38"/>
  <c r="J795" i="38" s="1"/>
  <c r="K305" i="38"/>
  <c r="J305" i="38" s="1"/>
  <c r="K55" i="38"/>
  <c r="J55" i="38" s="1"/>
  <c r="K417" i="38"/>
  <c r="J417" i="38" s="1"/>
  <c r="K40" i="38"/>
  <c r="J40" i="38" s="1"/>
  <c r="K419" i="38"/>
  <c r="J419" i="38" s="1"/>
  <c r="K420" i="38"/>
  <c r="J420" i="38" s="1"/>
  <c r="K866" i="38"/>
  <c r="J866" i="38" s="1"/>
  <c r="K422" i="38"/>
  <c r="J422" i="38" s="1"/>
  <c r="K423" i="38"/>
  <c r="J423" i="38" s="1"/>
  <c r="K424" i="38"/>
  <c r="J424" i="38" s="1"/>
  <c r="K425" i="38"/>
  <c r="J425" i="38" s="1"/>
  <c r="K426" i="38"/>
  <c r="J426" i="38" s="1"/>
  <c r="K427" i="38"/>
  <c r="J427" i="38" s="1"/>
  <c r="K634" i="38"/>
  <c r="J634" i="38" s="1"/>
  <c r="K662" i="38"/>
  <c r="J662" i="38" s="1"/>
  <c r="K608" i="38"/>
  <c r="J608" i="38" s="1"/>
  <c r="K690" i="38"/>
  <c r="J690" i="38" s="1"/>
  <c r="K361" i="38"/>
  <c r="J361" i="38" s="1"/>
  <c r="K433" i="38"/>
  <c r="J433" i="38" s="1"/>
  <c r="K937" i="38"/>
  <c r="J937" i="38" s="1"/>
  <c r="K967" i="38"/>
  <c r="J967" i="38" s="1"/>
  <c r="K1014" i="38"/>
  <c r="J1014" i="38" s="1"/>
  <c r="K1029" i="38"/>
  <c r="J1029" i="38" s="1"/>
  <c r="K1046" i="38"/>
  <c r="J1046" i="38" s="1"/>
  <c r="K93" i="38"/>
  <c r="J93" i="38" s="1"/>
  <c r="K124" i="38"/>
  <c r="J124" i="38" s="1"/>
  <c r="K156" i="38"/>
  <c r="J156" i="38" s="1"/>
  <c r="K221" i="38"/>
  <c r="J221" i="38" s="1"/>
  <c r="K198" i="38"/>
  <c r="J198" i="38" s="1"/>
  <c r="K444" i="38"/>
  <c r="J444" i="38" s="1"/>
  <c r="K445" i="38"/>
  <c r="J445" i="38" s="1"/>
  <c r="K635" i="38"/>
  <c r="J635" i="38" s="1"/>
  <c r="K685" i="38"/>
  <c r="J685" i="38" s="1"/>
  <c r="K609" i="38"/>
  <c r="J609" i="38" s="1"/>
  <c r="K691" i="38"/>
  <c r="J691" i="38" s="1"/>
  <c r="K362" i="38"/>
  <c r="J362" i="38" s="1"/>
  <c r="K451" i="38"/>
  <c r="J451" i="38" s="1"/>
  <c r="K938" i="38"/>
  <c r="J938" i="38" s="1"/>
  <c r="K968" i="38"/>
  <c r="J968" i="38" s="1"/>
  <c r="K1015" i="38"/>
  <c r="J1015" i="38" s="1"/>
  <c r="K1030" i="38"/>
  <c r="J1030" i="38" s="1"/>
  <c r="K1048" i="38"/>
  <c r="J1048" i="38" s="1"/>
  <c r="K94" i="38"/>
  <c r="J94" i="38" s="1"/>
  <c r="K125" i="38"/>
  <c r="J125" i="38" s="1"/>
  <c r="K157" i="38"/>
  <c r="J157" i="38" s="1"/>
  <c r="K223" i="38"/>
  <c r="J223" i="38" s="1"/>
  <c r="K199" i="38"/>
  <c r="J199" i="38" s="1"/>
  <c r="K462" i="38"/>
  <c r="J462" i="38" s="1"/>
  <c r="K594" i="38"/>
  <c r="J594" i="38" s="1"/>
  <c r="K496" i="38"/>
  <c r="J496" i="38" s="1"/>
  <c r="K465" i="38"/>
  <c r="J465" i="38" s="1"/>
  <c r="K849" i="38"/>
  <c r="J849" i="38" s="1"/>
  <c r="K856" i="38"/>
  <c r="J856" i="38" s="1"/>
  <c r="K798" i="38"/>
  <c r="J798" i="38" s="1"/>
  <c r="K307" i="38"/>
  <c r="J307" i="38" s="1"/>
  <c r="K57" i="38"/>
  <c r="J57" i="38" s="1"/>
  <c r="K471" i="38"/>
  <c r="J471" i="38" s="1"/>
  <c r="K41" i="38"/>
  <c r="J41" i="38" s="1"/>
  <c r="K473" i="38"/>
  <c r="J473" i="38" s="1"/>
  <c r="K474" i="38"/>
  <c r="J474" i="38" s="1"/>
  <c r="K870" i="38"/>
  <c r="J870" i="38" s="1"/>
  <c r="K476" i="38"/>
  <c r="J476" i="38" s="1"/>
  <c r="K477" i="38"/>
  <c r="J477" i="38" s="1"/>
  <c r="K478" i="38"/>
  <c r="J478" i="38" s="1"/>
  <c r="K479" i="38"/>
  <c r="J479" i="38" s="1"/>
  <c r="K480" i="38"/>
  <c r="J480" i="38" s="1"/>
  <c r="K481" i="38"/>
  <c r="J481" i="38" s="1"/>
  <c r="K636" i="38"/>
  <c r="J636" i="38" s="1"/>
  <c r="K663" i="38"/>
  <c r="J663" i="38" s="1"/>
  <c r="K610" i="38"/>
  <c r="J610" i="38" s="1"/>
  <c r="K692" i="38"/>
  <c r="J692" i="38" s="1"/>
  <c r="K315" i="38"/>
  <c r="J315" i="38" s="1"/>
  <c r="K363" i="38"/>
  <c r="J363" i="38" s="1"/>
  <c r="K488" i="38"/>
  <c r="J488" i="38" s="1"/>
  <c r="K940" i="38"/>
  <c r="J940" i="38" s="1"/>
  <c r="K969" i="38"/>
  <c r="J969" i="38" s="1"/>
  <c r="K1017" i="38"/>
  <c r="J1017" i="38" s="1"/>
  <c r="K1031" i="38"/>
  <c r="J1031" i="38" s="1"/>
  <c r="K1051" i="38"/>
  <c r="J1051" i="38" s="1"/>
  <c r="K95" i="38"/>
  <c r="J95" i="38" s="1"/>
  <c r="K126" i="38"/>
  <c r="J126" i="38" s="1"/>
  <c r="K158" i="38"/>
  <c r="J158" i="38" s="1"/>
  <c r="K228" i="38"/>
  <c r="J228" i="38" s="1"/>
  <c r="K200" i="38"/>
  <c r="J200" i="38" s="1"/>
  <c r="K499" i="38"/>
  <c r="J499" i="38" s="1"/>
  <c r="K500" i="38"/>
  <c r="J500" i="38" s="1"/>
  <c r="K637" i="38"/>
  <c r="J637" i="38" s="1"/>
  <c r="K664" i="38"/>
  <c r="J664" i="38" s="1"/>
  <c r="K613" i="38"/>
  <c r="J613" i="38" s="1"/>
  <c r="K693" i="38"/>
  <c r="J693" i="38" s="1"/>
  <c r="K316" i="38"/>
  <c r="J316" i="38" s="1"/>
  <c r="K366" i="38"/>
  <c r="J366" i="38" s="1"/>
  <c r="K507" i="38"/>
  <c r="J507" i="38" s="1"/>
  <c r="K941" i="38"/>
  <c r="J941" i="38" s="1"/>
  <c r="K970" i="38"/>
  <c r="J970" i="38" s="1"/>
  <c r="K1018" i="38"/>
  <c r="J1018" i="38" s="1"/>
  <c r="K1033" i="38"/>
  <c r="J1033" i="38" s="1"/>
  <c r="K1058" i="38"/>
  <c r="J1058" i="38" s="1"/>
  <c r="K96" i="38"/>
  <c r="J96" i="38" s="1"/>
  <c r="K132" i="38"/>
  <c r="J132" i="38" s="1"/>
  <c r="K159" i="38"/>
  <c r="J159" i="38" s="1"/>
  <c r="K232" i="38"/>
  <c r="J232" i="38" s="1"/>
  <c r="K201" i="38"/>
  <c r="J201" i="38" s="1"/>
  <c r="K518" i="38"/>
  <c r="J518" i="38" s="1"/>
  <c r="K595" i="38"/>
  <c r="J595" i="38" s="1"/>
  <c r="K497" i="38"/>
  <c r="J497" i="38" s="1"/>
  <c r="K521" i="38"/>
  <c r="J521" i="38" s="1"/>
  <c r="K850" i="38"/>
  <c r="J850" i="38" s="1"/>
  <c r="K857" i="38"/>
  <c r="J857" i="38" s="1"/>
  <c r="K799" i="38"/>
  <c r="J799" i="38" s="1"/>
  <c r="K308" i="38"/>
  <c r="J308" i="38" s="1"/>
  <c r="K58" i="38"/>
  <c r="J58" i="38" s="1"/>
  <c r="K527" i="38"/>
  <c r="J527" i="38" s="1"/>
  <c r="K43" i="38"/>
  <c r="J43" i="38" s="1"/>
  <c r="K529" i="38"/>
  <c r="J529" i="38" s="1"/>
  <c r="K530" i="38"/>
  <c r="J530" i="38" s="1"/>
  <c r="K871" i="38"/>
  <c r="J871" i="38" s="1"/>
  <c r="K532" i="38"/>
  <c r="J532" i="38" s="1"/>
  <c r="K533" i="38"/>
  <c r="J533" i="38" s="1"/>
  <c r="K534" i="38"/>
  <c r="J534" i="38" s="1"/>
  <c r="K535" i="38"/>
  <c r="J535" i="38" s="1"/>
  <c r="K536" i="38"/>
  <c r="J536" i="38" s="1"/>
  <c r="K537" i="38"/>
  <c r="J537" i="38" s="1"/>
  <c r="K638" i="38"/>
  <c r="J638" i="38" s="1"/>
  <c r="K665" i="38"/>
  <c r="J665" i="38" s="1"/>
  <c r="K614" i="38"/>
  <c r="J614" i="38" s="1"/>
  <c r="K694" i="38"/>
  <c r="J694" i="38" s="1"/>
  <c r="K318" i="38"/>
  <c r="J318" i="38" s="1"/>
  <c r="K367" i="38"/>
  <c r="J367" i="38" s="1"/>
  <c r="K544" i="38"/>
  <c r="J544" i="38" s="1"/>
  <c r="K942" i="38"/>
  <c r="J942" i="38" s="1"/>
  <c r="K971" i="38"/>
  <c r="J971" i="38" s="1"/>
  <c r="K1019" i="38"/>
  <c r="J1019" i="38" s="1"/>
  <c r="K1034" i="38"/>
  <c r="J1034" i="38" s="1"/>
  <c r="K1059" i="38"/>
  <c r="J1059" i="38" s="1"/>
  <c r="K103" i="38"/>
  <c r="J103" i="38" s="1"/>
  <c r="K138" i="38"/>
  <c r="J138" i="38" s="1"/>
  <c r="K160" i="38"/>
  <c r="J160" i="38" s="1"/>
  <c r="K233" i="38"/>
  <c r="J233" i="38" s="1"/>
  <c r="K202" i="38"/>
  <c r="J202" i="38" s="1"/>
  <c r="K555" i="38"/>
  <c r="J555" i="38" s="1"/>
  <c r="K556" i="38"/>
  <c r="J556" i="38" s="1"/>
  <c r="K640" i="38"/>
  <c r="J640" i="38" s="1"/>
  <c r="K666" i="38"/>
  <c r="J666" i="38" s="1"/>
  <c r="K615" i="38"/>
  <c r="J615" i="38" s="1"/>
  <c r="K696" i="38"/>
  <c r="J696" i="38" s="1"/>
  <c r="K326" i="38"/>
  <c r="J326" i="38" s="1"/>
  <c r="K368" i="38"/>
  <c r="J368" i="38" s="1"/>
  <c r="K563" i="38"/>
  <c r="J563" i="38" s="1"/>
  <c r="K943" i="38"/>
  <c r="J943" i="38" s="1"/>
  <c r="K972" i="38"/>
  <c r="J972" i="38" s="1"/>
  <c r="K1020" i="38"/>
  <c r="J1020" i="38" s="1"/>
  <c r="K1035" i="38"/>
  <c r="J1035" i="38" s="1"/>
  <c r="K1060" i="38"/>
  <c r="J1060" i="38" s="1"/>
  <c r="K104" i="38"/>
  <c r="J104" i="38" s="1"/>
  <c r="K139" i="38"/>
  <c r="J139" i="38" s="1"/>
  <c r="K161" i="38"/>
  <c r="J161" i="38" s="1"/>
  <c r="K234" i="38"/>
  <c r="J234" i="38" s="1"/>
  <c r="K210" i="38"/>
  <c r="J210" i="38" s="1"/>
  <c r="K574" i="38"/>
  <c r="J574" i="38" s="1"/>
  <c r="K596" i="38"/>
  <c r="J596" i="38" s="1"/>
  <c r="K498" i="38"/>
  <c r="J498" i="38" s="1"/>
  <c r="K577" i="38"/>
  <c r="J577" i="38" s="1"/>
  <c r="K851" i="38"/>
  <c r="J851" i="38" s="1"/>
  <c r="K858" i="38"/>
  <c r="J858" i="38" s="1"/>
  <c r="K801" i="38"/>
  <c r="J801" i="38" s="1"/>
  <c r="K309" i="38"/>
  <c r="J309" i="38" s="1"/>
  <c r="K60" i="38"/>
  <c r="J60" i="38" s="1"/>
  <c r="K583" i="38"/>
  <c r="J583" i="38" s="1"/>
  <c r="K45" i="38"/>
  <c r="J45" i="38" s="1"/>
  <c r="K585" i="38"/>
  <c r="J585" i="38" s="1"/>
  <c r="K586" i="38"/>
  <c r="J586" i="38" s="1"/>
  <c r="K874" i="38"/>
  <c r="J874" i="38" s="1"/>
  <c r="K588" i="38"/>
  <c r="J588" i="38" s="1"/>
  <c r="K589" i="38"/>
  <c r="J589" i="38" s="1"/>
  <c r="K590" i="38"/>
  <c r="J590" i="38" s="1"/>
  <c r="K591" i="38"/>
  <c r="J591" i="38" s="1"/>
  <c r="K592" i="38"/>
  <c r="J592" i="38" s="1"/>
  <c r="K593" i="38"/>
  <c r="J593" i="38" s="1"/>
  <c r="K643" i="38"/>
  <c r="J643" i="38" s="1"/>
  <c r="K669" i="38"/>
  <c r="J669" i="38" s="1"/>
  <c r="K616" i="38"/>
  <c r="J616" i="38" s="1"/>
  <c r="K699" i="38"/>
  <c r="J699" i="38" s="1"/>
  <c r="K327" i="38"/>
  <c r="J327" i="38" s="1"/>
  <c r="K377" i="38"/>
  <c r="J377" i="38" s="1"/>
  <c r="K600" i="38"/>
  <c r="J600" i="38" s="1"/>
  <c r="K944" i="38"/>
  <c r="J944" i="38" s="1"/>
  <c r="K978" i="38"/>
  <c r="J978" i="38" s="1"/>
  <c r="K1021" i="38"/>
  <c r="J1021" i="38" s="1"/>
  <c r="K1036" i="38"/>
  <c r="J1036" i="38" s="1"/>
  <c r="K1061" i="38"/>
  <c r="J1061" i="38" s="1"/>
  <c r="K105" i="38"/>
  <c r="J105" i="38" s="1"/>
  <c r="K140" i="38"/>
  <c r="J140" i="38" s="1"/>
  <c r="K162" i="38"/>
  <c r="J162" i="38" s="1"/>
  <c r="K236" i="38"/>
  <c r="J236" i="38" s="1"/>
  <c r="K211" i="38"/>
  <c r="J211" i="38" s="1"/>
  <c r="K611" i="38"/>
  <c r="J611" i="38" s="1"/>
  <c r="K612" i="38"/>
  <c r="J612" i="38" s="1"/>
  <c r="K650" i="38"/>
  <c r="J650" i="38" s="1"/>
  <c r="K670" i="38"/>
  <c r="J670" i="38" s="1"/>
  <c r="K617" i="38"/>
  <c r="J617" i="38" s="1"/>
  <c r="K707" i="38"/>
  <c r="J707" i="38" s="1"/>
  <c r="K328" i="38"/>
  <c r="J328" i="38" s="1"/>
  <c r="K378" i="38"/>
  <c r="J378" i="38" s="1"/>
  <c r="K619" i="38"/>
  <c r="J619" i="38" s="1"/>
  <c r="K950" i="38"/>
  <c r="J950" i="38" s="1"/>
  <c r="K984" i="38"/>
  <c r="J984" i="38" s="1"/>
  <c r="K1022" i="38"/>
  <c r="J1022" i="38" s="1"/>
  <c r="K1037" i="38"/>
  <c r="J1037" i="38" s="1"/>
  <c r="K1062" i="38"/>
  <c r="J1062" i="38" s="1"/>
  <c r="K107" i="38"/>
  <c r="J107" i="38" s="1"/>
  <c r="K141" i="38"/>
  <c r="J141" i="38" s="1"/>
  <c r="K163" i="38"/>
  <c r="J163" i="38" s="1"/>
  <c r="K238" i="38"/>
  <c r="J238" i="38" s="1"/>
  <c r="K212" i="38"/>
  <c r="J212" i="38" s="1"/>
  <c r="K630" i="38"/>
  <c r="J630" i="38" s="1"/>
  <c r="K597" i="38"/>
  <c r="J597" i="38" s="1"/>
  <c r="K501" i="38"/>
  <c r="J501" i="38" s="1"/>
  <c r="K633" i="38"/>
  <c r="J633" i="38" s="1"/>
  <c r="K852" i="38"/>
  <c r="J852" i="38" s="1"/>
  <c r="K859" i="38"/>
  <c r="J859" i="38" s="1"/>
  <c r="K807" i="38"/>
  <c r="J807" i="38" s="1"/>
  <c r="K312" i="38"/>
  <c r="J312" i="38" s="1"/>
  <c r="K62" i="38"/>
  <c r="J62" i="38" s="1"/>
  <c r="K639" i="38"/>
  <c r="J639" i="38" s="1"/>
  <c r="K47" i="38"/>
  <c r="J47" i="38" s="1"/>
  <c r="K641" i="38"/>
  <c r="J641" i="38" s="1"/>
  <c r="K642" i="38"/>
  <c r="J642" i="38" s="1"/>
  <c r="K876" i="38"/>
  <c r="J876" i="38" s="1"/>
  <c r="K644" i="38"/>
  <c r="J644" i="38" s="1"/>
  <c r="K645" i="38"/>
  <c r="J645" i="38" s="1"/>
  <c r="K646" i="38"/>
  <c r="J646" i="38" s="1"/>
  <c r="K647" i="38"/>
  <c r="J647" i="38" s="1"/>
  <c r="K648" i="38"/>
  <c r="J648" i="38" s="1"/>
  <c r="K649" i="38"/>
  <c r="J649" i="38" s="1"/>
  <c r="K651" i="38"/>
  <c r="J651" i="38" s="1"/>
  <c r="K671" i="38"/>
  <c r="J671" i="38" s="1"/>
  <c r="K618" i="38"/>
  <c r="J618" i="38" s="1"/>
  <c r="K708" i="38"/>
  <c r="J708" i="38" s="1"/>
  <c r="K329" i="38"/>
  <c r="J329" i="38" s="1"/>
  <c r="K379" i="38"/>
  <c r="J379" i="38" s="1"/>
  <c r="K656" i="38"/>
  <c r="J656" i="38" s="1"/>
  <c r="K951" i="38"/>
  <c r="J951" i="38" s="1"/>
  <c r="K985" i="38"/>
  <c r="J985" i="38" s="1"/>
  <c r="K1023" i="38"/>
  <c r="J1023" i="38" s="1"/>
  <c r="K1038" i="38"/>
  <c r="J1038" i="38" s="1"/>
  <c r="K1063" i="38"/>
  <c r="J1063" i="38" s="1"/>
  <c r="K108" i="38"/>
  <c r="J108" i="38" s="1"/>
  <c r="K142" i="38"/>
  <c r="J142" i="38" s="1"/>
  <c r="K164" i="38"/>
  <c r="J164" i="38" s="1"/>
  <c r="K240" i="38"/>
  <c r="J240" i="38" s="1"/>
  <c r="K213" i="38"/>
  <c r="J213" i="38" s="1"/>
  <c r="K667" i="38"/>
  <c r="J667" i="38" s="1"/>
  <c r="K668" i="38"/>
  <c r="J668" i="38" s="1"/>
  <c r="K652" i="38"/>
  <c r="J652" i="38" s="1"/>
  <c r="K672" i="38"/>
  <c r="J672" i="38" s="1"/>
  <c r="K620" i="38"/>
  <c r="J620" i="38" s="1"/>
  <c r="K709" i="38"/>
  <c r="J709" i="38" s="1"/>
  <c r="K330" i="38"/>
  <c r="J330" i="38" s="1"/>
  <c r="K380" i="38"/>
  <c r="J380" i="38" s="1"/>
  <c r="K675" i="38"/>
  <c r="J675" i="38" s="1"/>
  <c r="K952" i="38"/>
  <c r="J952" i="38" s="1"/>
  <c r="K996" i="38"/>
  <c r="J996" i="38" s="1"/>
  <c r="K1024" i="38"/>
  <c r="J1024" i="38" s="1"/>
  <c r="K1039" i="38"/>
  <c r="J1039" i="38" s="1"/>
  <c r="K1064" i="38"/>
  <c r="J1064" i="38" s="1"/>
  <c r="K111" i="38"/>
  <c r="J111" i="38" s="1"/>
  <c r="K143" i="38"/>
  <c r="J143" i="38" s="1"/>
  <c r="K165" i="38"/>
  <c r="J165" i="38" s="1"/>
  <c r="K242" i="38"/>
  <c r="J242" i="38" s="1"/>
  <c r="K216" i="38"/>
  <c r="J216" i="38" s="1"/>
  <c r="K686" i="38"/>
  <c r="J686" i="38" s="1"/>
  <c r="K598" i="38"/>
  <c r="J598" i="38" s="1"/>
  <c r="K502" i="38"/>
  <c r="J502" i="38" s="1"/>
  <c r="K689" i="38"/>
  <c r="J689" i="38" s="1"/>
  <c r="K853" i="38"/>
  <c r="J853" i="38" s="1"/>
  <c r="K860" i="38"/>
  <c r="J860" i="38" s="1"/>
  <c r="K809" i="38"/>
  <c r="J809" i="38" s="1"/>
  <c r="K313" i="38"/>
  <c r="J313" i="38" s="1"/>
  <c r="K64" i="38"/>
  <c r="J64" i="38" s="1"/>
  <c r="K695" i="38"/>
  <c r="J695" i="38" s="1"/>
  <c r="K49" i="38"/>
  <c r="J49" i="38" s="1"/>
  <c r="K697" i="38"/>
  <c r="J697" i="38" s="1"/>
  <c r="K698" i="38"/>
  <c r="J698" i="38" s="1"/>
  <c r="K878" i="38"/>
  <c r="J878" i="38" s="1"/>
  <c r="K700" i="38"/>
  <c r="J700" i="38" s="1"/>
  <c r="K701" i="38"/>
  <c r="J701" i="38" s="1"/>
  <c r="K702" i="38"/>
  <c r="J702" i="38" s="1"/>
  <c r="K703" i="38"/>
  <c r="J703" i="38" s="1"/>
  <c r="K704" i="38"/>
  <c r="J704" i="38" s="1"/>
  <c r="K705" i="38"/>
  <c r="J705" i="38" s="1"/>
  <c r="K706" i="38"/>
  <c r="J706" i="38" s="1"/>
  <c r="K463" i="38"/>
  <c r="J463" i="38" s="1"/>
  <c r="K1071" i="38"/>
  <c r="J1071" i="38" s="1"/>
  <c r="K406" i="38"/>
  <c r="J406" i="38" s="1"/>
  <c r="K553" i="38"/>
  <c r="J553" i="38" s="1"/>
  <c r="K711" i="38"/>
  <c r="J711" i="38" s="1"/>
  <c r="K562" i="38"/>
  <c r="J562" i="38" s="1"/>
  <c r="K713" i="38"/>
  <c r="J713" i="38" s="1"/>
  <c r="K714" i="38"/>
  <c r="J714" i="38" s="1"/>
  <c r="K715" i="38"/>
  <c r="J715" i="38" s="1"/>
  <c r="K716" i="38"/>
  <c r="J716" i="38" s="1"/>
  <c r="K717" i="38"/>
  <c r="J717" i="38" s="1"/>
  <c r="K51" i="38"/>
  <c r="J51" i="38" s="1"/>
  <c r="K1072" i="38"/>
  <c r="J1072" i="38" s="1"/>
  <c r="K403" i="38"/>
  <c r="J403" i="38" s="1"/>
  <c r="K721" i="38"/>
  <c r="J721" i="38" s="1"/>
  <c r="K722" i="38"/>
  <c r="J722" i="38" s="1"/>
  <c r="K723" i="38"/>
  <c r="J723" i="38" s="1"/>
  <c r="K724" i="38"/>
  <c r="J724" i="38" s="1"/>
  <c r="K725" i="38"/>
  <c r="J725" i="38" s="1"/>
  <c r="K726" i="38"/>
  <c r="J726" i="38" s="1"/>
  <c r="K727" i="38"/>
  <c r="J727" i="38" s="1"/>
  <c r="K728" i="38"/>
  <c r="J728" i="38" s="1"/>
  <c r="K729" i="38"/>
  <c r="J729" i="38" s="1"/>
  <c r="K730" i="38"/>
  <c r="J730" i="38" s="1"/>
  <c r="K731" i="38"/>
  <c r="J731" i="38" s="1"/>
  <c r="K732" i="38"/>
  <c r="J732" i="38" s="1"/>
  <c r="K558" i="38"/>
  <c r="J558" i="38" s="1"/>
  <c r="K734" i="38"/>
  <c r="J734" i="38" s="1"/>
  <c r="K1075" i="38"/>
  <c r="J1075" i="38" s="1"/>
  <c r="K736" i="38"/>
  <c r="J736" i="38" s="1"/>
  <c r="K930" i="38"/>
  <c r="J930" i="38" s="1"/>
  <c r="K738" i="38"/>
  <c r="J738" i="38" s="1"/>
  <c r="K933" i="38"/>
  <c r="J933" i="38" s="1"/>
  <c r="K740" i="38"/>
  <c r="J740" i="38" s="1"/>
  <c r="K1077" i="38"/>
  <c r="J1077" i="38" s="1"/>
  <c r="K1100" i="38"/>
  <c r="J1100" i="38" s="1"/>
  <c r="K743" i="38"/>
  <c r="J743" i="38" s="1"/>
  <c r="K895" i="38"/>
  <c r="J895" i="38" s="1"/>
  <c r="K745" i="38"/>
  <c r="J745" i="38" s="1"/>
  <c r="K457" i="38"/>
  <c r="J457" i="38" s="1"/>
  <c r="K461" i="38"/>
  <c r="J461" i="38" s="1"/>
  <c r="K748" i="38"/>
  <c r="J748" i="38" s="1"/>
  <c r="K575" i="38"/>
  <c r="J575" i="38" s="1"/>
  <c r="K578" i="38"/>
  <c r="J578" i="38" s="1"/>
  <c r="K751" i="38"/>
  <c r="J751" i="38" s="1"/>
  <c r="K436" i="38"/>
  <c r="J436" i="38" s="1"/>
  <c r="K753" i="38"/>
  <c r="J753" i="38" s="1"/>
  <c r="K524" i="38"/>
  <c r="J524" i="38" s="1"/>
  <c r="K526" i="38"/>
  <c r="J526" i="38" s="1"/>
  <c r="K756" i="38"/>
  <c r="J756" i="38" s="1"/>
  <c r="K746" i="38"/>
  <c r="J746" i="38" s="1"/>
  <c r="K747" i="38"/>
  <c r="J747" i="38" s="1"/>
  <c r="K749" i="38"/>
  <c r="J749" i="38" s="1"/>
  <c r="K750" i="38"/>
  <c r="J750" i="38" s="1"/>
  <c r="K761" i="38"/>
  <c r="J761" i="38" s="1"/>
  <c r="K543" i="38"/>
  <c r="J543" i="38" s="1"/>
  <c r="K763" i="38"/>
  <c r="J763" i="38" s="1"/>
  <c r="K302" i="38"/>
  <c r="J302" i="38" s="1"/>
  <c r="K304" i="38"/>
  <c r="J304" i="38" s="1"/>
  <c r="K766" i="38"/>
  <c r="J766" i="38" s="1"/>
  <c r="K428" i="38"/>
  <c r="J428" i="38" s="1"/>
  <c r="K768" i="38"/>
  <c r="J768" i="38" s="1"/>
  <c r="K430" i="38"/>
  <c r="J430" i="38" s="1"/>
  <c r="K770" i="38"/>
  <c r="J770" i="38" s="1"/>
  <c r="K431" i="38"/>
  <c r="J431" i="38" s="1"/>
  <c r="K772" i="38"/>
  <c r="J772" i="38" s="1"/>
  <c r="K1154" i="38"/>
  <c r="J1154" i="38" s="1"/>
  <c r="K774" i="38"/>
  <c r="J774" i="38" s="1"/>
  <c r="K561" i="38"/>
  <c r="J561" i="38" s="1"/>
  <c r="K776" i="38"/>
  <c r="J776" i="38" s="1"/>
  <c r="K777" i="38"/>
  <c r="J777" i="38" s="1"/>
  <c r="K778" i="38"/>
  <c r="J778" i="38" s="1"/>
  <c r="K779" i="38"/>
  <c r="J779" i="38" s="1"/>
  <c r="K780" i="38"/>
  <c r="J780" i="38" s="1"/>
  <c r="K287" i="38"/>
  <c r="J287" i="38" s="1"/>
  <c r="K1068" i="38"/>
  <c r="J1068" i="38" s="1"/>
  <c r="K767" i="38"/>
  <c r="J767" i="38" s="1"/>
  <c r="K470" i="38"/>
  <c r="J470" i="38" s="1"/>
  <c r="K757" i="38"/>
  <c r="J757" i="38" s="1"/>
  <c r="K771" i="38"/>
  <c r="J771" i="38" s="1"/>
  <c r="K787" i="38"/>
  <c r="J787" i="38" s="1"/>
  <c r="K788" i="38"/>
  <c r="J788" i="38" s="1"/>
  <c r="K789" i="38"/>
  <c r="J789" i="38" s="1"/>
  <c r="K790" i="38"/>
  <c r="J790" i="38" s="1"/>
  <c r="K791" i="38"/>
  <c r="J791" i="38" s="1"/>
  <c r="K792" i="38"/>
  <c r="J792" i="38" s="1"/>
  <c r="K793" i="38"/>
  <c r="J793" i="38" s="1"/>
  <c r="K447" i="38"/>
  <c r="J447" i="38" s="1"/>
  <c r="K565" i="38"/>
  <c r="J565" i="38" s="1"/>
  <c r="K796" i="38"/>
  <c r="J796" i="38" s="1"/>
  <c r="K797" i="38"/>
  <c r="J797" i="38" s="1"/>
  <c r="K448" i="38"/>
  <c r="J448" i="38" s="1"/>
  <c r="K566" i="38"/>
  <c r="J566" i="38" s="1"/>
  <c r="K800" i="38"/>
  <c r="J800" i="38" s="1"/>
  <c r="K584" i="38"/>
  <c r="J584" i="38" s="1"/>
  <c r="K802" i="38"/>
  <c r="J802" i="38" s="1"/>
  <c r="K803" i="38"/>
  <c r="J803" i="38" s="1"/>
  <c r="K804" i="38"/>
  <c r="J804" i="38" s="1"/>
  <c r="K805" i="38"/>
  <c r="J805" i="38" s="1"/>
  <c r="K806" i="38"/>
  <c r="J806" i="38" s="1"/>
  <c r="K1151" i="38"/>
  <c r="J1151" i="38" s="1"/>
  <c r="K808" i="38"/>
  <c r="J808" i="38" s="1"/>
  <c r="K33" i="38"/>
  <c r="J33" i="38" s="1"/>
  <c r="K810" i="38"/>
  <c r="J810" i="38" s="1"/>
  <c r="K811" i="38"/>
  <c r="J811" i="38" s="1"/>
  <c r="K812" i="38"/>
  <c r="J812" i="38" s="1"/>
  <c r="K813" i="38"/>
  <c r="J813" i="38" s="1"/>
  <c r="K814" i="38"/>
  <c r="J814" i="38" s="1"/>
  <c r="K67" i="38"/>
  <c r="J67" i="38" s="1"/>
  <c r="K74" i="38"/>
  <c r="J74" i="38" s="1"/>
  <c r="K79" i="38"/>
  <c r="J79" i="38" s="1"/>
  <c r="K85" i="38"/>
  <c r="J85" i="38" s="1"/>
  <c r="K149" i="38"/>
  <c r="J149" i="38" s="1"/>
  <c r="K266" i="38"/>
  <c r="J266" i="38" s="1"/>
  <c r="K77" i="38"/>
  <c r="J77" i="38" s="1"/>
  <c r="K494" i="38"/>
  <c r="J494" i="38" s="1"/>
  <c r="K823" i="38"/>
  <c r="J823" i="38" s="1"/>
  <c r="K824" i="38"/>
  <c r="J824" i="38" s="1"/>
  <c r="K825" i="38"/>
  <c r="J825" i="38" s="1"/>
  <c r="K826" i="38"/>
  <c r="J826" i="38" s="1"/>
  <c r="K827" i="38"/>
  <c r="J827" i="38" s="1"/>
  <c r="K439" i="38"/>
  <c r="J439" i="38" s="1"/>
  <c r="K794" i="38"/>
  <c r="J794" i="38" s="1"/>
  <c r="K830" i="38"/>
  <c r="J830" i="38" s="1"/>
  <c r="K831" i="38"/>
  <c r="J831" i="38" s="1"/>
  <c r="K832" i="38"/>
  <c r="J832" i="38" s="1"/>
  <c r="K833" i="38"/>
  <c r="J833" i="38" s="1"/>
  <c r="K834" i="38"/>
  <c r="J834" i="38" s="1"/>
  <c r="K292" i="38"/>
  <c r="J292" i="38" s="1"/>
  <c r="K293" i="38"/>
  <c r="J293" i="38" s="1"/>
  <c r="K298" i="38"/>
  <c r="J298" i="38" s="1"/>
  <c r="K1141" i="38"/>
  <c r="J1141" i="38" s="1"/>
  <c r="K398" i="38"/>
  <c r="J398" i="38" s="1"/>
  <c r="K601" i="38"/>
  <c r="J601" i="38" s="1"/>
  <c r="K1156" i="38"/>
  <c r="J1156" i="38" s="1"/>
  <c r="K842" i="38"/>
  <c r="J842" i="38" s="1"/>
  <c r="K843" i="38"/>
  <c r="J843" i="38" s="1"/>
  <c r="K844" i="38"/>
  <c r="J844" i="38" s="1"/>
  <c r="K845" i="38"/>
  <c r="J845" i="38" s="1"/>
  <c r="K846" i="38"/>
  <c r="J846" i="38" s="1"/>
  <c r="K847" i="38"/>
  <c r="J847" i="38" s="1"/>
  <c r="K581" i="38"/>
  <c r="J581" i="38" s="1"/>
  <c r="K571" i="38"/>
  <c r="J571" i="38" s="1"/>
  <c r="K467" i="38"/>
  <c r="J467" i="38" s="1"/>
  <c r="K475" i="38"/>
  <c r="J475" i="38" s="1"/>
  <c r="K1095" i="38"/>
  <c r="J1095" i="38" s="1"/>
  <c r="K1085" i="38"/>
  <c r="J1085" i="38" s="1"/>
  <c r="K854" i="38"/>
  <c r="J854" i="38" s="1"/>
  <c r="K764" i="38"/>
  <c r="J764" i="38" s="1"/>
  <c r="K760" i="38"/>
  <c r="J760" i="38" s="1"/>
  <c r="K1104" i="38"/>
  <c r="J1104" i="38" s="1"/>
  <c r="K1097" i="38"/>
  <c r="J1097" i="38" s="1"/>
  <c r="K248" i="38"/>
  <c r="J248" i="38" s="1"/>
  <c r="K256" i="38"/>
  <c r="J256" i="38" s="1"/>
  <c r="K861" i="38"/>
  <c r="J861" i="38" s="1"/>
  <c r="K28" i="38"/>
  <c r="J28" i="38" s="1"/>
  <c r="K863" i="38"/>
  <c r="J863" i="38" s="1"/>
  <c r="K864" i="38"/>
  <c r="J864" i="38" s="1"/>
  <c r="K865" i="38"/>
  <c r="J865" i="38" s="1"/>
  <c r="K582" i="38"/>
  <c r="J582" i="38" s="1"/>
  <c r="K572" i="38"/>
  <c r="J572" i="38" s="1"/>
  <c r="K868" i="38"/>
  <c r="J868" i="38" s="1"/>
  <c r="K869" i="38"/>
  <c r="J869" i="38" s="1"/>
  <c r="K918" i="38"/>
  <c r="J918" i="38" s="1"/>
  <c r="K1109" i="38"/>
  <c r="J1109" i="38" s="1"/>
  <c r="K915" i="38"/>
  <c r="J915" i="38" s="1"/>
  <c r="K873" i="38"/>
  <c r="J873" i="38" s="1"/>
  <c r="K414" i="38"/>
  <c r="J414" i="38" s="1"/>
  <c r="K875" i="38"/>
  <c r="J875" i="38" s="1"/>
  <c r="K413" i="38"/>
  <c r="J413" i="38" s="1"/>
  <c r="K877" i="38"/>
  <c r="J877" i="38" s="1"/>
  <c r="K22" i="38"/>
  <c r="J22" i="38" s="1"/>
  <c r="K20" i="38"/>
  <c r="J20" i="38" s="1"/>
  <c r="K18" i="38"/>
  <c r="J18" i="38" s="1"/>
  <c r="K881" i="38"/>
  <c r="J881" i="38" s="1"/>
  <c r="K1082" i="38"/>
  <c r="J1082" i="38" s="1"/>
  <c r="K1107" i="38"/>
  <c r="J1107" i="38" s="1"/>
  <c r="K884" i="38"/>
  <c r="J884" i="38" s="1"/>
  <c r="K885" i="38"/>
  <c r="J885" i="38" s="1"/>
  <c r="K886" i="38"/>
  <c r="J886" i="38" s="1"/>
  <c r="K887" i="38"/>
  <c r="J887" i="38" s="1"/>
  <c r="K888" i="38"/>
  <c r="J888" i="38" s="1"/>
  <c r="K889" i="38"/>
  <c r="J889" i="38" s="1"/>
  <c r="K53" i="38"/>
  <c r="J53" i="38" s="1"/>
  <c r="K483" i="38"/>
  <c r="J483" i="38" s="1"/>
  <c r="K782" i="38"/>
  <c r="J782" i="38" s="1"/>
  <c r="K893" i="38"/>
  <c r="J893" i="38" s="1"/>
  <c r="K580" i="38"/>
  <c r="J580" i="38" s="1"/>
  <c r="K280" i="38"/>
  <c r="J280" i="38" s="1"/>
  <c r="K896" i="38"/>
  <c r="J896" i="38" s="1"/>
  <c r="K897" i="38"/>
  <c r="J897" i="38" s="1"/>
  <c r="K898" i="38"/>
  <c r="J898" i="38" s="1"/>
  <c r="K899" i="38"/>
  <c r="J899" i="38" s="1"/>
  <c r="K900" i="38"/>
  <c r="J900" i="38" s="1"/>
  <c r="K546" i="38"/>
  <c r="J546" i="38" s="1"/>
  <c r="K902" i="38"/>
  <c r="J902" i="38" s="1"/>
  <c r="K903" i="38"/>
  <c r="J903" i="38" s="1"/>
  <c r="K904" i="38"/>
  <c r="J904" i="38" s="1"/>
  <c r="K905" i="38"/>
  <c r="J905" i="38" s="1"/>
  <c r="K906" i="38"/>
  <c r="J906" i="38" s="1"/>
  <c r="K907" i="38"/>
  <c r="J907" i="38" s="1"/>
  <c r="K485" i="38"/>
  <c r="J485" i="38" s="1"/>
  <c r="K775" i="38"/>
  <c r="J775" i="38" s="1"/>
  <c r="K487" i="38"/>
  <c r="J487" i="38" s="1"/>
  <c r="K911" i="38"/>
  <c r="J911" i="38" s="1"/>
  <c r="K737" i="38"/>
  <c r="J737" i="38" s="1"/>
  <c r="K505" i="38"/>
  <c r="J505" i="38" s="1"/>
  <c r="K388" i="38"/>
  <c r="J388" i="38" s="1"/>
  <c r="K36" i="38"/>
  <c r="J36" i="38" s="1"/>
  <c r="K1105" i="38"/>
  <c r="J1105" i="38" s="1"/>
  <c r="K917" i="38"/>
  <c r="J917" i="38" s="1"/>
  <c r="K284" i="38"/>
  <c r="J284" i="38" s="1"/>
  <c r="K919" i="38"/>
  <c r="J919" i="38" s="1"/>
  <c r="K405" i="38"/>
  <c r="J405" i="38" s="1"/>
  <c r="K550" i="38"/>
  <c r="J550" i="38" s="1"/>
  <c r="K922" i="38"/>
  <c r="J922" i="38" s="1"/>
  <c r="K923" i="38"/>
  <c r="J923" i="38" s="1"/>
  <c r="K924" i="38"/>
  <c r="J924" i="38" s="1"/>
  <c r="K925" i="38"/>
  <c r="J925" i="38" s="1"/>
  <c r="K926" i="38"/>
  <c r="J926" i="38" s="1"/>
  <c r="K684" i="38"/>
  <c r="J684" i="38" s="1"/>
  <c r="K621" i="38"/>
  <c r="J621" i="38" s="1"/>
  <c r="K386" i="38"/>
  <c r="J386" i="38" s="1"/>
  <c r="K1110" i="38"/>
  <c r="J1110" i="38" s="1"/>
  <c r="K931" i="38"/>
  <c r="J931" i="38" s="1"/>
  <c r="K511" i="38"/>
  <c r="J511" i="38" s="1"/>
  <c r="K509" i="38"/>
  <c r="J509" i="38" s="1"/>
  <c r="K513" i="38"/>
  <c r="J513" i="38" s="1"/>
  <c r="K515" i="38"/>
  <c r="J515" i="38" s="1"/>
  <c r="K936" i="38"/>
  <c r="J936" i="38" s="1"/>
  <c r="K605" i="38"/>
  <c r="J605" i="38" s="1"/>
  <c r="K1111" i="38"/>
  <c r="J1111" i="38" s="1"/>
  <c r="K939" i="38"/>
  <c r="J939" i="38" s="1"/>
  <c r="K909" i="38"/>
  <c r="J909" i="38" s="1"/>
  <c r="K891" i="38"/>
  <c r="J891" i="38" s="1"/>
  <c r="K882" i="38"/>
  <c r="J882" i="38" s="1"/>
  <c r="K910" i="38"/>
  <c r="J910" i="38" s="1"/>
  <c r="K38" i="38"/>
  <c r="J38" i="38" s="1"/>
  <c r="K945" i="38"/>
  <c r="J945" i="38" s="1"/>
  <c r="K946" i="38"/>
  <c r="J946" i="38" s="1"/>
  <c r="K947" i="38"/>
  <c r="J947" i="38" s="1"/>
  <c r="K948" i="38"/>
  <c r="J948" i="38" s="1"/>
  <c r="K949" i="38"/>
  <c r="J949" i="38" s="1"/>
  <c r="K837" i="38"/>
  <c r="J837" i="38" s="1"/>
  <c r="K839" i="38"/>
  <c r="J839" i="38" s="1"/>
  <c r="K841" i="38"/>
  <c r="J841" i="38" s="1"/>
  <c r="K816" i="38"/>
  <c r="J816" i="38" s="1"/>
  <c r="K818" i="38"/>
  <c r="J818" i="38" s="1"/>
  <c r="K955" i="38"/>
  <c r="J955" i="38" s="1"/>
  <c r="K394" i="38"/>
  <c r="J394" i="38" s="1"/>
  <c r="K396" i="38"/>
  <c r="J396" i="38" s="1"/>
  <c r="K552" i="38"/>
  <c r="J552" i="38" s="1"/>
  <c r="K959" i="38"/>
  <c r="J959" i="38" s="1"/>
  <c r="K960" i="38"/>
  <c r="J960" i="38" s="1"/>
  <c r="K961" i="38"/>
  <c r="J961" i="38" s="1"/>
  <c r="K962" i="38"/>
  <c r="J962" i="38" s="1"/>
  <c r="K963" i="38"/>
  <c r="J963" i="38" s="1"/>
  <c r="K441" i="38"/>
  <c r="J441" i="38" s="1"/>
  <c r="K389" i="38"/>
  <c r="J389" i="38" s="1"/>
  <c r="K516" i="38"/>
  <c r="J516" i="38" s="1"/>
  <c r="K519" i="38"/>
  <c r="J519" i="38" s="1"/>
  <c r="K400" i="38"/>
  <c r="J400" i="38" s="1"/>
  <c r="K409" i="38"/>
  <c r="J409" i="38" s="1"/>
  <c r="K538" i="38"/>
  <c r="J538" i="38" s="1"/>
  <c r="K547" i="38"/>
  <c r="J547" i="38" s="1"/>
  <c r="K1078" i="38"/>
  <c r="J1078" i="38" s="1"/>
  <c r="K973" i="38"/>
  <c r="J973" i="38" s="1"/>
  <c r="K974" i="38"/>
  <c r="J974" i="38" s="1"/>
  <c r="K975" i="38"/>
  <c r="J975" i="38" s="1"/>
  <c r="K976" i="38"/>
  <c r="J976" i="38" s="1"/>
  <c r="K977" i="38"/>
  <c r="J977" i="38" s="1"/>
  <c r="K602" i="38"/>
  <c r="J602" i="38" s="1"/>
  <c r="K979" i="38"/>
  <c r="J979" i="38" s="1"/>
  <c r="K980" i="38"/>
  <c r="J980" i="38" s="1"/>
  <c r="K981" i="38"/>
  <c r="J981" i="38" s="1"/>
  <c r="K982" i="38"/>
  <c r="J982" i="38" s="1"/>
  <c r="K983" i="38"/>
  <c r="J983" i="38" s="1"/>
  <c r="K913" i="38"/>
  <c r="J913" i="38" s="1"/>
  <c r="K539" i="38"/>
  <c r="J539" i="38" s="1"/>
  <c r="K986" i="38"/>
  <c r="J986" i="38" s="1"/>
  <c r="K987" i="38"/>
  <c r="J987" i="38" s="1"/>
  <c r="K988" i="38"/>
  <c r="J988" i="38" s="1"/>
  <c r="K989" i="38"/>
  <c r="J989" i="38" s="1"/>
  <c r="K990" i="38"/>
  <c r="J990" i="38" s="1"/>
  <c r="K991" i="38"/>
  <c r="J991" i="38" s="1"/>
  <c r="K992" i="38"/>
  <c r="J992" i="38" s="1"/>
  <c r="K993" i="38"/>
  <c r="J993" i="38" s="1"/>
  <c r="K994" i="38"/>
  <c r="J994" i="38" s="1"/>
  <c r="K995" i="38"/>
  <c r="J995" i="38" s="1"/>
  <c r="K1116" i="38"/>
  <c r="J1116" i="38" s="1"/>
  <c r="K1121" i="38"/>
  <c r="J1121" i="38" s="1"/>
  <c r="K998" i="38"/>
  <c r="J998" i="38" s="1"/>
  <c r="K999" i="38"/>
  <c r="J999" i="38" s="1"/>
  <c r="K1000" i="38"/>
  <c r="J1000" i="38" s="1"/>
  <c r="K1001" i="38"/>
  <c r="J1001" i="38" s="1"/>
  <c r="K1002" i="38"/>
  <c r="J1002" i="38" s="1"/>
  <c r="K1113" i="38"/>
  <c r="J1113" i="38" s="1"/>
  <c r="K1004" i="38"/>
  <c r="J1004" i="38" s="1"/>
  <c r="K1005" i="38"/>
  <c r="J1005" i="38" s="1"/>
  <c r="K1006" i="38"/>
  <c r="J1006" i="38" s="1"/>
  <c r="K1007" i="38"/>
  <c r="J1007" i="38" s="1"/>
  <c r="K1008" i="38"/>
  <c r="J1008" i="38" s="1"/>
  <c r="K1009" i="38"/>
  <c r="J1009" i="38" s="1"/>
  <c r="K1010" i="38"/>
  <c r="J1010" i="38" s="1"/>
  <c r="K1011" i="38"/>
  <c r="J1011" i="38" s="1"/>
  <c r="K653" i="38"/>
  <c r="J653" i="38" s="1"/>
  <c r="K673" i="38"/>
  <c r="J673" i="38" s="1"/>
  <c r="K622" i="38"/>
  <c r="J622" i="38" s="1"/>
  <c r="K710" i="38"/>
  <c r="J710" i="38" s="1"/>
  <c r="K1016" i="38"/>
  <c r="J1016" i="38" s="1"/>
  <c r="K953" i="38"/>
  <c r="J953" i="38" s="1"/>
  <c r="K997" i="38"/>
  <c r="J997" i="38" s="1"/>
  <c r="K1025" i="38"/>
  <c r="J1025" i="38" s="1"/>
  <c r="K112" i="38"/>
  <c r="J112" i="38" s="1"/>
  <c r="K120" i="38"/>
  <c r="J120" i="38" s="1"/>
  <c r="K144" i="38"/>
  <c r="J144" i="38" s="1"/>
  <c r="K166" i="38"/>
  <c r="J166" i="38" s="1"/>
  <c r="K244" i="38"/>
  <c r="J244" i="38" s="1"/>
  <c r="K217" i="38"/>
  <c r="J217" i="38" s="1"/>
  <c r="K1026" i="38"/>
  <c r="J1026" i="38" s="1"/>
  <c r="K1027" i="38"/>
  <c r="J1027" i="38" s="1"/>
  <c r="K654" i="38"/>
  <c r="J654" i="38" s="1"/>
  <c r="K674" i="38"/>
  <c r="J674" i="38" s="1"/>
  <c r="K623" i="38"/>
  <c r="J623" i="38" s="1"/>
  <c r="K712" i="38"/>
  <c r="J712" i="38" s="1"/>
  <c r="K1032" i="38"/>
  <c r="J1032" i="38" s="1"/>
  <c r="K954" i="38"/>
  <c r="J954" i="38" s="1"/>
  <c r="K1003" i="38"/>
  <c r="J1003" i="38" s="1"/>
  <c r="K1028" i="38"/>
  <c r="J1028" i="38" s="1"/>
  <c r="K113" i="38"/>
  <c r="J113" i="38" s="1"/>
  <c r="K145" i="38"/>
  <c r="J145" i="38" s="1"/>
  <c r="K172" i="38"/>
  <c r="J172" i="38" s="1"/>
  <c r="K245" i="38"/>
  <c r="J245" i="38" s="1"/>
  <c r="K218" i="38"/>
  <c r="J218" i="38" s="1"/>
  <c r="K1041" i="38"/>
  <c r="J1041" i="38" s="1"/>
  <c r="K503" i="38"/>
  <c r="J503" i="38" s="1"/>
  <c r="K1043" i="38"/>
  <c r="J1043" i="38" s="1"/>
  <c r="K835" i="38"/>
  <c r="J835" i="38" s="1"/>
  <c r="K314" i="38"/>
  <c r="J314" i="38" s="1"/>
  <c r="K65" i="38"/>
  <c r="J65" i="38" s="1"/>
  <c r="K1047" i="38"/>
  <c r="J1047" i="38" s="1"/>
  <c r="K50" i="38"/>
  <c r="J50" i="38" s="1"/>
  <c r="K1049" i="38"/>
  <c r="J1049" i="38" s="1"/>
  <c r="K1050" i="38"/>
  <c r="J1050" i="38" s="1"/>
  <c r="K867" i="38"/>
  <c r="J867" i="38" s="1"/>
  <c r="K1052" i="38"/>
  <c r="J1052" i="38" s="1"/>
  <c r="K1053" i="38"/>
  <c r="J1053" i="38" s="1"/>
  <c r="K1054" i="38"/>
  <c r="J1054" i="38" s="1"/>
  <c r="K1055" i="38"/>
  <c r="J1055" i="38" s="1"/>
  <c r="K1056" i="38"/>
  <c r="J1056" i="38" s="1"/>
  <c r="K1057" i="38"/>
  <c r="J1057" i="38" s="1"/>
  <c r="K655" i="38"/>
  <c r="J655" i="38" s="1"/>
  <c r="K676" i="38"/>
  <c r="J676" i="38" s="1"/>
  <c r="K624" i="38"/>
  <c r="J624" i="38" s="1"/>
  <c r="K718" i="38"/>
  <c r="J718" i="38" s="1"/>
  <c r="K332" i="38"/>
  <c r="J332" i="38" s="1"/>
  <c r="K381" i="38"/>
  <c r="J381" i="38" s="1"/>
  <c r="K956" i="38"/>
  <c r="J956" i="38" s="1"/>
  <c r="K1040" i="38"/>
  <c r="J1040" i="38" s="1"/>
  <c r="K1066" i="38"/>
  <c r="J1066" i="38" s="1"/>
  <c r="K1067" i="38"/>
  <c r="J1067" i="38" s="1"/>
  <c r="K657" i="38"/>
  <c r="J657" i="38" s="1"/>
  <c r="K677" i="38"/>
  <c r="J677" i="38" s="1"/>
  <c r="K625" i="38"/>
  <c r="J625" i="38" s="1"/>
  <c r="K719" i="38"/>
  <c r="J719" i="38" s="1"/>
  <c r="K333" i="38"/>
  <c r="J333" i="38" s="1"/>
  <c r="K383" i="38"/>
  <c r="J383" i="38" s="1"/>
  <c r="K957" i="38"/>
  <c r="J957" i="38" s="1"/>
  <c r="K1042" i="38"/>
  <c r="J1042" i="38" s="1"/>
  <c r="K1076" i="38"/>
  <c r="J1076" i="38" s="1"/>
  <c r="K173" i="38"/>
  <c r="J173" i="38" s="1"/>
  <c r="K175" i="38"/>
  <c r="J175" i="38" s="1"/>
  <c r="K1079" i="38"/>
  <c r="J1079" i="38" s="1"/>
  <c r="K819" i="38"/>
  <c r="J819" i="38" s="1"/>
  <c r="K821" i="38"/>
  <c r="J821" i="38" s="1"/>
  <c r="K828" i="38"/>
  <c r="J828" i="38" s="1"/>
  <c r="K1083" i="38"/>
  <c r="J1083" i="38" s="1"/>
  <c r="K1084" i="38"/>
  <c r="J1084" i="38" s="1"/>
  <c r="K872" i="38"/>
  <c r="J872" i="38" s="1"/>
  <c r="K1086" i="38"/>
  <c r="J1086" i="38" s="1"/>
  <c r="K1087" i="38"/>
  <c r="J1087" i="38" s="1"/>
  <c r="K1088" i="38"/>
  <c r="J1088" i="38" s="1"/>
  <c r="K1089" i="38"/>
  <c r="J1089" i="38" s="1"/>
  <c r="K1090" i="38"/>
  <c r="J1090" i="38" s="1"/>
  <c r="K1091" i="38"/>
  <c r="J1091" i="38" s="1"/>
  <c r="K1092" i="38"/>
  <c r="J1092" i="38" s="1"/>
  <c r="K1093" i="38"/>
  <c r="J1093" i="38" s="1"/>
  <c r="K658" i="38"/>
  <c r="J658" i="38" s="1"/>
  <c r="K678" i="38"/>
  <c r="J678" i="38" s="1"/>
  <c r="K626" i="38"/>
  <c r="J626" i="38" s="1"/>
  <c r="K720" i="38"/>
  <c r="J720" i="38" s="1"/>
  <c r="K334" i="38"/>
  <c r="J334" i="38" s="1"/>
  <c r="K384" i="38"/>
  <c r="J384" i="38" s="1"/>
  <c r="K958" i="38"/>
  <c r="J958" i="38" s="1"/>
  <c r="K1044" i="38"/>
  <c r="J1044" i="38" s="1"/>
  <c r="K1102" i="38"/>
  <c r="J1102" i="38" s="1"/>
  <c r="K1103" i="38"/>
  <c r="J1103" i="38" s="1"/>
  <c r="K659" i="38"/>
  <c r="J659" i="38" s="1"/>
  <c r="K679" i="38"/>
  <c r="J679" i="38" s="1"/>
  <c r="K627" i="38"/>
  <c r="J627" i="38" s="1"/>
  <c r="K733" i="38"/>
  <c r="J733" i="38" s="1"/>
  <c r="K346" i="38"/>
  <c r="J346" i="38" s="1"/>
  <c r="K385" i="38"/>
  <c r="J385" i="38" s="1"/>
  <c r="K964" i="38"/>
  <c r="J964" i="38" s="1"/>
  <c r="K1045" i="38"/>
  <c r="J1045" i="38" s="1"/>
  <c r="K1112" i="38"/>
  <c r="J1112" i="38" s="1"/>
  <c r="K174" i="38"/>
  <c r="J174" i="38" s="1"/>
  <c r="K182" i="38"/>
  <c r="J182" i="38" s="1"/>
  <c r="K1115" i="38"/>
  <c r="J1115" i="38" s="1"/>
  <c r="K820" i="38"/>
  <c r="J820" i="38" s="1"/>
  <c r="K822" i="38"/>
  <c r="J822" i="38" s="1"/>
  <c r="K829" i="38"/>
  <c r="J829" i="38" s="1"/>
  <c r="K1119" i="38"/>
  <c r="J1119" i="38" s="1"/>
  <c r="K1120" i="38"/>
  <c r="J1120" i="38" s="1"/>
  <c r="K862" i="38"/>
  <c r="J862" i="38" s="1"/>
  <c r="K1122" i="38"/>
  <c r="J1122" i="38" s="1"/>
  <c r="K1123" i="38"/>
  <c r="J1123" i="38" s="1"/>
  <c r="K1124" i="38"/>
  <c r="J1124" i="38" s="1"/>
  <c r="K1125" i="38"/>
  <c r="J1125" i="38" s="1"/>
  <c r="K1126" i="38"/>
  <c r="J1126" i="38" s="1"/>
  <c r="K464" i="38"/>
  <c r="J464" i="38" s="1"/>
  <c r="K407" i="38"/>
  <c r="J407" i="38" s="1"/>
  <c r="K554" i="38"/>
  <c r="J554" i="38" s="1"/>
  <c r="K1130" i="38"/>
  <c r="J1130" i="38" s="1"/>
  <c r="K564" i="38"/>
  <c r="J564" i="38" s="1"/>
  <c r="K1132" i="38"/>
  <c r="J1132" i="38" s="1"/>
  <c r="K1133" i="38"/>
  <c r="J1133" i="38" s="1"/>
  <c r="K1134" i="38"/>
  <c r="J1134" i="38" s="1"/>
  <c r="K1135" i="38"/>
  <c r="J1135" i="38" s="1"/>
  <c r="K1136" i="38"/>
  <c r="J1136" i="38" s="1"/>
  <c r="K468" i="38"/>
  <c r="J468" i="38" s="1"/>
  <c r="K1138" i="38"/>
  <c r="J1138" i="38" s="1"/>
  <c r="K1069" i="38"/>
  <c r="J1069" i="38" s="1"/>
  <c r="K1070" i="38"/>
  <c r="J1070" i="38" s="1"/>
  <c r="K402" i="38"/>
  <c r="J402" i="38" s="1"/>
  <c r="K541" i="38"/>
  <c r="J541" i="38" s="1"/>
  <c r="K1143" i="38"/>
  <c r="J1143" i="38" s="1"/>
  <c r="K1144" i="38"/>
  <c r="J1144" i="38" s="1"/>
  <c r="K1145" i="38"/>
  <c r="J1145" i="38" s="1"/>
  <c r="K1146" i="38"/>
  <c r="J1146" i="38" s="1"/>
  <c r="K1147" i="38"/>
  <c r="J1147" i="38" s="1"/>
  <c r="K442" i="38"/>
  <c r="J442" i="38" s="1"/>
  <c r="K390" i="38"/>
  <c r="J390" i="38" s="1"/>
  <c r="K517" i="38"/>
  <c r="J517" i="38" s="1"/>
  <c r="K520" i="38"/>
  <c r="J520" i="38" s="1"/>
  <c r="K401" i="38"/>
  <c r="J401" i="38" s="1"/>
  <c r="K410" i="38"/>
  <c r="J410" i="38" s="1"/>
  <c r="K540" i="38"/>
  <c r="J540" i="38" s="1"/>
  <c r="K548" i="38"/>
  <c r="J548" i="38" s="1"/>
  <c r="K1080" i="38"/>
  <c r="J1080" i="38" s="1"/>
  <c r="K1157" i="38"/>
  <c r="J1157" i="38" s="1"/>
  <c r="K1158" i="38"/>
  <c r="J1158" i="38" s="1"/>
  <c r="H348" i="38" l="1"/>
  <c r="G348" i="38"/>
  <c r="G531" i="38"/>
  <c r="H531" i="38" s="1"/>
  <c r="G912" i="38"/>
  <c r="H912" i="38" s="1"/>
  <c r="H345" i="38"/>
  <c r="G345" i="38"/>
  <c r="H344" i="38"/>
  <c r="G344" i="38"/>
  <c r="H343" i="38"/>
  <c r="G343" i="38"/>
  <c r="H342" i="38"/>
  <c r="G342" i="38"/>
  <c r="H341" i="38"/>
  <c r="G341" i="38"/>
  <c r="H340" i="38"/>
  <c r="G340" i="38"/>
  <c r="H339" i="38"/>
  <c r="G339" i="38"/>
  <c r="H338" i="38"/>
  <c r="G338" i="38"/>
  <c r="H337" i="38"/>
  <c r="G337" i="38"/>
  <c r="H336" i="38"/>
  <c r="G336" i="38"/>
  <c r="H335" i="38"/>
  <c r="G335" i="38"/>
  <c r="G551" i="38"/>
  <c r="H551" i="38" s="1"/>
  <c r="H395" i="38"/>
  <c r="G395" i="38"/>
  <c r="G391" i="38"/>
  <c r="H391" i="38" s="1"/>
  <c r="H331" i="38"/>
  <c r="G331" i="38"/>
  <c r="F817" i="38"/>
  <c r="F815" i="38"/>
  <c r="G815" i="38" s="1"/>
  <c r="H815" i="38" s="1"/>
  <c r="F840" i="38"/>
  <c r="G840" i="38" s="1"/>
  <c r="H840" i="38" s="1"/>
  <c r="F838" i="38"/>
  <c r="H836" i="38"/>
  <c r="G836" i="38"/>
  <c r="H325" i="38"/>
  <c r="G325" i="38"/>
  <c r="H324" i="38"/>
  <c r="G324" i="38"/>
  <c r="H323" i="38"/>
  <c r="G323" i="38"/>
  <c r="H322" i="38"/>
  <c r="G322" i="38"/>
  <c r="H321" i="38"/>
  <c r="G321" i="38"/>
  <c r="H320" i="38"/>
  <c r="G320" i="38"/>
  <c r="H319" i="38"/>
  <c r="G319" i="38"/>
  <c r="H604" i="38"/>
  <c r="G604" i="38"/>
  <c r="H317" i="38"/>
  <c r="G317" i="38"/>
  <c r="F514" i="38"/>
  <c r="G514" i="38" s="1"/>
  <c r="F512" i="38"/>
  <c r="G512" i="38" s="1"/>
  <c r="H512" i="38" s="1"/>
  <c r="F506" i="38"/>
  <c r="G506" i="38" s="1"/>
  <c r="H506" i="38" s="1"/>
  <c r="F508" i="38"/>
  <c r="F510" i="38"/>
  <c r="G510" i="38" s="1"/>
  <c r="H311" i="38"/>
  <c r="G311" i="38"/>
  <c r="H310" i="38"/>
  <c r="G310" i="38"/>
  <c r="H880" i="38"/>
  <c r="G880" i="38"/>
  <c r="H890" i="38"/>
  <c r="G890" i="38"/>
  <c r="F908" i="38"/>
  <c r="G908" i="38" s="1"/>
  <c r="H908" i="38" s="1"/>
  <c r="H306" i="38"/>
  <c r="G306" i="38"/>
  <c r="H358" i="38"/>
  <c r="G358" i="38"/>
  <c r="H683" i="38"/>
  <c r="G683" i="38"/>
  <c r="H681" i="38"/>
  <c r="G681" i="38"/>
  <c r="H301" i="38"/>
  <c r="G301" i="38"/>
  <c r="H300" i="38"/>
  <c r="G300" i="38"/>
  <c r="F879" i="38"/>
  <c r="G879" i="38" s="1"/>
  <c r="H879" i="38" s="1"/>
  <c r="H883" i="38"/>
  <c r="G883" i="38"/>
  <c r="F901" i="38"/>
  <c r="G901" i="38" s="1"/>
  <c r="H901" i="38" s="1"/>
  <c r="H296" i="38"/>
  <c r="G296" i="38"/>
  <c r="F347" i="38"/>
  <c r="H682" i="38"/>
  <c r="G682" i="38"/>
  <c r="F680" i="38"/>
  <c r="H628" i="38"/>
  <c r="G628" i="38"/>
  <c r="H291" i="38"/>
  <c r="G291" i="38"/>
  <c r="H290" i="38"/>
  <c r="G290" i="38"/>
  <c r="H289" i="38"/>
  <c r="G289" i="38"/>
  <c r="H288" i="38"/>
  <c r="G288" i="38"/>
  <c r="G549" i="38"/>
  <c r="H549" i="38" s="1"/>
  <c r="G404" i="38"/>
  <c r="H404" i="38" s="1"/>
  <c r="H285" i="38"/>
  <c r="G285" i="38"/>
  <c r="F282" i="38"/>
  <c r="H283" i="38"/>
  <c r="G283" i="38"/>
  <c r="G1142" i="38"/>
  <c r="H1142" i="38" s="1"/>
  <c r="H281" i="38"/>
  <c r="G281" i="38"/>
  <c r="F35" i="38"/>
  <c r="F387" i="38"/>
  <c r="H504" i="38"/>
  <c r="G504" i="38"/>
  <c r="F735" i="38"/>
  <c r="H276" i="38"/>
  <c r="G276" i="38"/>
  <c r="F486" i="38"/>
  <c r="G486" i="38" s="1"/>
  <c r="H486" i="38" s="1"/>
  <c r="G773" i="38"/>
  <c r="H773" i="38" s="1"/>
  <c r="G484" i="38"/>
  <c r="H484" i="38" s="1"/>
  <c r="H272" i="38"/>
  <c r="G272" i="38"/>
  <c r="H271" i="38"/>
  <c r="G271" i="38"/>
  <c r="H270" i="38"/>
  <c r="G270" i="38"/>
  <c r="H269" i="38"/>
  <c r="G269" i="38"/>
  <c r="H268" i="38"/>
  <c r="G268" i="38"/>
  <c r="H267" i="38"/>
  <c r="G267" i="38"/>
  <c r="G545" i="38"/>
  <c r="H545" i="38" s="1"/>
  <c r="H265" i="38"/>
  <c r="G265" i="38"/>
  <c r="H264" i="38"/>
  <c r="G264" i="38"/>
  <c r="H263" i="38"/>
  <c r="G263" i="38"/>
  <c r="H262" i="38"/>
  <c r="G262" i="38"/>
  <c r="H261" i="38"/>
  <c r="G261" i="38"/>
  <c r="G279" i="38"/>
  <c r="H279" i="38" s="1"/>
  <c r="F579" i="38"/>
  <c r="G579" i="38" s="1"/>
  <c r="H579" i="38" s="1"/>
  <c r="H258" i="38"/>
  <c r="G258" i="38"/>
  <c r="G781" i="38"/>
  <c r="H781" i="38" s="1"/>
  <c r="G482" i="38"/>
  <c r="H482" i="38" s="1"/>
  <c r="G52" i="38"/>
  <c r="H52" i="38" s="1"/>
  <c r="H254" i="38"/>
  <c r="G254" i="38"/>
  <c r="H253" i="38"/>
  <c r="G253" i="38"/>
  <c r="H252" i="38"/>
  <c r="G252" i="38"/>
  <c r="H251" i="38"/>
  <c r="G251" i="38"/>
  <c r="H250" i="38"/>
  <c r="G250" i="38"/>
  <c r="H249" i="38"/>
  <c r="G249" i="38"/>
  <c r="G1106" i="38"/>
  <c r="H1106" i="38" s="1"/>
  <c r="G1081" i="38"/>
  <c r="H1081" i="38" s="1"/>
  <c r="H246" i="38"/>
  <c r="G246" i="38"/>
  <c r="G16" i="38"/>
  <c r="H16" i="38" s="1"/>
  <c r="G26" i="38"/>
  <c r="H26" i="38" s="1"/>
  <c r="H243" i="38"/>
  <c r="G243" i="38"/>
  <c r="G559" i="38"/>
  <c r="H559" i="38" s="1"/>
  <c r="H241" i="38"/>
  <c r="G241" i="38"/>
  <c r="G418" i="38"/>
  <c r="H418" i="38" s="1"/>
  <c r="H239" i="38"/>
  <c r="G239" i="38"/>
  <c r="G416" i="38"/>
  <c r="H416" i="38" s="1"/>
  <c r="H237" i="38"/>
  <c r="G237" i="38"/>
  <c r="G415" i="38"/>
  <c r="H415" i="38" s="1"/>
  <c r="H235" i="38"/>
  <c r="G235" i="38"/>
  <c r="H914" i="38"/>
  <c r="G914" i="38"/>
  <c r="H1108" i="38"/>
  <c r="G1108" i="38"/>
  <c r="G916" i="38"/>
  <c r="H916" i="38" s="1"/>
  <c r="H231" i="38"/>
  <c r="G231" i="38"/>
  <c r="H230" i="38"/>
  <c r="G230" i="38"/>
  <c r="H229" i="38"/>
  <c r="G229" i="38"/>
  <c r="F570" i="38"/>
  <c r="G570" i="38" s="1"/>
  <c r="H570" i="38" s="1"/>
  <c r="H227" i="38"/>
  <c r="G227" i="38"/>
  <c r="H226" i="38"/>
  <c r="G226" i="38"/>
  <c r="H225" i="38"/>
  <c r="G225" i="38"/>
  <c r="H224" i="38"/>
  <c r="G224" i="38"/>
  <c r="G24" i="38"/>
  <c r="H24" i="38" s="1"/>
  <c r="H222" i="38"/>
  <c r="G222" i="38"/>
  <c r="G259" i="38"/>
  <c r="H259" i="38" s="1"/>
  <c r="G255" i="38"/>
  <c r="H255" i="38" s="1"/>
  <c r="G247" i="38"/>
  <c r="H247" i="38" s="1"/>
  <c r="G1096" i="38"/>
  <c r="H1096" i="38" s="1"/>
  <c r="G1101" i="38"/>
  <c r="H1101" i="38" s="1"/>
  <c r="F762" i="38"/>
  <c r="G762" i="38" s="1"/>
  <c r="H762" i="38" s="1"/>
  <c r="H215" i="38"/>
  <c r="G215" i="38"/>
  <c r="H214" i="38"/>
  <c r="G214" i="38"/>
  <c r="G1094" i="38"/>
  <c r="H1094" i="38" s="1"/>
  <c r="G472" i="38"/>
  <c r="H472" i="38" s="1"/>
  <c r="G466" i="38"/>
  <c r="H466" i="38" s="1"/>
  <c r="F569" i="38"/>
  <c r="H569" i="38" s="1"/>
  <c r="H209" i="38"/>
  <c r="G209" i="38"/>
  <c r="H208" i="38"/>
  <c r="G208" i="38"/>
  <c r="H207" i="38"/>
  <c r="G207" i="38"/>
  <c r="H206" i="38"/>
  <c r="G206" i="38"/>
  <c r="H205" i="38"/>
  <c r="G205" i="38"/>
  <c r="H204" i="38"/>
  <c r="G204" i="38"/>
  <c r="H203" i="38"/>
  <c r="G203" i="38"/>
  <c r="F599" i="38"/>
  <c r="G397" i="38"/>
  <c r="H397" i="38" s="1"/>
  <c r="G1140" i="38"/>
  <c r="H1140" i="38" s="1"/>
  <c r="F297" i="38"/>
  <c r="G297" i="38" s="1"/>
  <c r="H297" i="38" s="1"/>
  <c r="F294" i="38"/>
  <c r="F1155" i="38" s="1"/>
  <c r="F295" i="38"/>
  <c r="H195" i="38"/>
  <c r="G195" i="38"/>
  <c r="H194" i="38"/>
  <c r="G194" i="38"/>
  <c r="H193" i="38"/>
  <c r="G193" i="38"/>
  <c r="H192" i="38"/>
  <c r="G192" i="38"/>
  <c r="H191" i="38"/>
  <c r="G191" i="38"/>
  <c r="H190" i="38"/>
  <c r="G190" i="38"/>
  <c r="G783" i="38"/>
  <c r="H783" i="38" s="1"/>
  <c r="G784" i="38"/>
  <c r="H784" i="38" s="1"/>
  <c r="G785" i="38"/>
  <c r="H785" i="38" s="1"/>
  <c r="G490" i="38"/>
  <c r="H490" i="38" s="1"/>
  <c r="F489" i="38"/>
  <c r="F603" i="38"/>
  <c r="G603" i="38" s="1"/>
  <c r="H603" i="38" s="1"/>
  <c r="G37" i="38"/>
  <c r="H37" i="38" s="1"/>
  <c r="G1131" i="38"/>
  <c r="H1131" i="38" s="1"/>
  <c r="H181" i="38"/>
  <c r="G181" i="38"/>
  <c r="H180" i="38"/>
  <c r="G180" i="38"/>
  <c r="H179" i="38"/>
  <c r="G179" i="38"/>
  <c r="H178" i="38"/>
  <c r="G178" i="38"/>
  <c r="H177" i="38"/>
  <c r="G177" i="38"/>
  <c r="H176" i="38"/>
  <c r="G176" i="38"/>
  <c r="G786" i="38"/>
  <c r="H786" i="38" s="1"/>
  <c r="G440" i="38"/>
  <c r="H440" i="38" s="1"/>
  <c r="G438" i="38"/>
  <c r="H438" i="38" s="1"/>
  <c r="G437" i="38"/>
  <c r="H437" i="38" s="1"/>
  <c r="H171" i="38"/>
  <c r="G171" i="38"/>
  <c r="H170" i="38"/>
  <c r="G170" i="38"/>
  <c r="H169" i="38"/>
  <c r="G169" i="38"/>
  <c r="H168" i="38"/>
  <c r="G168" i="38"/>
  <c r="H167" i="38"/>
  <c r="G167" i="38"/>
  <c r="G278" i="38"/>
  <c r="H278" i="38" s="1"/>
  <c r="G277" i="38"/>
  <c r="H277" i="38" s="1"/>
  <c r="G257" i="38"/>
  <c r="H257" i="38" s="1"/>
  <c r="G75" i="38"/>
  <c r="H75" i="38" s="1"/>
  <c r="G275" i="38"/>
  <c r="H275" i="38" s="1"/>
  <c r="G260" i="38"/>
  <c r="H260" i="38" s="1"/>
  <c r="G274" i="38"/>
  <c r="H274" i="38" s="1"/>
  <c r="G273" i="38"/>
  <c r="H273" i="38" s="1"/>
  <c r="G83" i="38"/>
  <c r="H83" i="38" s="1"/>
  <c r="G81" i="38"/>
  <c r="H81" i="38" s="1"/>
  <c r="G189" i="38"/>
  <c r="H189" i="38" s="1"/>
  <c r="G147" i="38"/>
  <c r="H147" i="38" s="1"/>
  <c r="G146" i="38"/>
  <c r="H146" i="38" s="1"/>
  <c r="G188" i="38"/>
  <c r="H188" i="38" s="1"/>
  <c r="G187" i="38"/>
  <c r="H187" i="38" s="1"/>
  <c r="G70" i="38"/>
  <c r="H70" i="38" s="1"/>
  <c r="G69" i="38"/>
  <c r="H69" i="38" s="1"/>
  <c r="G68" i="38"/>
  <c r="H68" i="38" s="1"/>
  <c r="G153" i="38"/>
  <c r="H153" i="38" s="1"/>
  <c r="G152" i="38"/>
  <c r="H152" i="38" s="1"/>
  <c r="G186" i="38"/>
  <c r="H186" i="38" s="1"/>
  <c r="G185" i="38"/>
  <c r="H185" i="38" s="1"/>
  <c r="G72" i="38"/>
  <c r="H72" i="38" s="1"/>
  <c r="G148" i="38"/>
  <c r="H148" i="38" s="1"/>
  <c r="G151" i="38"/>
  <c r="H151" i="38" s="1"/>
  <c r="G150" i="38"/>
  <c r="H150" i="38" s="1"/>
  <c r="G184" i="38"/>
  <c r="H184" i="38" s="1"/>
  <c r="G183" i="38"/>
  <c r="H183" i="38" s="1"/>
  <c r="H137" i="38"/>
  <c r="G137" i="38"/>
  <c r="H136" i="38"/>
  <c r="G136" i="38"/>
  <c r="H135" i="38"/>
  <c r="G135" i="38"/>
  <c r="H134" i="38"/>
  <c r="G134" i="38"/>
  <c r="H133" i="38"/>
  <c r="G133" i="38"/>
  <c r="G492" i="38"/>
  <c r="H492" i="38" s="1"/>
  <c r="H131" i="38"/>
  <c r="G131" i="38"/>
  <c r="H130" i="38"/>
  <c r="G130" i="38"/>
  <c r="H129" i="38"/>
  <c r="G129" i="38"/>
  <c r="H128" i="38"/>
  <c r="G128" i="38"/>
  <c r="H127" i="38"/>
  <c r="G127" i="38"/>
  <c r="G32" i="38"/>
  <c r="H32" i="38" s="1"/>
  <c r="G1139" i="38"/>
  <c r="H1139" i="38" s="1"/>
  <c r="G1137" i="38"/>
  <c r="H1137" i="38" s="1"/>
  <c r="H123" i="38"/>
  <c r="G123" i="38"/>
  <c r="G1149" i="38"/>
  <c r="H1149" i="38" s="1"/>
  <c r="G1148" i="38"/>
  <c r="H1148" i="38" s="1"/>
  <c r="G1150" i="38"/>
  <c r="H1150" i="38" s="1"/>
  <c r="H119" i="38"/>
  <c r="G119" i="38"/>
  <c r="H118" i="38"/>
  <c r="G118" i="38"/>
  <c r="H117" i="38"/>
  <c r="G117" i="38"/>
  <c r="H116" i="38"/>
  <c r="G116" i="38"/>
  <c r="H115" i="38"/>
  <c r="G115" i="38"/>
  <c r="G568" i="38"/>
  <c r="H568" i="38" s="1"/>
  <c r="F446" i="38"/>
  <c r="F450" i="38"/>
  <c r="G450" i="38" s="1"/>
  <c r="H450" i="38" s="1"/>
  <c r="H453" i="38"/>
  <c r="G453" i="38"/>
  <c r="H110" i="38"/>
  <c r="G110" i="38"/>
  <c r="H109" i="38"/>
  <c r="G109" i="38"/>
  <c r="G567" i="38"/>
  <c r="H567" i="38" s="1"/>
  <c r="F443" i="38"/>
  <c r="G443" i="38" s="1"/>
  <c r="H443" i="38" s="1"/>
  <c r="H106" i="38"/>
  <c r="G106" i="38"/>
  <c r="F449" i="38"/>
  <c r="G449" i="38" s="1"/>
  <c r="H449" i="38" s="1"/>
  <c r="F452" i="38"/>
  <c r="G452" i="38" s="1"/>
  <c r="H452" i="38" s="1"/>
  <c r="H454" i="38"/>
  <c r="G454" i="38"/>
  <c r="H102" i="38"/>
  <c r="G102" i="38"/>
  <c r="H101" i="38"/>
  <c r="G101" i="38"/>
  <c r="H100" i="38"/>
  <c r="G100" i="38"/>
  <c r="H99" i="38"/>
  <c r="G99" i="38"/>
  <c r="H98" i="38"/>
  <c r="G98" i="38"/>
  <c r="H97" i="38"/>
  <c r="G97" i="38"/>
  <c r="F769" i="38"/>
  <c r="G769" i="38" s="1"/>
  <c r="H769" i="38" s="1"/>
  <c r="G755" i="38"/>
  <c r="H755" i="38" s="1"/>
  <c r="G469" i="38"/>
  <c r="H469" i="38" s="1"/>
  <c r="G765" i="38"/>
  <c r="H765" i="38" s="1"/>
  <c r="G1065" i="38"/>
  <c r="H1065" i="38" s="1"/>
  <c r="G286" i="38"/>
  <c r="H286" i="38" s="1"/>
  <c r="H90" i="38"/>
  <c r="G90" i="38"/>
  <c r="H89" i="38"/>
  <c r="G89" i="38"/>
  <c r="H88" i="38"/>
  <c r="G88" i="38"/>
  <c r="H87" i="38"/>
  <c r="G87" i="38"/>
  <c r="H86" i="38"/>
  <c r="G86" i="38"/>
  <c r="F560" i="38"/>
  <c r="G560" i="38" s="1"/>
  <c r="H560" i="38" s="1"/>
  <c r="H84" i="38"/>
  <c r="G84" i="38"/>
  <c r="F1153" i="38"/>
  <c r="G1153" i="38" s="1"/>
  <c r="H1153" i="38" s="1"/>
  <c r="H82" i="38"/>
  <c r="G82" i="38"/>
  <c r="G432" i="38"/>
  <c r="H432" i="38" s="1"/>
  <c r="H80" i="38"/>
  <c r="G80" i="38"/>
  <c r="G429" i="38"/>
  <c r="H429" i="38" s="1"/>
  <c r="H78" i="38"/>
  <c r="G78" i="38"/>
  <c r="G421" i="38"/>
  <c r="H421" i="38" s="1"/>
  <c r="H76" i="38"/>
  <c r="G76" i="38"/>
  <c r="H303" i="38"/>
  <c r="G303" i="38"/>
  <c r="H299" i="38"/>
  <c r="G299" i="38"/>
  <c r="H73" i="38"/>
  <c r="G73" i="38"/>
  <c r="H71" i="38"/>
  <c r="G71" i="38"/>
  <c r="H744" i="38"/>
  <c r="G744" i="38"/>
  <c r="F742" i="38"/>
  <c r="F741" i="38"/>
  <c r="H739" i="38"/>
  <c r="G739" i="38"/>
  <c r="H66" i="38"/>
  <c r="G66" i="38"/>
  <c r="F528" i="38"/>
  <c r="F542" i="38" s="1"/>
  <c r="G525" i="38"/>
  <c r="H525" i="38" s="1"/>
  <c r="H63" i="38"/>
  <c r="G63" i="38"/>
  <c r="G435" i="38"/>
  <c r="H435" i="38" s="1"/>
  <c r="H61" i="38"/>
  <c r="G61" i="38"/>
  <c r="G434" i="38"/>
  <c r="H434" i="38" s="1"/>
  <c r="H59" i="38"/>
  <c r="G59" i="38"/>
  <c r="F576" i="38"/>
  <c r="G576" i="38" s="1"/>
  <c r="H576" i="38" s="1"/>
  <c r="F573" i="38"/>
  <c r="H56" i="38"/>
  <c r="G56" i="38"/>
  <c r="G920" i="38"/>
  <c r="H920" i="38" s="1"/>
  <c r="H54" i="38"/>
  <c r="G54" i="38"/>
  <c r="G458" i="38"/>
  <c r="H458" i="38" s="1"/>
  <c r="G459" i="38"/>
  <c r="H459" i="38" s="1"/>
  <c r="G456" i="38"/>
  <c r="H456" i="38" s="1"/>
  <c r="G455" i="38"/>
  <c r="H455" i="38" s="1"/>
  <c r="H48" i="38"/>
  <c r="G48" i="38"/>
  <c r="G894" i="38"/>
  <c r="H894" i="38" s="1"/>
  <c r="H46" i="38"/>
  <c r="G46" i="38"/>
  <c r="G1099" i="38"/>
  <c r="H1099" i="38" s="1"/>
  <c r="H44" i="38"/>
  <c r="G44" i="38"/>
  <c r="G892" i="38"/>
  <c r="H892" i="38" s="1"/>
  <c r="H42" i="38"/>
  <c r="G42" i="38"/>
  <c r="G1098" i="38"/>
  <c r="H1098" i="38" s="1"/>
  <c r="G1074" i="38"/>
  <c r="H1074" i="38" s="1"/>
  <c r="H39" i="38"/>
  <c r="G39" i="38"/>
  <c r="G759" i="38"/>
  <c r="H759" i="38" s="1"/>
  <c r="G758" i="38"/>
  <c r="H758" i="38" s="1"/>
  <c r="G754" i="38"/>
  <c r="H754" i="38" s="1"/>
  <c r="G752" i="38"/>
  <c r="H752" i="38" s="1"/>
  <c r="H34" i="38"/>
  <c r="G34" i="38"/>
  <c r="G523" i="38"/>
  <c r="H523" i="38" s="1"/>
  <c r="G522" i="38"/>
  <c r="H522" i="38" s="1"/>
  <c r="H31" i="38"/>
  <c r="G31" i="38"/>
  <c r="H30" i="38"/>
  <c r="G30" i="38"/>
  <c r="H29" i="38"/>
  <c r="G29" i="38"/>
  <c r="G921" i="38"/>
  <c r="H921" i="38" s="1"/>
  <c r="H27" i="38"/>
  <c r="G27" i="38"/>
  <c r="G927" i="38"/>
  <c r="H927" i="38" s="1"/>
  <c r="H25" i="38"/>
  <c r="G25" i="38"/>
  <c r="G932" i="38"/>
  <c r="H932" i="38" s="1"/>
  <c r="H23" i="38"/>
  <c r="G23" i="38"/>
  <c r="G928" i="38"/>
  <c r="H928" i="38" s="1"/>
  <c r="H21" i="38"/>
  <c r="G21" i="38"/>
  <c r="F929" i="38"/>
  <c r="G929" i="38" s="1"/>
  <c r="H929" i="38" s="1"/>
  <c r="H19" i="38"/>
  <c r="G19" i="38"/>
  <c r="H17" i="38"/>
  <c r="G17" i="38"/>
  <c r="H15" i="38"/>
  <c r="G15" i="38"/>
  <c r="H14" i="38"/>
  <c r="G14" i="38"/>
  <c r="F344" i="37"/>
  <c r="E344" i="37"/>
  <c r="E343" i="37"/>
  <c r="F343" i="37" s="1"/>
  <c r="E342" i="37"/>
  <c r="F342" i="37" s="1"/>
  <c r="F341" i="37"/>
  <c r="E341" i="37"/>
  <c r="F340" i="37"/>
  <c r="E340" i="37"/>
  <c r="F339" i="37"/>
  <c r="E339" i="37"/>
  <c r="F338" i="37"/>
  <c r="E338" i="37"/>
  <c r="F337" i="37"/>
  <c r="E337" i="37"/>
  <c r="F336" i="37"/>
  <c r="E336" i="37"/>
  <c r="F335" i="37"/>
  <c r="E335" i="37"/>
  <c r="F334" i="37"/>
  <c r="E334" i="37"/>
  <c r="F333" i="37"/>
  <c r="E333" i="37"/>
  <c r="F332" i="37"/>
  <c r="E332" i="37"/>
  <c r="F331" i="37"/>
  <c r="E331" i="37"/>
  <c r="E330" i="37"/>
  <c r="F330" i="37" s="1"/>
  <c r="F329" i="37"/>
  <c r="E329" i="37"/>
  <c r="E328" i="37"/>
  <c r="F328" i="37" s="1"/>
  <c r="F327" i="37"/>
  <c r="E327" i="37"/>
  <c r="D326" i="37"/>
  <c r="D325" i="37"/>
  <c r="D324" i="37"/>
  <c r="D323" i="37"/>
  <c r="F322" i="37"/>
  <c r="E322" i="37"/>
  <c r="F321" i="37"/>
  <c r="E321" i="37"/>
  <c r="F320" i="37"/>
  <c r="E320" i="37"/>
  <c r="F319" i="37"/>
  <c r="E319" i="37"/>
  <c r="F318" i="37"/>
  <c r="E318" i="37"/>
  <c r="F317" i="37"/>
  <c r="E317" i="37"/>
  <c r="F316" i="37"/>
  <c r="E316" i="37"/>
  <c r="F315" i="37"/>
  <c r="E315" i="37"/>
  <c r="F314" i="37"/>
  <c r="E314" i="37"/>
  <c r="F313" i="37"/>
  <c r="E313" i="37"/>
  <c r="E312" i="37"/>
  <c r="F312" i="37" s="1"/>
  <c r="D312" i="37"/>
  <c r="E311" i="37"/>
  <c r="F311" i="37" s="1"/>
  <c r="D311" i="37"/>
  <c r="E310" i="37"/>
  <c r="F310" i="37" s="1"/>
  <c r="D310" i="37"/>
  <c r="D309" i="37"/>
  <c r="E309" i="37" s="1"/>
  <c r="F309" i="37" s="1"/>
  <c r="E308" i="37"/>
  <c r="F308" i="37" s="1"/>
  <c r="D308" i="37"/>
  <c r="F307" i="37"/>
  <c r="E307" i="37"/>
  <c r="F306" i="37"/>
  <c r="E306" i="37"/>
  <c r="F305" i="37"/>
  <c r="E305" i="37"/>
  <c r="F304" i="37"/>
  <c r="E304" i="37"/>
  <c r="E303" i="37"/>
  <c r="F303" i="37" s="1"/>
  <c r="D303" i="37"/>
  <c r="F302" i="37"/>
  <c r="E302" i="37"/>
  <c r="F301" i="37"/>
  <c r="E301" i="37"/>
  <c r="F300" i="37"/>
  <c r="E300" i="37"/>
  <c r="F299" i="37"/>
  <c r="E299" i="37"/>
  <c r="F297" i="37"/>
  <c r="E297" i="37"/>
  <c r="F296" i="37"/>
  <c r="E296" i="37"/>
  <c r="D295" i="37"/>
  <c r="F294" i="37"/>
  <c r="E294" i="37"/>
  <c r="D293" i="37"/>
  <c r="F292" i="37"/>
  <c r="E292" i="37"/>
  <c r="D291" i="37"/>
  <c r="E291" i="37" s="1"/>
  <c r="F291" i="37" s="1"/>
  <c r="F290" i="37"/>
  <c r="E290" i="37"/>
  <c r="E289" i="37"/>
  <c r="F289" i="37" s="1"/>
  <c r="D289" i="37"/>
  <c r="F288" i="37"/>
  <c r="E288" i="37"/>
  <c r="F287" i="37"/>
  <c r="E287" i="37"/>
  <c r="F286" i="37"/>
  <c r="E286" i="37"/>
  <c r="F285" i="37"/>
  <c r="E285" i="37"/>
  <c r="F284" i="37"/>
  <c r="E284" i="37"/>
  <c r="E283" i="37"/>
  <c r="F283" i="37" s="1"/>
  <c r="E282" i="37"/>
  <c r="F282" i="37" s="1"/>
  <c r="F281" i="37"/>
  <c r="E281" i="37"/>
  <c r="E280" i="37"/>
  <c r="D280" i="37"/>
  <c r="F279" i="37"/>
  <c r="E279" i="37"/>
  <c r="E278" i="37"/>
  <c r="F278" i="37" s="1"/>
  <c r="F277" i="37"/>
  <c r="E277" i="37"/>
  <c r="F276" i="37"/>
  <c r="E276" i="37"/>
  <c r="D276" i="37"/>
  <c r="F275" i="37"/>
  <c r="E275" i="37"/>
  <c r="D275" i="37"/>
  <c r="F274" i="37"/>
  <c r="E274" i="37"/>
  <c r="E273" i="37"/>
  <c r="D273" i="37"/>
  <c r="F272" i="37"/>
  <c r="E272" i="37"/>
  <c r="D271" i="37"/>
  <c r="E270" i="37"/>
  <c r="F270" i="37" s="1"/>
  <c r="F269" i="37"/>
  <c r="E269" i="37"/>
  <c r="F268" i="37"/>
  <c r="E268" i="37"/>
  <c r="F267" i="37"/>
  <c r="E267" i="37"/>
  <c r="F266" i="37"/>
  <c r="E266" i="37"/>
  <c r="F265" i="37"/>
  <c r="E265" i="37"/>
  <c r="F264" i="37"/>
  <c r="E264" i="37"/>
  <c r="F263" i="37"/>
  <c r="E263" i="37"/>
  <c r="E262" i="37"/>
  <c r="F262" i="37" s="1"/>
  <c r="F261" i="37"/>
  <c r="E261" i="37"/>
  <c r="F260" i="37"/>
  <c r="E260" i="37"/>
  <c r="F259" i="37"/>
  <c r="E259" i="37"/>
  <c r="F258" i="37"/>
  <c r="E258" i="37"/>
  <c r="F257" i="37"/>
  <c r="E257" i="37"/>
  <c r="F256" i="37"/>
  <c r="E256" i="37"/>
  <c r="E255" i="37"/>
  <c r="D255" i="37"/>
  <c r="F255" i="37" s="1"/>
  <c r="F254" i="37"/>
  <c r="E254" i="37"/>
  <c r="E253" i="37"/>
  <c r="F253" i="37" s="1"/>
  <c r="F252" i="37"/>
  <c r="E252" i="37"/>
  <c r="F251" i="37"/>
  <c r="E251" i="37"/>
  <c r="F250" i="37"/>
  <c r="E250" i="37"/>
  <c r="F249" i="37"/>
  <c r="E249" i="37"/>
  <c r="F248" i="37"/>
  <c r="E248" i="37"/>
  <c r="F247" i="37"/>
  <c r="E247" i="37"/>
  <c r="F246" i="37"/>
  <c r="E246" i="37"/>
  <c r="F245" i="37"/>
  <c r="E245" i="37"/>
  <c r="F244" i="37"/>
  <c r="E244" i="37"/>
  <c r="F243" i="37"/>
  <c r="E243" i="37"/>
  <c r="F242" i="37"/>
  <c r="E242" i="37"/>
  <c r="E241" i="37"/>
  <c r="F241" i="37" s="1"/>
  <c r="F240" i="37"/>
  <c r="E240" i="37"/>
  <c r="F239" i="37"/>
  <c r="E239" i="37"/>
  <c r="E238" i="37"/>
  <c r="F238" i="37" s="1"/>
  <c r="F237" i="37"/>
  <c r="E237" i="37"/>
  <c r="F236" i="37"/>
  <c r="E236" i="37"/>
  <c r="F235" i="37"/>
  <c r="E235" i="37"/>
  <c r="E234" i="37"/>
  <c r="F234" i="37" s="1"/>
  <c r="F233" i="37"/>
  <c r="E233" i="37"/>
  <c r="F232" i="37"/>
  <c r="E232" i="37"/>
  <c r="F231" i="37"/>
  <c r="E231" i="37"/>
  <c r="F230" i="37"/>
  <c r="E230" i="37"/>
  <c r="F229" i="37"/>
  <c r="E229" i="37"/>
  <c r="E228" i="37"/>
  <c r="F228" i="37" s="1"/>
  <c r="F227" i="37"/>
  <c r="E227" i="37"/>
  <c r="F226" i="37"/>
  <c r="E226" i="37"/>
  <c r="F225" i="37"/>
  <c r="E225" i="37"/>
  <c r="E224" i="37"/>
  <c r="F224" i="37" s="1"/>
  <c r="D224" i="37"/>
  <c r="F223" i="37"/>
  <c r="E223" i="37"/>
  <c r="F222" i="37"/>
  <c r="E222" i="37"/>
  <c r="F221" i="37"/>
  <c r="E221" i="37"/>
  <c r="F220" i="37"/>
  <c r="E220" i="37"/>
  <c r="E219" i="37"/>
  <c r="F219" i="37" s="1"/>
  <c r="F218" i="37"/>
  <c r="E218" i="37"/>
  <c r="E217" i="37"/>
  <c r="F217" i="37" s="1"/>
  <c r="F216" i="37"/>
  <c r="E216" i="37"/>
  <c r="E215" i="37"/>
  <c r="F215" i="37" s="1"/>
  <c r="F214" i="37"/>
  <c r="E214" i="37"/>
  <c r="E213" i="37"/>
  <c r="F213" i="37" s="1"/>
  <c r="D212" i="37"/>
  <c r="F211" i="37"/>
  <c r="E211" i="37"/>
  <c r="F210" i="37"/>
  <c r="E210" i="37"/>
  <c r="F209" i="37"/>
  <c r="E209" i="37"/>
  <c r="E208" i="37"/>
  <c r="F208" i="37" s="1"/>
  <c r="F207" i="37"/>
  <c r="E207" i="37"/>
  <c r="D206" i="37"/>
  <c r="F206" i="37" s="1"/>
  <c r="F205" i="37"/>
  <c r="E205" i="37"/>
  <c r="F204" i="37"/>
  <c r="E204" i="37"/>
  <c r="F203" i="37"/>
  <c r="E203" i="37"/>
  <c r="F202" i="37"/>
  <c r="E202" i="37"/>
  <c r="F201" i="37"/>
  <c r="E201" i="37"/>
  <c r="F200" i="37"/>
  <c r="E200" i="37"/>
  <c r="F199" i="37"/>
  <c r="E199" i="37"/>
  <c r="D198" i="37"/>
  <c r="D197" i="37"/>
  <c r="E196" i="37"/>
  <c r="F196" i="37" s="1"/>
  <c r="E195" i="37"/>
  <c r="F195" i="37" s="1"/>
  <c r="D194" i="37"/>
  <c r="E194" i="37" s="1"/>
  <c r="F194" i="37" s="1"/>
  <c r="D193" i="37"/>
  <c r="E193" i="37" s="1"/>
  <c r="F193" i="37" s="1"/>
  <c r="F192" i="37"/>
  <c r="D192" i="37"/>
  <c r="E192" i="37" s="1"/>
  <c r="F191" i="37"/>
  <c r="E191" i="37"/>
  <c r="F190" i="37"/>
  <c r="E190" i="37"/>
  <c r="F189" i="37"/>
  <c r="E189" i="37"/>
  <c r="F188" i="37"/>
  <c r="E188" i="37"/>
  <c r="F187" i="37"/>
  <c r="E187" i="37"/>
  <c r="F186" i="37"/>
  <c r="E186" i="37"/>
  <c r="E185" i="37"/>
  <c r="F185" i="37" s="1"/>
  <c r="E184" i="37"/>
  <c r="F184" i="37" s="1"/>
  <c r="F183" i="37"/>
  <c r="E183" i="37"/>
  <c r="E182" i="37"/>
  <c r="F182" i="37" s="1"/>
  <c r="D181" i="37"/>
  <c r="D180" i="37"/>
  <c r="E179" i="37"/>
  <c r="F179" i="37" s="1"/>
  <c r="E178" i="37"/>
  <c r="F178" i="37" s="1"/>
  <c r="F177" i="37"/>
  <c r="E177" i="37"/>
  <c r="F176" i="37"/>
  <c r="E176" i="37"/>
  <c r="F175" i="37"/>
  <c r="E175" i="37"/>
  <c r="F174" i="37"/>
  <c r="E174" i="37"/>
  <c r="F173" i="37"/>
  <c r="E173" i="37"/>
  <c r="F172" i="37"/>
  <c r="E172" i="37"/>
  <c r="E171" i="37"/>
  <c r="F171" i="37" s="1"/>
  <c r="E170" i="37"/>
  <c r="F170" i="37" s="1"/>
  <c r="F169" i="37"/>
  <c r="E169" i="37"/>
  <c r="E168" i="37"/>
  <c r="F168" i="37" s="1"/>
  <c r="F167" i="37"/>
  <c r="E167" i="37"/>
  <c r="F166" i="37"/>
  <c r="E166" i="37"/>
  <c r="F165" i="37"/>
  <c r="E165" i="37"/>
  <c r="F164" i="37"/>
  <c r="E164" i="37"/>
  <c r="F163" i="37"/>
  <c r="E163" i="37"/>
  <c r="E161" i="37"/>
  <c r="F161" i="37" s="1"/>
  <c r="E160" i="37"/>
  <c r="F160" i="37" s="1"/>
  <c r="F159" i="37"/>
  <c r="E159" i="37"/>
  <c r="E158" i="37"/>
  <c r="F158" i="37" s="1"/>
  <c r="E157" i="37"/>
  <c r="F157" i="37" s="1"/>
  <c r="E156" i="37"/>
  <c r="F156" i="37" s="1"/>
  <c r="F155" i="37"/>
  <c r="E155" i="37"/>
  <c r="E154" i="37"/>
  <c r="F154" i="37" s="1"/>
  <c r="E153" i="37"/>
  <c r="F153" i="37" s="1"/>
  <c r="F152" i="37"/>
  <c r="E152" i="37"/>
  <c r="E151" i="37"/>
  <c r="F151" i="37" s="1"/>
  <c r="F150" i="37"/>
  <c r="E150" i="37"/>
  <c r="E149" i="37"/>
  <c r="F149" i="37" s="1"/>
  <c r="F148" i="37"/>
  <c r="E148" i="37"/>
  <c r="E147" i="37"/>
  <c r="F147" i="37" s="1"/>
  <c r="E146" i="37"/>
  <c r="F146" i="37" s="1"/>
  <c r="E145" i="37"/>
  <c r="F145" i="37" s="1"/>
  <c r="F144" i="37"/>
  <c r="E144" i="37"/>
  <c r="E143" i="37"/>
  <c r="F143" i="37" s="1"/>
  <c r="E142" i="37"/>
  <c r="F142" i="37" s="1"/>
  <c r="E141" i="37"/>
  <c r="F141" i="37" s="1"/>
  <c r="F140" i="37"/>
  <c r="E140" i="37"/>
  <c r="E139" i="37"/>
  <c r="F139" i="37" s="1"/>
  <c r="E138" i="37"/>
  <c r="F138" i="37" s="1"/>
  <c r="F137" i="37"/>
  <c r="E137" i="37"/>
  <c r="E136" i="37"/>
  <c r="F136" i="37" s="1"/>
  <c r="E135" i="37"/>
  <c r="F135" i="37" s="1"/>
  <c r="E134" i="37"/>
  <c r="F134" i="37" s="1"/>
  <c r="F133" i="37"/>
  <c r="E133" i="37"/>
  <c r="F132" i="37"/>
  <c r="E132" i="37"/>
  <c r="F131" i="37"/>
  <c r="E131" i="37"/>
  <c r="F130" i="37"/>
  <c r="E130" i="37"/>
  <c r="F129" i="37"/>
  <c r="E129" i="37"/>
  <c r="E128" i="37"/>
  <c r="F128" i="37" s="1"/>
  <c r="F127" i="37"/>
  <c r="E127" i="37"/>
  <c r="F126" i="37"/>
  <c r="E126" i="37"/>
  <c r="F125" i="37"/>
  <c r="E125" i="37"/>
  <c r="F124" i="37"/>
  <c r="E124" i="37"/>
  <c r="F123" i="37"/>
  <c r="E123" i="37"/>
  <c r="E122" i="37"/>
  <c r="F122" i="37" s="1"/>
  <c r="F121" i="37"/>
  <c r="E121" i="37"/>
  <c r="E120" i="37"/>
  <c r="F120" i="37" s="1"/>
  <c r="F119" i="37"/>
  <c r="E119" i="37"/>
  <c r="E118" i="37"/>
  <c r="F118" i="37" s="1"/>
  <c r="F117" i="37"/>
  <c r="E117" i="37"/>
  <c r="F116" i="37"/>
  <c r="E116" i="37"/>
  <c r="F115" i="37"/>
  <c r="E115" i="37"/>
  <c r="F114" i="37"/>
  <c r="E114" i="37"/>
  <c r="F113" i="37"/>
  <c r="E113" i="37"/>
  <c r="F112" i="37"/>
  <c r="E112" i="37"/>
  <c r="F111" i="37"/>
  <c r="E111" i="37"/>
  <c r="E110" i="37"/>
  <c r="F110" i="37" s="1"/>
  <c r="D109" i="37"/>
  <c r="E109" i="37" s="1"/>
  <c r="D108" i="37"/>
  <c r="E108" i="37" s="1"/>
  <c r="F107" i="37"/>
  <c r="E107" i="37"/>
  <c r="F106" i="37"/>
  <c r="E106" i="37"/>
  <c r="F105" i="37"/>
  <c r="E105" i="37"/>
  <c r="E104" i="37"/>
  <c r="F104" i="37" s="1"/>
  <c r="D103" i="37"/>
  <c r="E103" i="37" s="1"/>
  <c r="F102" i="37"/>
  <c r="E102" i="37"/>
  <c r="F101" i="37"/>
  <c r="E101" i="37"/>
  <c r="D101" i="37"/>
  <c r="F100" i="37"/>
  <c r="E100" i="37"/>
  <c r="D100" i="37"/>
  <c r="F99" i="37"/>
  <c r="E99" i="37"/>
  <c r="F98" i="37"/>
  <c r="E98" i="37"/>
  <c r="F97" i="37"/>
  <c r="E97" i="37"/>
  <c r="F96" i="37"/>
  <c r="E96" i="37"/>
  <c r="F95" i="37"/>
  <c r="E95" i="37"/>
  <c r="F94" i="37"/>
  <c r="E94" i="37"/>
  <c r="F93" i="37"/>
  <c r="E93" i="37"/>
  <c r="D92" i="37"/>
  <c r="E92" i="37" s="1"/>
  <c r="F91" i="37"/>
  <c r="E91" i="37"/>
  <c r="F90" i="37"/>
  <c r="E90" i="37"/>
  <c r="E89" i="37"/>
  <c r="F89" i="37" s="1"/>
  <c r="E88" i="37"/>
  <c r="F88" i="37" s="1"/>
  <c r="F87" i="37"/>
  <c r="E87" i="37"/>
  <c r="F86" i="37"/>
  <c r="E86" i="37"/>
  <c r="F85" i="37"/>
  <c r="E85" i="37"/>
  <c r="F84" i="37"/>
  <c r="E84" i="37"/>
  <c r="F83" i="37"/>
  <c r="E83" i="37"/>
  <c r="F82" i="37"/>
  <c r="E82" i="37"/>
  <c r="F81" i="37"/>
  <c r="E81" i="37"/>
  <c r="D81" i="37"/>
  <c r="F80" i="37"/>
  <c r="E80" i="37"/>
  <c r="D79" i="37"/>
  <c r="F78" i="37"/>
  <c r="E78" i="37"/>
  <c r="F77" i="37"/>
  <c r="E77" i="37"/>
  <c r="F76" i="37"/>
  <c r="E76" i="37"/>
  <c r="F75" i="37"/>
  <c r="E75" i="37"/>
  <c r="F74" i="37"/>
  <c r="E74" i="37"/>
  <c r="F73" i="37"/>
  <c r="E73" i="37"/>
  <c r="F72" i="37"/>
  <c r="E72" i="37"/>
  <c r="F71" i="37"/>
  <c r="E71" i="37"/>
  <c r="F70" i="37"/>
  <c r="E70" i="37"/>
  <c r="F69" i="37"/>
  <c r="E69" i="37"/>
  <c r="F67" i="37"/>
  <c r="E67" i="37"/>
  <c r="F66" i="37"/>
  <c r="E66" i="37"/>
  <c r="E65" i="37"/>
  <c r="D65" i="37"/>
  <c r="E64" i="37"/>
  <c r="D64" i="37"/>
  <c r="F63" i="37"/>
  <c r="E63" i="37"/>
  <c r="F62" i="37"/>
  <c r="E62" i="37"/>
  <c r="F61" i="37"/>
  <c r="E61" i="37"/>
  <c r="D61" i="37"/>
  <c r="D68" i="37" s="1"/>
  <c r="F60" i="37"/>
  <c r="E60" i="37"/>
  <c r="F59" i="37"/>
  <c r="E59" i="37"/>
  <c r="E58" i="37"/>
  <c r="F58" i="37" s="1"/>
  <c r="F57" i="37"/>
  <c r="E57" i="37"/>
  <c r="E56" i="37"/>
  <c r="F56" i="37" s="1"/>
  <c r="F55" i="37"/>
  <c r="E55" i="37"/>
  <c r="E54" i="37"/>
  <c r="D54" i="37"/>
  <c r="D53" i="37"/>
  <c r="F52" i="37"/>
  <c r="E52" i="37"/>
  <c r="F51" i="37"/>
  <c r="E51" i="37"/>
  <c r="F50" i="37"/>
  <c r="E50" i="37"/>
  <c r="E48" i="37"/>
  <c r="F48" i="37" s="1"/>
  <c r="F47" i="37"/>
  <c r="E47" i="37"/>
  <c r="E46" i="37"/>
  <c r="F46" i="37" s="1"/>
  <c r="F45" i="37"/>
  <c r="E45" i="37"/>
  <c r="F44" i="37"/>
  <c r="E44" i="37"/>
  <c r="E43" i="37"/>
  <c r="F43" i="37" s="1"/>
  <c r="F42" i="37"/>
  <c r="E42" i="37"/>
  <c r="F41" i="37"/>
  <c r="E41" i="37"/>
  <c r="F40" i="37"/>
  <c r="E40" i="37"/>
  <c r="E39" i="37"/>
  <c r="F39" i="37" s="1"/>
  <c r="F38" i="37"/>
  <c r="E38" i="37"/>
  <c r="F37" i="37"/>
  <c r="E37" i="37"/>
  <c r="E36" i="37"/>
  <c r="F36" i="37" s="1"/>
  <c r="F35" i="37"/>
  <c r="E35" i="37"/>
  <c r="E34" i="37"/>
  <c r="F34" i="37" s="1"/>
  <c r="F33" i="37"/>
  <c r="E33" i="37"/>
  <c r="F32" i="37"/>
  <c r="E32" i="37"/>
  <c r="E31" i="37"/>
  <c r="F31" i="37" s="1"/>
  <c r="F30" i="37"/>
  <c r="E30" i="37"/>
  <c r="F29" i="37"/>
  <c r="E29" i="37"/>
  <c r="F28" i="37"/>
  <c r="E28" i="37"/>
  <c r="F27" i="37"/>
  <c r="E27" i="37"/>
  <c r="F26" i="37"/>
  <c r="E26" i="37"/>
  <c r="F25" i="37"/>
  <c r="E25" i="37"/>
  <c r="E24" i="37"/>
  <c r="F24" i="37" s="1"/>
  <c r="F23" i="37"/>
  <c r="E23" i="37"/>
  <c r="E22" i="37"/>
  <c r="F22" i="37" s="1"/>
  <c r="F21" i="37"/>
  <c r="E21" i="37"/>
  <c r="F20" i="37"/>
  <c r="E20" i="37"/>
  <c r="F19" i="37"/>
  <c r="E19" i="37"/>
  <c r="E18" i="37"/>
  <c r="F18" i="37" s="1"/>
  <c r="F17" i="37"/>
  <c r="E17" i="37"/>
  <c r="E16" i="37"/>
  <c r="F16" i="37" s="1"/>
  <c r="D16" i="37"/>
  <c r="F15" i="37"/>
  <c r="E15" i="37"/>
  <c r="F13" i="37"/>
  <c r="E13" i="37"/>
  <c r="F11" i="37"/>
  <c r="E11" i="37"/>
  <c r="F10" i="37"/>
  <c r="E10" i="37"/>
  <c r="G19" i="31"/>
  <c r="G20" i="31" s="1"/>
  <c r="G21" i="31" s="1"/>
  <c r="G22" i="31" s="1"/>
  <c r="G23" i="31" s="1"/>
  <c r="G24" i="31" s="1"/>
  <c r="G25" i="31" s="1"/>
  <c r="G26" i="31" s="1"/>
  <c r="G27" i="31" s="1"/>
  <c r="G28" i="31" s="1"/>
  <c r="G29" i="31" s="1"/>
  <c r="G30" i="31" s="1"/>
  <c r="G31" i="31" s="1"/>
  <c r="G32" i="31" s="1"/>
  <c r="G33" i="31" s="1"/>
  <c r="G34" i="31" s="1"/>
  <c r="G35" i="31" s="1"/>
  <c r="G36" i="31" s="1"/>
  <c r="G37" i="31" s="1"/>
  <c r="G38" i="31" s="1"/>
  <c r="G39" i="31" s="1"/>
  <c r="G40" i="31" s="1"/>
  <c r="G41" i="31" s="1"/>
  <c r="G42" i="31" s="1"/>
  <c r="G43" i="31" s="1"/>
  <c r="G44" i="31" s="1"/>
  <c r="G45" i="31" s="1"/>
  <c r="G46" i="31" s="1"/>
  <c r="G47" i="31" s="1"/>
  <c r="G48" i="31" s="1"/>
  <c r="G49" i="31" s="1"/>
  <c r="G50" i="31" s="1"/>
  <c r="G51" i="31" s="1"/>
  <c r="G52" i="31" s="1"/>
  <c r="G53" i="31" s="1"/>
  <c r="G54" i="31" s="1"/>
  <c r="G55" i="31" s="1"/>
  <c r="G56" i="31" s="1"/>
  <c r="G57" i="31" s="1"/>
  <c r="G58" i="31" s="1"/>
  <c r="G59" i="31" s="1"/>
  <c r="G60" i="31" s="1"/>
  <c r="G61" i="31" s="1"/>
  <c r="G62" i="31" s="1"/>
  <c r="G63" i="31" s="1"/>
  <c r="G64" i="31" s="1"/>
  <c r="G65" i="31" s="1"/>
  <c r="G66" i="31" s="1"/>
  <c r="G67" i="31" s="1"/>
  <c r="G68" i="31" s="1"/>
  <c r="G69" i="31" s="1"/>
  <c r="G70" i="31" s="1"/>
  <c r="G71" i="31" s="1"/>
  <c r="G72" i="31" s="1"/>
  <c r="G73" i="31" s="1"/>
  <c r="G74" i="31" s="1"/>
  <c r="G75" i="31" s="1"/>
  <c r="G76" i="31" s="1"/>
  <c r="G77" i="31" s="1"/>
  <c r="G78" i="31" s="1"/>
  <c r="G79" i="31" s="1"/>
  <c r="G80" i="31" s="1"/>
  <c r="G81" i="31" s="1"/>
  <c r="G82" i="31" s="1"/>
  <c r="G83" i="31" s="1"/>
  <c r="G84" i="31" s="1"/>
  <c r="G85" i="31" s="1"/>
  <c r="G86" i="31" s="1"/>
  <c r="G87" i="31" s="1"/>
  <c r="G88" i="31" s="1"/>
  <c r="G89" i="31" s="1"/>
  <c r="G90" i="31" s="1"/>
  <c r="G91" i="31" s="1"/>
  <c r="G92" i="31" s="1"/>
  <c r="G93" i="31" s="1"/>
  <c r="G94" i="31" s="1"/>
  <c r="G95" i="31" s="1"/>
  <c r="G96" i="31" s="1"/>
  <c r="G97" i="31" s="1"/>
  <c r="G98" i="31" s="1"/>
  <c r="G99" i="31" s="1"/>
  <c r="G100" i="31" s="1"/>
  <c r="G101" i="31" s="1"/>
  <c r="G102" i="31" s="1"/>
  <c r="G103" i="31" s="1"/>
  <c r="G104" i="31" s="1"/>
  <c r="G105" i="31" s="1"/>
  <c r="G106" i="31" s="1"/>
  <c r="G107" i="31" s="1"/>
  <c r="G108" i="31" s="1"/>
  <c r="G109" i="31" s="1"/>
  <c r="G110" i="31" s="1"/>
  <c r="G111" i="31" s="1"/>
  <c r="G112" i="31" s="1"/>
  <c r="G113" i="31" s="1"/>
  <c r="G114" i="31" s="1"/>
  <c r="G115" i="31" s="1"/>
  <c r="G116" i="31" s="1"/>
  <c r="G117" i="31" s="1"/>
  <c r="G118" i="31" s="1"/>
  <c r="G119" i="31" s="1"/>
  <c r="G120" i="31" s="1"/>
  <c r="G121" i="31" s="1"/>
  <c r="G122" i="31" s="1"/>
  <c r="G123" i="31" s="1"/>
  <c r="G124" i="31" s="1"/>
  <c r="G125" i="31" s="1"/>
  <c r="G126" i="31" s="1"/>
  <c r="G127" i="31" s="1"/>
  <c r="G128" i="31" s="1"/>
  <c r="G129" i="31" s="1"/>
  <c r="G130" i="31" s="1"/>
  <c r="G131" i="31" s="1"/>
  <c r="G132" i="31" s="1"/>
  <c r="G133" i="31" s="1"/>
  <c r="G134" i="31" s="1"/>
  <c r="G135" i="31" s="1"/>
  <c r="G136" i="31" s="1"/>
  <c r="G137" i="31" s="1"/>
  <c r="G138" i="31" s="1"/>
  <c r="G139" i="31" s="1"/>
  <c r="G140" i="31" s="1"/>
  <c r="G141" i="31" s="1"/>
  <c r="G142" i="31" s="1"/>
  <c r="G143" i="31" s="1"/>
  <c r="G144" i="31" s="1"/>
  <c r="G145" i="31" s="1"/>
  <c r="G146" i="31" s="1"/>
  <c r="G147" i="31" s="1"/>
  <c r="G148" i="31" s="1"/>
  <c r="G149" i="31" s="1"/>
  <c r="G150" i="31" s="1"/>
  <c r="G151" i="31" s="1"/>
  <c r="G152" i="31" s="1"/>
  <c r="G153" i="31" s="1"/>
  <c r="G154" i="31" s="1"/>
  <c r="G155" i="31" s="1"/>
  <c r="G156" i="31" s="1"/>
  <c r="G157" i="31" s="1"/>
  <c r="G158" i="31" s="1"/>
  <c r="G159" i="31" s="1"/>
  <c r="G160" i="31" s="1"/>
  <c r="G161" i="31" s="1"/>
  <c r="G162" i="31" s="1"/>
  <c r="G163" i="31" s="1"/>
  <c r="G164" i="31" s="1"/>
  <c r="G165" i="31" s="1"/>
  <c r="G166" i="31" s="1"/>
  <c r="G167" i="31" s="1"/>
  <c r="G168" i="31" s="1"/>
  <c r="G169" i="31" s="1"/>
  <c r="G170" i="31" s="1"/>
  <c r="G171" i="31" s="1"/>
  <c r="G172" i="31" s="1"/>
  <c r="G173" i="31" s="1"/>
  <c r="G174" i="31" s="1"/>
  <c r="G175" i="31" s="1"/>
  <c r="G176" i="31" s="1"/>
  <c r="G177" i="31" s="1"/>
  <c r="G178" i="31" s="1"/>
  <c r="G179" i="31" s="1"/>
  <c r="G180" i="31" s="1"/>
  <c r="G181" i="31" s="1"/>
  <c r="G182" i="31" s="1"/>
  <c r="G183" i="31" s="1"/>
  <c r="G184" i="31" s="1"/>
  <c r="G185" i="31" s="1"/>
  <c r="G186" i="31" s="1"/>
  <c r="G18" i="31"/>
  <c r="G17" i="31"/>
  <c r="G16" i="31"/>
  <c r="G18" i="30"/>
  <c r="G19" i="30" s="1"/>
  <c r="G20" i="30" s="1"/>
  <c r="G21" i="30" s="1"/>
  <c r="G22" i="30" s="1"/>
  <c r="G23" i="30" s="1"/>
  <c r="G24" i="30" s="1"/>
  <c r="G25" i="30" s="1"/>
  <c r="G26" i="30" s="1"/>
  <c r="G27" i="30" s="1"/>
  <c r="G28" i="30" s="1"/>
  <c r="G29" i="30" s="1"/>
  <c r="G30" i="30" s="1"/>
  <c r="G31" i="30" s="1"/>
  <c r="G32" i="30" s="1"/>
  <c r="G33" i="30" s="1"/>
  <c r="G34" i="30" s="1"/>
  <c r="G35" i="30" s="1"/>
  <c r="G36" i="30" s="1"/>
  <c r="G37" i="30" s="1"/>
  <c r="G38" i="30" s="1"/>
  <c r="G39" i="30" s="1"/>
  <c r="G40" i="30" s="1"/>
  <c r="G41" i="30" s="1"/>
  <c r="G42" i="30" s="1"/>
  <c r="G43" i="30" s="1"/>
  <c r="G44" i="30" s="1"/>
  <c r="G45" i="30" s="1"/>
  <c r="G46" i="30" s="1"/>
  <c r="G47" i="30" s="1"/>
  <c r="G48" i="30" s="1"/>
  <c r="G49" i="30" s="1"/>
  <c r="G50" i="30" s="1"/>
  <c r="G51" i="30" s="1"/>
  <c r="G52" i="30" s="1"/>
  <c r="G53" i="30" s="1"/>
  <c r="G54" i="30" s="1"/>
  <c r="G55" i="30" s="1"/>
  <c r="G56" i="30" s="1"/>
  <c r="G57" i="30" s="1"/>
  <c r="G58" i="30" s="1"/>
  <c r="G59" i="30" s="1"/>
  <c r="G60" i="30" s="1"/>
  <c r="G61" i="30" s="1"/>
  <c r="G62" i="30" s="1"/>
  <c r="G63" i="30" s="1"/>
  <c r="G64" i="30" s="1"/>
  <c r="G65" i="30" s="1"/>
  <c r="G66" i="30" s="1"/>
  <c r="G67" i="30" s="1"/>
  <c r="G68" i="30" s="1"/>
  <c r="G69" i="30" s="1"/>
  <c r="G70" i="30" s="1"/>
  <c r="G71" i="30" s="1"/>
  <c r="G72" i="30" s="1"/>
  <c r="G73" i="30" s="1"/>
  <c r="G74" i="30" s="1"/>
  <c r="G75" i="30" s="1"/>
  <c r="G76" i="30" s="1"/>
  <c r="G77" i="30" s="1"/>
  <c r="G78" i="30" s="1"/>
  <c r="G79" i="30" s="1"/>
  <c r="G80" i="30" s="1"/>
  <c r="G81" i="30" s="1"/>
  <c r="G82" i="30" s="1"/>
  <c r="G83" i="30" s="1"/>
  <c r="G84" i="30" s="1"/>
  <c r="G85" i="30" s="1"/>
  <c r="G86" i="30" s="1"/>
  <c r="G87" i="30" s="1"/>
  <c r="G88" i="30" s="1"/>
  <c r="G89" i="30" s="1"/>
  <c r="G90" i="30" s="1"/>
  <c r="G91" i="30" s="1"/>
  <c r="G92" i="30" s="1"/>
  <c r="G93" i="30" s="1"/>
  <c r="G94" i="30" s="1"/>
  <c r="G95" i="30" s="1"/>
  <c r="G96" i="30" s="1"/>
  <c r="G97" i="30" s="1"/>
  <c r="G98" i="30" s="1"/>
  <c r="G99" i="30" s="1"/>
  <c r="G100" i="30" s="1"/>
  <c r="G101" i="30" s="1"/>
  <c r="G102" i="30" s="1"/>
  <c r="G103" i="30" s="1"/>
  <c r="G104" i="30" s="1"/>
  <c r="G105" i="30" s="1"/>
  <c r="G106" i="30" s="1"/>
  <c r="G107" i="30" s="1"/>
  <c r="G108" i="30" s="1"/>
  <c r="G109" i="30" s="1"/>
  <c r="G110" i="30" s="1"/>
  <c r="G111" i="30" s="1"/>
  <c r="G112" i="30" s="1"/>
  <c r="G113" i="30" s="1"/>
  <c r="G114" i="30" s="1"/>
  <c r="G115" i="30" s="1"/>
  <c r="G116" i="30" s="1"/>
  <c r="G117" i="30" s="1"/>
  <c r="G118" i="30" s="1"/>
  <c r="G119" i="30" s="1"/>
  <c r="G120" i="30" s="1"/>
  <c r="G121" i="30" s="1"/>
  <c r="G122" i="30" s="1"/>
  <c r="G123" i="30" s="1"/>
  <c r="G124" i="30" s="1"/>
  <c r="G125" i="30" s="1"/>
  <c r="G126" i="30" s="1"/>
  <c r="G127" i="30" s="1"/>
  <c r="G128" i="30" s="1"/>
  <c r="G129" i="30" s="1"/>
  <c r="G130" i="30" s="1"/>
  <c r="G131" i="30" s="1"/>
  <c r="G132" i="30" s="1"/>
  <c r="G133" i="30" s="1"/>
  <c r="G134" i="30" s="1"/>
  <c r="G135" i="30" s="1"/>
  <c r="G136" i="30" s="1"/>
  <c r="G137" i="30" s="1"/>
  <c r="G138" i="30" s="1"/>
  <c r="G139" i="30" s="1"/>
  <c r="G140" i="30" s="1"/>
  <c r="G141" i="30" s="1"/>
  <c r="G142" i="30" s="1"/>
  <c r="G143" i="30" s="1"/>
  <c r="G144" i="30" s="1"/>
  <c r="G145" i="30" s="1"/>
  <c r="G146" i="30" s="1"/>
  <c r="G147" i="30" s="1"/>
  <c r="G148" i="30" s="1"/>
  <c r="G149" i="30" s="1"/>
  <c r="G150" i="30" s="1"/>
  <c r="G151" i="30" s="1"/>
  <c r="G152" i="30" s="1"/>
  <c r="G153" i="30" s="1"/>
  <c r="G154" i="30" s="1"/>
  <c r="G155" i="30" s="1"/>
  <c r="G156" i="30" s="1"/>
  <c r="G157" i="30" s="1"/>
  <c r="G158" i="30" s="1"/>
  <c r="G159" i="30" s="1"/>
  <c r="G160" i="30" s="1"/>
  <c r="G161" i="30" s="1"/>
  <c r="G162" i="30" s="1"/>
  <c r="G163" i="30" s="1"/>
  <c r="G164" i="30" s="1"/>
  <c r="G165" i="30" s="1"/>
  <c r="G166" i="30" s="1"/>
  <c r="G167" i="30" s="1"/>
  <c r="G168" i="30" s="1"/>
  <c r="G169" i="30" s="1"/>
  <c r="G170" i="30" s="1"/>
  <c r="G171" i="30" s="1"/>
  <c r="G172" i="30" s="1"/>
  <c r="G173" i="30" s="1"/>
  <c r="G174" i="30" s="1"/>
  <c r="G175" i="30" s="1"/>
  <c r="G176" i="30" s="1"/>
  <c r="G177" i="30" s="1"/>
  <c r="G178" i="30" s="1"/>
  <c r="G179" i="30" s="1"/>
  <c r="G180" i="30" s="1"/>
  <c r="G181" i="30" s="1"/>
  <c r="G182" i="30" s="1"/>
  <c r="G183" i="30" s="1"/>
  <c r="G184" i="30" s="1"/>
  <c r="G185" i="30" s="1"/>
  <c r="G186" i="30" s="1"/>
  <c r="G187" i="30" s="1"/>
  <c r="G188" i="30" s="1"/>
  <c r="G189" i="30" s="1"/>
  <c r="G190" i="30" s="1"/>
  <c r="G191" i="30" s="1"/>
  <c r="G192" i="30" s="1"/>
  <c r="G193" i="30" s="1"/>
  <c r="G194" i="30" s="1"/>
  <c r="G195" i="30" s="1"/>
  <c r="G196" i="30" s="1"/>
  <c r="G197" i="30" s="1"/>
  <c r="G198" i="30" s="1"/>
  <c r="G199" i="30" s="1"/>
  <c r="G200" i="30" s="1"/>
  <c r="G201" i="30" s="1"/>
  <c r="G202" i="30" s="1"/>
  <c r="G203" i="30" s="1"/>
  <c r="G204" i="30" s="1"/>
  <c r="G205" i="30" s="1"/>
  <c r="G206" i="30" s="1"/>
  <c r="G207" i="30" s="1"/>
  <c r="G208" i="30" s="1"/>
  <c r="G209" i="30" s="1"/>
  <c r="G210" i="30" s="1"/>
  <c r="G211" i="30" s="1"/>
  <c r="G212" i="30" s="1"/>
  <c r="G213" i="30" s="1"/>
  <c r="G214" i="30" s="1"/>
  <c r="G215" i="30" s="1"/>
  <c r="G216" i="30" s="1"/>
  <c r="G217" i="30" s="1"/>
  <c r="G218" i="30" s="1"/>
  <c r="G219" i="30" s="1"/>
  <c r="G220" i="30" s="1"/>
  <c r="G221" i="30" s="1"/>
  <c r="G222" i="30" s="1"/>
  <c r="G223" i="30" s="1"/>
  <c r="G224" i="30" s="1"/>
  <c r="G225" i="30" s="1"/>
  <c r="G226" i="30" s="1"/>
  <c r="G227" i="30" s="1"/>
  <c r="G228" i="30" s="1"/>
  <c r="G229" i="30" s="1"/>
  <c r="G230" i="30" s="1"/>
  <c r="G231" i="30" s="1"/>
  <c r="G232" i="30" s="1"/>
  <c r="G233" i="30" s="1"/>
  <c r="G234" i="30" s="1"/>
  <c r="G235" i="30" s="1"/>
  <c r="G236" i="30" s="1"/>
  <c r="G237" i="30" s="1"/>
  <c r="G238" i="30" s="1"/>
  <c r="G239" i="30" s="1"/>
  <c r="G240" i="30" s="1"/>
  <c r="G241" i="30" s="1"/>
  <c r="G242" i="30" s="1"/>
  <c r="G243" i="30" s="1"/>
  <c r="G244" i="30" s="1"/>
  <c r="G245" i="30" s="1"/>
  <c r="G246" i="30" s="1"/>
  <c r="G247" i="30" s="1"/>
  <c r="G248" i="30" s="1"/>
  <c r="G249" i="30" s="1"/>
  <c r="G250" i="30" s="1"/>
  <c r="G251" i="30" s="1"/>
  <c r="G252" i="30" s="1"/>
  <c r="G253" i="30" s="1"/>
  <c r="G254" i="30" s="1"/>
  <c r="G255" i="30" s="1"/>
  <c r="G256" i="30" s="1"/>
  <c r="G257" i="30" s="1"/>
  <c r="G258" i="30" s="1"/>
  <c r="G259" i="30" s="1"/>
  <c r="G260" i="30" s="1"/>
  <c r="G261" i="30" s="1"/>
  <c r="G262" i="30" s="1"/>
  <c r="G263" i="30" s="1"/>
  <c r="G264" i="30" s="1"/>
  <c r="G265" i="30" s="1"/>
  <c r="G266" i="30" s="1"/>
  <c r="G267" i="30" s="1"/>
  <c r="G268" i="30" s="1"/>
  <c r="G269" i="30" s="1"/>
  <c r="G270" i="30" s="1"/>
  <c r="G271" i="30" s="1"/>
  <c r="G272" i="30" s="1"/>
  <c r="G273" i="30" s="1"/>
  <c r="G274" i="30" s="1"/>
  <c r="G275" i="30" s="1"/>
  <c r="G276" i="30" s="1"/>
  <c r="G277" i="30" s="1"/>
  <c r="G278" i="30" s="1"/>
  <c r="G279" i="30" s="1"/>
  <c r="G280" i="30" s="1"/>
  <c r="G17" i="30"/>
  <c r="G16" i="30"/>
  <c r="G18" i="22"/>
  <c r="G19" i="22" s="1"/>
  <c r="G20" i="22" s="1"/>
  <c r="G21" i="22" s="1"/>
  <c r="G22" i="22" s="1"/>
  <c r="G23" i="22" s="1"/>
  <c r="G24" i="22" s="1"/>
  <c r="G25" i="22" s="1"/>
  <c r="G26" i="22" s="1"/>
  <c r="G27" i="22" s="1"/>
  <c r="G28" i="22" s="1"/>
  <c r="G29" i="22" s="1"/>
  <c r="G30" i="22" s="1"/>
  <c r="G31" i="22" s="1"/>
  <c r="G32" i="22" s="1"/>
  <c r="G33" i="22" s="1"/>
  <c r="G34" i="22" s="1"/>
  <c r="G35" i="22" s="1"/>
  <c r="G36" i="22" s="1"/>
  <c r="G37" i="22" s="1"/>
  <c r="G38" i="22" s="1"/>
  <c r="G39" i="22" s="1"/>
  <c r="G40" i="22" s="1"/>
  <c r="G41" i="22" s="1"/>
  <c r="G42" i="22" s="1"/>
  <c r="G43" i="22" s="1"/>
  <c r="G44" i="22" s="1"/>
  <c r="G45" i="22" s="1"/>
  <c r="G46" i="22" s="1"/>
  <c r="G47" i="22" s="1"/>
  <c r="G48" i="22" s="1"/>
  <c r="G49" i="22" s="1"/>
  <c r="G50" i="22" s="1"/>
  <c r="G51" i="22" s="1"/>
  <c r="G52" i="22" s="1"/>
  <c r="G53" i="22" s="1"/>
  <c r="G54" i="22" s="1"/>
  <c r="G55" i="22" s="1"/>
  <c r="G56" i="22" s="1"/>
  <c r="G57" i="22" s="1"/>
  <c r="G58" i="22" s="1"/>
  <c r="G59" i="22" s="1"/>
  <c r="G60" i="22" s="1"/>
  <c r="G61" i="22" s="1"/>
  <c r="G62" i="22" s="1"/>
  <c r="G63" i="22" s="1"/>
  <c r="G64" i="22" s="1"/>
  <c r="G65" i="22" s="1"/>
  <c r="G66" i="22" s="1"/>
  <c r="G67" i="22" s="1"/>
  <c r="G68" i="22" s="1"/>
  <c r="G69" i="22" s="1"/>
  <c r="G70" i="22" s="1"/>
  <c r="G71" i="22" s="1"/>
  <c r="G72" i="22" s="1"/>
  <c r="G73" i="22" s="1"/>
  <c r="G74" i="22" s="1"/>
  <c r="G75" i="22" s="1"/>
  <c r="G76" i="22" s="1"/>
  <c r="G77" i="22" s="1"/>
  <c r="G78" i="22" s="1"/>
  <c r="G79" i="22" s="1"/>
  <c r="G80" i="22" s="1"/>
  <c r="G81" i="22" s="1"/>
  <c r="G82" i="22" s="1"/>
  <c r="G83" i="22" s="1"/>
  <c r="G84" i="22" s="1"/>
  <c r="G85" i="22" s="1"/>
  <c r="G86" i="22" s="1"/>
  <c r="G87" i="22" s="1"/>
  <c r="G88" i="22" s="1"/>
  <c r="G89" i="22" s="1"/>
  <c r="G90" i="22" s="1"/>
  <c r="G91" i="22" s="1"/>
  <c r="G92" i="22" s="1"/>
  <c r="G93" i="22" s="1"/>
  <c r="G94" i="22" s="1"/>
  <c r="G95" i="22" s="1"/>
  <c r="G96" i="22" s="1"/>
  <c r="G97" i="22" s="1"/>
  <c r="G98" i="22" s="1"/>
  <c r="G99" i="22" s="1"/>
  <c r="G100" i="22" s="1"/>
  <c r="G101" i="22" s="1"/>
  <c r="G102" i="22" s="1"/>
  <c r="G103" i="22" s="1"/>
  <c r="G104" i="22" s="1"/>
  <c r="G105" i="22" s="1"/>
  <c r="G106" i="22" s="1"/>
  <c r="G107" i="22" s="1"/>
  <c r="G108" i="22" s="1"/>
  <c r="G109" i="22" s="1"/>
  <c r="G110" i="22" s="1"/>
  <c r="G111" i="22" s="1"/>
  <c r="G112" i="22" s="1"/>
  <c r="G113" i="22" s="1"/>
  <c r="G114" i="22" s="1"/>
  <c r="G115" i="22" s="1"/>
  <c r="G116" i="22" s="1"/>
  <c r="G117" i="22" s="1"/>
  <c r="G118" i="22" s="1"/>
  <c r="G119" i="22" s="1"/>
  <c r="G120" i="22" s="1"/>
  <c r="G121" i="22" s="1"/>
  <c r="G122" i="22" s="1"/>
  <c r="G123" i="22" s="1"/>
  <c r="G124" i="22" s="1"/>
  <c r="G125" i="22" s="1"/>
  <c r="G126" i="22" s="1"/>
  <c r="G127" i="22" s="1"/>
  <c r="G128" i="22" s="1"/>
  <c r="G129" i="22" s="1"/>
  <c r="G130" i="22" s="1"/>
  <c r="G131" i="22" s="1"/>
  <c r="G132" i="22" s="1"/>
  <c r="G133" i="22" s="1"/>
  <c r="G134" i="22" s="1"/>
  <c r="G135" i="22" s="1"/>
  <c r="G136" i="22" s="1"/>
  <c r="G137" i="22" s="1"/>
  <c r="G138" i="22" s="1"/>
  <c r="G139" i="22" s="1"/>
  <c r="G140" i="22" s="1"/>
  <c r="G141" i="22" s="1"/>
  <c r="G142" i="22" s="1"/>
  <c r="G143" i="22" s="1"/>
  <c r="G144" i="22" s="1"/>
  <c r="G145" i="22" s="1"/>
  <c r="G146" i="22" s="1"/>
  <c r="G147" i="22" s="1"/>
  <c r="G148" i="22" s="1"/>
  <c r="G149" i="22" s="1"/>
  <c r="G150" i="22" s="1"/>
  <c r="G151" i="22" s="1"/>
  <c r="G152" i="22" s="1"/>
  <c r="G153" i="22" s="1"/>
  <c r="G154" i="22" s="1"/>
  <c r="G155" i="22" s="1"/>
  <c r="G156" i="22" s="1"/>
  <c r="G157" i="22" s="1"/>
  <c r="G158" i="22" s="1"/>
  <c r="G159" i="22" s="1"/>
  <c r="G160" i="22" s="1"/>
  <c r="G161" i="22" s="1"/>
  <c r="G162" i="22" s="1"/>
  <c r="G163" i="22" s="1"/>
  <c r="G164" i="22" s="1"/>
  <c r="G165" i="22" s="1"/>
  <c r="G166" i="22" s="1"/>
  <c r="G167" i="22" s="1"/>
  <c r="G168" i="22" s="1"/>
  <c r="G169" i="22" s="1"/>
  <c r="G170" i="22" s="1"/>
  <c r="G171" i="22" s="1"/>
  <c r="G172" i="22" s="1"/>
  <c r="G173" i="22" s="1"/>
  <c r="G174" i="22" s="1"/>
  <c r="G175" i="22" s="1"/>
  <c r="G176" i="22" s="1"/>
  <c r="G177" i="22" s="1"/>
  <c r="G178" i="22" s="1"/>
  <c r="G179" i="22" s="1"/>
  <c r="G180" i="22" s="1"/>
  <c r="G181" i="22" s="1"/>
  <c r="G182" i="22" s="1"/>
  <c r="G183" i="22" s="1"/>
  <c r="G184" i="22" s="1"/>
  <c r="G185" i="22" s="1"/>
  <c r="G186" i="22" s="1"/>
  <c r="G187" i="22" s="1"/>
  <c r="G188" i="22" s="1"/>
  <c r="G189" i="22" s="1"/>
  <c r="G190" i="22" s="1"/>
  <c r="G191" i="22" s="1"/>
  <c r="G192" i="22" s="1"/>
  <c r="G193" i="22" s="1"/>
  <c r="G194" i="22" s="1"/>
  <c r="G195" i="22" s="1"/>
  <c r="G196" i="22" s="1"/>
  <c r="G197" i="22" s="1"/>
  <c r="G198" i="22" s="1"/>
  <c r="G199" i="22" s="1"/>
  <c r="G200" i="22" s="1"/>
  <c r="G201" i="22" s="1"/>
  <c r="G202" i="22" s="1"/>
  <c r="G203" i="22" s="1"/>
  <c r="G204" i="22" s="1"/>
  <c r="G205" i="22" s="1"/>
  <c r="G206" i="22" s="1"/>
  <c r="G207" i="22" s="1"/>
  <c r="G208" i="22" s="1"/>
  <c r="G209" i="22" s="1"/>
  <c r="G210" i="22" s="1"/>
  <c r="G211" i="22" s="1"/>
  <c r="G212" i="22" s="1"/>
  <c r="G213" i="22" s="1"/>
  <c r="G214" i="22" s="1"/>
  <c r="G215" i="22" s="1"/>
  <c r="G216" i="22" s="1"/>
  <c r="G217" i="22" s="1"/>
  <c r="G218" i="22" s="1"/>
  <c r="G219" i="22" s="1"/>
  <c r="G220" i="22" s="1"/>
  <c r="G221" i="22" s="1"/>
  <c r="G222" i="22" s="1"/>
  <c r="G223" i="22" s="1"/>
  <c r="G224" i="22" s="1"/>
  <c r="G225" i="22" s="1"/>
  <c r="G226" i="22" s="1"/>
  <c r="G227" i="22" s="1"/>
  <c r="G228" i="22" s="1"/>
  <c r="G229" i="22" s="1"/>
  <c r="G230" i="22" s="1"/>
  <c r="G231" i="22" s="1"/>
  <c r="G232" i="22" s="1"/>
  <c r="G233" i="22" s="1"/>
  <c r="G234" i="22" s="1"/>
  <c r="G235" i="22" s="1"/>
  <c r="G236" i="22" s="1"/>
  <c r="G237" i="22" s="1"/>
  <c r="G238" i="22" s="1"/>
  <c r="G239" i="22" s="1"/>
  <c r="G240" i="22" s="1"/>
  <c r="G241" i="22" s="1"/>
  <c r="G242" i="22" s="1"/>
  <c r="G243" i="22" s="1"/>
  <c r="G244" i="22" s="1"/>
  <c r="G245" i="22" s="1"/>
  <c r="G246" i="22" s="1"/>
  <c r="G247" i="22" s="1"/>
  <c r="G248" i="22" s="1"/>
  <c r="G249" i="22" s="1"/>
  <c r="G250" i="22" s="1"/>
  <c r="G251" i="22" s="1"/>
  <c r="G252" i="22" s="1"/>
  <c r="G253" i="22" s="1"/>
  <c r="G254" i="22" s="1"/>
  <c r="G255" i="22" s="1"/>
  <c r="G256" i="22" s="1"/>
  <c r="G257" i="22" s="1"/>
  <c r="G258" i="22" s="1"/>
  <c r="G259" i="22" s="1"/>
  <c r="G260" i="22" s="1"/>
  <c r="G261" i="22" s="1"/>
  <c r="G262" i="22" s="1"/>
  <c r="G263" i="22" s="1"/>
  <c r="G264" i="22" s="1"/>
  <c r="G265" i="22" s="1"/>
  <c r="G266" i="22" s="1"/>
  <c r="G267" i="22" s="1"/>
  <c r="G268" i="22" s="1"/>
  <c r="G269" i="22" s="1"/>
  <c r="G270" i="22" s="1"/>
  <c r="G271" i="22" s="1"/>
  <c r="G272" i="22" s="1"/>
  <c r="G273" i="22" s="1"/>
  <c r="G274" i="22" s="1"/>
  <c r="G275" i="22" s="1"/>
  <c r="G276" i="22" s="1"/>
  <c r="G277" i="22" s="1"/>
  <c r="G278" i="22" s="1"/>
  <c r="G279" i="22" s="1"/>
  <c r="G280" i="22" s="1"/>
  <c r="G281" i="22" s="1"/>
  <c r="G282" i="22" s="1"/>
  <c r="G283" i="22" s="1"/>
  <c r="G284" i="22" s="1"/>
  <c r="G285" i="22" s="1"/>
  <c r="G286" i="22" s="1"/>
  <c r="G287" i="22" s="1"/>
  <c r="G288" i="22" s="1"/>
  <c r="G289" i="22" s="1"/>
  <c r="G290" i="22" s="1"/>
  <c r="G291" i="22" s="1"/>
  <c r="G292" i="22" s="1"/>
  <c r="G293" i="22" s="1"/>
  <c r="G294" i="22" s="1"/>
  <c r="G295" i="22" s="1"/>
  <c r="G296" i="22" s="1"/>
  <c r="G297" i="22" s="1"/>
  <c r="G298" i="22" s="1"/>
  <c r="G299" i="22" s="1"/>
  <c r="G300" i="22" s="1"/>
  <c r="G301" i="22" s="1"/>
  <c r="G302" i="22" s="1"/>
  <c r="G303" i="22" s="1"/>
  <c r="G304" i="22" s="1"/>
  <c r="G305" i="22" s="1"/>
  <c r="G306" i="22" s="1"/>
  <c r="G307" i="22" s="1"/>
  <c r="G308" i="22" s="1"/>
  <c r="G309" i="22" s="1"/>
  <c r="G310" i="22" s="1"/>
  <c r="G311" i="22" s="1"/>
  <c r="G312" i="22" s="1"/>
  <c r="G313" i="22" s="1"/>
  <c r="G314" i="22" s="1"/>
  <c r="G315" i="22" s="1"/>
  <c r="G316" i="22" s="1"/>
  <c r="G317" i="22" s="1"/>
  <c r="G318" i="22" s="1"/>
  <c r="G319" i="22" s="1"/>
  <c r="G320" i="22" s="1"/>
  <c r="G321" i="22" s="1"/>
  <c r="G322" i="22" s="1"/>
  <c r="G323" i="22" s="1"/>
  <c r="G324" i="22" s="1"/>
  <c r="G325" i="22" s="1"/>
  <c r="G326" i="22" s="1"/>
  <c r="G327" i="22" s="1"/>
  <c r="G328" i="22" s="1"/>
  <c r="G329" i="22" s="1"/>
  <c r="G330" i="22" s="1"/>
  <c r="G331" i="22" s="1"/>
  <c r="G332" i="22" s="1"/>
  <c r="G333" i="22" s="1"/>
  <c r="G334" i="22" s="1"/>
  <c r="G335" i="22" s="1"/>
  <c r="G336" i="22" s="1"/>
  <c r="G337" i="22" s="1"/>
  <c r="G338" i="22" s="1"/>
  <c r="G339" i="22" s="1"/>
  <c r="G340" i="22" s="1"/>
  <c r="G341" i="22" s="1"/>
  <c r="G342" i="22" s="1"/>
  <c r="G343" i="22" s="1"/>
  <c r="G344" i="22" s="1"/>
  <c r="G345" i="22" s="1"/>
  <c r="G346" i="22" s="1"/>
  <c r="G347" i="22" s="1"/>
  <c r="G348" i="22" s="1"/>
  <c r="G349" i="22" s="1"/>
  <c r="G350" i="22" s="1"/>
  <c r="G351" i="22" s="1"/>
  <c r="G352" i="22" s="1"/>
  <c r="G353" i="22" s="1"/>
  <c r="G354" i="22" s="1"/>
  <c r="G355" i="22" s="1"/>
  <c r="G356" i="22" s="1"/>
  <c r="G357" i="22" s="1"/>
  <c r="G358" i="22" s="1"/>
  <c r="G359" i="22" s="1"/>
  <c r="G16" i="21" s="1"/>
  <c r="G17" i="21" s="1"/>
  <c r="G18" i="21" s="1"/>
  <c r="G19" i="21" s="1"/>
  <c r="G20" i="21" s="1"/>
  <c r="G21" i="21" s="1"/>
  <c r="G22" i="21" s="1"/>
  <c r="G23" i="21" s="1"/>
  <c r="G24" i="21" s="1"/>
  <c r="G25" i="21" s="1"/>
  <c r="G26" i="21" s="1"/>
  <c r="G27" i="21" s="1"/>
  <c r="G28" i="21" s="1"/>
  <c r="G29" i="21" s="1"/>
  <c r="G30" i="21" s="1"/>
  <c r="G31" i="21" s="1"/>
  <c r="G32" i="21" s="1"/>
  <c r="G33" i="21" s="1"/>
  <c r="G34" i="21" s="1"/>
  <c r="G35" i="21" s="1"/>
  <c r="G36" i="21" s="1"/>
  <c r="G37" i="21" s="1"/>
  <c r="G38" i="21" s="1"/>
  <c r="G39" i="21" s="1"/>
  <c r="G40" i="21" s="1"/>
  <c r="G41" i="21" s="1"/>
  <c r="G42" i="21" s="1"/>
  <c r="G43" i="21" s="1"/>
  <c r="G44" i="21" s="1"/>
  <c r="G45" i="21" s="1"/>
  <c r="G46" i="21" s="1"/>
  <c r="G47" i="21" s="1"/>
  <c r="G48" i="21" s="1"/>
  <c r="G49" i="21" s="1"/>
  <c r="G50" i="21" s="1"/>
  <c r="G51" i="21" s="1"/>
  <c r="G52" i="21" s="1"/>
  <c r="G53" i="21" s="1"/>
  <c r="G54" i="21" s="1"/>
  <c r="G55" i="21" s="1"/>
  <c r="G56" i="21" s="1"/>
  <c r="G57" i="21" s="1"/>
  <c r="G58" i="21" s="1"/>
  <c r="G59" i="21" s="1"/>
  <c r="G60" i="21" s="1"/>
  <c r="G61" i="21" s="1"/>
  <c r="G62" i="21" s="1"/>
  <c r="G63" i="21" s="1"/>
  <c r="G64" i="21" s="1"/>
  <c r="G65" i="21" s="1"/>
  <c r="G66" i="21" s="1"/>
  <c r="G67" i="21" s="1"/>
  <c r="G68" i="21" s="1"/>
  <c r="G69" i="21" s="1"/>
  <c r="G70" i="21" s="1"/>
  <c r="G71" i="21" s="1"/>
  <c r="G72" i="21" s="1"/>
  <c r="G73" i="21" s="1"/>
  <c r="G74" i="21" s="1"/>
  <c r="G75" i="21" s="1"/>
  <c r="G76" i="21" s="1"/>
  <c r="G77" i="21" s="1"/>
  <c r="G78" i="21" s="1"/>
  <c r="G79" i="21" s="1"/>
  <c r="G80" i="21" s="1"/>
  <c r="G81" i="21" s="1"/>
  <c r="G82" i="21" s="1"/>
  <c r="G83" i="21" s="1"/>
  <c r="G84" i="21" s="1"/>
  <c r="G85" i="21" s="1"/>
  <c r="G86" i="21" s="1"/>
  <c r="G87" i="21" s="1"/>
  <c r="G88" i="21" s="1"/>
  <c r="G89" i="21" s="1"/>
  <c r="G90" i="21" s="1"/>
  <c r="G91" i="21" s="1"/>
  <c r="G92" i="21" s="1"/>
  <c r="G93" i="21" s="1"/>
  <c r="G94" i="21" s="1"/>
  <c r="G95" i="21" s="1"/>
  <c r="G96" i="21" s="1"/>
  <c r="G97" i="21" s="1"/>
  <c r="G98" i="21" s="1"/>
  <c r="G99" i="21" s="1"/>
  <c r="G100" i="21" s="1"/>
  <c r="G101" i="21" s="1"/>
  <c r="G102" i="21" s="1"/>
  <c r="G103" i="21" s="1"/>
  <c r="G104" i="21" s="1"/>
  <c r="G105" i="21" s="1"/>
  <c r="G106" i="21" s="1"/>
  <c r="G107" i="21" s="1"/>
  <c r="G108" i="21" s="1"/>
  <c r="G109" i="21" s="1"/>
  <c r="G110" i="21" s="1"/>
  <c r="G111" i="21" s="1"/>
  <c r="G112" i="21" s="1"/>
  <c r="G113" i="21" s="1"/>
  <c r="G114" i="21" s="1"/>
  <c r="G115" i="21" s="1"/>
  <c r="G116" i="21" s="1"/>
  <c r="G117" i="21" s="1"/>
  <c r="G118" i="21" s="1"/>
  <c r="G119" i="21" s="1"/>
  <c r="G120" i="21" s="1"/>
  <c r="G121" i="21" s="1"/>
  <c r="G122" i="21" s="1"/>
  <c r="G123" i="21" s="1"/>
  <c r="G124" i="21" s="1"/>
  <c r="G125" i="21" s="1"/>
  <c r="G126" i="21" s="1"/>
  <c r="G127" i="21" s="1"/>
  <c r="G128" i="21" s="1"/>
  <c r="G129" i="21" s="1"/>
  <c r="G130" i="21" s="1"/>
  <c r="G131" i="21" s="1"/>
  <c r="G132" i="21" s="1"/>
  <c r="G133" i="21" s="1"/>
  <c r="G134" i="21" s="1"/>
  <c r="G135" i="21" s="1"/>
  <c r="G136" i="21" s="1"/>
  <c r="G137" i="21" s="1"/>
  <c r="G138" i="21" s="1"/>
  <c r="G139" i="21" s="1"/>
  <c r="G140" i="21" s="1"/>
  <c r="G141" i="21" s="1"/>
  <c r="G142" i="21" s="1"/>
  <c r="G143" i="21" s="1"/>
  <c r="G144" i="21" s="1"/>
  <c r="G145" i="21" s="1"/>
  <c r="G146" i="21" s="1"/>
  <c r="G147" i="21" s="1"/>
  <c r="G148" i="21" s="1"/>
  <c r="G149" i="21" s="1"/>
  <c r="G150" i="21" s="1"/>
  <c r="G151" i="21" s="1"/>
  <c r="G152" i="21" s="1"/>
  <c r="G153" i="21" s="1"/>
  <c r="G154" i="21" s="1"/>
  <c r="G155" i="21" s="1"/>
  <c r="G156" i="21" s="1"/>
  <c r="G157" i="21" s="1"/>
  <c r="G158" i="21" s="1"/>
  <c r="G159" i="21" s="1"/>
  <c r="G160" i="21" s="1"/>
  <c r="G161" i="21" s="1"/>
  <c r="G162" i="21" s="1"/>
  <c r="G163" i="21" s="1"/>
  <c r="G164" i="21" s="1"/>
  <c r="G165" i="21" s="1"/>
  <c r="G166" i="21" s="1"/>
  <c r="G167" i="21" s="1"/>
  <c r="G168" i="21" s="1"/>
  <c r="G169" i="21" s="1"/>
  <c r="G170" i="21" s="1"/>
  <c r="G171" i="21" s="1"/>
  <c r="G172" i="21" s="1"/>
  <c r="G173" i="21" s="1"/>
  <c r="G174" i="21" s="1"/>
  <c r="G175" i="21" s="1"/>
  <c r="G176" i="21" s="1"/>
  <c r="G177" i="21" s="1"/>
  <c r="G178" i="21" s="1"/>
  <c r="G179" i="21" s="1"/>
  <c r="G180" i="21" s="1"/>
  <c r="G181" i="21" s="1"/>
  <c r="G182" i="21" s="1"/>
  <c r="G183" i="21" s="1"/>
  <c r="G184" i="21" s="1"/>
  <c r="G185" i="21" s="1"/>
  <c r="G186" i="21" s="1"/>
  <c r="G187" i="21" s="1"/>
  <c r="G188" i="21" s="1"/>
  <c r="G189" i="21" s="1"/>
  <c r="G190" i="21" s="1"/>
  <c r="G191" i="21" s="1"/>
  <c r="G192" i="21" s="1"/>
  <c r="G193" i="21" s="1"/>
  <c r="G194" i="21" s="1"/>
  <c r="G195" i="21" s="1"/>
  <c r="G196" i="21" s="1"/>
  <c r="G197" i="21" s="1"/>
  <c r="G198" i="21" s="1"/>
  <c r="G199" i="21" s="1"/>
  <c r="G200" i="21" s="1"/>
  <c r="G201" i="21" s="1"/>
  <c r="G202" i="21" s="1"/>
  <c r="G203" i="21" s="1"/>
  <c r="G204" i="21" s="1"/>
  <c r="G205" i="21" s="1"/>
  <c r="G206" i="21" s="1"/>
  <c r="G207" i="21" s="1"/>
  <c r="G208" i="21" s="1"/>
  <c r="G209" i="21" s="1"/>
  <c r="G210" i="21" s="1"/>
  <c r="G211" i="21" s="1"/>
  <c r="G212" i="21" s="1"/>
  <c r="G213" i="21" s="1"/>
  <c r="G214" i="21" s="1"/>
  <c r="G215" i="21" s="1"/>
  <c r="G216" i="21" s="1"/>
  <c r="G217" i="21" s="1"/>
  <c r="G218" i="21" s="1"/>
  <c r="G219" i="21" s="1"/>
  <c r="G220" i="21" s="1"/>
  <c r="G221" i="21" s="1"/>
  <c r="G222" i="21" s="1"/>
  <c r="G223" i="21" s="1"/>
  <c r="G224" i="21" s="1"/>
  <c r="G225" i="21" s="1"/>
  <c r="G226" i="21" s="1"/>
  <c r="G227" i="21" s="1"/>
  <c r="G228" i="21" s="1"/>
  <c r="G229" i="21" s="1"/>
  <c r="G230" i="21" s="1"/>
  <c r="G231" i="21" s="1"/>
  <c r="G232" i="21" s="1"/>
  <c r="G233" i="21" s="1"/>
  <c r="G234" i="21" s="1"/>
  <c r="G235" i="21" s="1"/>
  <c r="G236" i="21" s="1"/>
  <c r="G237" i="21" s="1"/>
  <c r="G238" i="21" s="1"/>
  <c r="G239" i="21" s="1"/>
  <c r="G240" i="21" s="1"/>
  <c r="G241" i="21" s="1"/>
  <c r="G242" i="21" s="1"/>
  <c r="G243" i="21" s="1"/>
  <c r="G244" i="21" s="1"/>
  <c r="G245" i="21" s="1"/>
  <c r="G246" i="21" s="1"/>
  <c r="G247" i="21" s="1"/>
  <c r="G248" i="21" s="1"/>
  <c r="G249" i="21" s="1"/>
  <c r="G250" i="21" s="1"/>
  <c r="G251" i="21" s="1"/>
  <c r="G252" i="21" s="1"/>
  <c r="G253" i="21" s="1"/>
  <c r="G254" i="21" s="1"/>
  <c r="G255" i="21" s="1"/>
  <c r="G256" i="21" s="1"/>
  <c r="G257" i="21" s="1"/>
  <c r="G258" i="21" s="1"/>
  <c r="G259" i="21" s="1"/>
  <c r="G260" i="21" s="1"/>
  <c r="G261" i="21" s="1"/>
  <c r="G262" i="21" s="1"/>
  <c r="G263" i="21" s="1"/>
  <c r="G264" i="21" s="1"/>
  <c r="G265" i="21" s="1"/>
  <c r="G266" i="21" s="1"/>
  <c r="G267" i="21" s="1"/>
  <c r="G268" i="21" s="1"/>
  <c r="G269" i="21" s="1"/>
  <c r="G270" i="21" s="1"/>
  <c r="G271" i="21" s="1"/>
  <c r="G272" i="21" s="1"/>
  <c r="G273" i="21" s="1"/>
  <c r="G274" i="21" s="1"/>
  <c r="G275" i="21" s="1"/>
  <c r="G276" i="21" s="1"/>
  <c r="G277" i="21" s="1"/>
  <c r="G278" i="21" s="1"/>
  <c r="G279" i="21" s="1"/>
  <c r="G280" i="21" s="1"/>
  <c r="G281" i="21" s="1"/>
  <c r="G282" i="21" s="1"/>
  <c r="G283" i="21" s="1"/>
  <c r="G284" i="21" s="1"/>
  <c r="G285" i="21" s="1"/>
  <c r="G286" i="21" s="1"/>
  <c r="G287" i="21" s="1"/>
  <c r="G288" i="21" s="1"/>
  <c r="G289" i="21" s="1"/>
  <c r="G290" i="21" s="1"/>
  <c r="G291" i="21" s="1"/>
  <c r="G292" i="21" s="1"/>
  <c r="G293" i="21" s="1"/>
  <c r="G294" i="21" s="1"/>
  <c r="G295" i="21" s="1"/>
  <c r="G296" i="21" s="1"/>
  <c r="G297" i="21" s="1"/>
  <c r="G298" i="21" s="1"/>
  <c r="G299" i="21" s="1"/>
  <c r="G300" i="21" s="1"/>
  <c r="G301" i="21" s="1"/>
  <c r="G302" i="21" s="1"/>
  <c r="G303" i="21" s="1"/>
  <c r="G304" i="21" s="1"/>
  <c r="G305" i="21" s="1"/>
  <c r="G306" i="21" s="1"/>
  <c r="G307" i="21" s="1"/>
  <c r="G308" i="21" s="1"/>
  <c r="G309" i="21" s="1"/>
  <c r="G310" i="21" s="1"/>
  <c r="G311" i="21" s="1"/>
  <c r="G312" i="21" s="1"/>
  <c r="G313" i="21" s="1"/>
  <c r="G314" i="21" s="1"/>
  <c r="G315" i="21" s="1"/>
  <c r="G316" i="21" s="1"/>
  <c r="G317" i="21" s="1"/>
  <c r="G318" i="21" s="1"/>
  <c r="G319" i="21" s="1"/>
  <c r="G320" i="21" s="1"/>
  <c r="G321" i="21" s="1"/>
  <c r="G322" i="21" s="1"/>
  <c r="G323" i="21" s="1"/>
  <c r="G324" i="21" s="1"/>
  <c r="G325" i="21" s="1"/>
  <c r="G326" i="21" s="1"/>
  <c r="G327" i="21" s="1"/>
  <c r="G328" i="21" s="1"/>
  <c r="G329" i="21" s="1"/>
  <c r="G330" i="21" s="1"/>
  <c r="G331" i="21" s="1"/>
  <c r="G332" i="21" s="1"/>
  <c r="G333" i="21" s="1"/>
  <c r="G334" i="21" s="1"/>
  <c r="G335" i="21" s="1"/>
  <c r="G336" i="21" s="1"/>
  <c r="G337" i="21" s="1"/>
  <c r="G338" i="21" s="1"/>
  <c r="G339" i="21" s="1"/>
  <c r="G340" i="21" s="1"/>
  <c r="G341" i="21" s="1"/>
  <c r="G342" i="21" s="1"/>
  <c r="G343" i="21" s="1"/>
  <c r="G344" i="21" s="1"/>
  <c r="G345" i="21" s="1"/>
  <c r="G346" i="21" s="1"/>
  <c r="G347" i="21" s="1"/>
  <c r="G348" i="21" s="1"/>
  <c r="G349" i="21" s="1"/>
  <c r="G350" i="21" s="1"/>
  <c r="G351" i="21" s="1"/>
  <c r="G352" i="21" s="1"/>
  <c r="G353" i="21" s="1"/>
  <c r="G354" i="21" s="1"/>
  <c r="G355" i="21" s="1"/>
  <c r="G356" i="21" s="1"/>
  <c r="G357" i="21" s="1"/>
  <c r="G358" i="21" s="1"/>
  <c r="G359" i="21" s="1"/>
  <c r="G360" i="21" s="1"/>
  <c r="G361" i="21" s="1"/>
  <c r="G362" i="21" s="1"/>
  <c r="G363" i="21" s="1"/>
  <c r="G364" i="21" s="1"/>
  <c r="G365" i="21" s="1"/>
  <c r="G366" i="21" s="1"/>
  <c r="G367" i="21" s="1"/>
  <c r="G368" i="21" s="1"/>
  <c r="G369" i="21" s="1"/>
  <c r="G370" i="21" s="1"/>
  <c r="G371" i="21" s="1"/>
  <c r="G372" i="21" s="1"/>
  <c r="G373" i="21" s="1"/>
  <c r="G374" i="21" s="1"/>
  <c r="G375" i="21" s="1"/>
  <c r="G376" i="21" s="1"/>
  <c r="G377" i="21" s="1"/>
  <c r="G378" i="21" s="1"/>
  <c r="G379" i="21" s="1"/>
  <c r="G380" i="21" s="1"/>
  <c r="G381" i="21" s="1"/>
  <c r="G382" i="21" s="1"/>
  <c r="G383" i="21" s="1"/>
  <c r="G384" i="21" s="1"/>
  <c r="G385" i="21" s="1"/>
  <c r="G386" i="21" s="1"/>
  <c r="G387" i="21" s="1"/>
  <c r="G388" i="21" s="1"/>
  <c r="G17" i="22"/>
  <c r="G294" i="38" l="1"/>
  <c r="H294" i="38" s="1"/>
  <c r="H514" i="38"/>
  <c r="H510" i="38"/>
  <c r="G542" i="38"/>
  <c r="H542" i="38" s="1"/>
  <c r="G573" i="38"/>
  <c r="H573" i="38" s="1"/>
  <c r="G742" i="38"/>
  <c r="H742" i="38" s="1"/>
  <c r="G295" i="38"/>
  <c r="H295" i="38" s="1"/>
  <c r="G1155" i="38"/>
  <c r="H1155" i="38" s="1"/>
  <c r="G735" i="38"/>
  <c r="H735" i="38" s="1"/>
  <c r="G35" i="38"/>
  <c r="H35" i="38" s="1"/>
  <c r="G680" i="38"/>
  <c r="H680" i="38" s="1"/>
  <c r="G508" i="38"/>
  <c r="H508" i="38" s="1"/>
  <c r="G838" i="38"/>
  <c r="H838" i="38" s="1"/>
  <c r="G741" i="38"/>
  <c r="H741" i="38" s="1"/>
  <c r="G446" i="38"/>
  <c r="H446" i="38" s="1"/>
  <c r="G489" i="38"/>
  <c r="H489" i="38" s="1"/>
  <c r="G599" i="38"/>
  <c r="H599" i="38" s="1"/>
  <c r="G569" i="38"/>
  <c r="G387" i="38"/>
  <c r="H387" i="38" s="1"/>
  <c r="G282" i="38"/>
  <c r="H282" i="38" s="1"/>
  <c r="G347" i="38"/>
  <c r="H347" i="38" s="1"/>
  <c r="G817" i="38"/>
  <c r="H817" i="38" s="1"/>
  <c r="G528" i="38"/>
  <c r="H528" i="38" s="1"/>
  <c r="F323" i="37"/>
  <c r="E53" i="37"/>
  <c r="F53" i="37" s="1"/>
  <c r="F92" i="37"/>
  <c r="F65" i="37"/>
  <c r="E68" i="37"/>
  <c r="F68" i="37" s="1"/>
  <c r="E79" i="37"/>
  <c r="F79" i="37" s="1"/>
  <c r="F103" i="37"/>
  <c r="F109" i="37"/>
  <c r="F197" i="37"/>
  <c r="E197" i="37"/>
  <c r="F54" i="37"/>
  <c r="F64" i="37"/>
  <c r="F108" i="37"/>
  <c r="E181" i="37"/>
  <c r="F181" i="37" s="1"/>
  <c r="E271" i="37"/>
  <c r="F271" i="37" s="1"/>
  <c r="E198" i="37"/>
  <c r="F198" i="37" s="1"/>
  <c r="F295" i="37"/>
  <c r="E295" i="37"/>
  <c r="F324" i="37"/>
  <c r="E180" i="37"/>
  <c r="F180" i="37" s="1"/>
  <c r="E212" i="37"/>
  <c r="F212" i="37" s="1"/>
  <c r="F273" i="37"/>
  <c r="F280" i="37"/>
  <c r="E206" i="37"/>
  <c r="E293" i="37"/>
  <c r="F293" i="37" s="1"/>
  <c r="E323" i="37"/>
  <c r="E324" i="37"/>
  <c r="E325" i="37"/>
  <c r="F325" i="37" s="1"/>
  <c r="E326" i="37"/>
  <c r="F326" i="37" s="1"/>
  <c r="K291" i="30"/>
  <c r="E291" i="30" s="1"/>
  <c r="F291" i="30" s="1"/>
  <c r="J291" i="30"/>
  <c r="K376" i="22"/>
  <c r="J376" i="22"/>
  <c r="E376" i="22" s="1"/>
  <c r="F376" i="22" s="1"/>
  <c r="D68" i="22"/>
  <c r="X280" i="35"/>
  <c r="W280" i="35"/>
  <c r="V280" i="35"/>
  <c r="D280" i="35"/>
  <c r="F280" i="35"/>
  <c r="E280" i="35"/>
  <c r="C279" i="35"/>
  <c r="C278" i="35"/>
  <c r="D115" i="22" l="1"/>
  <c r="D114" i="22"/>
  <c r="D323" i="21"/>
  <c r="D267" i="21"/>
  <c r="D211" i="21"/>
  <c r="D155" i="21"/>
  <c r="D100" i="21"/>
  <c r="D49" i="21"/>
  <c r="J282" i="35"/>
  <c r="S292" i="35"/>
  <c r="G292" i="35"/>
  <c r="D43" i="21"/>
  <c r="AB290" i="35"/>
  <c r="Y290" i="35"/>
  <c r="V290" i="35"/>
  <c r="S290" i="35"/>
  <c r="P290" i="35"/>
  <c r="P323" i="35" s="1"/>
  <c r="M290" i="35"/>
  <c r="J290" i="35"/>
  <c r="G290" i="35"/>
  <c r="D316" i="35"/>
  <c r="D315" i="35"/>
  <c r="AA308" i="35"/>
  <c r="AA309" i="35"/>
  <c r="AC309" i="35" s="1"/>
  <c r="AA310" i="35"/>
  <c r="AC310" i="35" s="1"/>
  <c r="AA311" i="35"/>
  <c r="AA312" i="35"/>
  <c r="AC312" i="35" s="1"/>
  <c r="AA313" i="35"/>
  <c r="AC313" i="35" s="1"/>
  <c r="AA314" i="35"/>
  <c r="AC314" i="35" s="1"/>
  <c r="AA315" i="35"/>
  <c r="AC315" i="35" s="1"/>
  <c r="AA316" i="35"/>
  <c r="AC308" i="35"/>
  <c r="AC311" i="35"/>
  <c r="AD290" i="35"/>
  <c r="AF290" i="35" s="1"/>
  <c r="AD291" i="35"/>
  <c r="AF291" i="35" s="1"/>
  <c r="AC291" i="35"/>
  <c r="AC295" i="35"/>
  <c r="AC296" i="35"/>
  <c r="AC304" i="35"/>
  <c r="AA290" i="35"/>
  <c r="AC290" i="35" s="1"/>
  <c r="AA292" i="35"/>
  <c r="AC292" i="35" s="1"/>
  <c r="AA291" i="35"/>
  <c r="AA293" i="35"/>
  <c r="AC293" i="35" s="1"/>
  <c r="AA294" i="35"/>
  <c r="AC294" i="35" s="1"/>
  <c r="AA295" i="35"/>
  <c r="AA296" i="35"/>
  <c r="AA297" i="35"/>
  <c r="AC297" i="35" s="1"/>
  <c r="AA298" i="35"/>
  <c r="AC298" i="35" s="1"/>
  <c r="AA299" i="35"/>
  <c r="AC299" i="35" s="1"/>
  <c r="AA300" i="35"/>
  <c r="AC300" i="35" s="1"/>
  <c r="AA301" i="35"/>
  <c r="AC301" i="35" s="1"/>
  <c r="AA302" i="35"/>
  <c r="AC302" i="35" s="1"/>
  <c r="AA303" i="35"/>
  <c r="AC303" i="35" s="1"/>
  <c r="AA304" i="35"/>
  <c r="AA305" i="35"/>
  <c r="AC305" i="35" s="1"/>
  <c r="AA306" i="35"/>
  <c r="AC306" i="35" s="1"/>
  <c r="D208" i="31"/>
  <c r="K208" i="31" s="1"/>
  <c r="D209" i="31"/>
  <c r="K209" i="31" s="1"/>
  <c r="D210" i="31"/>
  <c r="K210" i="31" s="1"/>
  <c r="Z311" i="35"/>
  <c r="Z318" i="35"/>
  <c r="X313" i="35"/>
  <c r="Z313" i="35" s="1"/>
  <c r="X314" i="35"/>
  <c r="Z314" i="35" s="1"/>
  <c r="X315" i="35"/>
  <c r="Z315" i="35" s="1"/>
  <c r="X316" i="35"/>
  <c r="Z316" i="35" s="1"/>
  <c r="Y317" i="35"/>
  <c r="X317" i="35" s="1"/>
  <c r="Z317" i="35" s="1"/>
  <c r="E317" i="35" s="1"/>
  <c r="X291" i="35"/>
  <c r="Z291" i="35" s="1"/>
  <c r="X292" i="35"/>
  <c r="Z292" i="35" s="1"/>
  <c r="AD292" i="35"/>
  <c r="AF292" i="35"/>
  <c r="X293" i="35"/>
  <c r="Z293" i="35" s="1"/>
  <c r="AD293" i="35"/>
  <c r="AF293" i="35" s="1"/>
  <c r="X294" i="35"/>
  <c r="Z294" i="35" s="1"/>
  <c r="AD294" i="35"/>
  <c r="AF294" i="35" s="1"/>
  <c r="X295" i="35"/>
  <c r="Z295" i="35" s="1"/>
  <c r="AD295" i="35"/>
  <c r="AF295" i="35" s="1"/>
  <c r="X296" i="35"/>
  <c r="Z296" i="35"/>
  <c r="AD296" i="35"/>
  <c r="AF296" i="35"/>
  <c r="X297" i="35"/>
  <c r="Z297" i="35" s="1"/>
  <c r="AD297" i="35"/>
  <c r="AF297" i="35" s="1"/>
  <c r="X298" i="35"/>
  <c r="Z298" i="35" s="1"/>
  <c r="AD298" i="35"/>
  <c r="AF298" i="35" s="1"/>
  <c r="X299" i="35"/>
  <c r="Z299" i="35" s="1"/>
  <c r="AD299" i="35"/>
  <c r="AF299" i="35"/>
  <c r="X300" i="35"/>
  <c r="Z300" i="35" s="1"/>
  <c r="AD300" i="35"/>
  <c r="AF300" i="35" s="1"/>
  <c r="X301" i="35"/>
  <c r="Z301" i="35" s="1"/>
  <c r="AD301" i="35"/>
  <c r="AF301" i="35"/>
  <c r="X302" i="35"/>
  <c r="Z302" i="35" s="1"/>
  <c r="AD302" i="35"/>
  <c r="AF302" i="35"/>
  <c r="X303" i="35"/>
  <c r="Z303" i="35" s="1"/>
  <c r="AD303" i="35"/>
  <c r="AF303" i="35" s="1"/>
  <c r="X304" i="35"/>
  <c r="Z304" i="35"/>
  <c r="AD304" i="35"/>
  <c r="AF304" i="35" s="1"/>
  <c r="X305" i="35"/>
  <c r="Z305" i="35" s="1"/>
  <c r="AD305" i="35"/>
  <c r="AF305" i="35" s="1"/>
  <c r="X306" i="35"/>
  <c r="Z306" i="35" s="1"/>
  <c r="AD306" i="35"/>
  <c r="AF306" i="35"/>
  <c r="X307" i="35"/>
  <c r="Z307" i="35" s="1"/>
  <c r="AA307" i="35"/>
  <c r="AC307" i="35" s="1"/>
  <c r="AD307" i="35"/>
  <c r="AF307" i="35" s="1"/>
  <c r="X308" i="35"/>
  <c r="Z308" i="35"/>
  <c r="AD308" i="35"/>
  <c r="AF308" i="35" s="1"/>
  <c r="X309" i="35"/>
  <c r="Z309" i="35" s="1"/>
  <c r="AD309" i="35"/>
  <c r="AF309" i="35"/>
  <c r="X310" i="35"/>
  <c r="Z310" i="35"/>
  <c r="AD310" i="35"/>
  <c r="AF310" i="35" s="1"/>
  <c r="X311" i="35"/>
  <c r="AD311" i="35"/>
  <c r="AF311" i="35"/>
  <c r="X312" i="35"/>
  <c r="Z312" i="35" s="1"/>
  <c r="AD312" i="35"/>
  <c r="AF312" i="35" s="1"/>
  <c r="AD313" i="35"/>
  <c r="AF313" i="35"/>
  <c r="AD314" i="35"/>
  <c r="AF314" i="35" s="1"/>
  <c r="AD315" i="35"/>
  <c r="AF315" i="35" s="1"/>
  <c r="AC316" i="35"/>
  <c r="AD316" i="35"/>
  <c r="AF316" i="35" s="1"/>
  <c r="X318" i="35"/>
  <c r="AA318" i="35"/>
  <c r="AC318" i="35"/>
  <c r="AD318" i="35"/>
  <c r="AF318" i="35" s="1"/>
  <c r="X319" i="35"/>
  <c r="Z319" i="35" s="1"/>
  <c r="AA319" i="35"/>
  <c r="AC319" i="35" s="1"/>
  <c r="AD319" i="35"/>
  <c r="AF319" i="35" s="1"/>
  <c r="X290" i="35"/>
  <c r="Z290" i="35" s="1"/>
  <c r="D370" i="22"/>
  <c r="J370" i="22" s="1"/>
  <c r="K369" i="22"/>
  <c r="D402" i="21"/>
  <c r="K402" i="21" s="1"/>
  <c r="D165" i="31"/>
  <c r="D325" i="22"/>
  <c r="J214" i="31"/>
  <c r="K214" i="31"/>
  <c r="D213" i="31"/>
  <c r="D168" i="31" s="1"/>
  <c r="D211" i="31"/>
  <c r="K211" i="31" s="1"/>
  <c r="D212" i="31"/>
  <c r="K212" i="31" s="1"/>
  <c r="K205" i="31"/>
  <c r="J205" i="31"/>
  <c r="E205" i="31"/>
  <c r="F205" i="31" s="1"/>
  <c r="K204" i="31"/>
  <c r="J204" i="31"/>
  <c r="K203" i="31"/>
  <c r="J203" i="31"/>
  <c r="E203" i="31" s="1"/>
  <c r="F203" i="31" s="1"/>
  <c r="K202" i="31"/>
  <c r="J202" i="31"/>
  <c r="K201" i="31"/>
  <c r="J201" i="31"/>
  <c r="J199" i="31"/>
  <c r="K199" i="31"/>
  <c r="K206" i="31"/>
  <c r="J206" i="31"/>
  <c r="D92" i="31"/>
  <c r="D45" i="31"/>
  <c r="D31" i="31"/>
  <c r="D149" i="31" s="1"/>
  <c r="D215" i="31" s="1"/>
  <c r="D25" i="31"/>
  <c r="D113" i="31" s="1"/>
  <c r="D24" i="31"/>
  <c r="D79" i="31" s="1"/>
  <c r="D72" i="31" s="1"/>
  <c r="D260" i="30"/>
  <c r="D259" i="30"/>
  <c r="D258" i="30"/>
  <c r="D257" i="30"/>
  <c r="D290" i="22"/>
  <c r="D223" i="30"/>
  <c r="D287" i="22"/>
  <c r="D211" i="30"/>
  <c r="D289" i="22"/>
  <c r="D285" i="22"/>
  <c r="D187" i="30"/>
  <c r="D149" i="30"/>
  <c r="D160" i="30" s="1"/>
  <c r="D148" i="30"/>
  <c r="D208" i="22"/>
  <c r="D128" i="30"/>
  <c r="D132" i="30" s="1"/>
  <c r="D94" i="30"/>
  <c r="D87" i="30"/>
  <c r="D91" i="30" s="1"/>
  <c r="D79" i="30"/>
  <c r="D66" i="30"/>
  <c r="D53" i="30"/>
  <c r="D52" i="30"/>
  <c r="D51" i="30"/>
  <c r="D45" i="30"/>
  <c r="D43" i="30"/>
  <c r="D42" i="30"/>
  <c r="D30" i="30"/>
  <c r="M323" i="35"/>
  <c r="M314" i="35"/>
  <c r="V323" i="35"/>
  <c r="S323" i="35"/>
  <c r="J323" i="35"/>
  <c r="G323" i="35"/>
  <c r="K215" i="31" l="1"/>
  <c r="D106" i="22"/>
  <c r="E204" i="31"/>
  <c r="F204" i="31" s="1"/>
  <c r="D68" i="30"/>
  <c r="D78" i="30" s="1"/>
  <c r="K370" i="22"/>
  <c r="D142" i="30"/>
  <c r="J211" i="31"/>
  <c r="E211" i="31" s="1"/>
  <c r="F211" i="31" s="1"/>
  <c r="J212" i="31"/>
  <c r="E212" i="31" s="1"/>
  <c r="F212" i="31" s="1"/>
  <c r="J208" i="31"/>
  <c r="E208" i="31" s="1"/>
  <c r="F208" i="31" s="1"/>
  <c r="D142" i="31"/>
  <c r="J209" i="31"/>
  <c r="E209" i="31" s="1"/>
  <c r="F209" i="31" s="1"/>
  <c r="J210" i="31"/>
  <c r="E210" i="31" s="1"/>
  <c r="F210" i="31" s="1"/>
  <c r="E370" i="22"/>
  <c r="F370" i="22" s="1"/>
  <c r="D155" i="31"/>
  <c r="K213" i="31"/>
  <c r="J213" i="31"/>
  <c r="D167" i="31"/>
  <c r="J215" i="31"/>
  <c r="E215" i="31" s="1"/>
  <c r="F215" i="31" s="1"/>
  <c r="D323" i="22"/>
  <c r="J369" i="22"/>
  <c r="E369" i="22" s="1"/>
  <c r="F369" i="22" s="1"/>
  <c r="J402" i="21"/>
  <c r="E402" i="21" s="1"/>
  <c r="F402" i="21" s="1"/>
  <c r="E214" i="31"/>
  <c r="F214" i="31" s="1"/>
  <c r="E201" i="31"/>
  <c r="F201" i="31" s="1"/>
  <c r="E202" i="31"/>
  <c r="F202" i="31" s="1"/>
  <c r="E199" i="31"/>
  <c r="F199" i="31" s="1"/>
  <c r="E206" i="31"/>
  <c r="F206" i="31" s="1"/>
  <c r="U291" i="35"/>
  <c r="W291" i="35" s="1"/>
  <c r="U292" i="35"/>
  <c r="W292" i="35" s="1"/>
  <c r="T293" i="35"/>
  <c r="U293" i="35"/>
  <c r="W293" i="35" s="1"/>
  <c r="U294" i="35"/>
  <c r="W294" i="35" s="1"/>
  <c r="U295" i="35"/>
  <c r="W295" i="35" s="1"/>
  <c r="F296" i="35"/>
  <c r="H296" i="35"/>
  <c r="I296" i="35"/>
  <c r="K296" i="35"/>
  <c r="L296" i="35"/>
  <c r="N296" i="35"/>
  <c r="O296" i="35"/>
  <c r="Q296" i="35"/>
  <c r="R296" i="35"/>
  <c r="T296" i="35"/>
  <c r="U296" i="35"/>
  <c r="W296" i="35"/>
  <c r="U297" i="35"/>
  <c r="W297" i="35" s="1"/>
  <c r="U298" i="35"/>
  <c r="W298" i="35" s="1"/>
  <c r="U299" i="35"/>
  <c r="W299" i="35" s="1"/>
  <c r="U300" i="35"/>
  <c r="W300" i="35" s="1"/>
  <c r="U301" i="35"/>
  <c r="W301" i="35" s="1"/>
  <c r="U302" i="35"/>
  <c r="W302" i="35" s="1"/>
  <c r="U303" i="35"/>
  <c r="W303" i="35" s="1"/>
  <c r="U304" i="35"/>
  <c r="W304" i="35" s="1"/>
  <c r="U305" i="35"/>
  <c r="W305" i="35" s="1"/>
  <c r="U306" i="35"/>
  <c r="W306" i="35" s="1"/>
  <c r="U307" i="35"/>
  <c r="W307" i="35" s="1"/>
  <c r="F308" i="35"/>
  <c r="H308" i="35"/>
  <c r="I308" i="35"/>
  <c r="K308" i="35"/>
  <c r="L308" i="35"/>
  <c r="N308" i="35"/>
  <c r="O308" i="35"/>
  <c r="Q308" i="35"/>
  <c r="R308" i="35"/>
  <c r="T308" i="35"/>
  <c r="U308" i="35"/>
  <c r="W308" i="35"/>
  <c r="U309" i="35"/>
  <c r="W309" i="35" s="1"/>
  <c r="U310" i="35"/>
  <c r="W310" i="35" s="1"/>
  <c r="F311" i="35"/>
  <c r="H311" i="35"/>
  <c r="I311" i="35"/>
  <c r="K311" i="35"/>
  <c r="L311" i="35"/>
  <c r="N311" i="35"/>
  <c r="O311" i="35"/>
  <c r="Q311" i="35"/>
  <c r="R311" i="35"/>
  <c r="T311" i="35"/>
  <c r="U311" i="35"/>
  <c r="W311" i="35"/>
  <c r="U312" i="35"/>
  <c r="W312" i="35" s="1"/>
  <c r="U313" i="35"/>
  <c r="W313" i="35" s="1"/>
  <c r="U314" i="35"/>
  <c r="W314" i="35" s="1"/>
  <c r="U315" i="35"/>
  <c r="W315" i="35" s="1"/>
  <c r="U316" i="35"/>
  <c r="W316" i="35" s="1"/>
  <c r="F318" i="35"/>
  <c r="H318" i="35"/>
  <c r="I318" i="35"/>
  <c r="K318" i="35"/>
  <c r="L318" i="35"/>
  <c r="N318" i="35"/>
  <c r="O318" i="35"/>
  <c r="Q318" i="35"/>
  <c r="R318" i="35"/>
  <c r="T318" i="35"/>
  <c r="U318" i="35"/>
  <c r="W318" i="35"/>
  <c r="U319" i="35"/>
  <c r="W319" i="35" s="1"/>
  <c r="F320" i="35"/>
  <c r="H320" i="35"/>
  <c r="I320" i="35"/>
  <c r="K320" i="35"/>
  <c r="L320" i="35"/>
  <c r="N320" i="35"/>
  <c r="O320" i="35"/>
  <c r="Q320" i="35"/>
  <c r="R320" i="35"/>
  <c r="T320" i="35"/>
  <c r="U320" i="35"/>
  <c r="W320" i="35"/>
  <c r="F321" i="35"/>
  <c r="H321" i="35"/>
  <c r="I321" i="35"/>
  <c r="K321" i="35"/>
  <c r="L321" i="35"/>
  <c r="N321" i="35"/>
  <c r="O321" i="35"/>
  <c r="Q321" i="35"/>
  <c r="R321" i="35"/>
  <c r="T321" i="35"/>
  <c r="U321" i="35"/>
  <c r="W321" i="35"/>
  <c r="U290" i="35"/>
  <c r="W290" i="35" s="1"/>
  <c r="A289" i="35"/>
  <c r="A290" i="35"/>
  <c r="A291" i="35"/>
  <c r="A292" i="35"/>
  <c r="A293" i="35"/>
  <c r="A294" i="35"/>
  <c r="A295" i="35"/>
  <c r="A296" i="35"/>
  <c r="A297" i="35"/>
  <c r="A298" i="35"/>
  <c r="A299" i="35"/>
  <c r="A300" i="35"/>
  <c r="A301" i="35"/>
  <c r="A302" i="35"/>
  <c r="A304" i="35"/>
  <c r="A305" i="35"/>
  <c r="A306" i="35"/>
  <c r="A307" i="35"/>
  <c r="A308" i="35"/>
  <c r="A309" i="35"/>
  <c r="A310" i="35"/>
  <c r="A311" i="35"/>
  <c r="A312" i="35"/>
  <c r="A313" i="35"/>
  <c r="A314" i="35"/>
  <c r="A315" i="35"/>
  <c r="A316" i="35"/>
  <c r="A318" i="35"/>
  <c r="A319" i="35"/>
  <c r="A320" i="35"/>
  <c r="A605" i="35"/>
  <c r="A624" i="35"/>
  <c r="A625" i="35"/>
  <c r="A626" i="35"/>
  <c r="A627" i="35"/>
  <c r="A628" i="35"/>
  <c r="A629" i="35"/>
  <c r="A630" i="35"/>
  <c r="A631" i="35"/>
  <c r="A632" i="35"/>
  <c r="A633" i="35"/>
  <c r="A634" i="35"/>
  <c r="A635" i="35"/>
  <c r="A636" i="35"/>
  <c r="A637" i="35"/>
  <c r="A638" i="35"/>
  <c r="A639" i="35"/>
  <c r="A640" i="35"/>
  <c r="A641" i="35"/>
  <c r="A642" i="35"/>
  <c r="A643" i="35"/>
  <c r="A644" i="35"/>
  <c r="A645" i="35"/>
  <c r="A646" i="35"/>
  <c r="A647" i="35"/>
  <c r="A648" i="35"/>
  <c r="A649" i="35"/>
  <c r="A650" i="35"/>
  <c r="A651" i="35"/>
  <c r="A652" i="35"/>
  <c r="A653" i="35"/>
  <c r="A654" i="35"/>
  <c r="A655" i="35"/>
  <c r="A656" i="35"/>
  <c r="A657" i="35"/>
  <c r="A658" i="35"/>
  <c r="A659" i="35"/>
  <c r="A660" i="35"/>
  <c r="A661" i="35"/>
  <c r="A662" i="35"/>
  <c r="A663" i="35"/>
  <c r="A664" i="35"/>
  <c r="A665" i="35"/>
  <c r="A666" i="35"/>
  <c r="A667" i="35"/>
  <c r="A668" i="35"/>
  <c r="E288" i="35"/>
  <c r="H288" i="35"/>
  <c r="A288" i="35"/>
  <c r="D190" i="21"/>
  <c r="D101" i="21"/>
  <c r="D360" i="21"/>
  <c r="D332" i="21"/>
  <c r="D330" i="21"/>
  <c r="D331" i="21"/>
  <c r="D385" i="21"/>
  <c r="D374" i="21"/>
  <c r="D325" i="21"/>
  <c r="D326" i="21"/>
  <c r="D317" i="21"/>
  <c r="D365" i="21"/>
  <c r="D340" i="22"/>
  <c r="D339" i="22"/>
  <c r="D245" i="30"/>
  <c r="D338" i="22"/>
  <c r="D337" i="22"/>
  <c r="D243" i="30"/>
  <c r="D326" i="22"/>
  <c r="D324" i="22"/>
  <c r="D322" i="22"/>
  <c r="D317" i="22"/>
  <c r="D307" i="22" s="1"/>
  <c r="D305" i="22"/>
  <c r="D303" i="22"/>
  <c r="D309" i="22"/>
  <c r="D269" i="22"/>
  <c r="D238" i="22"/>
  <c r="D226" i="22"/>
  <c r="D211" i="22"/>
  <c r="D207" i="22"/>
  <c r="D212" i="22" s="1"/>
  <c r="D206" i="22"/>
  <c r="D195" i="22"/>
  <c r="D194" i="22"/>
  <c r="D123" i="22"/>
  <c r="D122" i="22"/>
  <c r="D117" i="22"/>
  <c r="D95" i="22"/>
  <c r="D93" i="22"/>
  <c r="D75" i="22"/>
  <c r="D82" i="22" s="1"/>
  <c r="D67" i="22"/>
  <c r="D249" i="30" l="1"/>
  <c r="E213" i="31"/>
  <c r="F213" i="31" s="1"/>
  <c r="Z269" i="35"/>
  <c r="U268" i="35"/>
  <c r="U267" i="35"/>
  <c r="U266" i="35"/>
  <c r="U265" i="35"/>
  <c r="U264" i="35"/>
  <c r="U263" i="35"/>
  <c r="U262" i="35"/>
  <c r="U261" i="35"/>
  <c r="U260" i="35"/>
  <c r="U259" i="35"/>
  <c r="U258" i="35"/>
  <c r="O268" i="35"/>
  <c r="O267" i="35"/>
  <c r="O266" i="35"/>
  <c r="O265" i="35"/>
  <c r="O264" i="35"/>
  <c r="O263" i="35"/>
  <c r="O262" i="35"/>
  <c r="O261" i="35"/>
  <c r="O260" i="35"/>
  <c r="O259" i="35"/>
  <c r="O258" i="35"/>
  <c r="I268" i="35"/>
  <c r="I267" i="35"/>
  <c r="I266" i="35"/>
  <c r="I265" i="35"/>
  <c r="I264" i="35"/>
  <c r="I263" i="35"/>
  <c r="I262" i="35"/>
  <c r="I261" i="35"/>
  <c r="I260" i="35"/>
  <c r="I259" i="35"/>
  <c r="I258" i="35"/>
  <c r="C259" i="35"/>
  <c r="C260" i="35"/>
  <c r="C261" i="35"/>
  <c r="C262" i="35"/>
  <c r="C263" i="35"/>
  <c r="C264" i="35"/>
  <c r="C265" i="35"/>
  <c r="C266" i="35"/>
  <c r="C267" i="35"/>
  <c r="C268" i="35"/>
  <c r="C258" i="35"/>
  <c r="D269" i="35"/>
  <c r="E269" i="35"/>
  <c r="F269" i="35"/>
  <c r="G269" i="35"/>
  <c r="H269" i="35"/>
  <c r="J269" i="35"/>
  <c r="K269" i="35"/>
  <c r="L269" i="35"/>
  <c r="M269" i="35"/>
  <c r="N269" i="35"/>
  <c r="P269" i="35"/>
  <c r="Q269" i="35"/>
  <c r="R269" i="35"/>
  <c r="S269" i="35"/>
  <c r="T269" i="35"/>
  <c r="V269" i="35"/>
  <c r="W269" i="35"/>
  <c r="X269" i="35"/>
  <c r="Y269" i="35"/>
  <c r="B259" i="35" l="1"/>
  <c r="B258" i="35"/>
  <c r="B264" i="35"/>
  <c r="B268" i="35"/>
  <c r="D27" i="21"/>
  <c r="D253" i="21" s="1"/>
  <c r="D78" i="22"/>
  <c r="J78" i="22" s="1"/>
  <c r="D294" i="22"/>
  <c r="J294" i="22" s="1"/>
  <c r="D24" i="21"/>
  <c r="B267" i="35"/>
  <c r="D26" i="21"/>
  <c r="D197" i="21" s="1"/>
  <c r="L287" i="35" s="1"/>
  <c r="L309" i="35" s="1"/>
  <c r="N309" i="35" s="1"/>
  <c r="D79" i="22"/>
  <c r="J79" i="22" s="1"/>
  <c r="D28" i="21"/>
  <c r="D309" i="21" s="1"/>
  <c r="R287" i="35" s="1"/>
  <c r="R309" i="35" s="1"/>
  <c r="T309" i="35" s="1"/>
  <c r="D25" i="21"/>
  <c r="C269" i="35"/>
  <c r="B263" i="35"/>
  <c r="I269" i="35"/>
  <c r="B266" i="35"/>
  <c r="B265" i="35"/>
  <c r="B260" i="35"/>
  <c r="U269" i="35"/>
  <c r="B262" i="35"/>
  <c r="O269" i="35"/>
  <c r="B261" i="35"/>
  <c r="J185" i="22"/>
  <c r="K185" i="22"/>
  <c r="E186" i="22"/>
  <c r="F186" i="22"/>
  <c r="J186" i="22"/>
  <c r="K186" i="22"/>
  <c r="E187" i="22"/>
  <c r="F187" i="22"/>
  <c r="J187" i="22"/>
  <c r="K187" i="22"/>
  <c r="E188" i="22"/>
  <c r="F188" i="22"/>
  <c r="J188" i="22"/>
  <c r="K188" i="22"/>
  <c r="E189" i="22"/>
  <c r="F189" i="22"/>
  <c r="J189" i="22"/>
  <c r="K189" i="22"/>
  <c r="E190" i="22"/>
  <c r="F190" i="22"/>
  <c r="J190" i="22"/>
  <c r="K190" i="22"/>
  <c r="E191" i="22"/>
  <c r="F191" i="22"/>
  <c r="J191" i="22"/>
  <c r="K191" i="22"/>
  <c r="J192" i="22"/>
  <c r="K192" i="22"/>
  <c r="J193" i="22"/>
  <c r="K193" i="22"/>
  <c r="J194" i="22"/>
  <c r="K194" i="22"/>
  <c r="J195" i="22"/>
  <c r="K195" i="22"/>
  <c r="J196" i="22"/>
  <c r="K196" i="22"/>
  <c r="J197" i="22"/>
  <c r="K197" i="22"/>
  <c r="J198" i="22"/>
  <c r="K198" i="22"/>
  <c r="J199" i="22"/>
  <c r="K199" i="22"/>
  <c r="E200" i="22"/>
  <c r="F200" i="22"/>
  <c r="J200" i="22"/>
  <c r="K200" i="22"/>
  <c r="E201" i="22"/>
  <c r="F201" i="22"/>
  <c r="J201" i="22"/>
  <c r="K201" i="22"/>
  <c r="E202" i="22"/>
  <c r="F202" i="22"/>
  <c r="J202" i="22"/>
  <c r="K202" i="22"/>
  <c r="E203" i="22"/>
  <c r="F203" i="22"/>
  <c r="J203" i="22"/>
  <c r="K203" i="22"/>
  <c r="E204" i="22"/>
  <c r="F204" i="22"/>
  <c r="J204" i="22"/>
  <c r="K204" i="22"/>
  <c r="E205" i="22"/>
  <c r="F205" i="22"/>
  <c r="J205" i="22"/>
  <c r="K205" i="22"/>
  <c r="J206" i="22"/>
  <c r="K206" i="22"/>
  <c r="J207" i="22"/>
  <c r="K207" i="22"/>
  <c r="J208" i="22"/>
  <c r="K208" i="22"/>
  <c r="J209" i="22"/>
  <c r="E209" i="22" s="1"/>
  <c r="F209" i="22" s="1"/>
  <c r="K209" i="22"/>
  <c r="J210" i="22"/>
  <c r="K210" i="22"/>
  <c r="J211" i="22"/>
  <c r="K211" i="22"/>
  <c r="J212" i="22"/>
  <c r="K212" i="22"/>
  <c r="E213" i="22"/>
  <c r="F213" i="22"/>
  <c r="J213" i="22"/>
  <c r="K213" i="22"/>
  <c r="E214" i="22"/>
  <c r="F214" i="22"/>
  <c r="J214" i="22"/>
  <c r="K214" i="22"/>
  <c r="E215" i="22"/>
  <c r="F215" i="22"/>
  <c r="J215" i="22"/>
  <c r="K215" i="22"/>
  <c r="E216" i="22"/>
  <c r="F216" i="22"/>
  <c r="J216" i="22"/>
  <c r="K216" i="22"/>
  <c r="E217" i="22"/>
  <c r="F217" i="22"/>
  <c r="J217" i="22"/>
  <c r="K217" i="22"/>
  <c r="E218" i="22"/>
  <c r="F218" i="22"/>
  <c r="J218" i="22"/>
  <c r="K218" i="22"/>
  <c r="E219" i="22"/>
  <c r="F219" i="22"/>
  <c r="J219" i="22"/>
  <c r="K219" i="22"/>
  <c r="J221" i="22"/>
  <c r="K221" i="22"/>
  <c r="J222" i="22"/>
  <c r="K222" i="22"/>
  <c r="J223" i="22"/>
  <c r="E223" i="22" s="1"/>
  <c r="F223" i="22" s="1"/>
  <c r="K223" i="22"/>
  <c r="E224" i="22"/>
  <c r="F224" i="22"/>
  <c r="J224" i="22"/>
  <c r="K224" i="22"/>
  <c r="E225" i="22"/>
  <c r="F225" i="22"/>
  <c r="J225" i="22"/>
  <c r="K225" i="22"/>
  <c r="J226" i="22"/>
  <c r="K226" i="22"/>
  <c r="J227" i="22"/>
  <c r="E227" i="22" s="1"/>
  <c r="F227" i="22" s="1"/>
  <c r="K227" i="22"/>
  <c r="J228" i="22"/>
  <c r="K228" i="22"/>
  <c r="J229" i="22"/>
  <c r="K229" i="22"/>
  <c r="J230" i="22"/>
  <c r="K230" i="22"/>
  <c r="J231" i="22"/>
  <c r="E231" i="22" s="1"/>
  <c r="F231" i="22" s="1"/>
  <c r="K231" i="22"/>
  <c r="E232" i="22"/>
  <c r="F232" i="22"/>
  <c r="J232" i="22"/>
  <c r="K232" i="22"/>
  <c r="J233" i="22"/>
  <c r="K233" i="22"/>
  <c r="E234" i="22"/>
  <c r="F234" i="22"/>
  <c r="J234" i="22"/>
  <c r="K234" i="22"/>
  <c r="E235" i="22"/>
  <c r="F235" i="22"/>
  <c r="J235" i="22"/>
  <c r="K235" i="22"/>
  <c r="E236" i="22"/>
  <c r="F236" i="22"/>
  <c r="J236" i="22"/>
  <c r="K236" i="22"/>
  <c r="E237" i="22"/>
  <c r="F237" i="22"/>
  <c r="J237" i="22"/>
  <c r="K237" i="22"/>
  <c r="J238" i="22"/>
  <c r="K238" i="22"/>
  <c r="E239" i="22"/>
  <c r="F239" i="22"/>
  <c r="J239" i="22"/>
  <c r="K239" i="22"/>
  <c r="E240" i="22"/>
  <c r="F240" i="22"/>
  <c r="J240" i="22"/>
  <c r="K240" i="22"/>
  <c r="E241" i="22"/>
  <c r="F241" i="22"/>
  <c r="J241" i="22"/>
  <c r="K241" i="22"/>
  <c r="J242" i="22"/>
  <c r="K242" i="22"/>
  <c r="J243" i="22"/>
  <c r="E243" i="22" s="1"/>
  <c r="F243" i="22" s="1"/>
  <c r="K243" i="22"/>
  <c r="E244" i="22"/>
  <c r="F244" i="22"/>
  <c r="J244" i="22"/>
  <c r="K244" i="22"/>
  <c r="E245" i="22"/>
  <c r="F245" i="22"/>
  <c r="J245" i="22"/>
  <c r="K245" i="22"/>
  <c r="J246" i="22"/>
  <c r="K246" i="22"/>
  <c r="E247" i="22"/>
  <c r="F247" i="22"/>
  <c r="J247" i="22"/>
  <c r="K247" i="22"/>
  <c r="J248" i="22"/>
  <c r="K248" i="22"/>
  <c r="E249" i="22"/>
  <c r="F249" i="22"/>
  <c r="J249" i="22"/>
  <c r="K249" i="22"/>
  <c r="J250" i="22"/>
  <c r="K250" i="22"/>
  <c r="E251" i="22"/>
  <c r="F251" i="22"/>
  <c r="J251" i="22"/>
  <c r="K251" i="22"/>
  <c r="J252" i="22"/>
  <c r="E252" i="22" s="1"/>
  <c r="F252" i="22" s="1"/>
  <c r="K252" i="22"/>
  <c r="E253" i="22"/>
  <c r="F253" i="22"/>
  <c r="J253" i="22"/>
  <c r="K253" i="22"/>
  <c r="J254" i="22"/>
  <c r="K254" i="22"/>
  <c r="J255" i="22"/>
  <c r="K255" i="22"/>
  <c r="E256" i="22"/>
  <c r="F256" i="22"/>
  <c r="J256" i="22"/>
  <c r="K256" i="22"/>
  <c r="J257" i="22"/>
  <c r="K257" i="22"/>
  <c r="J258" i="22"/>
  <c r="K258" i="22"/>
  <c r="E259" i="22"/>
  <c r="F259" i="22"/>
  <c r="J259" i="22"/>
  <c r="K259" i="22"/>
  <c r="E260" i="22"/>
  <c r="F260" i="22"/>
  <c r="J260" i="22"/>
  <c r="K260" i="22"/>
  <c r="E261" i="22"/>
  <c r="F261" i="22"/>
  <c r="J261" i="22"/>
  <c r="K261" i="22"/>
  <c r="E262" i="22"/>
  <c r="F262" i="22"/>
  <c r="J262" i="22"/>
  <c r="K262" i="22"/>
  <c r="E263" i="22"/>
  <c r="F263" i="22"/>
  <c r="J263" i="22"/>
  <c r="K263" i="22"/>
  <c r="E264" i="22"/>
  <c r="F264" i="22"/>
  <c r="J264" i="22"/>
  <c r="K264" i="22"/>
  <c r="J265" i="22"/>
  <c r="K265" i="22"/>
  <c r="J266" i="22"/>
  <c r="E266" i="22" s="1"/>
  <c r="F266" i="22" s="1"/>
  <c r="K266" i="22"/>
  <c r="J267" i="22"/>
  <c r="K267" i="22"/>
  <c r="E268" i="22"/>
  <c r="F268" i="22"/>
  <c r="J268" i="22"/>
  <c r="K268" i="22"/>
  <c r="J269" i="22"/>
  <c r="K269" i="22"/>
  <c r="J270" i="22"/>
  <c r="K270" i="22"/>
  <c r="E271" i="22"/>
  <c r="F271" i="22"/>
  <c r="J271" i="22"/>
  <c r="K271" i="22"/>
  <c r="E272" i="22"/>
  <c r="F272" i="22"/>
  <c r="J272" i="22"/>
  <c r="K272" i="22"/>
  <c r="E273" i="22"/>
  <c r="F273" i="22"/>
  <c r="J273" i="22"/>
  <c r="K273" i="22"/>
  <c r="E274" i="22"/>
  <c r="F274" i="22"/>
  <c r="J274" i="22"/>
  <c r="K274" i="22"/>
  <c r="E275" i="22"/>
  <c r="F275" i="22"/>
  <c r="J275" i="22"/>
  <c r="K275" i="22"/>
  <c r="J276" i="22"/>
  <c r="K276" i="22"/>
  <c r="E277" i="22"/>
  <c r="F277" i="22"/>
  <c r="J277" i="22"/>
  <c r="K277" i="22"/>
  <c r="E278" i="22"/>
  <c r="F278" i="22"/>
  <c r="J278" i="22"/>
  <c r="K278" i="22"/>
  <c r="E279" i="22"/>
  <c r="F279" i="22"/>
  <c r="J279" i="22"/>
  <c r="K279" i="22"/>
  <c r="E280" i="22"/>
  <c r="F280" i="22"/>
  <c r="J280" i="22"/>
  <c r="K280" i="22"/>
  <c r="E281" i="22"/>
  <c r="F281" i="22"/>
  <c r="J281" i="22"/>
  <c r="K281" i="22"/>
  <c r="E282" i="22"/>
  <c r="F282" i="22"/>
  <c r="J282" i="22"/>
  <c r="K282" i="22"/>
  <c r="J283" i="22"/>
  <c r="K283" i="22"/>
  <c r="J284" i="22"/>
  <c r="E284" i="22" s="1"/>
  <c r="F284" i="22" s="1"/>
  <c r="K284" i="22"/>
  <c r="J285" i="22"/>
  <c r="K285" i="22"/>
  <c r="E286" i="22"/>
  <c r="F286" i="22"/>
  <c r="J286" i="22"/>
  <c r="K286" i="22"/>
  <c r="J287" i="22"/>
  <c r="K287" i="22"/>
  <c r="E288" i="22"/>
  <c r="F288" i="22"/>
  <c r="J288" i="22"/>
  <c r="K288" i="22"/>
  <c r="J289" i="22"/>
  <c r="K289" i="22"/>
  <c r="J290" i="22"/>
  <c r="K290" i="22"/>
  <c r="E291" i="22"/>
  <c r="F291" i="22"/>
  <c r="J291" i="22"/>
  <c r="K291" i="22"/>
  <c r="J292" i="22"/>
  <c r="K292" i="22"/>
  <c r="E293" i="22"/>
  <c r="F293" i="22"/>
  <c r="J293" i="22"/>
  <c r="K293" i="22"/>
  <c r="E295" i="22"/>
  <c r="F295" i="22"/>
  <c r="J295" i="22"/>
  <c r="K295" i="22"/>
  <c r="E296" i="22"/>
  <c r="F296" i="22" s="1"/>
  <c r="J296" i="22"/>
  <c r="K296" i="22"/>
  <c r="J297" i="22"/>
  <c r="K297" i="22"/>
  <c r="E298" i="22"/>
  <c r="F298" i="22"/>
  <c r="J298" i="22"/>
  <c r="K298" i="22"/>
  <c r="E299" i="22"/>
  <c r="F299" i="22"/>
  <c r="J299" i="22"/>
  <c r="K299" i="22"/>
  <c r="E300" i="22"/>
  <c r="F300" i="22"/>
  <c r="J300" i="22"/>
  <c r="K300" i="22"/>
  <c r="E301" i="22"/>
  <c r="F301" i="22"/>
  <c r="J301" i="22"/>
  <c r="K301" i="22"/>
  <c r="J302" i="22"/>
  <c r="K302" i="22"/>
  <c r="J303" i="22"/>
  <c r="K303" i="22"/>
  <c r="J304" i="22"/>
  <c r="K304" i="22"/>
  <c r="J305" i="22"/>
  <c r="K305" i="22"/>
  <c r="E306" i="22"/>
  <c r="F306" i="22"/>
  <c r="J306" i="22"/>
  <c r="K306" i="22"/>
  <c r="J307" i="22"/>
  <c r="K307" i="22"/>
  <c r="J308" i="22"/>
  <c r="K308" i="22"/>
  <c r="J309" i="22"/>
  <c r="K309" i="22"/>
  <c r="E310" i="22"/>
  <c r="F310" i="22"/>
  <c r="J310" i="22"/>
  <c r="K310" i="22"/>
  <c r="E311" i="22"/>
  <c r="F311" i="22"/>
  <c r="J311" i="22"/>
  <c r="K311" i="22"/>
  <c r="J312" i="22"/>
  <c r="K312" i="22"/>
  <c r="E313" i="22"/>
  <c r="F313" i="22"/>
  <c r="J313" i="22"/>
  <c r="K313" i="22"/>
  <c r="E314" i="22"/>
  <c r="F314" i="22"/>
  <c r="J314" i="22"/>
  <c r="K314" i="22"/>
  <c r="E315" i="22"/>
  <c r="F315" i="22"/>
  <c r="J315" i="22"/>
  <c r="K315" i="22"/>
  <c r="E316" i="22"/>
  <c r="F316" i="22"/>
  <c r="J316" i="22"/>
  <c r="K316" i="22"/>
  <c r="J317" i="22"/>
  <c r="K317" i="22"/>
  <c r="E317" i="22" s="1"/>
  <c r="F317" i="22" s="1"/>
  <c r="E318" i="22"/>
  <c r="F318" i="22"/>
  <c r="J318" i="22"/>
  <c r="K318" i="22"/>
  <c r="E319" i="22"/>
  <c r="F319" i="22"/>
  <c r="J319" i="22"/>
  <c r="K319" i="22"/>
  <c r="E320" i="22"/>
  <c r="F320" i="22"/>
  <c r="J320" i="22"/>
  <c r="K320" i="22"/>
  <c r="E321" i="22"/>
  <c r="F321" i="22"/>
  <c r="J321" i="22"/>
  <c r="K321" i="22"/>
  <c r="J322" i="22"/>
  <c r="K322" i="22"/>
  <c r="J323" i="22"/>
  <c r="K323" i="22"/>
  <c r="J324" i="22"/>
  <c r="K324" i="22"/>
  <c r="J325" i="22"/>
  <c r="K325" i="22"/>
  <c r="J326" i="22"/>
  <c r="K326" i="22"/>
  <c r="E327" i="22"/>
  <c r="F327" i="22"/>
  <c r="J327" i="22"/>
  <c r="K327" i="22"/>
  <c r="E328" i="22"/>
  <c r="F328" i="22"/>
  <c r="J328" i="22"/>
  <c r="K328" i="22"/>
  <c r="E329" i="22"/>
  <c r="F329" i="22"/>
  <c r="J329" i="22"/>
  <c r="K329" i="22"/>
  <c r="E330" i="22"/>
  <c r="F330" i="22"/>
  <c r="J330" i="22"/>
  <c r="K330" i="22"/>
  <c r="E331" i="22"/>
  <c r="F331" i="22"/>
  <c r="J331" i="22"/>
  <c r="K331" i="22"/>
  <c r="E332" i="22"/>
  <c r="F332" i="22"/>
  <c r="J332" i="22"/>
  <c r="K332" i="22"/>
  <c r="E333" i="22"/>
  <c r="F333" i="22"/>
  <c r="J333" i="22"/>
  <c r="K333" i="22"/>
  <c r="E334" i="22"/>
  <c r="F334" i="22"/>
  <c r="J334" i="22"/>
  <c r="K334" i="22"/>
  <c r="E335" i="22"/>
  <c r="F335" i="22"/>
  <c r="J335" i="22"/>
  <c r="K335" i="22"/>
  <c r="J336" i="22"/>
  <c r="E336" i="22" s="1"/>
  <c r="F336" i="22" s="1"/>
  <c r="K336" i="22"/>
  <c r="J337" i="22"/>
  <c r="K337" i="22"/>
  <c r="J338" i="22"/>
  <c r="K338" i="22"/>
  <c r="J339" i="22"/>
  <c r="K339" i="22"/>
  <c r="J340" i="22"/>
  <c r="K340" i="22"/>
  <c r="E341" i="22"/>
  <c r="F341" i="22"/>
  <c r="J341" i="22"/>
  <c r="K341" i="22"/>
  <c r="J342" i="22"/>
  <c r="K342" i="22"/>
  <c r="E343" i="22"/>
  <c r="F343" i="22"/>
  <c r="J343" i="22"/>
  <c r="K343" i="22"/>
  <c r="J344" i="22"/>
  <c r="K344" i="22"/>
  <c r="E345" i="22"/>
  <c r="F345" i="22"/>
  <c r="J345" i="22"/>
  <c r="K345" i="22"/>
  <c r="E346" i="22"/>
  <c r="F346" i="22"/>
  <c r="J346" i="22"/>
  <c r="K346" i="22"/>
  <c r="E347" i="22"/>
  <c r="F347" i="22"/>
  <c r="J347" i="22"/>
  <c r="K347" i="22"/>
  <c r="E348" i="22"/>
  <c r="F348" i="22"/>
  <c r="J348" i="22"/>
  <c r="K348" i="22"/>
  <c r="E349" i="22"/>
  <c r="F349" i="22"/>
  <c r="J349" i="22"/>
  <c r="K349" i="22"/>
  <c r="E350" i="22"/>
  <c r="F350" i="22"/>
  <c r="J350" i="22"/>
  <c r="K350" i="22"/>
  <c r="E351" i="22"/>
  <c r="F351" i="22"/>
  <c r="J351" i="22"/>
  <c r="K351" i="22"/>
  <c r="E352" i="22"/>
  <c r="F352" i="22"/>
  <c r="J352" i="22"/>
  <c r="K352" i="22"/>
  <c r="E353" i="22"/>
  <c r="F353" i="22"/>
  <c r="J353" i="22"/>
  <c r="K353" i="22"/>
  <c r="E354" i="22"/>
  <c r="F354" i="22"/>
  <c r="J354" i="22"/>
  <c r="K354" i="22"/>
  <c r="E355" i="22"/>
  <c r="F355" i="22"/>
  <c r="J355" i="22"/>
  <c r="K355" i="22"/>
  <c r="J356" i="22"/>
  <c r="K356" i="22"/>
  <c r="J357" i="22"/>
  <c r="E357" i="22" s="1"/>
  <c r="F357" i="22" s="1"/>
  <c r="K357" i="22"/>
  <c r="E358" i="22"/>
  <c r="F358" i="22"/>
  <c r="J358" i="22"/>
  <c r="K358" i="22"/>
  <c r="E184" i="21"/>
  <c r="F184" i="21"/>
  <c r="J184" i="21"/>
  <c r="K184" i="21"/>
  <c r="E185" i="21"/>
  <c r="F185" i="21"/>
  <c r="J185" i="21"/>
  <c r="K185" i="21"/>
  <c r="J186" i="21"/>
  <c r="K186" i="21"/>
  <c r="E187" i="21"/>
  <c r="F187" i="21"/>
  <c r="J187" i="21"/>
  <c r="K187" i="21"/>
  <c r="J188" i="21"/>
  <c r="K188" i="21"/>
  <c r="E189" i="21"/>
  <c r="F189" i="21"/>
  <c r="J189" i="21"/>
  <c r="K189" i="21"/>
  <c r="J190" i="21"/>
  <c r="K190" i="21"/>
  <c r="J191" i="21"/>
  <c r="K191" i="21"/>
  <c r="J192" i="21"/>
  <c r="K192" i="21"/>
  <c r="E193" i="21"/>
  <c r="F193" i="21"/>
  <c r="J193" i="21"/>
  <c r="K193" i="21"/>
  <c r="E194" i="21"/>
  <c r="F194" i="21"/>
  <c r="J194" i="21"/>
  <c r="K194" i="21"/>
  <c r="E195" i="21"/>
  <c r="F195" i="21"/>
  <c r="J195" i="21"/>
  <c r="K195" i="21"/>
  <c r="E196" i="21"/>
  <c r="F196" i="21"/>
  <c r="J196" i="21"/>
  <c r="K196" i="21"/>
  <c r="J197" i="21"/>
  <c r="K197" i="21"/>
  <c r="E198" i="21"/>
  <c r="F198" i="21"/>
  <c r="J198" i="21"/>
  <c r="K198" i="21"/>
  <c r="E199" i="21"/>
  <c r="F199" i="21"/>
  <c r="J199" i="21"/>
  <c r="K199" i="21"/>
  <c r="E200" i="21"/>
  <c r="F200" i="21"/>
  <c r="J200" i="21"/>
  <c r="K200" i="21"/>
  <c r="E201" i="21"/>
  <c r="F201" i="21"/>
  <c r="J201" i="21"/>
  <c r="K201" i="21"/>
  <c r="E202" i="21"/>
  <c r="F202" i="21"/>
  <c r="J202" i="21"/>
  <c r="K202" i="21"/>
  <c r="E203" i="21"/>
  <c r="F203" i="21"/>
  <c r="J203" i="21"/>
  <c r="K203" i="21"/>
  <c r="E204" i="21"/>
  <c r="F204" i="21"/>
  <c r="J204" i="21"/>
  <c r="K204" i="21"/>
  <c r="J205" i="21"/>
  <c r="K205" i="21"/>
  <c r="J206" i="21"/>
  <c r="E206" i="21" s="1"/>
  <c r="F206" i="21" s="1"/>
  <c r="K206" i="21"/>
  <c r="J207" i="21"/>
  <c r="E207" i="21" s="1"/>
  <c r="F207" i="21" s="1"/>
  <c r="K207" i="21"/>
  <c r="J208" i="21"/>
  <c r="K208" i="21"/>
  <c r="J209" i="21"/>
  <c r="K209" i="21"/>
  <c r="E210" i="21"/>
  <c r="F210" i="21"/>
  <c r="J210" i="21"/>
  <c r="K210" i="21"/>
  <c r="J211" i="21"/>
  <c r="K211" i="21"/>
  <c r="J212" i="21"/>
  <c r="K212" i="21"/>
  <c r="E213" i="21"/>
  <c r="F213" i="21"/>
  <c r="J213" i="21"/>
  <c r="K213" i="21"/>
  <c r="J214" i="21"/>
  <c r="K214" i="21"/>
  <c r="J215" i="21"/>
  <c r="E215" i="21" s="1"/>
  <c r="F215" i="21" s="1"/>
  <c r="K215" i="21"/>
  <c r="E216" i="21"/>
  <c r="F216" i="21"/>
  <c r="J216" i="21"/>
  <c r="K216" i="21"/>
  <c r="J217" i="21"/>
  <c r="K217" i="21"/>
  <c r="J218" i="21"/>
  <c r="E218" i="21" s="1"/>
  <c r="F218" i="21" s="1"/>
  <c r="K218" i="21"/>
  <c r="E219" i="21"/>
  <c r="F219" i="21"/>
  <c r="J219" i="21"/>
  <c r="K219" i="21"/>
  <c r="J220" i="21"/>
  <c r="K220" i="21"/>
  <c r="E221" i="21"/>
  <c r="F221" i="21"/>
  <c r="J221" i="21"/>
  <c r="K221" i="21"/>
  <c r="E222" i="21"/>
  <c r="F222" i="21"/>
  <c r="J222" i="21"/>
  <c r="K222" i="21"/>
  <c r="E223" i="21"/>
  <c r="F223" i="21"/>
  <c r="J223" i="21"/>
  <c r="K223" i="21"/>
  <c r="E224" i="21"/>
  <c r="F224" i="21"/>
  <c r="J224" i="21"/>
  <c r="K224" i="21"/>
  <c r="E225" i="21"/>
  <c r="F225" i="21"/>
  <c r="J225" i="21"/>
  <c r="K225" i="21"/>
  <c r="E226" i="21"/>
  <c r="F226" i="21"/>
  <c r="J226" i="21"/>
  <c r="K226" i="21"/>
  <c r="E227" i="21"/>
  <c r="F227" i="21"/>
  <c r="J227" i="21"/>
  <c r="K227" i="21"/>
  <c r="E228" i="21"/>
  <c r="F228" i="21"/>
  <c r="J228" i="21"/>
  <c r="K228" i="21"/>
  <c r="E229" i="21"/>
  <c r="F229" i="21"/>
  <c r="J229" i="21"/>
  <c r="K229" i="21"/>
  <c r="E230" i="21"/>
  <c r="F230" i="21"/>
  <c r="J230" i="21"/>
  <c r="K230" i="21"/>
  <c r="E231" i="21"/>
  <c r="F231" i="21"/>
  <c r="J231" i="21"/>
  <c r="K231" i="21"/>
  <c r="E232" i="21"/>
  <c r="F232" i="21"/>
  <c r="J232" i="21"/>
  <c r="K232" i="21"/>
  <c r="E233" i="21"/>
  <c r="F233" i="21"/>
  <c r="J233" i="21"/>
  <c r="K233" i="21"/>
  <c r="E234" i="21"/>
  <c r="F234" i="21"/>
  <c r="J234" i="21"/>
  <c r="K234" i="21"/>
  <c r="E235" i="21"/>
  <c r="F235" i="21"/>
  <c r="J235" i="21"/>
  <c r="K235" i="21"/>
  <c r="E236" i="21"/>
  <c r="F236" i="21"/>
  <c r="J236" i="21"/>
  <c r="K236" i="21"/>
  <c r="E237" i="21"/>
  <c r="F237" i="21"/>
  <c r="J237" i="21"/>
  <c r="K237" i="21"/>
  <c r="E238" i="21"/>
  <c r="F238" i="21"/>
  <c r="J238" i="21"/>
  <c r="K238" i="21"/>
  <c r="E239" i="21"/>
  <c r="F239" i="21"/>
  <c r="J239" i="21"/>
  <c r="K239" i="21"/>
  <c r="E240" i="21"/>
  <c r="F240" i="21"/>
  <c r="J240" i="21"/>
  <c r="K240" i="21"/>
  <c r="E241" i="21"/>
  <c r="F241" i="21"/>
  <c r="J241" i="21"/>
  <c r="K241" i="21"/>
  <c r="J242" i="21"/>
  <c r="E242" i="21" s="1"/>
  <c r="F242" i="21" s="1"/>
  <c r="K242" i="21"/>
  <c r="E243" i="21"/>
  <c r="F243" i="21"/>
  <c r="J243" i="21"/>
  <c r="K243" i="21"/>
  <c r="E244" i="21"/>
  <c r="F244" i="21"/>
  <c r="J244" i="21"/>
  <c r="K244" i="21"/>
  <c r="E245" i="21"/>
  <c r="F245" i="21"/>
  <c r="J245" i="21"/>
  <c r="K245" i="21"/>
  <c r="E246" i="21"/>
  <c r="F246" i="21"/>
  <c r="J246" i="21"/>
  <c r="K246" i="21"/>
  <c r="J247" i="21"/>
  <c r="K247" i="21"/>
  <c r="J248" i="21"/>
  <c r="K248" i="21"/>
  <c r="E249" i="21"/>
  <c r="F249" i="21"/>
  <c r="J249" i="21"/>
  <c r="K249" i="21"/>
  <c r="J250" i="21"/>
  <c r="K250" i="21"/>
  <c r="E251" i="21"/>
  <c r="F251" i="21"/>
  <c r="J251" i="21"/>
  <c r="K251" i="21"/>
  <c r="E252" i="21"/>
  <c r="F252" i="21"/>
  <c r="J252" i="21"/>
  <c r="K252" i="21"/>
  <c r="E254" i="21"/>
  <c r="F254" i="21"/>
  <c r="J254" i="21"/>
  <c r="K254" i="21"/>
  <c r="E255" i="21"/>
  <c r="F255" i="21"/>
  <c r="J255" i="21"/>
  <c r="K255" i="21"/>
  <c r="E256" i="21"/>
  <c r="F256" i="21"/>
  <c r="J256" i="21"/>
  <c r="K256" i="21"/>
  <c r="E257" i="21"/>
  <c r="F257" i="21"/>
  <c r="J257" i="21"/>
  <c r="K257" i="21"/>
  <c r="E258" i="21"/>
  <c r="F258" i="21"/>
  <c r="J258" i="21"/>
  <c r="K258" i="21"/>
  <c r="E259" i="21"/>
  <c r="F259" i="21"/>
  <c r="J259" i="21"/>
  <c r="K259" i="21"/>
  <c r="J260" i="21"/>
  <c r="K260" i="21"/>
  <c r="J261" i="21"/>
  <c r="E261" i="21" s="1"/>
  <c r="F261" i="21" s="1"/>
  <c r="K261" i="21"/>
  <c r="J262" i="21"/>
  <c r="K262" i="21"/>
  <c r="J263" i="21"/>
  <c r="E263" i="21" s="1"/>
  <c r="F263" i="21" s="1"/>
  <c r="K263" i="21"/>
  <c r="J264" i="21"/>
  <c r="E264" i="21" s="1"/>
  <c r="F264" i="21" s="1"/>
  <c r="K264" i="21"/>
  <c r="J265" i="21"/>
  <c r="K265" i="21"/>
  <c r="E266" i="21"/>
  <c r="F266" i="21"/>
  <c r="J266" i="21"/>
  <c r="K266" i="21"/>
  <c r="J267" i="21"/>
  <c r="K267" i="21"/>
  <c r="J268" i="21"/>
  <c r="K268" i="21"/>
  <c r="J269" i="21"/>
  <c r="K269" i="21"/>
  <c r="J270" i="21"/>
  <c r="K270" i="21"/>
  <c r="J271" i="21"/>
  <c r="E271" i="21" s="1"/>
  <c r="F271" i="21" s="1"/>
  <c r="K271" i="21"/>
  <c r="J272" i="21"/>
  <c r="K272" i="21"/>
  <c r="J273" i="21"/>
  <c r="K273" i="21"/>
  <c r="J274" i="21"/>
  <c r="K274" i="21"/>
  <c r="J275" i="21"/>
  <c r="E275" i="21" s="1"/>
  <c r="F275" i="21" s="1"/>
  <c r="K275" i="21"/>
  <c r="J276" i="21"/>
  <c r="K276" i="21"/>
  <c r="E277" i="21"/>
  <c r="F277" i="21"/>
  <c r="J277" i="21"/>
  <c r="K277" i="21"/>
  <c r="E278" i="21"/>
  <c r="F278" i="21"/>
  <c r="J278" i="21"/>
  <c r="K278" i="21"/>
  <c r="E279" i="21"/>
  <c r="F279" i="21"/>
  <c r="J279" i="21"/>
  <c r="K279" i="21"/>
  <c r="E280" i="21"/>
  <c r="F280" i="21"/>
  <c r="J280" i="21"/>
  <c r="K280" i="21"/>
  <c r="E281" i="21"/>
  <c r="F281" i="21"/>
  <c r="J281" i="21"/>
  <c r="K281" i="21"/>
  <c r="E282" i="21"/>
  <c r="F282" i="21"/>
  <c r="J282" i="21"/>
  <c r="K282" i="21"/>
  <c r="E283" i="21"/>
  <c r="F283" i="21"/>
  <c r="J283" i="21"/>
  <c r="K283" i="21"/>
  <c r="E284" i="21"/>
  <c r="F284" i="21"/>
  <c r="J284" i="21"/>
  <c r="K284" i="21"/>
  <c r="E285" i="21"/>
  <c r="F285" i="21"/>
  <c r="J285" i="21"/>
  <c r="K285" i="21"/>
  <c r="E286" i="21"/>
  <c r="F286" i="21"/>
  <c r="J286" i="21"/>
  <c r="K286" i="21"/>
  <c r="E287" i="21"/>
  <c r="F287" i="21"/>
  <c r="J287" i="21"/>
  <c r="K287" i="21"/>
  <c r="E288" i="21"/>
  <c r="F288" i="21"/>
  <c r="J288" i="21"/>
  <c r="K288" i="21"/>
  <c r="E289" i="21"/>
  <c r="F289" i="21"/>
  <c r="J289" i="21"/>
  <c r="K289" i="21"/>
  <c r="E290" i="21"/>
  <c r="F290" i="21"/>
  <c r="J290" i="21"/>
  <c r="K290" i="21"/>
  <c r="E291" i="21"/>
  <c r="F291" i="21"/>
  <c r="J291" i="21"/>
  <c r="K291" i="21"/>
  <c r="E292" i="21"/>
  <c r="F292" i="21"/>
  <c r="J292" i="21"/>
  <c r="K292" i="21"/>
  <c r="E293" i="21"/>
  <c r="F293" i="21"/>
  <c r="J293" i="21"/>
  <c r="K293" i="21"/>
  <c r="E294" i="21"/>
  <c r="F294" i="21"/>
  <c r="J294" i="21"/>
  <c r="K294" i="21"/>
  <c r="E295" i="21"/>
  <c r="F295" i="21"/>
  <c r="J295" i="21"/>
  <c r="K295" i="21"/>
  <c r="E296" i="21"/>
  <c r="F296" i="21"/>
  <c r="J296" i="21"/>
  <c r="K296" i="21"/>
  <c r="E297" i="21"/>
  <c r="F297" i="21"/>
  <c r="J297" i="21"/>
  <c r="K297" i="21"/>
  <c r="J298" i="21"/>
  <c r="E298" i="21" s="1"/>
  <c r="F298" i="21" s="1"/>
  <c r="K298" i="21"/>
  <c r="E299" i="21"/>
  <c r="F299" i="21"/>
  <c r="J299" i="21"/>
  <c r="K299" i="21"/>
  <c r="E300" i="21"/>
  <c r="F300" i="21"/>
  <c r="J300" i="21"/>
  <c r="K300" i="21"/>
  <c r="J301" i="21"/>
  <c r="E301" i="21" s="1"/>
  <c r="F301" i="21" s="1"/>
  <c r="K301" i="21"/>
  <c r="E302" i="21"/>
  <c r="F302" i="21"/>
  <c r="J302" i="21"/>
  <c r="K302" i="21"/>
  <c r="J303" i="21"/>
  <c r="K303" i="21"/>
  <c r="J304" i="21"/>
  <c r="K304" i="21"/>
  <c r="E305" i="21"/>
  <c r="F305" i="21"/>
  <c r="J305" i="21"/>
  <c r="K305" i="21"/>
  <c r="J306" i="21"/>
  <c r="E306" i="21" s="1"/>
  <c r="F306" i="21" s="1"/>
  <c r="K306" i="21"/>
  <c r="E307" i="21"/>
  <c r="F307" i="21"/>
  <c r="J307" i="21"/>
  <c r="K307" i="21"/>
  <c r="E308" i="21"/>
  <c r="F308" i="21"/>
  <c r="J308" i="21"/>
  <c r="K308" i="21"/>
  <c r="E310" i="21"/>
  <c r="F310" i="21"/>
  <c r="J310" i="21"/>
  <c r="K310" i="21"/>
  <c r="E311" i="21"/>
  <c r="F311" i="21"/>
  <c r="J311" i="21"/>
  <c r="K311" i="21"/>
  <c r="E312" i="21"/>
  <c r="F312" i="21"/>
  <c r="J312" i="21"/>
  <c r="K312" i="21"/>
  <c r="E313" i="21"/>
  <c r="F313" i="21"/>
  <c r="J313" i="21"/>
  <c r="K313" i="21"/>
  <c r="E314" i="21"/>
  <c r="F314" i="21"/>
  <c r="J314" i="21"/>
  <c r="K314" i="21"/>
  <c r="E315" i="21"/>
  <c r="F315" i="21"/>
  <c r="J315" i="21"/>
  <c r="K315" i="21"/>
  <c r="J316" i="21"/>
  <c r="K316" i="21"/>
  <c r="J317" i="21"/>
  <c r="K317" i="21"/>
  <c r="E318" i="21"/>
  <c r="F318" i="21"/>
  <c r="J318" i="21"/>
  <c r="K318" i="21"/>
  <c r="J319" i="21"/>
  <c r="K319" i="21"/>
  <c r="E320" i="21"/>
  <c r="F320" i="21"/>
  <c r="J320" i="21"/>
  <c r="K320" i="21"/>
  <c r="J321" i="21"/>
  <c r="K321" i="21"/>
  <c r="E322" i="21"/>
  <c r="F322" i="21"/>
  <c r="J322" i="21"/>
  <c r="K322" i="21"/>
  <c r="J323" i="21"/>
  <c r="K323" i="21"/>
  <c r="J324" i="21"/>
  <c r="K324" i="21"/>
  <c r="J325" i="21"/>
  <c r="K325" i="21"/>
  <c r="E325" i="21" s="1"/>
  <c r="F325" i="21" s="1"/>
  <c r="J326" i="21"/>
  <c r="K326" i="21"/>
  <c r="J327" i="21"/>
  <c r="K327" i="21"/>
  <c r="E327" i="21" s="1"/>
  <c r="F327" i="21" s="1"/>
  <c r="J328" i="21"/>
  <c r="K328" i="21"/>
  <c r="J329" i="21"/>
  <c r="K329" i="21"/>
  <c r="E329" i="21" s="1"/>
  <c r="F329" i="21" s="1"/>
  <c r="J330" i="21"/>
  <c r="K330" i="21"/>
  <c r="J331" i="21"/>
  <c r="K331" i="21"/>
  <c r="E331" i="21" s="1"/>
  <c r="F331" i="21" s="1"/>
  <c r="J332" i="21"/>
  <c r="K332" i="21"/>
  <c r="E333" i="21"/>
  <c r="F333" i="21"/>
  <c r="J333" i="21"/>
  <c r="K333" i="21"/>
  <c r="E334" i="21"/>
  <c r="F334" i="21"/>
  <c r="J334" i="21"/>
  <c r="K334" i="21"/>
  <c r="E335" i="21"/>
  <c r="F335" i="21"/>
  <c r="J335" i="21"/>
  <c r="K335" i="21"/>
  <c r="E336" i="21"/>
  <c r="F336" i="21"/>
  <c r="J336" i="21"/>
  <c r="K336" i="21"/>
  <c r="E337" i="21"/>
  <c r="F337" i="21"/>
  <c r="J337" i="21"/>
  <c r="K337" i="21"/>
  <c r="E338" i="21"/>
  <c r="F338" i="21"/>
  <c r="J338" i="21"/>
  <c r="K338" i="21"/>
  <c r="E339" i="21"/>
  <c r="F339" i="21"/>
  <c r="J339" i="21"/>
  <c r="K339" i="21"/>
  <c r="E340" i="21"/>
  <c r="F340" i="21"/>
  <c r="J340" i="21"/>
  <c r="K340" i="21"/>
  <c r="E341" i="21"/>
  <c r="F341" i="21"/>
  <c r="J341" i="21"/>
  <c r="K341" i="21"/>
  <c r="E342" i="21"/>
  <c r="F342" i="21"/>
  <c r="J342" i="21"/>
  <c r="K342" i="21"/>
  <c r="E343" i="21"/>
  <c r="F343" i="21"/>
  <c r="J343" i="21"/>
  <c r="K343" i="21"/>
  <c r="E344" i="21"/>
  <c r="F344" i="21"/>
  <c r="J344" i="21"/>
  <c r="K344" i="21"/>
  <c r="E345" i="21"/>
  <c r="F345" i="21"/>
  <c r="J345" i="21"/>
  <c r="K345" i="21"/>
  <c r="E346" i="21"/>
  <c r="F346" i="21"/>
  <c r="J346" i="21"/>
  <c r="K346" i="21"/>
  <c r="E347" i="21"/>
  <c r="F347" i="21"/>
  <c r="J347" i="21"/>
  <c r="K347" i="21"/>
  <c r="E348" i="21"/>
  <c r="F348" i="21"/>
  <c r="J348" i="21"/>
  <c r="K348" i="21"/>
  <c r="E349" i="21"/>
  <c r="F349" i="21"/>
  <c r="J349" i="21"/>
  <c r="K349" i="21"/>
  <c r="E350" i="21"/>
  <c r="F350" i="21"/>
  <c r="J350" i="21"/>
  <c r="K350" i="21"/>
  <c r="E351" i="21"/>
  <c r="F351" i="21"/>
  <c r="J351" i="21"/>
  <c r="K351" i="21"/>
  <c r="E352" i="21"/>
  <c r="F352" i="21"/>
  <c r="J352" i="21"/>
  <c r="K352" i="21"/>
  <c r="E353" i="21"/>
  <c r="F353" i="21"/>
  <c r="J353" i="21"/>
  <c r="K353" i="21"/>
  <c r="J354" i="21"/>
  <c r="K354" i="21"/>
  <c r="E355" i="21"/>
  <c r="F355" i="21"/>
  <c r="J355" i="21"/>
  <c r="K355" i="21"/>
  <c r="E356" i="21"/>
  <c r="F356" i="21"/>
  <c r="J356" i="21"/>
  <c r="K356" i="21"/>
  <c r="J357" i="21"/>
  <c r="K357" i="21"/>
  <c r="E358" i="21"/>
  <c r="F358" i="21"/>
  <c r="J358" i="21"/>
  <c r="K358" i="21"/>
  <c r="J359" i="21"/>
  <c r="K359" i="21"/>
  <c r="J360" i="21"/>
  <c r="K360" i="21"/>
  <c r="E361" i="21"/>
  <c r="F361" i="21"/>
  <c r="J361" i="21"/>
  <c r="K361" i="21"/>
  <c r="J362" i="21"/>
  <c r="K362" i="21"/>
  <c r="E363" i="21"/>
  <c r="F363" i="21"/>
  <c r="J363" i="21"/>
  <c r="K363" i="21"/>
  <c r="E364" i="21"/>
  <c r="F364" i="21"/>
  <c r="J364" i="21"/>
  <c r="K364" i="21"/>
  <c r="J365" i="21"/>
  <c r="E365" i="21" s="1"/>
  <c r="F365" i="21" s="1"/>
  <c r="K365" i="21"/>
  <c r="E366" i="21"/>
  <c r="F366" i="21"/>
  <c r="J366" i="21"/>
  <c r="K366" i="21"/>
  <c r="E367" i="21"/>
  <c r="F367" i="21"/>
  <c r="J367" i="21"/>
  <c r="K367" i="21"/>
  <c r="E368" i="21"/>
  <c r="F368" i="21"/>
  <c r="J368" i="21"/>
  <c r="K368" i="21"/>
  <c r="E369" i="21"/>
  <c r="F369" i="21"/>
  <c r="J369" i="21"/>
  <c r="K369" i="21"/>
  <c r="E370" i="21"/>
  <c r="F370" i="21"/>
  <c r="J370" i="21"/>
  <c r="K370" i="21"/>
  <c r="E371" i="21"/>
  <c r="F371" i="21"/>
  <c r="J371" i="21"/>
  <c r="K371" i="21"/>
  <c r="E372" i="21"/>
  <c r="F372" i="21"/>
  <c r="J372" i="21"/>
  <c r="K372" i="21"/>
  <c r="J374" i="21"/>
  <c r="K374" i="21"/>
  <c r="E375" i="21"/>
  <c r="F375" i="21"/>
  <c r="J375" i="21"/>
  <c r="K375" i="21"/>
  <c r="E376" i="21"/>
  <c r="F376" i="21"/>
  <c r="J376" i="21"/>
  <c r="K376" i="21"/>
  <c r="E377" i="21"/>
  <c r="F377" i="21"/>
  <c r="J377" i="21"/>
  <c r="K377" i="21"/>
  <c r="E378" i="21"/>
  <c r="F378" i="21"/>
  <c r="J378" i="21"/>
  <c r="K378" i="21"/>
  <c r="E379" i="21"/>
  <c r="F379" i="21"/>
  <c r="J379" i="21"/>
  <c r="K379" i="21"/>
  <c r="E380" i="21"/>
  <c r="F380" i="21"/>
  <c r="J380" i="21"/>
  <c r="K380" i="21"/>
  <c r="E381" i="21"/>
  <c r="F381" i="21"/>
  <c r="J381" i="21"/>
  <c r="K381" i="21"/>
  <c r="E382" i="21"/>
  <c r="F382" i="21"/>
  <c r="J382" i="21"/>
  <c r="K382" i="21"/>
  <c r="E383" i="21"/>
  <c r="F383" i="21"/>
  <c r="J383" i="21"/>
  <c r="K383" i="21"/>
  <c r="J385" i="21"/>
  <c r="K385" i="21"/>
  <c r="E386" i="21"/>
  <c r="F386" i="21"/>
  <c r="J386" i="21"/>
  <c r="K386" i="21"/>
  <c r="E387" i="21"/>
  <c r="F387" i="21"/>
  <c r="J387" i="21"/>
  <c r="K387" i="21"/>
  <c r="E185" i="30"/>
  <c r="F185" i="30"/>
  <c r="J185" i="30"/>
  <c r="K185" i="30"/>
  <c r="E186" i="30"/>
  <c r="F186" i="30"/>
  <c r="J186" i="30"/>
  <c r="K186" i="30"/>
  <c r="E187" i="30"/>
  <c r="F187" i="30"/>
  <c r="J187" i="30"/>
  <c r="K187" i="30"/>
  <c r="J188" i="30"/>
  <c r="K188" i="30"/>
  <c r="E189" i="30"/>
  <c r="F189" i="30"/>
  <c r="J189" i="30"/>
  <c r="K189" i="30"/>
  <c r="E190" i="30"/>
  <c r="F190" i="30"/>
  <c r="J190" i="30"/>
  <c r="K190" i="30"/>
  <c r="E191" i="30"/>
  <c r="F191" i="30"/>
  <c r="J191" i="30"/>
  <c r="K191" i="30"/>
  <c r="E192" i="30"/>
  <c r="F192" i="30"/>
  <c r="J192" i="30"/>
  <c r="K192" i="30"/>
  <c r="E193" i="30"/>
  <c r="F193" i="30"/>
  <c r="J193" i="30"/>
  <c r="K193" i="30"/>
  <c r="J194" i="30"/>
  <c r="E194" i="30" s="1"/>
  <c r="F194" i="30" s="1"/>
  <c r="K194" i="30"/>
  <c r="E195" i="30"/>
  <c r="F195" i="30"/>
  <c r="J195" i="30"/>
  <c r="K195" i="30"/>
  <c r="E196" i="30"/>
  <c r="F196" i="30"/>
  <c r="J196" i="30"/>
  <c r="K196" i="30"/>
  <c r="E197" i="30"/>
  <c r="F197" i="30"/>
  <c r="J197" i="30"/>
  <c r="K197" i="30"/>
  <c r="E198" i="30"/>
  <c r="F198" i="30"/>
  <c r="J198" i="30"/>
  <c r="K198" i="30"/>
  <c r="E199" i="30"/>
  <c r="F199" i="30"/>
  <c r="J199" i="30"/>
  <c r="K199" i="30"/>
  <c r="E200" i="30"/>
  <c r="F200" i="30"/>
  <c r="J200" i="30"/>
  <c r="K200" i="30"/>
  <c r="J201" i="30"/>
  <c r="K201" i="30"/>
  <c r="J202" i="30"/>
  <c r="E202" i="30" s="1"/>
  <c r="F202" i="30" s="1"/>
  <c r="K202" i="30"/>
  <c r="J203" i="30"/>
  <c r="K203" i="30"/>
  <c r="E204" i="30"/>
  <c r="F204" i="30"/>
  <c r="J204" i="30"/>
  <c r="K204" i="30"/>
  <c r="J205" i="30"/>
  <c r="K205" i="30"/>
  <c r="E206" i="30"/>
  <c r="F206" i="30"/>
  <c r="J206" i="30"/>
  <c r="K206" i="30"/>
  <c r="J207" i="30"/>
  <c r="K207" i="30"/>
  <c r="J208" i="30"/>
  <c r="K208" i="30"/>
  <c r="E209" i="30"/>
  <c r="F209" i="30"/>
  <c r="J209" i="30"/>
  <c r="K209" i="30"/>
  <c r="E210" i="30"/>
  <c r="F210" i="30"/>
  <c r="J210" i="30"/>
  <c r="K210" i="30"/>
  <c r="J211" i="30"/>
  <c r="K211" i="30"/>
  <c r="E212" i="30"/>
  <c r="F212" i="30"/>
  <c r="J212" i="30"/>
  <c r="K212" i="30"/>
  <c r="J213" i="30"/>
  <c r="E213" i="30" s="1"/>
  <c r="F213" i="30" s="1"/>
  <c r="K213" i="30"/>
  <c r="J214" i="30"/>
  <c r="E214" i="30" s="1"/>
  <c r="F214" i="30" s="1"/>
  <c r="K214" i="30"/>
  <c r="E215" i="30"/>
  <c r="F215" i="30"/>
  <c r="J215" i="30"/>
  <c r="K215" i="30"/>
  <c r="E216" i="30"/>
  <c r="F216" i="30"/>
  <c r="J216" i="30"/>
  <c r="K216" i="30"/>
  <c r="E217" i="30"/>
  <c r="F217" i="30"/>
  <c r="J217" i="30"/>
  <c r="K217" i="30"/>
  <c r="E218" i="30"/>
  <c r="F218" i="30"/>
  <c r="J218" i="30"/>
  <c r="K218" i="30"/>
  <c r="E219" i="30"/>
  <c r="F219" i="30"/>
  <c r="J219" i="30"/>
  <c r="K219" i="30"/>
  <c r="E220" i="30"/>
  <c r="F220" i="30"/>
  <c r="J220" i="30"/>
  <c r="K220" i="30"/>
  <c r="E221" i="30"/>
  <c r="F221" i="30"/>
  <c r="J221" i="30"/>
  <c r="K221" i="30"/>
  <c r="E222" i="30"/>
  <c r="F222" i="30"/>
  <c r="J222" i="30"/>
  <c r="K222" i="30"/>
  <c r="J223" i="30"/>
  <c r="K223" i="30"/>
  <c r="E224" i="30"/>
  <c r="F224" i="30"/>
  <c r="J224" i="30"/>
  <c r="K224" i="30"/>
  <c r="E225" i="30"/>
  <c r="F225" i="30"/>
  <c r="J225" i="30"/>
  <c r="K225" i="30"/>
  <c r="E226" i="30"/>
  <c r="F226" i="30"/>
  <c r="J226" i="30"/>
  <c r="K226" i="30"/>
  <c r="J227" i="30"/>
  <c r="E227" i="30" s="1"/>
  <c r="F227" i="30" s="1"/>
  <c r="K227" i="30"/>
  <c r="E228" i="30"/>
  <c r="F228" i="30"/>
  <c r="J228" i="30"/>
  <c r="K228" i="30"/>
  <c r="E229" i="30"/>
  <c r="F229" i="30"/>
  <c r="J229" i="30"/>
  <c r="K229" i="30"/>
  <c r="J230" i="30"/>
  <c r="K230" i="30"/>
  <c r="E231" i="30"/>
  <c r="F231" i="30"/>
  <c r="J231" i="30"/>
  <c r="K231" i="30"/>
  <c r="E232" i="30"/>
  <c r="F232" i="30"/>
  <c r="J232" i="30"/>
  <c r="K232" i="30"/>
  <c r="E233" i="30"/>
  <c r="F233" i="30"/>
  <c r="J233" i="30"/>
  <c r="K233" i="30"/>
  <c r="E234" i="30"/>
  <c r="F234" i="30"/>
  <c r="J234" i="30"/>
  <c r="K234" i="30"/>
  <c r="E235" i="30"/>
  <c r="F235" i="30"/>
  <c r="J235" i="30"/>
  <c r="K235" i="30"/>
  <c r="E236" i="30"/>
  <c r="F236" i="30"/>
  <c r="J236" i="30"/>
  <c r="K236" i="30"/>
  <c r="E237" i="30"/>
  <c r="F237" i="30"/>
  <c r="J237" i="30"/>
  <c r="K237" i="30"/>
  <c r="E238" i="30"/>
  <c r="F238" i="30"/>
  <c r="J238" i="30"/>
  <c r="K238" i="30"/>
  <c r="E239" i="30"/>
  <c r="F239" i="30"/>
  <c r="J239" i="30"/>
  <c r="K239" i="30"/>
  <c r="E240" i="30"/>
  <c r="F240" i="30"/>
  <c r="J240" i="30"/>
  <c r="K240" i="30"/>
  <c r="E241" i="30"/>
  <c r="F241" i="30"/>
  <c r="J241" i="30"/>
  <c r="K241" i="30"/>
  <c r="E242" i="30"/>
  <c r="F242" i="30"/>
  <c r="J242" i="30"/>
  <c r="K242" i="30"/>
  <c r="J243" i="30"/>
  <c r="K243" i="30"/>
  <c r="E244" i="30"/>
  <c r="F244" i="30"/>
  <c r="J244" i="30"/>
  <c r="K244" i="30"/>
  <c r="J245" i="30"/>
  <c r="K245" i="30"/>
  <c r="J246" i="30"/>
  <c r="E246" i="30" s="1"/>
  <c r="F246" i="30" s="1"/>
  <c r="K246" i="30"/>
  <c r="E247" i="30"/>
  <c r="F247" i="30"/>
  <c r="J247" i="30"/>
  <c r="K247" i="30"/>
  <c r="E248" i="30"/>
  <c r="F248" i="30"/>
  <c r="J248" i="30"/>
  <c r="K248" i="30"/>
  <c r="J249" i="30"/>
  <c r="K249" i="30"/>
  <c r="E250" i="30"/>
  <c r="F250" i="30"/>
  <c r="J250" i="30"/>
  <c r="K250" i="30"/>
  <c r="J251" i="30"/>
  <c r="E251" i="30" s="1"/>
  <c r="F251" i="30" s="1"/>
  <c r="K251" i="30"/>
  <c r="E252" i="30"/>
  <c r="F252" i="30"/>
  <c r="J252" i="30"/>
  <c r="K252" i="30"/>
  <c r="E253" i="30"/>
  <c r="F253" i="30"/>
  <c r="J253" i="30"/>
  <c r="K253" i="30"/>
  <c r="E254" i="30"/>
  <c r="F254" i="30"/>
  <c r="J254" i="30"/>
  <c r="K254" i="30"/>
  <c r="E255" i="30"/>
  <c r="F255" i="30"/>
  <c r="J255" i="30"/>
  <c r="K255" i="30"/>
  <c r="E256" i="30"/>
  <c r="F256" i="30"/>
  <c r="J256" i="30"/>
  <c r="K256" i="30"/>
  <c r="J257" i="30"/>
  <c r="E257" i="30" s="1"/>
  <c r="F257" i="30" s="1"/>
  <c r="K257" i="30"/>
  <c r="J258" i="30"/>
  <c r="K258" i="30"/>
  <c r="J259" i="30"/>
  <c r="K259" i="30"/>
  <c r="J260" i="30"/>
  <c r="K260" i="30"/>
  <c r="J261" i="30"/>
  <c r="E261" i="30" s="1"/>
  <c r="F261" i="30" s="1"/>
  <c r="K261" i="30"/>
  <c r="J262" i="30"/>
  <c r="K262" i="30"/>
  <c r="J263" i="30"/>
  <c r="E263" i="30" s="1"/>
  <c r="F263" i="30" s="1"/>
  <c r="K263" i="30"/>
  <c r="J264" i="30"/>
  <c r="K264" i="30"/>
  <c r="J265" i="30"/>
  <c r="K265" i="30"/>
  <c r="E266" i="30"/>
  <c r="F266" i="30"/>
  <c r="J266" i="30"/>
  <c r="K266" i="30"/>
  <c r="E267" i="30"/>
  <c r="F267" i="30"/>
  <c r="J267" i="30"/>
  <c r="K267" i="30"/>
  <c r="E268" i="30"/>
  <c r="F268" i="30"/>
  <c r="J268" i="30"/>
  <c r="K268" i="30"/>
  <c r="E269" i="30"/>
  <c r="F269" i="30"/>
  <c r="J269" i="30"/>
  <c r="K269" i="30"/>
  <c r="E270" i="30"/>
  <c r="F270" i="30"/>
  <c r="J270" i="30"/>
  <c r="K270" i="30"/>
  <c r="E271" i="30"/>
  <c r="F271" i="30"/>
  <c r="J271" i="30"/>
  <c r="K271" i="30"/>
  <c r="E272" i="30"/>
  <c r="F272" i="30"/>
  <c r="J272" i="30"/>
  <c r="K272" i="30"/>
  <c r="E273" i="30"/>
  <c r="F273" i="30"/>
  <c r="J273" i="30"/>
  <c r="K273" i="30"/>
  <c r="E274" i="30"/>
  <c r="F274" i="30"/>
  <c r="J274" i="30"/>
  <c r="K274" i="30"/>
  <c r="E275" i="30"/>
  <c r="F275" i="30"/>
  <c r="J275" i="30"/>
  <c r="K275" i="30"/>
  <c r="E276" i="30"/>
  <c r="F276" i="30"/>
  <c r="J276" i="30"/>
  <c r="K276" i="30"/>
  <c r="J277" i="30"/>
  <c r="E277" i="30" s="1"/>
  <c r="F277" i="30" s="1"/>
  <c r="K277" i="30"/>
  <c r="J278" i="30"/>
  <c r="K278" i="30"/>
  <c r="E279" i="30"/>
  <c r="F279" i="30"/>
  <c r="J279" i="30"/>
  <c r="K279" i="30"/>
  <c r="E25" i="22"/>
  <c r="F25" i="22"/>
  <c r="J25" i="22"/>
  <c r="K25" i="22"/>
  <c r="J26" i="22"/>
  <c r="K26" i="22"/>
  <c r="E27" i="22"/>
  <c r="F27" i="22"/>
  <c r="J27" i="22"/>
  <c r="K27" i="22"/>
  <c r="J28" i="22"/>
  <c r="K28" i="22"/>
  <c r="E29" i="22"/>
  <c r="F29" i="22"/>
  <c r="J29" i="22"/>
  <c r="K29" i="22"/>
  <c r="E31" i="22"/>
  <c r="F31" i="22"/>
  <c r="J31" i="22"/>
  <c r="K31" i="22"/>
  <c r="J32" i="22"/>
  <c r="K32" i="22"/>
  <c r="E33" i="22"/>
  <c r="F33" i="22"/>
  <c r="J33" i="22"/>
  <c r="K33" i="22"/>
  <c r="J34" i="22"/>
  <c r="K34" i="22"/>
  <c r="E35" i="22"/>
  <c r="F35" i="22"/>
  <c r="J35" i="22"/>
  <c r="K35" i="22"/>
  <c r="J36" i="22"/>
  <c r="K36" i="22"/>
  <c r="E36" i="22" s="1"/>
  <c r="F36" i="22" s="1"/>
  <c r="E37" i="22"/>
  <c r="F37" i="22"/>
  <c r="J37" i="22"/>
  <c r="K37" i="22"/>
  <c r="E38" i="22"/>
  <c r="F38" i="22" s="1"/>
  <c r="J38" i="22"/>
  <c r="K38" i="22"/>
  <c r="E39" i="22"/>
  <c r="F39" i="22"/>
  <c r="J39" i="22"/>
  <c r="K39" i="22"/>
  <c r="E40" i="22"/>
  <c r="F40" i="22"/>
  <c r="J40" i="22"/>
  <c r="K40" i="22"/>
  <c r="E41" i="22"/>
  <c r="F41" i="22"/>
  <c r="J41" i="22"/>
  <c r="K41" i="22"/>
  <c r="J42" i="22"/>
  <c r="K42" i="22"/>
  <c r="J43" i="22"/>
  <c r="K43" i="22"/>
  <c r="E44" i="22"/>
  <c r="F44" i="22"/>
  <c r="J44" i="22"/>
  <c r="K44" i="22"/>
  <c r="J45" i="22"/>
  <c r="E45" i="22" s="1"/>
  <c r="F45" i="22" s="1"/>
  <c r="K45" i="22"/>
  <c r="J46" i="22"/>
  <c r="K46" i="22"/>
  <c r="E47" i="22"/>
  <c r="F47" i="22" s="1"/>
  <c r="J47" i="22"/>
  <c r="K47" i="22"/>
  <c r="J48" i="22"/>
  <c r="K48" i="22"/>
  <c r="E49" i="22"/>
  <c r="F49" i="22"/>
  <c r="J49" i="22"/>
  <c r="K49" i="22"/>
  <c r="J50" i="22"/>
  <c r="K50" i="22"/>
  <c r="J51" i="22"/>
  <c r="E51" i="22" s="1"/>
  <c r="F51" i="22" s="1"/>
  <c r="K51" i="22"/>
  <c r="E52" i="22"/>
  <c r="F52" i="22"/>
  <c r="J52" i="22"/>
  <c r="K52" i="22"/>
  <c r="J53" i="22"/>
  <c r="K53" i="22"/>
  <c r="E54" i="22"/>
  <c r="F54" i="22"/>
  <c r="J54" i="22"/>
  <c r="K54" i="22"/>
  <c r="J55" i="22"/>
  <c r="K55" i="22"/>
  <c r="E56" i="22"/>
  <c r="F56" i="22"/>
  <c r="J56" i="22"/>
  <c r="K56" i="22"/>
  <c r="J57" i="22"/>
  <c r="K57" i="22"/>
  <c r="E58" i="22"/>
  <c r="F58" i="22"/>
  <c r="J58" i="22"/>
  <c r="K58" i="22"/>
  <c r="J59" i="22"/>
  <c r="E59" i="22" s="1"/>
  <c r="F59" i="22" s="1"/>
  <c r="K59" i="22"/>
  <c r="J60" i="22"/>
  <c r="K60" i="22"/>
  <c r="J61" i="22"/>
  <c r="E61" i="22" s="1"/>
  <c r="F61" i="22" s="1"/>
  <c r="K61" i="22"/>
  <c r="J62" i="22"/>
  <c r="K62" i="22"/>
  <c r="J63" i="22"/>
  <c r="K63" i="22"/>
  <c r="E64" i="22"/>
  <c r="F64" i="22"/>
  <c r="J64" i="22"/>
  <c r="K64" i="22"/>
  <c r="J65" i="22"/>
  <c r="K65" i="22"/>
  <c r="E66" i="22"/>
  <c r="F66" i="22"/>
  <c r="J66" i="22"/>
  <c r="K66" i="22"/>
  <c r="J67" i="22"/>
  <c r="K67" i="22"/>
  <c r="J68" i="22"/>
  <c r="K68" i="22"/>
  <c r="E69" i="22"/>
  <c r="F69" i="22"/>
  <c r="J69" i="22"/>
  <c r="K69" i="22"/>
  <c r="J70" i="22"/>
  <c r="K70" i="22"/>
  <c r="E71" i="22"/>
  <c r="F71" i="22"/>
  <c r="J71" i="22"/>
  <c r="K71" i="22"/>
  <c r="J72" i="22"/>
  <c r="K72" i="22"/>
  <c r="E73" i="22"/>
  <c r="F73" i="22"/>
  <c r="J73" i="22"/>
  <c r="K73" i="22"/>
  <c r="J74" i="22"/>
  <c r="E74" i="22" s="1"/>
  <c r="F74" i="22" s="1"/>
  <c r="K74" i="22"/>
  <c r="J75" i="22"/>
  <c r="K75" i="22"/>
  <c r="E76" i="22"/>
  <c r="F76" i="22"/>
  <c r="J76" i="22"/>
  <c r="K76" i="22"/>
  <c r="E77" i="22"/>
  <c r="F77" i="22"/>
  <c r="J77" i="22"/>
  <c r="K77" i="22"/>
  <c r="E80" i="22"/>
  <c r="F80" i="22"/>
  <c r="J80" i="22"/>
  <c r="K80" i="22"/>
  <c r="E81" i="22"/>
  <c r="F81" i="22"/>
  <c r="J81" i="22"/>
  <c r="K81" i="22"/>
  <c r="J82" i="22"/>
  <c r="K82" i="22"/>
  <c r="E83" i="22"/>
  <c r="F83" i="22"/>
  <c r="J83" i="22"/>
  <c r="K83" i="22"/>
  <c r="E84" i="22"/>
  <c r="F84" i="22"/>
  <c r="J84" i="22"/>
  <c r="K84" i="22"/>
  <c r="E85" i="22"/>
  <c r="F85" i="22"/>
  <c r="J85" i="22"/>
  <c r="K85" i="22"/>
  <c r="E86" i="22"/>
  <c r="F86" i="22"/>
  <c r="J86" i="22"/>
  <c r="K86" i="22"/>
  <c r="J87" i="22"/>
  <c r="K87" i="22"/>
  <c r="E88" i="22"/>
  <c r="F88" i="22"/>
  <c r="J88" i="22"/>
  <c r="K88" i="22"/>
  <c r="J89" i="22"/>
  <c r="K89" i="22"/>
  <c r="E90" i="22"/>
  <c r="F90" i="22"/>
  <c r="J90" i="22"/>
  <c r="K90" i="22"/>
  <c r="J91" i="22"/>
  <c r="K91" i="22"/>
  <c r="E92" i="22"/>
  <c r="F92" i="22"/>
  <c r="J92" i="22"/>
  <c r="K92" i="22"/>
  <c r="J93" i="22"/>
  <c r="E93" i="22" s="1"/>
  <c r="F93" i="22" s="1"/>
  <c r="K93" i="22"/>
  <c r="E94" i="22"/>
  <c r="F94" i="22"/>
  <c r="J94" i="22"/>
  <c r="K94" i="22"/>
  <c r="J95" i="22"/>
  <c r="K95" i="22"/>
  <c r="E96" i="22"/>
  <c r="F96" i="22"/>
  <c r="J96" i="22"/>
  <c r="K96" i="22"/>
  <c r="E97" i="22"/>
  <c r="F97" i="22"/>
  <c r="J97" i="22"/>
  <c r="K97" i="22"/>
  <c r="E98" i="22"/>
  <c r="F98" i="22"/>
  <c r="J98" i="22"/>
  <c r="K98" i="22"/>
  <c r="E99" i="22"/>
  <c r="F99" i="22"/>
  <c r="J99" i="22"/>
  <c r="K99" i="22"/>
  <c r="E100" i="22"/>
  <c r="F100" i="22"/>
  <c r="J100" i="22"/>
  <c r="K100" i="22"/>
  <c r="J101" i="22"/>
  <c r="E101" i="22" s="1"/>
  <c r="F101" i="22" s="1"/>
  <c r="K101" i="22"/>
  <c r="J102" i="22"/>
  <c r="K102" i="22"/>
  <c r="J103" i="22"/>
  <c r="E103" i="22" s="1"/>
  <c r="F103" i="22" s="1"/>
  <c r="K103" i="22"/>
  <c r="J104" i="22"/>
  <c r="K104" i="22"/>
  <c r="J105" i="22"/>
  <c r="K105" i="22"/>
  <c r="J106" i="22"/>
  <c r="K106" i="22"/>
  <c r="E107" i="22"/>
  <c r="F107" i="22"/>
  <c r="J107" i="22"/>
  <c r="K107" i="22"/>
  <c r="E108" i="22"/>
  <c r="F108" i="22"/>
  <c r="J108" i="22"/>
  <c r="K108" i="22"/>
  <c r="E109" i="22"/>
  <c r="F109" i="22"/>
  <c r="J109" i="22"/>
  <c r="K109" i="22"/>
  <c r="E110" i="22"/>
  <c r="F110" i="22"/>
  <c r="J110" i="22"/>
  <c r="K110" i="22"/>
  <c r="E111" i="22"/>
  <c r="F111" i="22"/>
  <c r="J111" i="22"/>
  <c r="K111" i="22"/>
  <c r="E112" i="22"/>
  <c r="F112" i="22"/>
  <c r="J112" i="22"/>
  <c r="K112" i="22"/>
  <c r="E113" i="22"/>
  <c r="F113" i="22"/>
  <c r="J113" i="22"/>
  <c r="K113" i="22"/>
  <c r="J114" i="22"/>
  <c r="K114" i="22"/>
  <c r="J115" i="22"/>
  <c r="K115" i="22"/>
  <c r="E116" i="22"/>
  <c r="F116" i="22"/>
  <c r="J116" i="22"/>
  <c r="K116" i="22"/>
  <c r="J117" i="22"/>
  <c r="K117" i="22"/>
  <c r="J118" i="22"/>
  <c r="K118" i="22"/>
  <c r="E119" i="22"/>
  <c r="F119" i="22"/>
  <c r="J119" i="22"/>
  <c r="K119" i="22"/>
  <c r="E120" i="22"/>
  <c r="F120" i="22"/>
  <c r="J120" i="22"/>
  <c r="K120" i="22"/>
  <c r="E121" i="22"/>
  <c r="F121" i="22"/>
  <c r="J121" i="22"/>
  <c r="K121" i="22"/>
  <c r="J122" i="22"/>
  <c r="K122" i="22"/>
  <c r="J123" i="22"/>
  <c r="K123" i="22"/>
  <c r="J124" i="22"/>
  <c r="E124" i="22" s="1"/>
  <c r="F124" i="22" s="1"/>
  <c r="K124" i="22"/>
  <c r="E125" i="22"/>
  <c r="F125" i="22"/>
  <c r="J125" i="22"/>
  <c r="K125" i="22"/>
  <c r="E126" i="22"/>
  <c r="F126" i="22"/>
  <c r="J126" i="22"/>
  <c r="K126" i="22"/>
  <c r="E127" i="22"/>
  <c r="F127" i="22"/>
  <c r="J127" i="22"/>
  <c r="K127" i="22"/>
  <c r="E128" i="22"/>
  <c r="F128" i="22"/>
  <c r="J128" i="22"/>
  <c r="K128" i="22"/>
  <c r="E129" i="22"/>
  <c r="F129" i="22"/>
  <c r="J129" i="22"/>
  <c r="K129" i="22"/>
  <c r="J130" i="22"/>
  <c r="K130" i="22"/>
  <c r="J131" i="22"/>
  <c r="K131" i="22"/>
  <c r="J132" i="22"/>
  <c r="K132" i="22"/>
  <c r="E133" i="22"/>
  <c r="F133" i="22"/>
  <c r="J133" i="22"/>
  <c r="K133" i="22"/>
  <c r="J134" i="22"/>
  <c r="K134" i="22"/>
  <c r="J135" i="22"/>
  <c r="K135" i="22"/>
  <c r="J136" i="22"/>
  <c r="E136" i="22" s="1"/>
  <c r="F136" i="22" s="1"/>
  <c r="K136" i="22"/>
  <c r="E137" i="22"/>
  <c r="F137" i="22"/>
  <c r="J137" i="22"/>
  <c r="K137" i="22"/>
  <c r="E138" i="22"/>
  <c r="F138" i="22"/>
  <c r="J138" i="22"/>
  <c r="K138" i="22"/>
  <c r="E139" i="22"/>
  <c r="F139" i="22"/>
  <c r="J139" i="22"/>
  <c r="K139" i="22"/>
  <c r="E140" i="22"/>
  <c r="F140" i="22"/>
  <c r="J140" i="22"/>
  <c r="K140" i="22"/>
  <c r="E141" i="22"/>
  <c r="F141" i="22"/>
  <c r="J141" i="22"/>
  <c r="K141" i="22"/>
  <c r="J142" i="22"/>
  <c r="K142" i="22"/>
  <c r="E143" i="22"/>
  <c r="F143" i="22"/>
  <c r="J143" i="22"/>
  <c r="K143" i="22"/>
  <c r="E144" i="22"/>
  <c r="F144" i="22"/>
  <c r="J144" i="22"/>
  <c r="K144" i="22"/>
  <c r="E145" i="22"/>
  <c r="F145" i="22"/>
  <c r="J145" i="22"/>
  <c r="K145" i="22"/>
  <c r="E146" i="22"/>
  <c r="F146" i="22"/>
  <c r="J146" i="22"/>
  <c r="K146" i="22"/>
  <c r="E147" i="22"/>
  <c r="F147" i="22"/>
  <c r="J147" i="22"/>
  <c r="K147" i="22"/>
  <c r="J148" i="22"/>
  <c r="E148" i="22" s="1"/>
  <c r="F148" i="22" s="1"/>
  <c r="K148" i="22"/>
  <c r="J149" i="22"/>
  <c r="K149" i="22"/>
  <c r="J150" i="22"/>
  <c r="K150" i="22"/>
  <c r="J151" i="22"/>
  <c r="K151" i="22"/>
  <c r="E151" i="22" s="1"/>
  <c r="F151" i="22" s="1"/>
  <c r="J152" i="22"/>
  <c r="E152" i="22" s="1"/>
  <c r="F152" i="22" s="1"/>
  <c r="K152" i="22"/>
  <c r="J153" i="22"/>
  <c r="K153" i="22"/>
  <c r="J154" i="22"/>
  <c r="K154" i="22"/>
  <c r="J155" i="22"/>
  <c r="K155" i="22"/>
  <c r="J156" i="22"/>
  <c r="K156" i="22"/>
  <c r="J157" i="22"/>
  <c r="K157" i="22"/>
  <c r="J158" i="22"/>
  <c r="E158" i="22" s="1"/>
  <c r="F158" i="22" s="1"/>
  <c r="K158" i="22"/>
  <c r="J159" i="22"/>
  <c r="K159" i="22"/>
  <c r="J160" i="22"/>
  <c r="E160" i="22" s="1"/>
  <c r="F160" i="22" s="1"/>
  <c r="K160" i="22"/>
  <c r="J161" i="22"/>
  <c r="K161" i="22"/>
  <c r="J162" i="22"/>
  <c r="K162" i="22"/>
  <c r="J163" i="22"/>
  <c r="K163" i="22"/>
  <c r="J164" i="22"/>
  <c r="E164" i="22" s="1"/>
  <c r="F164" i="22" s="1"/>
  <c r="K164" i="22"/>
  <c r="J165" i="22"/>
  <c r="K165" i="22"/>
  <c r="J166" i="22"/>
  <c r="E166" i="22" s="1"/>
  <c r="F166" i="22" s="1"/>
  <c r="K166" i="22"/>
  <c r="J167" i="22"/>
  <c r="K167" i="22"/>
  <c r="J168" i="22"/>
  <c r="K168" i="22"/>
  <c r="J169" i="22"/>
  <c r="K169" i="22"/>
  <c r="J170" i="22"/>
  <c r="E170" i="22" s="1"/>
  <c r="F170" i="22" s="1"/>
  <c r="K170" i="22"/>
  <c r="J171" i="22"/>
  <c r="K171" i="22"/>
  <c r="J172" i="22"/>
  <c r="E172" i="22" s="1"/>
  <c r="F172" i="22" s="1"/>
  <c r="K172" i="22"/>
  <c r="J173" i="22"/>
  <c r="K173" i="22"/>
  <c r="J174" i="22"/>
  <c r="K174" i="22"/>
  <c r="J175" i="22"/>
  <c r="K175" i="22"/>
  <c r="J176" i="22"/>
  <c r="K176" i="22"/>
  <c r="E177" i="22"/>
  <c r="F177" i="22"/>
  <c r="J177" i="22"/>
  <c r="K177" i="22"/>
  <c r="E178" i="22"/>
  <c r="F178" i="22"/>
  <c r="J178" i="22"/>
  <c r="K178" i="22"/>
  <c r="E179" i="22"/>
  <c r="F179" i="22"/>
  <c r="J179" i="22"/>
  <c r="K179" i="22"/>
  <c r="E180" i="22"/>
  <c r="F180" i="22"/>
  <c r="J180" i="22"/>
  <c r="K180" i="22"/>
  <c r="E181" i="22"/>
  <c r="F181" i="22"/>
  <c r="J181" i="22"/>
  <c r="K181" i="22"/>
  <c r="J182" i="22"/>
  <c r="K182" i="22"/>
  <c r="J183" i="22"/>
  <c r="E183" i="22" s="1"/>
  <c r="F183" i="22" s="1"/>
  <c r="K183" i="22"/>
  <c r="J184" i="22"/>
  <c r="K184" i="22"/>
  <c r="J26" i="21"/>
  <c r="K26" i="21"/>
  <c r="J29" i="21"/>
  <c r="K29" i="21"/>
  <c r="E30" i="21"/>
  <c r="F30" i="21"/>
  <c r="J30" i="21"/>
  <c r="K30" i="21"/>
  <c r="E31" i="21"/>
  <c r="F31" i="21"/>
  <c r="J31" i="21"/>
  <c r="K31" i="21"/>
  <c r="J34" i="21"/>
  <c r="K34" i="21"/>
  <c r="E35" i="21"/>
  <c r="F35" i="21"/>
  <c r="J35" i="21"/>
  <c r="K35" i="21"/>
  <c r="E36" i="21"/>
  <c r="F36" i="21"/>
  <c r="J36" i="21"/>
  <c r="K36" i="21"/>
  <c r="E37" i="21"/>
  <c r="F37" i="21"/>
  <c r="J37" i="21"/>
  <c r="K37" i="21"/>
  <c r="E38" i="21"/>
  <c r="F38" i="21"/>
  <c r="J38" i="21"/>
  <c r="K38" i="21"/>
  <c r="E39" i="21"/>
  <c r="F39" i="21"/>
  <c r="J39" i="21"/>
  <c r="K39" i="21"/>
  <c r="E40" i="21"/>
  <c r="F40" i="21"/>
  <c r="J40" i="21"/>
  <c r="K40" i="21"/>
  <c r="E41" i="21"/>
  <c r="F41" i="21"/>
  <c r="J41" i="21"/>
  <c r="K41" i="21"/>
  <c r="E42" i="21"/>
  <c r="F42" i="21"/>
  <c r="J42" i="21"/>
  <c r="K42" i="21"/>
  <c r="J43" i="21"/>
  <c r="K43" i="21"/>
  <c r="E44" i="21"/>
  <c r="F44" i="21"/>
  <c r="J44" i="21"/>
  <c r="K44" i="21"/>
  <c r="J45" i="21"/>
  <c r="K45" i="21"/>
  <c r="J46" i="21"/>
  <c r="K46" i="21"/>
  <c r="J47" i="21"/>
  <c r="K47" i="21"/>
  <c r="E48" i="21"/>
  <c r="F48" i="21"/>
  <c r="J48" i="21"/>
  <c r="K48" i="21"/>
  <c r="J49" i="21"/>
  <c r="K49" i="21"/>
  <c r="J50" i="21"/>
  <c r="K50" i="21"/>
  <c r="E51" i="21"/>
  <c r="F51" i="21"/>
  <c r="J51" i="21"/>
  <c r="K51" i="21"/>
  <c r="J52" i="21"/>
  <c r="K52" i="21"/>
  <c r="J53" i="21"/>
  <c r="K53" i="21"/>
  <c r="E54" i="21"/>
  <c r="F54" i="21"/>
  <c r="J54" i="21"/>
  <c r="K54" i="21"/>
  <c r="J55" i="21"/>
  <c r="K55" i="21"/>
  <c r="J56" i="21"/>
  <c r="K56" i="21"/>
  <c r="E57" i="21"/>
  <c r="F57" i="21"/>
  <c r="J57" i="21"/>
  <c r="K57" i="21"/>
  <c r="E58" i="21"/>
  <c r="F58" i="21"/>
  <c r="J58" i="21"/>
  <c r="K58" i="21"/>
  <c r="E59" i="21"/>
  <c r="F59" i="21"/>
  <c r="J59" i="21"/>
  <c r="K59" i="21"/>
  <c r="E60" i="21"/>
  <c r="F60" i="21"/>
  <c r="J60" i="21"/>
  <c r="K60" i="21"/>
  <c r="E61" i="21"/>
  <c r="F61" i="21"/>
  <c r="J61" i="21"/>
  <c r="K61" i="21"/>
  <c r="E62" i="21"/>
  <c r="F62" i="21"/>
  <c r="J62" i="21"/>
  <c r="K62" i="21"/>
  <c r="E63" i="21"/>
  <c r="F63" i="21"/>
  <c r="J63" i="21"/>
  <c r="K63" i="21"/>
  <c r="E64" i="21"/>
  <c r="F64" i="21"/>
  <c r="J64" i="21"/>
  <c r="K64" i="21"/>
  <c r="E65" i="21"/>
  <c r="F65" i="21"/>
  <c r="J65" i="21"/>
  <c r="K65" i="21"/>
  <c r="E66" i="21"/>
  <c r="F66" i="21"/>
  <c r="J66" i="21"/>
  <c r="K66" i="21"/>
  <c r="E67" i="21"/>
  <c r="F67" i="21"/>
  <c r="J67" i="21"/>
  <c r="K67" i="21"/>
  <c r="E68" i="21"/>
  <c r="F68" i="21"/>
  <c r="J68" i="21"/>
  <c r="K68" i="21"/>
  <c r="E69" i="21"/>
  <c r="F69" i="21"/>
  <c r="J69" i="21"/>
  <c r="K69" i="21"/>
  <c r="E70" i="21"/>
  <c r="F70" i="21"/>
  <c r="J70" i="21"/>
  <c r="K70" i="21"/>
  <c r="E71" i="21"/>
  <c r="F71" i="21"/>
  <c r="J71" i="21"/>
  <c r="K71" i="21"/>
  <c r="E72" i="21"/>
  <c r="F72" i="21"/>
  <c r="J72" i="21"/>
  <c r="K72" i="21"/>
  <c r="E73" i="21"/>
  <c r="F73" i="21"/>
  <c r="J73" i="21"/>
  <c r="K73" i="21"/>
  <c r="E74" i="21"/>
  <c r="F74" i="21"/>
  <c r="J74" i="21"/>
  <c r="K74" i="21"/>
  <c r="E75" i="21"/>
  <c r="F75" i="21"/>
  <c r="J75" i="21"/>
  <c r="K75" i="21"/>
  <c r="J76" i="21"/>
  <c r="K76" i="21"/>
  <c r="E77" i="21"/>
  <c r="F77" i="21"/>
  <c r="J77" i="21"/>
  <c r="K77" i="21"/>
  <c r="E78" i="21"/>
  <c r="F78" i="21"/>
  <c r="J78" i="21"/>
  <c r="K78" i="21"/>
  <c r="E79" i="21"/>
  <c r="F79" i="21"/>
  <c r="J79" i="21"/>
  <c r="K79" i="21"/>
  <c r="E80" i="21"/>
  <c r="F80" i="21"/>
  <c r="J80" i="21"/>
  <c r="K80" i="21"/>
  <c r="J81" i="21"/>
  <c r="K81" i="21"/>
  <c r="J82" i="21"/>
  <c r="K82" i="21"/>
  <c r="E83" i="21"/>
  <c r="F83" i="21"/>
  <c r="J83" i="21"/>
  <c r="K83" i="21"/>
  <c r="J84" i="21"/>
  <c r="K84" i="21"/>
  <c r="E85" i="21"/>
  <c r="F85" i="21"/>
  <c r="J85" i="21"/>
  <c r="K85" i="21"/>
  <c r="E86" i="21"/>
  <c r="F86" i="21"/>
  <c r="J86" i="21"/>
  <c r="K86" i="21"/>
  <c r="E88" i="21"/>
  <c r="F88" i="21"/>
  <c r="J88" i="21"/>
  <c r="K88" i="21"/>
  <c r="E89" i="21"/>
  <c r="F89" i="21"/>
  <c r="J89" i="21"/>
  <c r="K89" i="21"/>
  <c r="E90" i="21"/>
  <c r="F90" i="21"/>
  <c r="J90" i="21"/>
  <c r="K90" i="21"/>
  <c r="E91" i="21"/>
  <c r="F91" i="21"/>
  <c r="J91" i="21"/>
  <c r="K91" i="21"/>
  <c r="E92" i="21"/>
  <c r="F92" i="21"/>
  <c r="J92" i="21"/>
  <c r="K92" i="21"/>
  <c r="E93" i="21"/>
  <c r="F93" i="21"/>
  <c r="J93" i="21"/>
  <c r="K93" i="21"/>
  <c r="E95" i="21"/>
  <c r="F95" i="21"/>
  <c r="J95" i="21"/>
  <c r="K95" i="21"/>
  <c r="E96" i="21"/>
  <c r="F96" i="21"/>
  <c r="J96" i="21"/>
  <c r="K96" i="21"/>
  <c r="J97" i="21"/>
  <c r="K97" i="21"/>
  <c r="J98" i="21"/>
  <c r="K98" i="21"/>
  <c r="E99" i="21"/>
  <c r="F99" i="21"/>
  <c r="J99" i="21"/>
  <c r="K99" i="21"/>
  <c r="J100" i="21"/>
  <c r="K100" i="21"/>
  <c r="J101" i="21"/>
  <c r="K101" i="21"/>
  <c r="J102" i="21"/>
  <c r="K102" i="21"/>
  <c r="J103" i="21"/>
  <c r="K103" i="21"/>
  <c r="J104" i="21"/>
  <c r="K104" i="21"/>
  <c r="J105" i="21"/>
  <c r="E105" i="21" s="1"/>
  <c r="F105" i="21" s="1"/>
  <c r="K105" i="21"/>
  <c r="J106" i="21"/>
  <c r="K106" i="21"/>
  <c r="J107" i="21"/>
  <c r="K107" i="21"/>
  <c r="J108" i="21"/>
  <c r="K108" i="21"/>
  <c r="J109" i="21"/>
  <c r="K109" i="21"/>
  <c r="E110" i="21"/>
  <c r="F110" i="21"/>
  <c r="J110" i="21"/>
  <c r="K110" i="21"/>
  <c r="E111" i="21"/>
  <c r="F111" i="21"/>
  <c r="J111" i="21"/>
  <c r="K111" i="21"/>
  <c r="E112" i="21"/>
  <c r="F112" i="21"/>
  <c r="J112" i="21"/>
  <c r="K112" i="21"/>
  <c r="E113" i="21"/>
  <c r="F113" i="21"/>
  <c r="J113" i="21"/>
  <c r="K113" i="21"/>
  <c r="E114" i="21"/>
  <c r="F114" i="21"/>
  <c r="J114" i="21"/>
  <c r="K114" i="21"/>
  <c r="E115" i="21"/>
  <c r="F115" i="21"/>
  <c r="J115" i="21"/>
  <c r="K115" i="21"/>
  <c r="E116" i="21"/>
  <c r="F116" i="21"/>
  <c r="J116" i="21"/>
  <c r="K116" i="21"/>
  <c r="E117" i="21"/>
  <c r="F117" i="21"/>
  <c r="J117" i="21"/>
  <c r="K117" i="21"/>
  <c r="E118" i="21"/>
  <c r="F118" i="21"/>
  <c r="J118" i="21"/>
  <c r="K118" i="21"/>
  <c r="E119" i="21"/>
  <c r="F119" i="21"/>
  <c r="J119" i="21"/>
  <c r="K119" i="21"/>
  <c r="E120" i="21"/>
  <c r="F120" i="21"/>
  <c r="J120" i="21"/>
  <c r="K120" i="21"/>
  <c r="E121" i="21"/>
  <c r="F121" i="21"/>
  <c r="J121" i="21"/>
  <c r="K121" i="21"/>
  <c r="E122" i="21"/>
  <c r="F122" i="21"/>
  <c r="J122" i="21"/>
  <c r="K122" i="21"/>
  <c r="E123" i="21"/>
  <c r="F123" i="21"/>
  <c r="J123" i="21"/>
  <c r="K123" i="21"/>
  <c r="E124" i="21"/>
  <c r="F124" i="21"/>
  <c r="J124" i="21"/>
  <c r="K124" i="21"/>
  <c r="E125" i="21"/>
  <c r="F125" i="21"/>
  <c r="J125" i="21"/>
  <c r="K125" i="21"/>
  <c r="E126" i="21"/>
  <c r="F126" i="21"/>
  <c r="J126" i="21"/>
  <c r="K126" i="21"/>
  <c r="E127" i="21"/>
  <c r="F127" i="21"/>
  <c r="J127" i="21"/>
  <c r="K127" i="21"/>
  <c r="E128" i="21"/>
  <c r="F128" i="21"/>
  <c r="J128" i="21"/>
  <c r="K128" i="21"/>
  <c r="E129" i="21"/>
  <c r="F129" i="21"/>
  <c r="J129" i="21"/>
  <c r="K129" i="21"/>
  <c r="J130" i="21"/>
  <c r="K130" i="21"/>
  <c r="E131" i="21"/>
  <c r="F131" i="21"/>
  <c r="J131" i="21"/>
  <c r="K131" i="21"/>
  <c r="E132" i="21"/>
  <c r="F132" i="21"/>
  <c r="J132" i="21"/>
  <c r="K132" i="21"/>
  <c r="E133" i="21"/>
  <c r="F133" i="21"/>
  <c r="J133" i="21"/>
  <c r="K133" i="21"/>
  <c r="E134" i="21"/>
  <c r="F134" i="21"/>
  <c r="J134" i="21"/>
  <c r="K134" i="21"/>
  <c r="J135" i="21"/>
  <c r="K135" i="21"/>
  <c r="J136" i="21"/>
  <c r="K136" i="21"/>
  <c r="E137" i="21"/>
  <c r="F137" i="21"/>
  <c r="J137" i="21"/>
  <c r="K137" i="21"/>
  <c r="J138" i="21"/>
  <c r="K138" i="21"/>
  <c r="E139" i="21"/>
  <c r="F139" i="21"/>
  <c r="J139" i="21"/>
  <c r="K139" i="21"/>
  <c r="E140" i="21"/>
  <c r="F140" i="21"/>
  <c r="J140" i="21"/>
  <c r="K140" i="21"/>
  <c r="E142" i="21"/>
  <c r="F142" i="21"/>
  <c r="J142" i="21"/>
  <c r="K142" i="21"/>
  <c r="E143" i="21"/>
  <c r="F143" i="21"/>
  <c r="J143" i="21"/>
  <c r="K143" i="21"/>
  <c r="E144" i="21"/>
  <c r="F144" i="21"/>
  <c r="J144" i="21"/>
  <c r="K144" i="21"/>
  <c r="E145" i="21"/>
  <c r="F145" i="21"/>
  <c r="J145" i="21"/>
  <c r="K145" i="21"/>
  <c r="E146" i="21"/>
  <c r="F146" i="21"/>
  <c r="J146" i="21"/>
  <c r="K146" i="21"/>
  <c r="E147" i="21"/>
  <c r="F147" i="21"/>
  <c r="J147" i="21"/>
  <c r="K147" i="21"/>
  <c r="J148" i="21"/>
  <c r="K148" i="21"/>
  <c r="J149" i="21"/>
  <c r="K149" i="21"/>
  <c r="J150" i="21"/>
  <c r="K150" i="21"/>
  <c r="J151" i="21"/>
  <c r="K151" i="21"/>
  <c r="J152" i="21"/>
  <c r="K152" i="21"/>
  <c r="J153" i="21"/>
  <c r="E153" i="21" s="1"/>
  <c r="F153" i="21" s="1"/>
  <c r="K153" i="21"/>
  <c r="E154" i="21"/>
  <c r="F154" i="21"/>
  <c r="J154" i="21"/>
  <c r="K154" i="21"/>
  <c r="J155" i="21"/>
  <c r="K155" i="21"/>
  <c r="J156" i="21"/>
  <c r="K156" i="21"/>
  <c r="E156" i="21" s="1"/>
  <c r="F156" i="21" s="1"/>
  <c r="J157" i="21"/>
  <c r="E157" i="21" s="1"/>
  <c r="F157" i="21" s="1"/>
  <c r="K157" i="21"/>
  <c r="J158" i="21"/>
  <c r="K158" i="21"/>
  <c r="E159" i="21"/>
  <c r="F159" i="21" s="1"/>
  <c r="J159" i="21"/>
  <c r="K159" i="21"/>
  <c r="J160" i="21"/>
  <c r="K160" i="21"/>
  <c r="J161" i="21"/>
  <c r="K161" i="21"/>
  <c r="J162" i="21"/>
  <c r="E162" i="21" s="1"/>
  <c r="F162" i="21" s="1"/>
  <c r="K162" i="21"/>
  <c r="J163" i="21"/>
  <c r="K163" i="21"/>
  <c r="J164" i="21"/>
  <c r="E164" i="21" s="1"/>
  <c r="F164" i="21" s="1"/>
  <c r="K164" i="21"/>
  <c r="E165" i="21"/>
  <c r="F165" i="21"/>
  <c r="J165" i="21"/>
  <c r="K165" i="21"/>
  <c r="E166" i="21"/>
  <c r="F166" i="21"/>
  <c r="J166" i="21"/>
  <c r="K166" i="21"/>
  <c r="E167" i="21"/>
  <c r="F167" i="21"/>
  <c r="J167" i="21"/>
  <c r="K167" i="21"/>
  <c r="E168" i="21"/>
  <c r="F168" i="21"/>
  <c r="J168" i="21"/>
  <c r="K168" i="21"/>
  <c r="E169" i="21"/>
  <c r="F169" i="21"/>
  <c r="J169" i="21"/>
  <c r="K169" i="21"/>
  <c r="E170" i="21"/>
  <c r="F170" i="21"/>
  <c r="J170" i="21"/>
  <c r="K170" i="21"/>
  <c r="E171" i="21"/>
  <c r="F171" i="21"/>
  <c r="J171" i="21"/>
  <c r="K171" i="21"/>
  <c r="E172" i="21"/>
  <c r="F172" i="21"/>
  <c r="J172" i="21"/>
  <c r="K172" i="21"/>
  <c r="E173" i="21"/>
  <c r="F173" i="21"/>
  <c r="J173" i="21"/>
  <c r="K173" i="21"/>
  <c r="E174" i="21"/>
  <c r="F174" i="21"/>
  <c r="J174" i="21"/>
  <c r="K174" i="21"/>
  <c r="E175" i="21"/>
  <c r="F175" i="21"/>
  <c r="J175" i="21"/>
  <c r="K175" i="21"/>
  <c r="E176" i="21"/>
  <c r="F176" i="21"/>
  <c r="J176" i="21"/>
  <c r="K176" i="21"/>
  <c r="E177" i="21"/>
  <c r="F177" i="21"/>
  <c r="J177" i="21"/>
  <c r="K177" i="21"/>
  <c r="E178" i="21"/>
  <c r="F178" i="21"/>
  <c r="J178" i="21"/>
  <c r="K178" i="21"/>
  <c r="E179" i="21"/>
  <c r="F179" i="21"/>
  <c r="J179" i="21"/>
  <c r="K179" i="21"/>
  <c r="E180" i="21"/>
  <c r="F180" i="21"/>
  <c r="J180" i="21"/>
  <c r="K180" i="21"/>
  <c r="E181" i="21"/>
  <c r="F181" i="21"/>
  <c r="J181" i="21"/>
  <c r="K181" i="21"/>
  <c r="E182" i="21"/>
  <c r="F182" i="21"/>
  <c r="J182" i="21"/>
  <c r="K182" i="21"/>
  <c r="E183" i="21"/>
  <c r="F183" i="21"/>
  <c r="J183" i="21"/>
  <c r="K183" i="21"/>
  <c r="E25" i="30"/>
  <c r="F25" i="30"/>
  <c r="J25" i="30"/>
  <c r="K25" i="30"/>
  <c r="J26" i="30"/>
  <c r="K26" i="30"/>
  <c r="E27" i="30"/>
  <c r="F27" i="30"/>
  <c r="J27" i="30"/>
  <c r="K27" i="30"/>
  <c r="J28" i="30"/>
  <c r="E28" i="30" s="1"/>
  <c r="F28" i="30" s="1"/>
  <c r="K28" i="30"/>
  <c r="E29" i="30"/>
  <c r="F29" i="30"/>
  <c r="J29" i="30"/>
  <c r="K29" i="30"/>
  <c r="J30" i="30"/>
  <c r="K30" i="30"/>
  <c r="E31" i="30"/>
  <c r="F31" i="30"/>
  <c r="J31" i="30"/>
  <c r="K31" i="30"/>
  <c r="E32" i="30"/>
  <c r="F32" i="30" s="1"/>
  <c r="J32" i="30"/>
  <c r="K32" i="30"/>
  <c r="E33" i="30"/>
  <c r="F33" i="30"/>
  <c r="J33" i="30"/>
  <c r="K33" i="30"/>
  <c r="E34" i="30"/>
  <c r="F34" i="30" s="1"/>
  <c r="J34" i="30"/>
  <c r="K34" i="30"/>
  <c r="J35" i="30"/>
  <c r="E35" i="30" s="1"/>
  <c r="F35" i="30" s="1"/>
  <c r="K35" i="30"/>
  <c r="E36" i="30"/>
  <c r="F36" i="30"/>
  <c r="J36" i="30"/>
  <c r="K36" i="30"/>
  <c r="J37" i="30"/>
  <c r="K37" i="30"/>
  <c r="E38" i="30"/>
  <c r="F38" i="30"/>
  <c r="J38" i="30"/>
  <c r="K38" i="30"/>
  <c r="E39" i="30"/>
  <c r="F39" i="30" s="1"/>
  <c r="J39" i="30"/>
  <c r="K39" i="30"/>
  <c r="E40" i="30"/>
  <c r="F40" i="30"/>
  <c r="J40" i="30"/>
  <c r="K40" i="30"/>
  <c r="E41" i="30"/>
  <c r="F41" i="30"/>
  <c r="J41" i="30"/>
  <c r="K41" i="30"/>
  <c r="J42" i="30"/>
  <c r="K42" i="30"/>
  <c r="J43" i="30"/>
  <c r="K43" i="30"/>
  <c r="E44" i="30"/>
  <c r="F44" i="30"/>
  <c r="J44" i="30"/>
  <c r="K44" i="30"/>
  <c r="J45" i="30"/>
  <c r="E45" i="30" s="1"/>
  <c r="F45" i="30" s="1"/>
  <c r="K45" i="30"/>
  <c r="E46" i="30"/>
  <c r="F46" i="30"/>
  <c r="J46" i="30"/>
  <c r="K46" i="30"/>
  <c r="J47" i="30"/>
  <c r="K47" i="30"/>
  <c r="J48" i="30"/>
  <c r="E48" i="30" s="1"/>
  <c r="F48" i="30" s="1"/>
  <c r="K48" i="30"/>
  <c r="E49" i="30"/>
  <c r="F49" i="30"/>
  <c r="J49" i="30"/>
  <c r="K49" i="30"/>
  <c r="E50" i="30"/>
  <c r="F50" i="30"/>
  <c r="J50" i="30"/>
  <c r="K50" i="30"/>
  <c r="J51" i="30"/>
  <c r="K51" i="30"/>
  <c r="J52" i="30"/>
  <c r="K52" i="30"/>
  <c r="J53" i="30"/>
  <c r="K53" i="30"/>
  <c r="E54" i="30"/>
  <c r="F54" i="30"/>
  <c r="J54" i="30"/>
  <c r="K54" i="30"/>
  <c r="J55" i="30"/>
  <c r="E55" i="30" s="1"/>
  <c r="F55" i="30" s="1"/>
  <c r="K55" i="30"/>
  <c r="E56" i="30"/>
  <c r="F56" i="30"/>
  <c r="J56" i="30"/>
  <c r="K56" i="30"/>
  <c r="E57" i="30"/>
  <c r="F57" i="30"/>
  <c r="J57" i="30"/>
  <c r="K57" i="30"/>
  <c r="E58" i="30"/>
  <c r="F58" i="30"/>
  <c r="J58" i="30"/>
  <c r="K58" i="30"/>
  <c r="E59" i="30"/>
  <c r="F59" i="30"/>
  <c r="J59" i="30"/>
  <c r="K59" i="30"/>
  <c r="J60" i="30"/>
  <c r="K60" i="30"/>
  <c r="E61" i="30"/>
  <c r="F61" i="30"/>
  <c r="J61" i="30"/>
  <c r="K61" i="30"/>
  <c r="J62" i="30"/>
  <c r="E62" i="30" s="1"/>
  <c r="F62" i="30" s="1"/>
  <c r="K62" i="30"/>
  <c r="E63" i="30"/>
  <c r="F63" i="30"/>
  <c r="J63" i="30"/>
  <c r="K63" i="30"/>
  <c r="J64" i="30"/>
  <c r="E64" i="30" s="1"/>
  <c r="F64" i="30" s="1"/>
  <c r="K64" i="30"/>
  <c r="E65" i="30"/>
  <c r="F65" i="30"/>
  <c r="J65" i="30"/>
  <c r="K65" i="30"/>
  <c r="J66" i="30"/>
  <c r="E66" i="30" s="1"/>
  <c r="F66" i="30" s="1"/>
  <c r="K66" i="30"/>
  <c r="E67" i="30"/>
  <c r="F67" i="30"/>
  <c r="J67" i="30"/>
  <c r="K67" i="30"/>
  <c r="J68" i="30"/>
  <c r="K68" i="30"/>
  <c r="E69" i="30"/>
  <c r="F69" i="30"/>
  <c r="J69" i="30"/>
  <c r="K69" i="30"/>
  <c r="E70" i="30"/>
  <c r="F70" i="30"/>
  <c r="J70" i="30"/>
  <c r="K70" i="30"/>
  <c r="E71" i="30"/>
  <c r="F71" i="30"/>
  <c r="J71" i="30"/>
  <c r="K71" i="30"/>
  <c r="E72" i="30"/>
  <c r="F72" i="30"/>
  <c r="J72" i="30"/>
  <c r="K72" i="30"/>
  <c r="E73" i="30"/>
  <c r="F73" i="30"/>
  <c r="J73" i="30"/>
  <c r="K73" i="30"/>
  <c r="E74" i="30"/>
  <c r="F74" i="30" s="1"/>
  <c r="J74" i="30"/>
  <c r="K74" i="30"/>
  <c r="J75" i="30"/>
  <c r="K75" i="30"/>
  <c r="J76" i="30"/>
  <c r="E76" i="30" s="1"/>
  <c r="F76" i="30" s="1"/>
  <c r="K76" i="30"/>
  <c r="J77" i="30"/>
  <c r="K77" i="30"/>
  <c r="J78" i="30"/>
  <c r="K78" i="30"/>
  <c r="J79" i="30"/>
  <c r="K79" i="30"/>
  <c r="E80" i="30"/>
  <c r="F80" i="30"/>
  <c r="J80" i="30"/>
  <c r="K80" i="30"/>
  <c r="E81" i="30"/>
  <c r="F81" i="30"/>
  <c r="J81" i="30"/>
  <c r="K81" i="30"/>
  <c r="E82" i="30"/>
  <c r="F82" i="30"/>
  <c r="J82" i="30"/>
  <c r="K82" i="30"/>
  <c r="E83" i="30"/>
  <c r="F83" i="30"/>
  <c r="J83" i="30"/>
  <c r="K83" i="30"/>
  <c r="E84" i="30"/>
  <c r="F84" i="30"/>
  <c r="J84" i="30"/>
  <c r="K84" i="30"/>
  <c r="E85" i="30"/>
  <c r="F85" i="30"/>
  <c r="J85" i="30"/>
  <c r="K85" i="30"/>
  <c r="E86" i="30"/>
  <c r="F86" i="30"/>
  <c r="J86" i="30"/>
  <c r="K86" i="30"/>
  <c r="J87" i="30"/>
  <c r="E87" i="30" s="1"/>
  <c r="F87" i="30" s="1"/>
  <c r="K87" i="30"/>
  <c r="J88" i="30"/>
  <c r="K88" i="30"/>
  <c r="E89" i="30"/>
  <c r="F89" i="30"/>
  <c r="J89" i="30"/>
  <c r="K89" i="30"/>
  <c r="E90" i="30"/>
  <c r="F90" i="30"/>
  <c r="J90" i="30"/>
  <c r="K90" i="30"/>
  <c r="J91" i="30"/>
  <c r="E91" i="30" s="1"/>
  <c r="F91" i="30" s="1"/>
  <c r="K91" i="30"/>
  <c r="E92" i="30"/>
  <c r="F92" i="30"/>
  <c r="J92" i="30"/>
  <c r="K92" i="30"/>
  <c r="E93" i="30"/>
  <c r="F93" i="30"/>
  <c r="J93" i="30"/>
  <c r="K93" i="30"/>
  <c r="J94" i="30"/>
  <c r="K94" i="30"/>
  <c r="E95" i="30"/>
  <c r="F95" i="30"/>
  <c r="J95" i="30"/>
  <c r="K95" i="30"/>
  <c r="E96" i="30"/>
  <c r="F96" i="30"/>
  <c r="J96" i="30"/>
  <c r="K96" i="30"/>
  <c r="E97" i="30"/>
  <c r="F97" i="30"/>
  <c r="J97" i="30"/>
  <c r="K97" i="30"/>
  <c r="E98" i="30"/>
  <c r="F98" i="30"/>
  <c r="J98" i="30"/>
  <c r="K98" i="30"/>
  <c r="E99" i="30"/>
  <c r="F99" i="30"/>
  <c r="J99" i="30"/>
  <c r="K99" i="30"/>
  <c r="J100" i="30"/>
  <c r="E100" i="30" s="1"/>
  <c r="F100" i="30" s="1"/>
  <c r="K100" i="30"/>
  <c r="E101" i="30"/>
  <c r="F101" i="30"/>
  <c r="J101" i="30"/>
  <c r="K101" i="30"/>
  <c r="J102" i="30"/>
  <c r="K102" i="30"/>
  <c r="E103" i="30"/>
  <c r="F103" i="30"/>
  <c r="J103" i="30"/>
  <c r="K103" i="30"/>
  <c r="E104" i="30"/>
  <c r="F104" i="30"/>
  <c r="J104" i="30"/>
  <c r="K104" i="30"/>
  <c r="E105" i="30"/>
  <c r="F105" i="30"/>
  <c r="J105" i="30"/>
  <c r="K105" i="30"/>
  <c r="E106" i="30"/>
  <c r="F106" i="30"/>
  <c r="J106" i="30"/>
  <c r="K106" i="30"/>
  <c r="E107" i="30"/>
  <c r="F107" i="30"/>
  <c r="J107" i="30"/>
  <c r="K107" i="30"/>
  <c r="J108" i="30"/>
  <c r="E108" i="30" s="1"/>
  <c r="F108" i="30" s="1"/>
  <c r="K108" i="30"/>
  <c r="J109" i="30"/>
  <c r="K109" i="30"/>
  <c r="J110" i="30"/>
  <c r="E110" i="30" s="1"/>
  <c r="F110" i="30" s="1"/>
  <c r="K110" i="30"/>
  <c r="J111" i="30"/>
  <c r="E111" i="30" s="1"/>
  <c r="F111" i="30" s="1"/>
  <c r="K111" i="30"/>
  <c r="J112" i="30"/>
  <c r="K112" i="30"/>
  <c r="J113" i="30"/>
  <c r="E113" i="30" s="1"/>
  <c r="F113" i="30" s="1"/>
  <c r="K113" i="30"/>
  <c r="J114" i="30"/>
  <c r="K114" i="30"/>
  <c r="E115" i="30"/>
  <c r="F115" i="30"/>
  <c r="J115" i="30"/>
  <c r="K115" i="30"/>
  <c r="E116" i="30"/>
  <c r="F116" i="30"/>
  <c r="J116" i="30"/>
  <c r="K116" i="30"/>
  <c r="E117" i="30"/>
  <c r="F117" i="30"/>
  <c r="J117" i="30"/>
  <c r="K117" i="30"/>
  <c r="E118" i="30"/>
  <c r="F118" i="30"/>
  <c r="J118" i="30"/>
  <c r="K118" i="30"/>
  <c r="E119" i="30"/>
  <c r="F119" i="30"/>
  <c r="J119" i="30"/>
  <c r="K119" i="30"/>
  <c r="E120" i="30"/>
  <c r="F120" i="30"/>
  <c r="J120" i="30"/>
  <c r="K120" i="30"/>
  <c r="E121" i="30"/>
  <c r="F121" i="30" s="1"/>
  <c r="J121" i="30"/>
  <c r="K121" i="30"/>
  <c r="J122" i="30"/>
  <c r="K122" i="30"/>
  <c r="E123" i="30"/>
  <c r="F123" i="30"/>
  <c r="J123" i="30"/>
  <c r="K123" i="30"/>
  <c r="E124" i="30"/>
  <c r="F124" i="30"/>
  <c r="J124" i="30"/>
  <c r="K124" i="30"/>
  <c r="E125" i="30"/>
  <c r="F125" i="30"/>
  <c r="J125" i="30"/>
  <c r="K125" i="30"/>
  <c r="E126" i="30"/>
  <c r="F126" i="30"/>
  <c r="J126" i="30"/>
  <c r="K126" i="30"/>
  <c r="E127" i="30"/>
  <c r="F127" i="30"/>
  <c r="J127" i="30"/>
  <c r="K127" i="30"/>
  <c r="J128" i="30"/>
  <c r="K128" i="30"/>
  <c r="E129" i="30"/>
  <c r="F129" i="30"/>
  <c r="J129" i="30"/>
  <c r="K129" i="30"/>
  <c r="E130" i="30"/>
  <c r="F130" i="30"/>
  <c r="J130" i="30"/>
  <c r="K130" i="30"/>
  <c r="J131" i="30"/>
  <c r="K131" i="30"/>
  <c r="J132" i="30"/>
  <c r="K132" i="30"/>
  <c r="E133" i="30"/>
  <c r="F133" i="30"/>
  <c r="J133" i="30"/>
  <c r="K133" i="30"/>
  <c r="E134" i="30"/>
  <c r="F134" i="30"/>
  <c r="J134" i="30"/>
  <c r="K134" i="30"/>
  <c r="E135" i="30"/>
  <c r="F135" i="30"/>
  <c r="J135" i="30"/>
  <c r="K135" i="30"/>
  <c r="E136" i="30"/>
  <c r="F136" i="30"/>
  <c r="J136" i="30"/>
  <c r="K136" i="30"/>
  <c r="E137" i="30"/>
  <c r="F137" i="30"/>
  <c r="J137" i="30"/>
  <c r="K137" i="30"/>
  <c r="E138" i="30"/>
  <c r="F138" i="30"/>
  <c r="J138" i="30"/>
  <c r="K138" i="30"/>
  <c r="E139" i="30"/>
  <c r="F139" i="30"/>
  <c r="J139" i="30"/>
  <c r="K139" i="30"/>
  <c r="E140" i="30"/>
  <c r="F140" i="30"/>
  <c r="J140" i="30"/>
  <c r="K140" i="30"/>
  <c r="E141" i="30"/>
  <c r="F141" i="30"/>
  <c r="J141" i="30"/>
  <c r="K141" i="30"/>
  <c r="J142" i="30"/>
  <c r="K142" i="30"/>
  <c r="J143" i="30"/>
  <c r="E143" i="30" s="1"/>
  <c r="F143" i="30" s="1"/>
  <c r="K143" i="30"/>
  <c r="E144" i="30"/>
  <c r="F144" i="30"/>
  <c r="J144" i="30"/>
  <c r="K144" i="30"/>
  <c r="J145" i="30"/>
  <c r="K145" i="30"/>
  <c r="J146" i="30"/>
  <c r="E146" i="30" s="1"/>
  <c r="F146" i="30" s="1"/>
  <c r="K146" i="30"/>
  <c r="E147" i="30"/>
  <c r="F147" i="30"/>
  <c r="J147" i="30"/>
  <c r="K147" i="30"/>
  <c r="J148" i="30"/>
  <c r="K148" i="30"/>
  <c r="J149" i="30"/>
  <c r="K149" i="30"/>
  <c r="E150" i="30"/>
  <c r="F150" i="30"/>
  <c r="J150" i="30"/>
  <c r="K150" i="30"/>
  <c r="J151" i="30"/>
  <c r="K151" i="30"/>
  <c r="J152" i="30"/>
  <c r="E152" i="30" s="1"/>
  <c r="F152" i="30" s="1"/>
  <c r="K152" i="30"/>
  <c r="E153" i="30"/>
  <c r="F153" i="30"/>
  <c r="J153" i="30"/>
  <c r="K153" i="30"/>
  <c r="E154" i="30"/>
  <c r="F154" i="30"/>
  <c r="J154" i="30"/>
  <c r="K154" i="30"/>
  <c r="E155" i="30"/>
  <c r="F155" i="30"/>
  <c r="J155" i="30"/>
  <c r="K155" i="30"/>
  <c r="E156" i="30"/>
  <c r="F156" i="30"/>
  <c r="J156" i="30"/>
  <c r="K156" i="30"/>
  <c r="E157" i="30"/>
  <c r="F157" i="30"/>
  <c r="J157" i="30"/>
  <c r="K157" i="30"/>
  <c r="E158" i="30"/>
  <c r="F158" i="30"/>
  <c r="J158" i="30"/>
  <c r="K158" i="30"/>
  <c r="E159" i="30"/>
  <c r="F159" i="30"/>
  <c r="J159" i="30"/>
  <c r="K159" i="30"/>
  <c r="J160" i="30"/>
  <c r="K160" i="30"/>
  <c r="E161" i="30"/>
  <c r="F161" i="30"/>
  <c r="J161" i="30"/>
  <c r="K161" i="30"/>
  <c r="E162" i="30"/>
  <c r="F162" i="30"/>
  <c r="J162" i="30"/>
  <c r="K162" i="30"/>
  <c r="J163" i="30"/>
  <c r="K163" i="30"/>
  <c r="E164" i="30"/>
  <c r="F164" i="30"/>
  <c r="J164" i="30"/>
  <c r="K164" i="30"/>
  <c r="J165" i="30"/>
  <c r="K165" i="30"/>
  <c r="E166" i="30"/>
  <c r="F166" i="30"/>
  <c r="J166" i="30"/>
  <c r="K166" i="30"/>
  <c r="J167" i="30"/>
  <c r="E167" i="30" s="1"/>
  <c r="F167" i="30" s="1"/>
  <c r="K167" i="30"/>
  <c r="E168" i="30"/>
  <c r="F168" i="30"/>
  <c r="J168" i="30"/>
  <c r="K168" i="30"/>
  <c r="E169" i="30"/>
  <c r="F169" i="30"/>
  <c r="J169" i="30"/>
  <c r="K169" i="30"/>
  <c r="E170" i="30"/>
  <c r="F170" i="30"/>
  <c r="J170" i="30"/>
  <c r="K170" i="30"/>
  <c r="E171" i="30"/>
  <c r="F171" i="30"/>
  <c r="J171" i="30"/>
  <c r="K171" i="30"/>
  <c r="J172" i="30"/>
  <c r="K172" i="30"/>
  <c r="J173" i="30"/>
  <c r="E173" i="30" s="1"/>
  <c r="F173" i="30" s="1"/>
  <c r="K173" i="30"/>
  <c r="E174" i="30"/>
  <c r="F174" i="30"/>
  <c r="J174" i="30"/>
  <c r="K174" i="30"/>
  <c r="J175" i="30"/>
  <c r="K175" i="30"/>
  <c r="J176" i="30"/>
  <c r="E176" i="30" s="1"/>
  <c r="F176" i="30" s="1"/>
  <c r="K176" i="30"/>
  <c r="E177" i="30"/>
  <c r="F177" i="30"/>
  <c r="J177" i="30"/>
  <c r="K177" i="30"/>
  <c r="E178" i="30"/>
  <c r="F178" i="30"/>
  <c r="J178" i="30"/>
  <c r="K178" i="30"/>
  <c r="E179" i="30"/>
  <c r="F179" i="30"/>
  <c r="J179" i="30"/>
  <c r="K179" i="30"/>
  <c r="E180" i="30"/>
  <c r="F180" i="30"/>
  <c r="J180" i="30"/>
  <c r="K180" i="30"/>
  <c r="E181" i="30"/>
  <c r="F181" i="30"/>
  <c r="J181" i="30"/>
  <c r="K181" i="30"/>
  <c r="E182" i="30"/>
  <c r="F182" i="30"/>
  <c r="J182" i="30"/>
  <c r="K182" i="30"/>
  <c r="E183" i="30"/>
  <c r="F183" i="30"/>
  <c r="J183" i="30"/>
  <c r="K183" i="30"/>
  <c r="J184" i="30"/>
  <c r="K184" i="30"/>
  <c r="J25" i="31"/>
  <c r="K25" i="31"/>
  <c r="E26" i="31"/>
  <c r="F26" i="31"/>
  <c r="J26" i="31"/>
  <c r="K26" i="31"/>
  <c r="E27" i="31"/>
  <c r="F27" i="31"/>
  <c r="J27" i="31"/>
  <c r="K27" i="31"/>
  <c r="E28" i="31"/>
  <c r="F28" i="31"/>
  <c r="J28" i="31"/>
  <c r="K28" i="31"/>
  <c r="E29" i="31"/>
  <c r="F29" i="31"/>
  <c r="J29" i="31"/>
  <c r="K29" i="31"/>
  <c r="E30" i="31"/>
  <c r="F30" i="31"/>
  <c r="J30" i="31"/>
  <c r="K30" i="31"/>
  <c r="J31" i="31"/>
  <c r="K31" i="31"/>
  <c r="E32" i="31"/>
  <c r="F32" i="31"/>
  <c r="J32" i="31"/>
  <c r="K32" i="31"/>
  <c r="E33" i="31"/>
  <c r="F33" i="31"/>
  <c r="J33" i="31"/>
  <c r="K33" i="31"/>
  <c r="E34" i="31"/>
  <c r="F34" i="31"/>
  <c r="J34" i="31"/>
  <c r="K34" i="31"/>
  <c r="E35" i="31"/>
  <c r="F35" i="31"/>
  <c r="J35" i="31"/>
  <c r="K35" i="31"/>
  <c r="E36" i="31"/>
  <c r="F36" i="31"/>
  <c r="J36" i="31"/>
  <c r="K36" i="31"/>
  <c r="E37" i="31"/>
  <c r="F37" i="31"/>
  <c r="J37" i="31"/>
  <c r="K37" i="31"/>
  <c r="E38" i="31"/>
  <c r="F38" i="31"/>
  <c r="J38" i="31"/>
  <c r="K38" i="31"/>
  <c r="E39" i="31"/>
  <c r="F39" i="31"/>
  <c r="J39" i="31"/>
  <c r="K39" i="31"/>
  <c r="J40" i="31"/>
  <c r="K40" i="31"/>
  <c r="E41" i="31"/>
  <c r="F41" i="31"/>
  <c r="J41" i="31"/>
  <c r="K41" i="31"/>
  <c r="J42" i="31"/>
  <c r="K42" i="31"/>
  <c r="J43" i="31"/>
  <c r="K43" i="31"/>
  <c r="J44" i="31"/>
  <c r="E44" i="31" s="1"/>
  <c r="F44" i="31" s="1"/>
  <c r="K44" i="31"/>
  <c r="J45" i="31"/>
  <c r="E45" i="31" s="1"/>
  <c r="F45" i="31" s="1"/>
  <c r="K45" i="31"/>
  <c r="J46" i="31"/>
  <c r="K46" i="31"/>
  <c r="J47" i="31"/>
  <c r="K47" i="31"/>
  <c r="J48" i="31"/>
  <c r="K48" i="31"/>
  <c r="J49" i="31"/>
  <c r="E49" i="31" s="1"/>
  <c r="F49" i="31" s="1"/>
  <c r="K49" i="31"/>
  <c r="J50" i="31"/>
  <c r="K50" i="31"/>
  <c r="J51" i="31"/>
  <c r="K51" i="31"/>
  <c r="J52" i="31"/>
  <c r="K52" i="31"/>
  <c r="J53" i="31"/>
  <c r="E53" i="31" s="1"/>
  <c r="F53" i="31" s="1"/>
  <c r="K53" i="31"/>
  <c r="J54" i="31"/>
  <c r="E54" i="31" s="1"/>
  <c r="F54" i="31" s="1"/>
  <c r="K54" i="31"/>
  <c r="E55" i="31"/>
  <c r="F55" i="31"/>
  <c r="J55" i="31"/>
  <c r="K55" i="31"/>
  <c r="E56" i="31"/>
  <c r="F56" i="31"/>
  <c r="J56" i="31"/>
  <c r="K56" i="31"/>
  <c r="E57" i="31"/>
  <c r="F57" i="31"/>
  <c r="J57" i="31"/>
  <c r="K57" i="31"/>
  <c r="E58" i="31"/>
  <c r="F58" i="31"/>
  <c r="J58" i="31"/>
  <c r="K58" i="31"/>
  <c r="E59" i="31"/>
  <c r="F59" i="31"/>
  <c r="J59" i="31"/>
  <c r="K59" i="31"/>
  <c r="E60" i="31"/>
  <c r="F60" i="31"/>
  <c r="J60" i="31"/>
  <c r="K60" i="31"/>
  <c r="E61" i="31"/>
  <c r="F61" i="31"/>
  <c r="J61" i="31"/>
  <c r="K61" i="31"/>
  <c r="E62" i="31"/>
  <c r="F62" i="31"/>
  <c r="J62" i="31"/>
  <c r="K62" i="31"/>
  <c r="J63" i="31"/>
  <c r="K63" i="31"/>
  <c r="E64" i="31"/>
  <c r="F64" i="31"/>
  <c r="J64" i="31"/>
  <c r="K64" i="31"/>
  <c r="E65" i="31"/>
  <c r="F65" i="31"/>
  <c r="J65" i="31"/>
  <c r="K65" i="31"/>
  <c r="E66" i="31"/>
  <c r="F66" i="31"/>
  <c r="J66" i="31"/>
  <c r="K66" i="31"/>
  <c r="E67" i="31"/>
  <c r="F67" i="31"/>
  <c r="J67" i="31"/>
  <c r="K67" i="31"/>
  <c r="E68" i="31"/>
  <c r="F68" i="31"/>
  <c r="J68" i="31"/>
  <c r="K68" i="31"/>
  <c r="E69" i="31"/>
  <c r="F69" i="31"/>
  <c r="J69" i="31"/>
  <c r="K69" i="31"/>
  <c r="J70" i="31"/>
  <c r="K70" i="31"/>
  <c r="E71" i="31"/>
  <c r="F71" i="31"/>
  <c r="J71" i="31"/>
  <c r="K71" i="31"/>
  <c r="J72" i="31"/>
  <c r="K72" i="31"/>
  <c r="J73" i="31"/>
  <c r="K73" i="31"/>
  <c r="J74" i="31"/>
  <c r="K74" i="31"/>
  <c r="E75" i="31"/>
  <c r="F75" i="31"/>
  <c r="J75" i="31"/>
  <c r="K75" i="31"/>
  <c r="J76" i="31"/>
  <c r="K76" i="31"/>
  <c r="E77" i="31"/>
  <c r="F77" i="31"/>
  <c r="J77" i="31"/>
  <c r="K77" i="31"/>
  <c r="J78" i="31"/>
  <c r="E78" i="31" s="1"/>
  <c r="F78" i="31" s="1"/>
  <c r="K78" i="31"/>
  <c r="J79" i="31"/>
  <c r="K79" i="31"/>
  <c r="E80" i="31"/>
  <c r="F80" i="31"/>
  <c r="J80" i="31"/>
  <c r="K80" i="31"/>
  <c r="J81" i="31"/>
  <c r="E81" i="31" s="1"/>
  <c r="F81" i="31" s="1"/>
  <c r="K81" i="31"/>
  <c r="E82" i="31"/>
  <c r="F82" i="31"/>
  <c r="J82" i="31"/>
  <c r="K82" i="31"/>
  <c r="E83" i="31"/>
  <c r="F83" i="31"/>
  <c r="J83" i="31"/>
  <c r="K83" i="31"/>
  <c r="E84" i="31"/>
  <c r="F84" i="31"/>
  <c r="J84" i="31"/>
  <c r="K84" i="31"/>
  <c r="E85" i="31"/>
  <c r="F85" i="31"/>
  <c r="J85" i="31"/>
  <c r="K85" i="31"/>
  <c r="J86" i="31"/>
  <c r="K86" i="31"/>
  <c r="J87" i="31"/>
  <c r="K87" i="31"/>
  <c r="E88" i="31"/>
  <c r="F88" i="31"/>
  <c r="J88" i="31"/>
  <c r="K88" i="31"/>
  <c r="J89" i="31"/>
  <c r="K89" i="31"/>
  <c r="J90" i="31"/>
  <c r="E90" i="31" s="1"/>
  <c r="F90" i="31" s="1"/>
  <c r="K90" i="31"/>
  <c r="J91" i="31"/>
  <c r="K91" i="31"/>
  <c r="J92" i="31"/>
  <c r="K92" i="31"/>
  <c r="E93" i="31"/>
  <c r="F93" i="31"/>
  <c r="J93" i="31"/>
  <c r="K93" i="31"/>
  <c r="E94" i="31"/>
  <c r="F94" i="31"/>
  <c r="J94" i="31"/>
  <c r="K94" i="31"/>
  <c r="E95" i="31"/>
  <c r="F95" i="31"/>
  <c r="J95" i="31"/>
  <c r="K95" i="31"/>
  <c r="E96" i="31"/>
  <c r="F96" i="31"/>
  <c r="J96" i="31"/>
  <c r="K96" i="31"/>
  <c r="E97" i="31"/>
  <c r="F97" i="31"/>
  <c r="J97" i="31"/>
  <c r="K97" i="31"/>
  <c r="E98" i="31"/>
  <c r="F98" i="31"/>
  <c r="J98" i="31"/>
  <c r="K98" i="31"/>
  <c r="E99" i="31"/>
  <c r="F99" i="31"/>
  <c r="J99" i="31"/>
  <c r="K99" i="31"/>
  <c r="E100" i="31"/>
  <c r="F100" i="31"/>
  <c r="J100" i="31"/>
  <c r="K100" i="31"/>
  <c r="E101" i="31"/>
  <c r="F101" i="31"/>
  <c r="J101" i="31"/>
  <c r="K101" i="31"/>
  <c r="E102" i="31"/>
  <c r="F102" i="31"/>
  <c r="J102" i="31"/>
  <c r="K102" i="31"/>
  <c r="E103" i="31"/>
  <c r="F103" i="31"/>
  <c r="J103" i="31"/>
  <c r="K103" i="31"/>
  <c r="E104" i="31"/>
  <c r="F104" i="31"/>
  <c r="J104" i="31"/>
  <c r="K104" i="31"/>
  <c r="J105" i="31"/>
  <c r="K105" i="31"/>
  <c r="E106" i="31"/>
  <c r="F106" i="31"/>
  <c r="J106" i="31"/>
  <c r="K106" i="31"/>
  <c r="E107" i="31"/>
  <c r="F107" i="31"/>
  <c r="J107" i="31"/>
  <c r="K107" i="31"/>
  <c r="E108" i="31"/>
  <c r="F108" i="31"/>
  <c r="J108" i="31"/>
  <c r="K108" i="31"/>
  <c r="E109" i="31"/>
  <c r="F109" i="31"/>
  <c r="J109" i="31"/>
  <c r="K109" i="31"/>
  <c r="J110" i="31"/>
  <c r="K110" i="31"/>
  <c r="E111" i="31"/>
  <c r="F111" i="31"/>
  <c r="J111" i="31"/>
  <c r="K111" i="31"/>
  <c r="E112" i="31"/>
  <c r="F112" i="31"/>
  <c r="J112" i="31"/>
  <c r="K112" i="31"/>
  <c r="J113" i="31"/>
  <c r="K113" i="31"/>
  <c r="E114" i="31"/>
  <c r="F114" i="31"/>
  <c r="J114" i="31"/>
  <c r="K114" i="31"/>
  <c r="E115" i="31"/>
  <c r="F115" i="31"/>
  <c r="J115" i="31"/>
  <c r="K115" i="31"/>
  <c r="E116" i="31"/>
  <c r="F116" i="31"/>
  <c r="J116" i="31"/>
  <c r="K116" i="31"/>
  <c r="E117" i="31"/>
  <c r="F117" i="31"/>
  <c r="J117" i="31"/>
  <c r="K117" i="31"/>
  <c r="E118" i="31"/>
  <c r="F118" i="31"/>
  <c r="J118" i="31"/>
  <c r="K118" i="31"/>
  <c r="E119" i="31"/>
  <c r="F119" i="31"/>
  <c r="J119" i="31"/>
  <c r="K119" i="31"/>
  <c r="E120" i="31"/>
  <c r="F120" i="31"/>
  <c r="J120" i="31"/>
  <c r="K120" i="31"/>
  <c r="E121" i="31"/>
  <c r="F121" i="31"/>
  <c r="J121" i="31"/>
  <c r="K121" i="31"/>
  <c r="J122" i="31"/>
  <c r="K122" i="31"/>
  <c r="J123" i="31"/>
  <c r="K123" i="31"/>
  <c r="E124" i="31"/>
  <c r="F124" i="31"/>
  <c r="J124" i="31"/>
  <c r="K124" i="31"/>
  <c r="J125" i="31"/>
  <c r="E125" i="31" s="1"/>
  <c r="F125" i="31" s="1"/>
  <c r="K125" i="31"/>
  <c r="E126" i="31"/>
  <c r="F126" i="31"/>
  <c r="J126" i="31"/>
  <c r="K126" i="31"/>
  <c r="E127" i="31"/>
  <c r="F127" i="31"/>
  <c r="J127" i="31"/>
  <c r="K127" i="31"/>
  <c r="E128" i="31"/>
  <c r="F128" i="31"/>
  <c r="J128" i="31"/>
  <c r="K128" i="31"/>
  <c r="E129" i="31"/>
  <c r="F129" i="31"/>
  <c r="J129" i="31"/>
  <c r="K129" i="31"/>
  <c r="E130" i="31"/>
  <c r="F130" i="31"/>
  <c r="J130" i="31"/>
  <c r="K130" i="31"/>
  <c r="E131" i="31"/>
  <c r="F131" i="31"/>
  <c r="J131" i="31"/>
  <c r="K131" i="31"/>
  <c r="E132" i="31"/>
  <c r="F132" i="31"/>
  <c r="J132" i="31"/>
  <c r="K132" i="31"/>
  <c r="E133" i="31"/>
  <c r="F133" i="31"/>
  <c r="J133" i="31"/>
  <c r="K133" i="31"/>
  <c r="E134" i="31"/>
  <c r="F134" i="31"/>
  <c r="J134" i="31"/>
  <c r="K134" i="31"/>
  <c r="E135" i="31"/>
  <c r="F135" i="31"/>
  <c r="J135" i="31"/>
  <c r="K135" i="31"/>
  <c r="E136" i="31"/>
  <c r="F136" i="31"/>
  <c r="J136" i="31"/>
  <c r="K136" i="31"/>
  <c r="E137" i="31"/>
  <c r="F137" i="31"/>
  <c r="J137" i="31"/>
  <c r="K137" i="31"/>
  <c r="J138" i="31"/>
  <c r="E138" i="31" s="1"/>
  <c r="F138" i="31" s="1"/>
  <c r="K138" i="31"/>
  <c r="E139" i="31"/>
  <c r="F139" i="31"/>
  <c r="J139" i="31"/>
  <c r="K139" i="31"/>
  <c r="E140" i="31"/>
  <c r="F140" i="31"/>
  <c r="J140" i="31"/>
  <c r="K140" i="31"/>
  <c r="E141" i="31"/>
  <c r="F141" i="31"/>
  <c r="J141" i="31"/>
  <c r="K141" i="31"/>
  <c r="J142" i="31"/>
  <c r="K142" i="31"/>
  <c r="E143" i="31"/>
  <c r="F143" i="31"/>
  <c r="J143" i="31"/>
  <c r="K143" i="31"/>
  <c r="E144" i="31"/>
  <c r="F144" i="31"/>
  <c r="J144" i="31"/>
  <c r="K144" i="31"/>
  <c r="E145" i="31"/>
  <c r="F145" i="31"/>
  <c r="J145" i="31"/>
  <c r="K145" i="31"/>
  <c r="E146" i="31"/>
  <c r="F146" i="31"/>
  <c r="J146" i="31"/>
  <c r="K146" i="31"/>
  <c r="E147" i="31"/>
  <c r="F147" i="31"/>
  <c r="J147" i="31"/>
  <c r="K147" i="31"/>
  <c r="E148" i="31"/>
  <c r="F148" i="31"/>
  <c r="J148" i="31"/>
  <c r="K148" i="31"/>
  <c r="J149" i="31"/>
  <c r="K149" i="31"/>
  <c r="E150" i="31"/>
  <c r="F150" i="31"/>
  <c r="J150" i="31"/>
  <c r="K150" i="31"/>
  <c r="E151" i="31"/>
  <c r="F151" i="31"/>
  <c r="J151" i="31"/>
  <c r="K151" i="31"/>
  <c r="E152" i="31"/>
  <c r="F152" i="31"/>
  <c r="J152" i="31"/>
  <c r="K152" i="31"/>
  <c r="E153" i="31"/>
  <c r="F153" i="31"/>
  <c r="J153" i="31"/>
  <c r="K153" i="31"/>
  <c r="E154" i="31"/>
  <c r="F154" i="31"/>
  <c r="J154" i="31"/>
  <c r="K154" i="31"/>
  <c r="J155" i="31"/>
  <c r="K155" i="31"/>
  <c r="J156" i="31"/>
  <c r="K156" i="31"/>
  <c r="J157" i="31"/>
  <c r="E157" i="31" s="1"/>
  <c r="F157" i="31" s="1"/>
  <c r="K157" i="31"/>
  <c r="E158" i="31"/>
  <c r="F158" i="31"/>
  <c r="J158" i="31"/>
  <c r="K158" i="31"/>
  <c r="J159" i="31"/>
  <c r="E159" i="31" s="1"/>
  <c r="F159" i="31" s="1"/>
  <c r="K159" i="31"/>
  <c r="E160" i="31"/>
  <c r="F160" i="31"/>
  <c r="J160" i="31"/>
  <c r="K160" i="31"/>
  <c r="E161" i="31"/>
  <c r="F161" i="31"/>
  <c r="J161" i="31"/>
  <c r="K161" i="31"/>
  <c r="E162" i="31"/>
  <c r="F162" i="31"/>
  <c r="J162" i="31"/>
  <c r="K162" i="31"/>
  <c r="E163" i="31"/>
  <c r="F163" i="31"/>
  <c r="J163" i="31"/>
  <c r="K163" i="31"/>
  <c r="E164" i="31"/>
  <c r="F164" i="31"/>
  <c r="J164" i="31"/>
  <c r="K164" i="31"/>
  <c r="J165" i="31"/>
  <c r="K165" i="31"/>
  <c r="E166" i="31"/>
  <c r="F166" i="31"/>
  <c r="J166" i="31"/>
  <c r="K166" i="31"/>
  <c r="J167" i="31"/>
  <c r="K167" i="31"/>
  <c r="J168" i="31"/>
  <c r="K168" i="31"/>
  <c r="J169" i="31"/>
  <c r="K169" i="31"/>
  <c r="J170" i="31"/>
  <c r="K170" i="31"/>
  <c r="E171" i="31"/>
  <c r="F171" i="31"/>
  <c r="J171" i="31"/>
  <c r="K171" i="31"/>
  <c r="E172" i="31"/>
  <c r="F172" i="31"/>
  <c r="J172" i="31"/>
  <c r="K172" i="31"/>
  <c r="E173" i="31"/>
  <c r="F173" i="31"/>
  <c r="J173" i="31"/>
  <c r="K173" i="31"/>
  <c r="E174" i="31"/>
  <c r="F174" i="31"/>
  <c r="J174" i="31"/>
  <c r="K174" i="31"/>
  <c r="E175" i="31"/>
  <c r="F175" i="31"/>
  <c r="J175" i="31"/>
  <c r="K175" i="31"/>
  <c r="E176" i="31"/>
  <c r="F176" i="31"/>
  <c r="J176" i="31"/>
  <c r="K176" i="31"/>
  <c r="E177" i="31"/>
  <c r="F177" i="31"/>
  <c r="J177" i="31"/>
  <c r="K177" i="31"/>
  <c r="E178" i="31"/>
  <c r="F178" i="31"/>
  <c r="J178" i="31"/>
  <c r="K178" i="31"/>
  <c r="E179" i="31"/>
  <c r="F179" i="31"/>
  <c r="J179" i="31"/>
  <c r="K179" i="31"/>
  <c r="E180" i="31"/>
  <c r="F180" i="31"/>
  <c r="J180" i="31"/>
  <c r="K180" i="31"/>
  <c r="E181" i="31"/>
  <c r="F181" i="31"/>
  <c r="J181" i="31"/>
  <c r="K181" i="31"/>
  <c r="E182" i="31"/>
  <c r="F182" i="31"/>
  <c r="J182" i="31"/>
  <c r="K182" i="31"/>
  <c r="E183" i="31"/>
  <c r="F183" i="31"/>
  <c r="J183" i="31"/>
  <c r="K183" i="31"/>
  <c r="J184" i="31"/>
  <c r="K184" i="31"/>
  <c r="E185" i="31"/>
  <c r="F185" i="31"/>
  <c r="J185" i="31"/>
  <c r="K185" i="31"/>
  <c r="J24" i="16"/>
  <c r="K24" i="22"/>
  <c r="K24" i="30"/>
  <c r="K24" i="31"/>
  <c r="I24" i="16"/>
  <c r="J24" i="22"/>
  <c r="J24" i="30"/>
  <c r="J24" i="31"/>
  <c r="J23" i="31"/>
  <c r="K23" i="31"/>
  <c r="J23" i="30"/>
  <c r="K23" i="30"/>
  <c r="J23" i="21"/>
  <c r="K23" i="21"/>
  <c r="J23" i="22"/>
  <c r="K23" i="22"/>
  <c r="K7" i="22"/>
  <c r="K7" i="21"/>
  <c r="K7" i="30"/>
  <c r="K7" i="31"/>
  <c r="E79" i="30" l="1"/>
  <c r="F79" i="30" s="1"/>
  <c r="E75" i="30"/>
  <c r="F75" i="30" s="1"/>
  <c r="E102" i="21"/>
  <c r="F102" i="21" s="1"/>
  <c r="E55" i="21"/>
  <c r="F55" i="21" s="1"/>
  <c r="E265" i="30"/>
  <c r="F265" i="30" s="1"/>
  <c r="E262" i="30"/>
  <c r="F262" i="30" s="1"/>
  <c r="E207" i="30"/>
  <c r="F207" i="30" s="1"/>
  <c r="E188" i="30"/>
  <c r="F188" i="30" s="1"/>
  <c r="E63" i="31"/>
  <c r="F63" i="31" s="1"/>
  <c r="E114" i="30"/>
  <c r="F114" i="30" s="1"/>
  <c r="E112" i="30"/>
  <c r="F112" i="30" s="1"/>
  <c r="E60" i="30"/>
  <c r="F60" i="30" s="1"/>
  <c r="E47" i="30"/>
  <c r="F47" i="30" s="1"/>
  <c r="E37" i="30"/>
  <c r="F37" i="30" s="1"/>
  <c r="E163" i="21"/>
  <c r="F163" i="21" s="1"/>
  <c r="E161" i="21"/>
  <c r="F161" i="21" s="1"/>
  <c r="E158" i="21"/>
  <c r="F158" i="21" s="1"/>
  <c r="K28" i="21"/>
  <c r="E182" i="22"/>
  <c r="F182" i="22" s="1"/>
  <c r="E175" i="22"/>
  <c r="F175" i="22" s="1"/>
  <c r="E169" i="22"/>
  <c r="F169" i="22" s="1"/>
  <c r="E167" i="22"/>
  <c r="F167" i="22" s="1"/>
  <c r="E163" i="22"/>
  <c r="F163" i="22" s="1"/>
  <c r="E161" i="22"/>
  <c r="F161" i="22" s="1"/>
  <c r="E157" i="22"/>
  <c r="F157" i="22" s="1"/>
  <c r="E155" i="22"/>
  <c r="F155" i="22" s="1"/>
  <c r="E153" i="22"/>
  <c r="F153" i="22" s="1"/>
  <c r="E142" i="22"/>
  <c r="F142" i="22" s="1"/>
  <c r="E135" i="22"/>
  <c r="F135" i="22" s="1"/>
  <c r="E132" i="22"/>
  <c r="F132" i="22" s="1"/>
  <c r="E130" i="22"/>
  <c r="F130" i="22" s="1"/>
  <c r="E123" i="22"/>
  <c r="F123" i="22" s="1"/>
  <c r="E118" i="22"/>
  <c r="F118" i="22" s="1"/>
  <c r="E115" i="22"/>
  <c r="F115" i="22" s="1"/>
  <c r="E104" i="22"/>
  <c r="F104" i="22" s="1"/>
  <c r="E95" i="22"/>
  <c r="F95" i="22" s="1"/>
  <c r="E91" i="22"/>
  <c r="F91" i="22" s="1"/>
  <c r="E75" i="22"/>
  <c r="F75" i="22" s="1"/>
  <c r="E72" i="22"/>
  <c r="F72" i="22" s="1"/>
  <c r="E68" i="22"/>
  <c r="F68" i="22" s="1"/>
  <c r="E65" i="22"/>
  <c r="F65" i="22" s="1"/>
  <c r="E62" i="22"/>
  <c r="F62" i="22" s="1"/>
  <c r="E50" i="22"/>
  <c r="F50" i="22" s="1"/>
  <c r="E46" i="22"/>
  <c r="F46" i="22" s="1"/>
  <c r="E43" i="22"/>
  <c r="F43" i="22" s="1"/>
  <c r="E188" i="21"/>
  <c r="F188" i="21" s="1"/>
  <c r="E344" i="22"/>
  <c r="F344" i="22" s="1"/>
  <c r="E265" i="22"/>
  <c r="F265" i="22" s="1"/>
  <c r="E254" i="22"/>
  <c r="F254" i="22" s="1"/>
  <c r="E246" i="22"/>
  <c r="F246" i="22" s="1"/>
  <c r="E233" i="22"/>
  <c r="F233" i="22" s="1"/>
  <c r="E230" i="22"/>
  <c r="F230" i="22" s="1"/>
  <c r="E228" i="22"/>
  <c r="F228" i="22" s="1"/>
  <c r="E222" i="22"/>
  <c r="F222" i="22" s="1"/>
  <c r="E169" i="31"/>
  <c r="F169" i="31" s="1"/>
  <c r="E156" i="31"/>
  <c r="F156" i="31" s="1"/>
  <c r="E70" i="31"/>
  <c r="F70" i="31" s="1"/>
  <c r="E175" i="30"/>
  <c r="F175" i="30" s="1"/>
  <c r="E172" i="30"/>
  <c r="F172" i="30" s="1"/>
  <c r="E165" i="30"/>
  <c r="F165" i="30" s="1"/>
  <c r="E151" i="30"/>
  <c r="F151" i="30" s="1"/>
  <c r="E145" i="30"/>
  <c r="F145" i="30" s="1"/>
  <c r="E131" i="30"/>
  <c r="F131" i="30" s="1"/>
  <c r="E122" i="30"/>
  <c r="F122" i="30" s="1"/>
  <c r="E109" i="30"/>
  <c r="F109" i="30" s="1"/>
  <c r="E102" i="30"/>
  <c r="F102" i="30" s="1"/>
  <c r="E88" i="30"/>
  <c r="F88" i="30" s="1"/>
  <c r="E77" i="30"/>
  <c r="F77" i="30" s="1"/>
  <c r="E108" i="21"/>
  <c r="F108" i="21" s="1"/>
  <c r="E76" i="21"/>
  <c r="F76" i="21" s="1"/>
  <c r="E52" i="21"/>
  <c r="F52" i="21" s="1"/>
  <c r="E34" i="22"/>
  <c r="F34" i="22" s="1"/>
  <c r="E278" i="30"/>
  <c r="F278" i="30" s="1"/>
  <c r="E260" i="30"/>
  <c r="F260" i="30" s="1"/>
  <c r="E230" i="30"/>
  <c r="F230" i="30" s="1"/>
  <c r="E201" i="30"/>
  <c r="F201" i="30" s="1"/>
  <c r="E362" i="21"/>
  <c r="F362" i="21" s="1"/>
  <c r="E316" i="21"/>
  <c r="F316" i="21" s="1"/>
  <c r="E272" i="21"/>
  <c r="F272" i="21" s="1"/>
  <c r="E265" i="21"/>
  <c r="F265" i="21" s="1"/>
  <c r="E250" i="21"/>
  <c r="F250" i="21" s="1"/>
  <c r="E220" i="21"/>
  <c r="F220" i="21" s="1"/>
  <c r="E217" i="21"/>
  <c r="F217" i="21" s="1"/>
  <c r="E214" i="21"/>
  <c r="F214" i="21" s="1"/>
  <c r="E208" i="21"/>
  <c r="F208" i="21" s="1"/>
  <c r="E190" i="21"/>
  <c r="F190" i="21" s="1"/>
  <c r="E186" i="21"/>
  <c r="F186" i="21" s="1"/>
  <c r="E356" i="22"/>
  <c r="F356" i="22" s="1"/>
  <c r="E199" i="22"/>
  <c r="F199" i="22" s="1"/>
  <c r="E185" i="22"/>
  <c r="F185" i="22" s="1"/>
  <c r="E170" i="31"/>
  <c r="F170" i="31" s="1"/>
  <c r="E160" i="21"/>
  <c r="F160" i="21" s="1"/>
  <c r="E84" i="21"/>
  <c r="F84" i="21" s="1"/>
  <c r="E56" i="21"/>
  <c r="F56" i="21" s="1"/>
  <c r="E53" i="21"/>
  <c r="F53" i="21" s="1"/>
  <c r="E50" i="21"/>
  <c r="F50" i="21" s="1"/>
  <c r="E47" i="21"/>
  <c r="F47" i="21" s="1"/>
  <c r="E45" i="21"/>
  <c r="F45" i="21" s="1"/>
  <c r="E173" i="22"/>
  <c r="F173" i="22" s="1"/>
  <c r="E82" i="22"/>
  <c r="F82" i="22" s="1"/>
  <c r="E60" i="22"/>
  <c r="F60" i="22" s="1"/>
  <c r="E57" i="22"/>
  <c r="F57" i="22" s="1"/>
  <c r="E42" i="22"/>
  <c r="F42" i="22" s="1"/>
  <c r="E292" i="22"/>
  <c r="F292" i="22" s="1"/>
  <c r="E283" i="22"/>
  <c r="F283" i="22" s="1"/>
  <c r="E270" i="22"/>
  <c r="F270" i="22" s="1"/>
  <c r="E267" i="22"/>
  <c r="F267" i="22" s="1"/>
  <c r="E258" i="22"/>
  <c r="F258" i="22" s="1"/>
  <c r="E255" i="22"/>
  <c r="F255" i="22" s="1"/>
  <c r="E248" i="22"/>
  <c r="F248" i="22" s="1"/>
  <c r="E238" i="22"/>
  <c r="F238" i="22" s="1"/>
  <c r="E229" i="22"/>
  <c r="F229" i="22" s="1"/>
  <c r="E226" i="22"/>
  <c r="F226" i="22" s="1"/>
  <c r="E221" i="22"/>
  <c r="F221" i="22" s="1"/>
  <c r="E198" i="22"/>
  <c r="F198" i="22" s="1"/>
  <c r="E89" i="22"/>
  <c r="F89" i="22" s="1"/>
  <c r="E154" i="22"/>
  <c r="F154" i="22" s="1"/>
  <c r="E32" i="22"/>
  <c r="F32" i="22" s="1"/>
  <c r="E297" i="22"/>
  <c r="F297" i="22" s="1"/>
  <c r="E276" i="22"/>
  <c r="F276" i="22" s="1"/>
  <c r="E269" i="22"/>
  <c r="F269" i="22" s="1"/>
  <c r="E257" i="22"/>
  <c r="F257" i="22" s="1"/>
  <c r="E250" i="22"/>
  <c r="F250" i="22" s="1"/>
  <c r="E242" i="22"/>
  <c r="F242" i="22" s="1"/>
  <c r="E210" i="22"/>
  <c r="F210" i="22" s="1"/>
  <c r="E197" i="22"/>
  <c r="F197" i="22" s="1"/>
  <c r="E193" i="22"/>
  <c r="F193" i="22" s="1"/>
  <c r="E70" i="22"/>
  <c r="F70" i="22" s="1"/>
  <c r="E67" i="22"/>
  <c r="F67" i="22" s="1"/>
  <c r="E53" i="22"/>
  <c r="F53" i="22" s="1"/>
  <c r="E48" i="22"/>
  <c r="F48" i="22" s="1"/>
  <c r="E192" i="22"/>
  <c r="F192" i="22" s="1"/>
  <c r="E174" i="22"/>
  <c r="F174" i="22" s="1"/>
  <c r="E171" i="22"/>
  <c r="F171" i="22" s="1"/>
  <c r="E168" i="22"/>
  <c r="F168" i="22" s="1"/>
  <c r="E165" i="22"/>
  <c r="F165" i="22" s="1"/>
  <c r="E162" i="22"/>
  <c r="F162" i="22" s="1"/>
  <c r="E159" i="22"/>
  <c r="F159" i="22" s="1"/>
  <c r="E156" i="22"/>
  <c r="F156" i="22" s="1"/>
  <c r="E149" i="22"/>
  <c r="F149" i="22" s="1"/>
  <c r="E134" i="22"/>
  <c r="F134" i="22" s="1"/>
  <c r="E131" i="22"/>
  <c r="F131" i="22" s="1"/>
  <c r="E122" i="22"/>
  <c r="F122" i="22" s="1"/>
  <c r="E117" i="22"/>
  <c r="F117" i="22" s="1"/>
  <c r="E105" i="22"/>
  <c r="F105" i="22" s="1"/>
  <c r="E102" i="22"/>
  <c r="F102" i="22" s="1"/>
  <c r="E87" i="22"/>
  <c r="F87" i="22" s="1"/>
  <c r="E55" i="22"/>
  <c r="F55" i="22" s="1"/>
  <c r="E150" i="22"/>
  <c r="F150" i="22" s="1"/>
  <c r="E52" i="30"/>
  <c r="F52" i="30" s="1"/>
  <c r="E160" i="30"/>
  <c r="F160" i="30" s="1"/>
  <c r="E68" i="30"/>
  <c r="F68" i="30" s="1"/>
  <c r="E148" i="30"/>
  <c r="F148" i="30" s="1"/>
  <c r="E196" i="22"/>
  <c r="F196" i="22" s="1"/>
  <c r="E192" i="21"/>
  <c r="F192" i="21" s="1"/>
  <c r="E247" i="21"/>
  <c r="F247" i="21" s="1"/>
  <c r="E304" i="21"/>
  <c r="F304" i="21" s="1"/>
  <c r="E248" i="21"/>
  <c r="F248" i="21" s="1"/>
  <c r="E191" i="21"/>
  <c r="F191" i="21" s="1"/>
  <c r="E135" i="21"/>
  <c r="F135" i="21" s="1"/>
  <c r="E81" i="21"/>
  <c r="F81" i="21" s="1"/>
  <c r="E212" i="21"/>
  <c r="F212" i="21" s="1"/>
  <c r="E267" i="21"/>
  <c r="F267" i="21" s="1"/>
  <c r="E211" i="21"/>
  <c r="F211" i="21" s="1"/>
  <c r="E155" i="21"/>
  <c r="F155" i="21" s="1"/>
  <c r="E49" i="21"/>
  <c r="F49" i="21" s="1"/>
  <c r="E151" i="21"/>
  <c r="F151" i="21" s="1"/>
  <c r="E46" i="21"/>
  <c r="F46" i="21" s="1"/>
  <c r="E128" i="30"/>
  <c r="F128" i="30" s="1"/>
  <c r="E78" i="30"/>
  <c r="F78" i="30" s="1"/>
  <c r="E155" i="31"/>
  <c r="F155" i="31" s="1"/>
  <c r="E142" i="31"/>
  <c r="F142" i="31" s="1"/>
  <c r="E72" i="31"/>
  <c r="F72" i="31" s="1"/>
  <c r="E142" i="30"/>
  <c r="F142" i="30" s="1"/>
  <c r="E258" i="30"/>
  <c r="F258" i="30" s="1"/>
  <c r="E249" i="30"/>
  <c r="F249" i="30" s="1"/>
  <c r="E211" i="30"/>
  <c r="F211" i="30" s="1"/>
  <c r="E53" i="30"/>
  <c r="F53" i="30" s="1"/>
  <c r="E30" i="30"/>
  <c r="F30" i="30" s="1"/>
  <c r="E150" i="21"/>
  <c r="F150" i="21" s="1"/>
  <c r="E205" i="21"/>
  <c r="F205" i="21" s="1"/>
  <c r="E148" i="21"/>
  <c r="F148" i="21" s="1"/>
  <c r="E43" i="21"/>
  <c r="F43" i="21" s="1"/>
  <c r="E167" i="31"/>
  <c r="F167" i="31" s="1"/>
  <c r="E94" i="30"/>
  <c r="F94" i="30" s="1"/>
  <c r="E168" i="31"/>
  <c r="F168" i="31" s="1"/>
  <c r="E165" i="31"/>
  <c r="F165" i="31" s="1"/>
  <c r="E149" i="30"/>
  <c r="F149" i="30" s="1"/>
  <c r="E132" i="30"/>
  <c r="F132" i="30" s="1"/>
  <c r="E51" i="30"/>
  <c r="F51" i="30" s="1"/>
  <c r="E259" i="30"/>
  <c r="F259" i="30" s="1"/>
  <c r="E223" i="30"/>
  <c r="F223" i="30" s="1"/>
  <c r="E110" i="31"/>
  <c r="F110" i="31" s="1"/>
  <c r="E87" i="31"/>
  <c r="F87" i="31" s="1"/>
  <c r="E123" i="31"/>
  <c r="F123" i="31" s="1"/>
  <c r="E91" i="31"/>
  <c r="F91" i="31" s="1"/>
  <c r="E149" i="31"/>
  <c r="F149" i="31" s="1"/>
  <c r="E122" i="31"/>
  <c r="F122" i="31" s="1"/>
  <c r="E25" i="31"/>
  <c r="F25" i="31" s="1"/>
  <c r="E113" i="31"/>
  <c r="F113" i="31" s="1"/>
  <c r="E92" i="31"/>
  <c r="F92" i="31" s="1"/>
  <c r="E76" i="31"/>
  <c r="F76" i="31" s="1"/>
  <c r="E31" i="31"/>
  <c r="F31" i="31" s="1"/>
  <c r="E105" i="31"/>
  <c r="F105" i="31" s="1"/>
  <c r="E89" i="31"/>
  <c r="F89" i="31" s="1"/>
  <c r="E86" i="31"/>
  <c r="F86" i="31" s="1"/>
  <c r="E74" i="31"/>
  <c r="F74" i="31" s="1"/>
  <c r="E79" i="31"/>
  <c r="F79" i="31" s="1"/>
  <c r="E73" i="31"/>
  <c r="F73" i="31" s="1"/>
  <c r="E52" i="31"/>
  <c r="F52" i="31" s="1"/>
  <c r="E51" i="31"/>
  <c r="F51" i="31" s="1"/>
  <c r="E50" i="31"/>
  <c r="F50" i="31" s="1"/>
  <c r="E48" i="31"/>
  <c r="F48" i="31" s="1"/>
  <c r="E47" i="31"/>
  <c r="F47" i="31" s="1"/>
  <c r="E46" i="31"/>
  <c r="F46" i="31" s="1"/>
  <c r="E43" i="31"/>
  <c r="F43" i="31" s="1"/>
  <c r="E42" i="31"/>
  <c r="F42" i="31" s="1"/>
  <c r="E40" i="31"/>
  <c r="F40" i="31" s="1"/>
  <c r="E208" i="30"/>
  <c r="F208" i="30" s="1"/>
  <c r="E205" i="30"/>
  <c r="F205" i="30" s="1"/>
  <c r="E203" i="30"/>
  <c r="F203" i="30" s="1"/>
  <c r="E163" i="30"/>
  <c r="F163" i="30" s="1"/>
  <c r="E43" i="30"/>
  <c r="F43" i="30" s="1"/>
  <c r="E42" i="30"/>
  <c r="F42" i="30" s="1"/>
  <c r="R312" i="35"/>
  <c r="T312" i="35" s="1"/>
  <c r="R313" i="35"/>
  <c r="T313" i="35" s="1"/>
  <c r="R319" i="35"/>
  <c r="T319" i="35" s="1"/>
  <c r="R292" i="35"/>
  <c r="T292" i="35" s="1"/>
  <c r="R300" i="35"/>
  <c r="T300" i="35" s="1"/>
  <c r="R291" i="35"/>
  <c r="T291" i="35" s="1"/>
  <c r="R294" i="35"/>
  <c r="T294" i="35" s="1"/>
  <c r="R299" i="35"/>
  <c r="T299" i="35" s="1"/>
  <c r="R305" i="35"/>
  <c r="T305" i="35" s="1"/>
  <c r="R315" i="35"/>
  <c r="T315" i="35" s="1"/>
  <c r="R295" i="35"/>
  <c r="T295" i="35" s="1"/>
  <c r="R301" i="35"/>
  <c r="T301" i="35" s="1"/>
  <c r="R306" i="35"/>
  <c r="T306" i="35" s="1"/>
  <c r="R310" i="35"/>
  <c r="T310" i="35" s="1"/>
  <c r="R316" i="35"/>
  <c r="T316" i="35" s="1"/>
  <c r="R302" i="35"/>
  <c r="T302" i="35" s="1"/>
  <c r="R303" i="35"/>
  <c r="T303" i="35" s="1"/>
  <c r="R307" i="35"/>
  <c r="T307" i="35" s="1"/>
  <c r="R297" i="35"/>
  <c r="T297" i="35" s="1"/>
  <c r="R298" i="35"/>
  <c r="T298" i="35" s="1"/>
  <c r="R304" i="35"/>
  <c r="T304" i="35" s="1"/>
  <c r="R314" i="35"/>
  <c r="T314" i="35" s="1"/>
  <c r="R290" i="35"/>
  <c r="T290" i="35" s="1"/>
  <c r="L293" i="35"/>
  <c r="N293" i="35" s="1"/>
  <c r="L295" i="35"/>
  <c r="N295" i="35" s="1"/>
  <c r="L307" i="35"/>
  <c r="N307" i="35" s="1"/>
  <c r="L319" i="35"/>
  <c r="N319" i="35" s="1"/>
  <c r="L302" i="35"/>
  <c r="N302" i="35" s="1"/>
  <c r="L303" i="35"/>
  <c r="N303" i="35" s="1"/>
  <c r="L306" i="35"/>
  <c r="N306" i="35" s="1"/>
  <c r="L310" i="35"/>
  <c r="N310" i="35" s="1"/>
  <c r="L316" i="35"/>
  <c r="N316" i="35" s="1"/>
  <c r="L304" i="35"/>
  <c r="N304" i="35" s="1"/>
  <c r="L297" i="35"/>
  <c r="N297" i="35" s="1"/>
  <c r="L298" i="35"/>
  <c r="N298" i="35" s="1"/>
  <c r="L314" i="35"/>
  <c r="N314" i="35" s="1"/>
  <c r="L312" i="35"/>
  <c r="N312" i="35" s="1"/>
  <c r="L290" i="35"/>
  <c r="N290" i="35" s="1"/>
  <c r="L300" i="35"/>
  <c r="N300" i="35" s="1"/>
  <c r="L305" i="35"/>
  <c r="N305" i="35" s="1"/>
  <c r="L313" i="35"/>
  <c r="N313" i="35" s="1"/>
  <c r="L315" i="35"/>
  <c r="N315" i="35" s="1"/>
  <c r="L291" i="35"/>
  <c r="N291" i="35" s="1"/>
  <c r="L292" i="35"/>
  <c r="N292" i="35" s="1"/>
  <c r="L294" i="35"/>
  <c r="N294" i="35" s="1"/>
  <c r="L299" i="35"/>
  <c r="N299" i="35" s="1"/>
  <c r="L301" i="35"/>
  <c r="N301" i="35" s="1"/>
  <c r="E149" i="21"/>
  <c r="F149" i="21" s="1"/>
  <c r="C270" i="35"/>
  <c r="E307" i="22"/>
  <c r="F307" i="22" s="1"/>
  <c r="E385" i="21"/>
  <c r="F385" i="21" s="1"/>
  <c r="E337" i="22"/>
  <c r="F337" i="22" s="1"/>
  <c r="J253" i="21"/>
  <c r="O287" i="35"/>
  <c r="O309" i="35" s="1"/>
  <c r="Q309" i="35" s="1"/>
  <c r="E326" i="22"/>
  <c r="F326" i="22" s="1"/>
  <c r="K294" i="22"/>
  <c r="E294" i="22" s="1"/>
  <c r="F294" i="22" s="1"/>
  <c r="J28" i="21"/>
  <c r="K309" i="21"/>
  <c r="J309" i="21"/>
  <c r="E82" i="21"/>
  <c r="F82" i="21" s="1"/>
  <c r="E276" i="21"/>
  <c r="F276" i="21" s="1"/>
  <c r="E274" i="21"/>
  <c r="F274" i="21" s="1"/>
  <c r="E273" i="21"/>
  <c r="F273" i="21" s="1"/>
  <c r="E270" i="21"/>
  <c r="F270" i="21" s="1"/>
  <c r="E269" i="21"/>
  <c r="F269" i="21" s="1"/>
  <c r="E268" i="21"/>
  <c r="F268" i="21" s="1"/>
  <c r="E262" i="21"/>
  <c r="F262" i="21" s="1"/>
  <c r="E303" i="21"/>
  <c r="F303" i="21" s="1"/>
  <c r="E260" i="21"/>
  <c r="F260" i="21" s="1"/>
  <c r="E152" i="21"/>
  <c r="F152" i="21" s="1"/>
  <c r="E136" i="21"/>
  <c r="F136" i="21" s="1"/>
  <c r="E34" i="21"/>
  <c r="F34" i="21" s="1"/>
  <c r="E354" i="21"/>
  <c r="F354" i="21" s="1"/>
  <c r="E130" i="21"/>
  <c r="F130" i="21" s="1"/>
  <c r="E107" i="21"/>
  <c r="F107" i="21" s="1"/>
  <c r="E104" i="21"/>
  <c r="F104" i="21" s="1"/>
  <c r="E101" i="21"/>
  <c r="F101" i="21" s="1"/>
  <c r="E98" i="21"/>
  <c r="F98" i="21" s="1"/>
  <c r="E326" i="21"/>
  <c r="F326" i="21" s="1"/>
  <c r="E317" i="21"/>
  <c r="F317" i="21" s="1"/>
  <c r="E209" i="21"/>
  <c r="F209" i="21" s="1"/>
  <c r="E360" i="21"/>
  <c r="F360" i="21" s="1"/>
  <c r="E328" i="21"/>
  <c r="F328" i="21" s="1"/>
  <c r="E29" i="21"/>
  <c r="F29" i="21" s="1"/>
  <c r="E374" i="21"/>
  <c r="F374" i="21" s="1"/>
  <c r="E357" i="21"/>
  <c r="F357" i="21" s="1"/>
  <c r="E138" i="21"/>
  <c r="F138" i="21" s="1"/>
  <c r="E109" i="21"/>
  <c r="F109" i="21" s="1"/>
  <c r="E106" i="21"/>
  <c r="F106" i="21" s="1"/>
  <c r="E103" i="21"/>
  <c r="F103" i="21" s="1"/>
  <c r="E97" i="21"/>
  <c r="F97" i="21" s="1"/>
  <c r="E319" i="21"/>
  <c r="F319" i="21" s="1"/>
  <c r="E100" i="21"/>
  <c r="F100" i="21" s="1"/>
  <c r="E359" i="21"/>
  <c r="F359" i="21" s="1"/>
  <c r="E332" i="21"/>
  <c r="F332" i="21" s="1"/>
  <c r="E330" i="21"/>
  <c r="F330" i="21" s="1"/>
  <c r="E324" i="21"/>
  <c r="F324" i="21" s="1"/>
  <c r="E323" i="21"/>
  <c r="F323" i="21" s="1"/>
  <c r="E321" i="21"/>
  <c r="F321" i="21" s="1"/>
  <c r="K253" i="21"/>
  <c r="F309" i="21"/>
  <c r="K27" i="21"/>
  <c r="K78" i="22"/>
  <c r="E78" i="22" s="1"/>
  <c r="F78" i="22" s="1"/>
  <c r="K24" i="21"/>
  <c r="D87" i="21"/>
  <c r="E243" i="30"/>
  <c r="F243" i="30" s="1"/>
  <c r="E197" i="21"/>
  <c r="F197" i="21" s="1"/>
  <c r="J25" i="21"/>
  <c r="D141" i="21"/>
  <c r="I287" i="35" s="1"/>
  <c r="I309" i="35" s="1"/>
  <c r="K309" i="35" s="1"/>
  <c r="J27" i="21"/>
  <c r="E27" i="21" s="1"/>
  <c r="F27" i="21" s="1"/>
  <c r="E289" i="22"/>
  <c r="F289" i="22" s="1"/>
  <c r="E211" i="22"/>
  <c r="F211" i="22" s="1"/>
  <c r="K25" i="21"/>
  <c r="E208" i="22"/>
  <c r="F208" i="22" s="1"/>
  <c r="E304" i="22"/>
  <c r="F304" i="22" s="1"/>
  <c r="E287" i="22"/>
  <c r="F287" i="22" s="1"/>
  <c r="E212" i="22"/>
  <c r="F212" i="22" s="1"/>
  <c r="E195" i="22"/>
  <c r="F195" i="22" s="1"/>
  <c r="E206" i="22"/>
  <c r="F206" i="22" s="1"/>
  <c r="E338" i="22"/>
  <c r="F338" i="22" s="1"/>
  <c r="E323" i="22"/>
  <c r="F323" i="22" s="1"/>
  <c r="E309" i="22"/>
  <c r="F309" i="22" s="1"/>
  <c r="E340" i="22"/>
  <c r="F340" i="22" s="1"/>
  <c r="E285" i="22"/>
  <c r="F285" i="22" s="1"/>
  <c r="E324" i="22"/>
  <c r="F324" i="22" s="1"/>
  <c r="K79" i="22"/>
  <c r="E79" i="22" s="1"/>
  <c r="F79" i="22" s="1"/>
  <c r="E339" i="22"/>
  <c r="F339" i="22" s="1"/>
  <c r="E308" i="22"/>
  <c r="F308" i="22" s="1"/>
  <c r="E194" i="22"/>
  <c r="F194" i="22" s="1"/>
  <c r="D22" i="21"/>
  <c r="E322" i="22"/>
  <c r="F322" i="22" s="1"/>
  <c r="E290" i="22"/>
  <c r="F290" i="22" s="1"/>
  <c r="E207" i="22"/>
  <c r="F207" i="22" s="1"/>
  <c r="J24" i="21"/>
  <c r="E325" i="22"/>
  <c r="F325" i="22" s="1"/>
  <c r="E106" i="22"/>
  <c r="F106" i="22" s="1"/>
  <c r="O270" i="35"/>
  <c r="C271" i="35" s="1"/>
  <c r="E26" i="21"/>
  <c r="F26" i="21" s="1"/>
  <c r="E342" i="22"/>
  <c r="F342" i="22" s="1"/>
  <c r="E245" i="30"/>
  <c r="F245" i="30" s="1"/>
  <c r="E305" i="22"/>
  <c r="F305" i="22" s="1"/>
  <c r="E303" i="22"/>
  <c r="F303" i="22" s="1"/>
  <c r="E302" i="22"/>
  <c r="F302" i="22" s="1"/>
  <c r="E114" i="22"/>
  <c r="F114" i="22" s="1"/>
  <c r="E264" i="30"/>
  <c r="F264" i="30" s="1"/>
  <c r="E26" i="30"/>
  <c r="F26" i="30" s="1"/>
  <c r="E184" i="22"/>
  <c r="F184" i="22" s="1"/>
  <c r="E184" i="31"/>
  <c r="F184" i="31" s="1"/>
  <c r="E184" i="30"/>
  <c r="F184" i="30" s="1"/>
  <c r="K5" i="31"/>
  <c r="K5" i="30"/>
  <c r="K4" i="31"/>
  <c r="K4" i="30"/>
  <c r="E24" i="16"/>
  <c r="F24" i="16" s="1"/>
  <c r="E24" i="30"/>
  <c r="F24" i="30" s="1"/>
  <c r="E24" i="22"/>
  <c r="F24" i="22" s="1"/>
  <c r="E24" i="31"/>
  <c r="F24" i="31" s="1"/>
  <c r="F287" i="35" l="1"/>
  <c r="D373" i="21"/>
  <c r="E28" i="21"/>
  <c r="F28" i="21" s="1"/>
  <c r="J283" i="35"/>
  <c r="F309" i="35"/>
  <c r="H309" i="35" s="1"/>
  <c r="E309" i="35" s="1"/>
  <c r="K6" i="31"/>
  <c r="O291" i="35"/>
  <c r="Q291" i="35" s="1"/>
  <c r="O292" i="35"/>
  <c r="Q292" i="35" s="1"/>
  <c r="O294" i="35"/>
  <c r="Q294" i="35" s="1"/>
  <c r="O299" i="35"/>
  <c r="Q299" i="35" s="1"/>
  <c r="O305" i="35"/>
  <c r="Q305" i="35" s="1"/>
  <c r="O315" i="35"/>
  <c r="Q315" i="35" s="1"/>
  <c r="O297" i="35"/>
  <c r="Q297" i="35" s="1"/>
  <c r="O293" i="35"/>
  <c r="Q293" i="35" s="1"/>
  <c r="O301" i="35"/>
  <c r="Q301" i="35" s="1"/>
  <c r="O295" i="35"/>
  <c r="Q295" i="35" s="1"/>
  <c r="O302" i="35"/>
  <c r="Q302" i="35" s="1"/>
  <c r="O306" i="35"/>
  <c r="Q306" i="35" s="1"/>
  <c r="O307" i="35"/>
  <c r="Q307" i="35" s="1"/>
  <c r="O310" i="35"/>
  <c r="Q310" i="35" s="1"/>
  <c r="O316" i="35"/>
  <c r="Q316" i="35" s="1"/>
  <c r="O303" i="35"/>
  <c r="Q303" i="35" s="1"/>
  <c r="O304" i="35"/>
  <c r="Q304" i="35" s="1"/>
  <c r="O298" i="35"/>
  <c r="Q298" i="35" s="1"/>
  <c r="O312" i="35"/>
  <c r="Q312" i="35" s="1"/>
  <c r="O314" i="35"/>
  <c r="Q314" i="35" s="1"/>
  <c r="O290" i="35"/>
  <c r="Q290" i="35" s="1"/>
  <c r="O300" i="35"/>
  <c r="Q300" i="35" s="1"/>
  <c r="O313" i="35"/>
  <c r="Q313" i="35" s="1"/>
  <c r="O319" i="35"/>
  <c r="Q319" i="35" s="1"/>
  <c r="I303" i="35"/>
  <c r="K303" i="35" s="1"/>
  <c r="I304" i="35"/>
  <c r="K304" i="35" s="1"/>
  <c r="I299" i="35"/>
  <c r="K299" i="35" s="1"/>
  <c r="I297" i="35"/>
  <c r="K297" i="35" s="1"/>
  <c r="I298" i="35"/>
  <c r="K298" i="35" s="1"/>
  <c r="I312" i="35"/>
  <c r="K312" i="35" s="1"/>
  <c r="I314" i="35"/>
  <c r="K314" i="35" s="1"/>
  <c r="I290" i="35"/>
  <c r="K290" i="35" s="1"/>
  <c r="I301" i="35"/>
  <c r="K301" i="35" s="1"/>
  <c r="I315" i="35"/>
  <c r="K315" i="35" s="1"/>
  <c r="I305" i="35"/>
  <c r="K305" i="35" s="1"/>
  <c r="I313" i="35"/>
  <c r="K313" i="35" s="1"/>
  <c r="I319" i="35"/>
  <c r="K319" i="35" s="1"/>
  <c r="I291" i="35"/>
  <c r="K291" i="35" s="1"/>
  <c r="I292" i="35"/>
  <c r="K292" i="35" s="1"/>
  <c r="I293" i="35"/>
  <c r="K293" i="35" s="1"/>
  <c r="I294" i="35"/>
  <c r="K294" i="35" s="1"/>
  <c r="I295" i="35"/>
  <c r="K295" i="35" s="1"/>
  <c r="I302" i="35"/>
  <c r="K302" i="35" s="1"/>
  <c r="I306" i="35"/>
  <c r="K306" i="35" s="1"/>
  <c r="I307" i="35"/>
  <c r="K307" i="35" s="1"/>
  <c r="I310" i="35"/>
  <c r="K310" i="35" s="1"/>
  <c r="I316" i="35"/>
  <c r="K316" i="35" s="1"/>
  <c r="I300" i="35"/>
  <c r="K300" i="35" s="1"/>
  <c r="F297" i="35"/>
  <c r="H297" i="35" s="1"/>
  <c r="F298" i="35"/>
  <c r="H298" i="35" s="1"/>
  <c r="F312" i="35"/>
  <c r="H312" i="35" s="1"/>
  <c r="F305" i="35"/>
  <c r="H305" i="35" s="1"/>
  <c r="F314" i="35"/>
  <c r="H314" i="35" s="1"/>
  <c r="F319" i="35"/>
  <c r="H319" i="35" s="1"/>
  <c r="F316" i="35"/>
  <c r="H316" i="35" s="1"/>
  <c r="F299" i="35"/>
  <c r="H299" i="35" s="1"/>
  <c r="F313" i="35"/>
  <c r="H313" i="35" s="1"/>
  <c r="F315" i="35"/>
  <c r="H315" i="35" s="1"/>
  <c r="F290" i="35"/>
  <c r="H290" i="35" s="1"/>
  <c r="F306" i="35"/>
  <c r="H306" i="35" s="1"/>
  <c r="E306" i="35" s="1"/>
  <c r="F292" i="35"/>
  <c r="H292" i="35" s="1"/>
  <c r="F293" i="35"/>
  <c r="H293" i="35" s="1"/>
  <c r="F295" i="35"/>
  <c r="H295" i="35" s="1"/>
  <c r="F300" i="35"/>
  <c r="H300" i="35" s="1"/>
  <c r="F301" i="35"/>
  <c r="H301" i="35" s="1"/>
  <c r="E301" i="35" s="1"/>
  <c r="F291" i="35"/>
  <c r="H291" i="35" s="1"/>
  <c r="F302" i="35"/>
  <c r="H302" i="35" s="1"/>
  <c r="E302" i="35" s="1"/>
  <c r="F303" i="35"/>
  <c r="H303" i="35" s="1"/>
  <c r="E303" i="35" s="1"/>
  <c r="F307" i="35"/>
  <c r="H307" i="35" s="1"/>
  <c r="E307" i="35" s="1"/>
  <c r="F310" i="35"/>
  <c r="H310" i="35" s="1"/>
  <c r="E310" i="35" s="1"/>
  <c r="F304" i="35"/>
  <c r="H304" i="35" s="1"/>
  <c r="F294" i="35"/>
  <c r="H294" i="35" s="1"/>
  <c r="B287" i="35"/>
  <c r="E24" i="21"/>
  <c r="F24" i="21" s="1"/>
  <c r="E253" i="21"/>
  <c r="F253" i="21" s="1"/>
  <c r="E25" i="21"/>
  <c r="F25" i="21" s="1"/>
  <c r="K87" i="21"/>
  <c r="D94" i="21" s="1"/>
  <c r="J87" i="21"/>
  <c r="J141" i="21"/>
  <c r="K141" i="21"/>
  <c r="D220" i="22"/>
  <c r="D30" i="22"/>
  <c r="D33" i="21"/>
  <c r="D32" i="21"/>
  <c r="K6" i="30"/>
  <c r="E314" i="35" l="1"/>
  <c r="D384" i="21"/>
  <c r="J373" i="21"/>
  <c r="K373" i="21"/>
  <c r="E300" i="35"/>
  <c r="E316" i="35"/>
  <c r="E315" i="35"/>
  <c r="M283" i="35" s="1"/>
  <c r="E293" i="35"/>
  <c r="O283" i="35" s="1"/>
  <c r="E304" i="35"/>
  <c r="E295" i="35"/>
  <c r="E298" i="35"/>
  <c r="J94" i="21"/>
  <c r="E94" i="21" s="1"/>
  <c r="F94" i="21" s="1"/>
  <c r="K94" i="21"/>
  <c r="E313" i="35"/>
  <c r="E297" i="35"/>
  <c r="E291" i="35"/>
  <c r="E305" i="35"/>
  <c r="E312" i="35"/>
  <c r="E294" i="35"/>
  <c r="E299" i="35"/>
  <c r="E319" i="35"/>
  <c r="E292" i="35"/>
  <c r="E290" i="35"/>
  <c r="P281" i="35" s="1"/>
  <c r="P282" i="35" s="1"/>
  <c r="E141" i="21"/>
  <c r="F141" i="21" s="1"/>
  <c r="E87" i="21"/>
  <c r="F87" i="21" s="1"/>
  <c r="J32" i="21"/>
  <c r="K32" i="21"/>
  <c r="K33" i="21"/>
  <c r="J33" i="21"/>
  <c r="K30" i="22"/>
  <c r="K5" i="22" s="1"/>
  <c r="J30" i="22"/>
  <c r="K4" i="22" s="1"/>
  <c r="K6" i="22" s="1"/>
  <c r="J220" i="22"/>
  <c r="K220" i="22"/>
  <c r="E373" i="21" l="1"/>
  <c r="F373" i="21" s="1"/>
  <c r="E33" i="21"/>
  <c r="F33" i="21" s="1"/>
  <c r="K384" i="21"/>
  <c r="J384" i="21"/>
  <c r="E30" i="22"/>
  <c r="F30" i="22" s="1"/>
  <c r="E220" i="22"/>
  <c r="F220" i="22" s="1"/>
  <c r="E32" i="21"/>
  <c r="F32" i="21" s="1"/>
  <c r="K4" i="21"/>
  <c r="K5" i="21"/>
  <c r="E384" i="21" l="1"/>
  <c r="F384" i="21" s="1"/>
  <c r="K6" i="21"/>
</calcChain>
</file>

<file path=xl/sharedStrings.xml><?xml version="1.0" encoding="utf-8"?>
<sst xmlns="http://schemas.openxmlformats.org/spreadsheetml/2006/main" count="9501" uniqueCount="590">
  <si>
    <t>Unité</t>
  </si>
  <si>
    <t>ml</t>
  </si>
  <si>
    <t>SOLUTION DE BASE</t>
  </si>
  <si>
    <t>2.1</t>
  </si>
  <si>
    <t>2.2</t>
  </si>
  <si>
    <t>2.3</t>
  </si>
  <si>
    <t>PREAMBULE COMMUN A TOUS LES LOTS</t>
  </si>
  <si>
    <t>L'entrepreneur du présent lot devra, dans son offre, respecter les caractéristiques acoustiques et thermiques, les classements au feu des matériaux, la composition et les caractéristiques techniques des matériaux, la finition et la mise en œuvre énoncées dans le descriptif et conformément au DTU, Nomres Française et Européennes et aux règles de l'Art en vigueur des différents ouvrages et ce pendant toute la durée du chantier.</t>
  </si>
  <si>
    <t>Toutes les marques et références préconisées pourront être éventuellement remplacées par des marques et références équivalentes mais de caractéristiques techniques et d'aspect équivalent à l'agrément du Maître d'œuvre et du Maître de l'Ouvrage et sous la propre responsabilité de l'Entreprise.</t>
  </si>
  <si>
    <t xml:space="preserve">L'entrepreneur du présent lot devra soumettre des échantillons de tous les matériaux, finitions et produits entrant dans la conception de son ouvrage et ce à la demande du Maître d'œuvre et du Maître de l'Ouvrage. Ces échantillons serviront de base pour le niveau de qualité et d'esthétique des ouvrages réalisés.
De plus, il sera demandé à l'entrepreneur, et ce à la demande du Maître d'œuvre et du Maître de l'Ouvrage, et en coordination avec les entreprises titulaires des autres corps d'états, tous les ouvrages témoins demandés.
Les ouvrages témoins seront des ouvrages comportant toutes les prestations des lots de second œuvre et des lots techniques de façon à présenter un ouvrage complet en ordre de fonctionnement.
 </t>
  </si>
  <si>
    <t>L'Entrepreneur du présent lot devra répondre selon le cadre de DPGF fourni par la Maîtrise d'œuvre.</t>
  </si>
  <si>
    <t>L'entrepreneur du présent lot doit établir et joindre à sa proposition un mémoire technique de toutes les imprécisions, omissions ou contradictions éventuellement relevées dans les documents de consultation et mentionner dans ce mémoire toutes les dispositions qu’elle suggère pour y remédier. Toutes ces imprécisions, omissions ou contradictions devront être prévue dans son offre de prix. En cas de contradiction la solution la plus chère sera retenue et chiffrée par l'entrepreneur.</t>
  </si>
  <si>
    <t>ENS</t>
  </si>
  <si>
    <t>U</t>
  </si>
  <si>
    <t>– barrette de mesure</t>
  </si>
  <si>
    <r>
      <t>– prise de terre en câble 25 Cu mm</t>
    </r>
    <r>
      <rPr>
        <vertAlign val="superscript"/>
        <sz val="10"/>
        <rFont val="Arial"/>
        <family val="2"/>
      </rPr>
      <t>2</t>
    </r>
  </si>
  <si>
    <t>– liaison équipotentielle principale</t>
  </si>
  <si>
    <t>- câblage 3G 1,5mm²</t>
  </si>
  <si>
    <t>- câblage 3G 2,5mm²</t>
  </si>
  <si>
    <t xml:space="preserve">- essais, raccordement </t>
  </si>
  <si>
    <r>
      <t>– liaisons en câble R02V 2x1,5mm</t>
    </r>
    <r>
      <rPr>
        <vertAlign val="superscript"/>
        <sz val="10"/>
        <rFont val="Arial"/>
        <family val="2"/>
      </rPr>
      <t>2</t>
    </r>
    <r>
      <rPr>
        <sz val="10"/>
        <rFont val="Arial"/>
        <family val="2"/>
      </rPr>
      <t xml:space="preserve"> sous fourreau y compris raccordements</t>
    </r>
  </si>
  <si>
    <t>- ensemble portier vidéophone comprenant :</t>
  </si>
  <si>
    <t>- combiné Vidéophone intérieur conforme aux normes handicapés</t>
  </si>
  <si>
    <t xml:space="preserve">- câblage et raccordement </t>
  </si>
  <si>
    <t>- essais et mise en marche</t>
  </si>
  <si>
    <t>Alarme technique</t>
  </si>
  <si>
    <t>Téléphone</t>
  </si>
  <si>
    <t>Télévision</t>
  </si>
  <si>
    <t>2.4</t>
  </si>
  <si>
    <t>Circuit de terre-Liaison équipotentielle</t>
  </si>
  <si>
    <t>– colonne de terre en gaine SG</t>
  </si>
  <si>
    <t>– liaison équipotentielle secondaire dans chaque logement</t>
  </si>
  <si>
    <t>- Attente ampli TV</t>
  </si>
  <si>
    <t>PM</t>
  </si>
  <si>
    <t>Alimentations diverses des communs</t>
  </si>
  <si>
    <t>Eclairage normal des communs</t>
  </si>
  <si>
    <t>- télécommande blocs de sécurité</t>
  </si>
  <si>
    <t>- Câblage 5G1,5mm2 y compris raccordement</t>
  </si>
  <si>
    <t>- crosse en toiture</t>
  </si>
  <si>
    <t>- colonne verticale</t>
  </si>
  <si>
    <t>- liaison TV colonne /logement sous fourreaux</t>
  </si>
  <si>
    <t>- attestation COSAEL et dossier technique</t>
  </si>
  <si>
    <t>- colonne vidéophnie  verticale</t>
  </si>
  <si>
    <t>- réglette multipaires</t>
  </si>
  <si>
    <t>-  relations avec FRANCE TELECOM</t>
  </si>
  <si>
    <t>- liaison IP colonne/logement</t>
  </si>
  <si>
    <t>- Décodeur</t>
  </si>
  <si>
    <t>- badges de proximité</t>
  </si>
  <si>
    <t>- plans d'exécution</t>
  </si>
  <si>
    <t>- dossier DOE</t>
  </si>
  <si>
    <t>Tableau des logements</t>
  </si>
  <si>
    <t>Equipements des logements</t>
  </si>
  <si>
    <t>- Interrupteur simple allumage</t>
  </si>
  <si>
    <t>- Interrupteur double allumage</t>
  </si>
  <si>
    <t>- Prise de courant 2P+T10/16A</t>
  </si>
  <si>
    <t>- Prise de courant 2P+T10/16A handicapée</t>
  </si>
  <si>
    <t>- Etiquetage</t>
  </si>
  <si>
    <t xml:space="preserve">- câblage en câble coaxial 75 ohms sous fourreau ICTA diam. 16 entre GTL et prises </t>
  </si>
  <si>
    <t>Divers</t>
  </si>
  <si>
    <t>EQUIPEMENTS DES LOGEMENTS</t>
  </si>
  <si>
    <t>Téléphone / Fibre optique</t>
  </si>
  <si>
    <t>EQUIPEMENTS DES COMMUNS</t>
  </si>
  <si>
    <t>- Bloc autonome type evacuation  SATI 45lm Ip66 IK 10</t>
  </si>
  <si>
    <t>Fibre optique</t>
  </si>
  <si>
    <t xml:space="preserve">- tableau de commande éclairage </t>
  </si>
  <si>
    <t>- installations de chantier</t>
  </si>
  <si>
    <t>- liaisons en câble 8/10 1paire sous fourreau y compris raccordements</t>
  </si>
  <si>
    <t>- Bloc autonome type habitation  SATI 8lm 5h</t>
  </si>
  <si>
    <t>-alimentation ventouse+ ventoiuse</t>
  </si>
  <si>
    <t xml:space="preserve">Equipement des locaux communs </t>
  </si>
  <si>
    <t>- luminaire type 8</t>
  </si>
  <si>
    <t>- luminaire type 11</t>
  </si>
  <si>
    <t xml:space="preserve">- Interrupteur va et vient </t>
  </si>
  <si>
    <t>Tableau Général Basse Tension</t>
  </si>
  <si>
    <t>- Accessoires, câblage complémentaire, raccordements, essais, etc…</t>
  </si>
  <si>
    <t>2.5</t>
  </si>
  <si>
    <t>2.6</t>
  </si>
  <si>
    <t>2.7</t>
  </si>
  <si>
    <t>2.8</t>
  </si>
  <si>
    <t>2.9</t>
  </si>
  <si>
    <t>– Chemin de câble largeur 500mm</t>
  </si>
  <si>
    <t>– Chemin de câble largeur 300mm</t>
  </si>
  <si>
    <t>– Chemin de câble largeur 200mm</t>
  </si>
  <si>
    <t>– fourreaux enterrés en dalle ou cloison</t>
  </si>
  <si>
    <t>2.13</t>
  </si>
  <si>
    <t>2.14</t>
  </si>
  <si>
    <t>2.15</t>
  </si>
  <si>
    <t xml:space="preserve">Eclairage de sécurité </t>
  </si>
  <si>
    <t>- Bloc portatif</t>
  </si>
  <si>
    <t>2.16</t>
  </si>
  <si>
    <t>- Colonne montante FT câble 298 mutli-paires</t>
  </si>
  <si>
    <t>2.17</t>
  </si>
  <si>
    <t>Précâblage téléphone/informatique</t>
  </si>
  <si>
    <t>- Coffret VDI 12U 600*600*19", conforme au CCTP</t>
  </si>
  <si>
    <t>- Prise RJ 45 informatique</t>
  </si>
  <si>
    <t>- Prise RJ 45 téléphone</t>
  </si>
  <si>
    <t>- câblage catégorie 6</t>
  </si>
  <si>
    <t>2.18</t>
  </si>
  <si>
    <t>- détecteur de présence encastré circulations logements</t>
  </si>
  <si>
    <t>- luminaire type 7</t>
  </si>
  <si>
    <t>- luminaire type 6</t>
  </si>
  <si>
    <t>- Attente éclairage vasque salle de bain</t>
  </si>
  <si>
    <t>Télévision Prise (TV/FM)</t>
  </si>
  <si>
    <t>Sous total 2.1</t>
  </si>
  <si>
    <t>ART.
CCTP</t>
  </si>
  <si>
    <t>DESIGNATION</t>
  </si>
  <si>
    <t>Sous total 2.2</t>
  </si>
  <si>
    <t>Sous total 2.3</t>
  </si>
  <si>
    <t>Sous total 2.4</t>
  </si>
  <si>
    <t>Sous total 2.5</t>
  </si>
  <si>
    <t>Sous total 2.6</t>
  </si>
  <si>
    <t>Sous total 2.7</t>
  </si>
  <si>
    <t>Sous total 2.8</t>
  </si>
  <si>
    <t>Sous total 2.9</t>
  </si>
  <si>
    <t>Sous total 2.13</t>
  </si>
  <si>
    <t>Sous total 2.14</t>
  </si>
  <si>
    <t>Sous total 2.15</t>
  </si>
  <si>
    <t>Sous total 2.16</t>
  </si>
  <si>
    <t>Sous total 2.17</t>
  </si>
  <si>
    <t>Sous total 2.18</t>
  </si>
  <si>
    <t>Sous total 2.10</t>
  </si>
  <si>
    <t>TOTAL GENERAL HT - EQUIPEMENTS DES LOGEMENTS</t>
  </si>
  <si>
    <t>Alimentation électrique depuis le réseau EDF</t>
  </si>
  <si>
    <t>- raccordement, équipements annexes et mise en service</t>
  </si>
  <si>
    <t>- relation avec service EDF / consuel</t>
  </si>
  <si>
    <r>
      <t>– liaison en câble 1x16mm</t>
    </r>
    <r>
      <rPr>
        <vertAlign val="superscript"/>
        <sz val="10"/>
        <rFont val="Arial"/>
        <family val="2"/>
      </rPr>
      <t>2</t>
    </r>
    <r>
      <rPr>
        <sz val="10"/>
        <rFont val="Arial"/>
        <family val="2"/>
      </rPr>
      <t xml:space="preserve"> sous fourreau ICTA diam. 16 entre la colonne et chaque logement</t>
    </r>
  </si>
  <si>
    <t xml:space="preserve">- Attente cuisson </t>
  </si>
  <si>
    <t>Cadre de décomposition du prix global et forfaitaire</t>
  </si>
  <si>
    <t>P.U.</t>
  </si>
  <si>
    <t>Total HT</t>
  </si>
  <si>
    <t xml:space="preserve">TOTAL GENERAL HT - EQUIPEMENTS DES COMMUNS  </t>
  </si>
  <si>
    <t xml:space="preserve">TVA 20 %  </t>
  </si>
  <si>
    <t xml:space="preserve">Commande de désenfumage des circulations </t>
  </si>
  <si>
    <t>- ampli, préampli et station de traitement</t>
  </si>
  <si>
    <t>- ampli TV si besoin</t>
  </si>
  <si>
    <t>- bouton sonore et visuel de décondamnation</t>
  </si>
  <si>
    <t xml:space="preserve">- Fourniture des coffrets de coupure sur socle avec embase de téléreport et boîtier de connexion </t>
  </si>
  <si>
    <t>- Pose des coffrets de coupure sur socle avec embase de téléreport à la charge du lot G.O.</t>
  </si>
  <si>
    <t>ML</t>
  </si>
  <si>
    <t>- Liaison appartement en câble HO7 2x10mm²</t>
  </si>
  <si>
    <t>- Liaison appartement en câble HO7 2x16mm²</t>
  </si>
  <si>
    <t>- Liaison appartement en câble HO7 2x25mm²</t>
  </si>
  <si>
    <t>- Liaison appartement en câble HO7 2x35mm²</t>
  </si>
  <si>
    <t>– PC 2P+T 10/16A réseau normal en gaine palière suivant plans</t>
  </si>
  <si>
    <t>– embase de téléreport</t>
  </si>
  <si>
    <t>- Boitier de connexion 4 directions</t>
  </si>
  <si>
    <t>- Boitier de connexion 8 directions</t>
  </si>
  <si>
    <t>– câble ST/34443 2 paires entre embase et la 1ère barrette de connexion en gaine technique ERDF</t>
  </si>
  <si>
    <t>– câble ST/34443 2 paires entre les barrettes de connexion en gaine technique ERDF</t>
  </si>
  <si>
    <t>– tube IRL DN 20 en gaine technique</t>
  </si>
  <si>
    <t>– fourreau ICTA  DN 20 depuis la gaine  ERDF jusqu'aux logements</t>
  </si>
  <si>
    <t>2.1.5</t>
  </si>
  <si>
    <t>2.1.4</t>
  </si>
  <si>
    <t>Q</t>
  </si>
  <si>
    <r>
      <rPr>
        <b/>
        <u/>
        <sz val="10"/>
        <color indexed="10"/>
        <rFont val="Arial"/>
        <family val="2"/>
      </rPr>
      <t>NOTA</t>
    </r>
    <r>
      <rPr>
        <b/>
        <sz val="10"/>
        <color indexed="10"/>
        <rFont val="Arial"/>
        <family val="2"/>
      </rPr>
      <t xml:space="preserve"> : Unités, quantités, prix unitaires, prix totaux, etc... : à compléter par l'Entreprise</t>
    </r>
  </si>
  <si>
    <t>2.1.2</t>
  </si>
  <si>
    <t>2.1.3</t>
  </si>
  <si>
    <t>Distribution principale</t>
  </si>
  <si>
    <t>* Courants forts</t>
  </si>
  <si>
    <t>* Courants faibles</t>
  </si>
  <si>
    <t>– Chemin de câble en gaine palière verticale</t>
  </si>
  <si>
    <t>- Attente éclairage évier cuisine</t>
  </si>
  <si>
    <t>- Interrupteur simple allumageà voyant</t>
  </si>
  <si>
    <t>Appartement de type T2</t>
  </si>
  <si>
    <t>Sous total HT pour un T2</t>
  </si>
  <si>
    <t>Nombre d'appartement T2 sur l'opération</t>
  </si>
  <si>
    <t>- Ampli TV en GTL y compris alimentation</t>
  </si>
  <si>
    <t>- DAAF suivant CCTP</t>
  </si>
  <si>
    <t>- liaisons en câble CR1 sous fourreau y compris raccordements (asservissements porte de recoupement)</t>
  </si>
  <si>
    <t>- liaisons en câble CR1 sous fourreau y compris raccordements (asservissements Vb/Vh)</t>
  </si>
  <si>
    <t>2.10</t>
  </si>
  <si>
    <t>- Coffret de Sous Répartition d'Immeuble paires</t>
  </si>
  <si>
    <t>- Fourreaux en attente fibre optique coin séjour y compris plaque d'obturation en attente</t>
  </si>
  <si>
    <t>Sous total 2.11</t>
  </si>
  <si>
    <t>– chemin de câble vertical</t>
  </si>
  <si>
    <t>– points de mutualisation (PM)</t>
  </si>
  <si>
    <t>– rocade optique</t>
  </si>
  <si>
    <t>– points de branchement optique (PBO)</t>
  </si>
  <si>
    <t>– câble optique type G657 4 fibres entre les points de branchement optique en gaine technique et le tableau de communication (TC) des logements sous fourreau ICTA.</t>
  </si>
  <si>
    <t>– recette technique et mises en services</t>
  </si>
  <si>
    <t>– réservations y compris rebouchages</t>
  </si>
  <si>
    <t>– fourreaux PVC TLST diam. 45 minimum à l'intérieur du bâtiment</t>
  </si>
  <si>
    <t>– réglette de distibution en gaine technique</t>
  </si>
  <si>
    <t>– fourreaux ICTA diam, 40mm minimum entre chaque niveau en gaine palière suivant CCTP</t>
  </si>
  <si>
    <t>– réglette dans le bureau y compris liaisons depuis la gaine technique palière</t>
  </si>
  <si>
    <t>– câble optique type G657 4 fibres entre les points de branchement optique en gaine technique et le bureau sous fourreau ICTA.</t>
  </si>
  <si>
    <t>- 2 fourreaux ICTA DN25 aiguillé entre le tableau de communication des logement et les gaines palières</t>
  </si>
  <si>
    <t>- 2 fourreaux ICTA DN25 aiguillé entre le bureau et les gaines palières</t>
  </si>
  <si>
    <t>– 1 fourreaux ICTA diam. 25mm aiguillé et repéré entre le tableau ce communication de chaque logement et le coin TV su séjour y compris plaque d'obturation en attente.</t>
  </si>
  <si>
    <t>- dossier recette</t>
  </si>
  <si>
    <t>2.12</t>
  </si>
  <si>
    <t>Sous total 2.12</t>
  </si>
  <si>
    <t xml:space="preserve"> Portier d'immeuble -vidéophone</t>
  </si>
  <si>
    <t>* platine de rue suivant CCTP, alimentation centrale</t>
  </si>
  <si>
    <t>* centrale de contrôle d'accès VIGIK</t>
  </si>
  <si>
    <t>* ventouse</t>
  </si>
  <si>
    <t>* BP sonore et visuel décondamnation</t>
  </si>
  <si>
    <t>-report sur le téléphone du gestionnaire</t>
  </si>
  <si>
    <t>- Lecteur de badges VIGIK déportés</t>
  </si>
  <si>
    <t>- Interrupteur simple allumage étanche lumineux</t>
  </si>
  <si>
    <t>- Bouton poussoir variateur</t>
  </si>
  <si>
    <t>- détecteur de présence + luminosité</t>
  </si>
  <si>
    <t>- détecteur de présence saillie étanche</t>
  </si>
  <si>
    <t>- détecteur de présence saillie</t>
  </si>
  <si>
    <t>- interrupteur crépusculaire + horloge astronomique</t>
  </si>
  <si>
    <t>- PC 2P+T 10/16A réseau service +câblage</t>
  </si>
  <si>
    <t>- PC 2P+T 10/16A réseau normal +câblage</t>
  </si>
  <si>
    <t>- PC 2P+T 10/16A étanche +câblage</t>
  </si>
  <si>
    <t>- PC 3P+N+T 32A étanche laverie +câblage</t>
  </si>
  <si>
    <t>- Alttente plaque cuisson salle d'étude</t>
  </si>
  <si>
    <t>- luminaire type 12</t>
  </si>
  <si>
    <t>Installations de chantier</t>
  </si>
  <si>
    <t xml:space="preserve">TOTAL GENERAL TTC - EQUIPEMENTS DES COMMUNS  </t>
  </si>
  <si>
    <t>– câble ST/34443 2 paires entre les barrettes de connexion en gaine technique ERDF et les compteurs des logements, du TJ des SG et du TB du parking</t>
  </si>
  <si>
    <t>- disjoncteur de branchement avec relais différentielle réglable et temporisé en TGBT des parkings</t>
  </si>
  <si>
    <t>- liaison en câble R2V entre le comptage et le disjoncteur général des parkings</t>
  </si>
  <si>
    <t>- disjoncteur de branchement avec relais différentielle réglable et temporisé en TGBT des SG bâtiment G2</t>
  </si>
  <si>
    <t>- liaison en câble R2V entre le comptage et le disjoncteur général des SG G2</t>
  </si>
  <si>
    <t>- pose et raccordement des panneaux de comptage tarif bleu EDF et des disjoncteurs de brabchement à l'interieur des commerces</t>
  </si>
  <si>
    <t>- pose et raccordement des panneaux de comptage tarif bleu EDF et des disjoncteurs de brabchement à l'interieur des logements</t>
  </si>
  <si>
    <t>– Chemin de câble isolant spécifique EDF</t>
  </si>
  <si>
    <t>- TGBT des services généraux du G1 y compris toutes sujétions</t>
  </si>
  <si>
    <t>- TGBT des services généraux du G2 y compris toutes sujétions</t>
  </si>
  <si>
    <t>- TGBT des services généraux du SOHO y compris toutes sujétions</t>
  </si>
  <si>
    <t>- TGBT des services généraux du parking y compris toutes sujétions</t>
  </si>
  <si>
    <t>- TD local commercial du G1 y compris toutes sujétions</t>
  </si>
  <si>
    <t>- TD local commercial du G2 y compris toutes sujétions</t>
  </si>
  <si>
    <t>-Tableau électrique T1</t>
  </si>
  <si>
    <t>-Tableau électrique T2</t>
  </si>
  <si>
    <t>-Tableau électrique T3</t>
  </si>
  <si>
    <t>-Tableau électrique T4</t>
  </si>
  <si>
    <t>-Tableau électrique T5</t>
  </si>
  <si>
    <t>Appartement de type T1</t>
  </si>
  <si>
    <t>Sous total HT pour un T1</t>
  </si>
  <si>
    <t>Nombre d'appartement T1 sur l'opération</t>
  </si>
  <si>
    <t>Appartement de type T3</t>
  </si>
  <si>
    <t>Sous total HT pour un T3</t>
  </si>
  <si>
    <t>Nombre d'appartement T3 sur l'opération</t>
  </si>
  <si>
    <t>Appartement de type T4</t>
  </si>
  <si>
    <t>Sous total HT pour un T4</t>
  </si>
  <si>
    <t>Nombre d'appartement T4 sur l'opération</t>
  </si>
  <si>
    <t>- Attente sous-station lumière+force bâtiment G1</t>
  </si>
  <si>
    <t>- Attente sous-station lumière+force bâtiment G2/SOHO</t>
  </si>
  <si>
    <t>- pose et raccordement du panneau de comptage tarif bleu EDF et du disjoncteur de brabchement des SG bâtiment G1</t>
  </si>
  <si>
    <t>- pose et raccordement des comptages EDF tarif jaune des parkings</t>
  </si>
  <si>
    <t>- pose et raccordement des comptages EDF tarif jaune des services généraux du bâtiment G2</t>
  </si>
  <si>
    <t>- pose et raccordement du panneau de comptage tarif bleu EDF et du disjoncteur de brabchement des SG bâtiment SOHO</t>
  </si>
  <si>
    <t>- liaison au TJ en câble agrée EDF sous fourreaux IK 10 à la charge du présent lot pour les parkings</t>
  </si>
  <si>
    <t>- liaison au TJ en câble agrée EDF sous fourreaux IK 10 à la charge du présent lot pour les SG G2</t>
  </si>
  <si>
    <t>- pose et raccordement des comptages EDF tarif jaune PV G1 (au lot photovoltaïque)</t>
  </si>
  <si>
    <t>- Chemins de câble isolant IK10 suivant CCTP IK10 pour téléreports</t>
  </si>
  <si>
    <t>– Distributeurs d'arrivée 200A (pieds de colonne)</t>
  </si>
  <si>
    <t>- Distributeurs de niveau 200A</t>
  </si>
  <si>
    <t>- pose et raccordement des comptages EDF tarif jaune</t>
  </si>
  <si>
    <t>PM - A charge du lot PV</t>
  </si>
  <si>
    <t>- Fourreaux IK10 non propagateur de la flamme pour téléreport</t>
  </si>
  <si>
    <t>- Fourreaux IK10 non propagateur de la flamme pour alimentation ERDF</t>
  </si>
  <si>
    <t>PM - prévus ci-dessus</t>
  </si>
  <si>
    <t>Coupure générale électricité des parkings</t>
  </si>
  <si>
    <t>- coupure générale éclairage parking suivant CCTP</t>
  </si>
  <si>
    <t>- Câblage, mise en service et essais</t>
  </si>
  <si>
    <t>2.7.2</t>
  </si>
  <si>
    <r>
      <rPr>
        <b/>
        <sz val="10"/>
        <rFont val="Arial"/>
        <family val="2"/>
      </rPr>
      <t>*</t>
    </r>
    <r>
      <rPr>
        <b/>
        <u/>
        <sz val="10"/>
        <rFont val="Arial"/>
        <family val="2"/>
      </rPr>
      <t xml:space="preserve"> Appareillages de finition blanche</t>
    </r>
  </si>
  <si>
    <r>
      <rPr>
        <b/>
        <sz val="10"/>
        <rFont val="Arial"/>
        <family val="2"/>
      </rPr>
      <t>*</t>
    </r>
    <r>
      <rPr>
        <b/>
        <u/>
        <sz val="10"/>
        <rFont val="Arial"/>
        <family val="2"/>
      </rPr>
      <t xml:space="preserve"> Appareillages de finition noire</t>
    </r>
  </si>
  <si>
    <t>- Boitier et douille DCL, compris fiche 2P+T</t>
  </si>
  <si>
    <t>- Ampoule fluocompacte 15W, E27</t>
  </si>
  <si>
    <t>- Attente protections solaires</t>
  </si>
  <si>
    <t>-Tableau électrique T5 duplex (sur G1)</t>
  </si>
  <si>
    <t>- Prise de courant 2P+T10/16A Lave-Linge</t>
  </si>
  <si>
    <t>- Interrupteur simple allumage à voyant</t>
  </si>
  <si>
    <t xml:space="preserve">Sous total 2.7.2 Appartement T1 </t>
  </si>
  <si>
    <t>- Prise de courant 2P+T10/16A Lave-Vaisselle</t>
  </si>
  <si>
    <t>- Prise de courant 2P+T20A four</t>
  </si>
  <si>
    <t>Sous total 2.7.2 Appartement T3</t>
  </si>
  <si>
    <t>Sous total 2.7.2 Appartement T2</t>
  </si>
  <si>
    <t>- Bouton poussoir</t>
  </si>
  <si>
    <t>- Attente VMC y compris interrupteur cuisine</t>
  </si>
  <si>
    <t>- Attente VMC SdB et WC</t>
  </si>
  <si>
    <t>Sous total 2.7.2 Appartement T4</t>
  </si>
  <si>
    <t>Appartement de type T5</t>
  </si>
  <si>
    <t>Sous total HT pour un T5</t>
  </si>
  <si>
    <t>Nombre d'appartement T5 sur l'opération</t>
  </si>
  <si>
    <t>Sous total 2.7.2 Appartement T5</t>
  </si>
  <si>
    <t>- Attente groupe VMC  en CR1 depuis le TGBT G1</t>
  </si>
  <si>
    <t>- Attente groupe VMC  en CR1 depuis le TGBT G2</t>
  </si>
  <si>
    <t>- Attente extracteurs de désenfumage parkings</t>
  </si>
  <si>
    <t>- Attente surpresseurs pour G1</t>
  </si>
  <si>
    <t>- Attente surpresseurs pour G2</t>
  </si>
  <si>
    <t>- Attente PAC ERS pour G1</t>
  </si>
  <si>
    <t>- Attente PAC ERS pour G2</t>
  </si>
  <si>
    <t>- Attente alarmes techniques pour G1</t>
  </si>
  <si>
    <t>- Attente alarmes techniques pour G2</t>
  </si>
  <si>
    <t>- Attente alarmes techniques pour les parkings</t>
  </si>
  <si>
    <t>- Attente tableau désenfuamge habiattion pour G1</t>
  </si>
  <si>
    <t>- Attente tableau désenfuamge habiattion pour G2</t>
  </si>
  <si>
    <t>- Attente extracteurs de désenfumage des circulations palières du bâtiment G1</t>
  </si>
  <si>
    <t>- Attente extracteurs de désenfumage des circulations palières du bâtiment G2</t>
  </si>
  <si>
    <t>- Attente ventilateur de surpression pour G2</t>
  </si>
  <si>
    <t>- Attente contrôle d'accès pour G1</t>
  </si>
  <si>
    <t>- Attente contrôle d'accès pour G2</t>
  </si>
  <si>
    <t>- Attentes portes motorisées accès parking</t>
  </si>
  <si>
    <t>- Attentes rideaux métalliques</t>
  </si>
  <si>
    <t>- Attente ascenseur pour G1</t>
  </si>
  <si>
    <t>- Attentes ascenseurs pour G2</t>
  </si>
  <si>
    <t>- Attente ascenseur pour SOHO</t>
  </si>
  <si>
    <t>– centrale d'alarme y compris transmetteur téléphonique suivant CCTP pout le bâtiment G1</t>
  </si>
  <si>
    <t>– centrale d'alarme y compris transmetteur téléphonique suivant CCTP pout le bâtiment G2</t>
  </si>
  <si>
    <t>– centrale d'alarme y compris transmetteur téléphonique suivant CCTP pout le bâtiment SOHO</t>
  </si>
  <si>
    <t>– centrale d'alarme y compris transmetteur téléphonique suivant CCTP pout les parkings</t>
  </si>
  <si>
    <t>- comptage d'énergie modulaire</t>
  </si>
  <si>
    <t>- Fourniture, pose et raccordement d'un indicateur des consommations électriques suivant CCTP par logt :</t>
  </si>
  <si>
    <t>- Transformateurs de courant (TI)</t>
  </si>
  <si>
    <t>2.6.3</t>
  </si>
  <si>
    <t>- tube métalique IK10</t>
  </si>
  <si>
    <t>- grille de protection</t>
  </si>
  <si>
    <t>- 2 fourreaux ICTA DN25 aiguillé entre le tableau de communication des logement, les bureaux et les gaines palières</t>
  </si>
  <si>
    <t>- Liaison en câble série 298 téléphone colonne /bureaux du SOHO y compris fourreaux</t>
  </si>
  <si>
    <t>- Liaison en câble série 298 téléphone colonne /logements y compris fourreaux</t>
  </si>
  <si>
    <t>- attentes ascenseurs</t>
  </si>
  <si>
    <t>- attentes alarmes techniques</t>
  </si>
  <si>
    <t>- attentes comptages BT TJ</t>
  </si>
  <si>
    <t>BÂTIMENT SOHO</t>
  </si>
  <si>
    <t xml:space="preserve">- Fourniture du coffret de coupure sur socle avec embase de téléreport et boîtier de connexion </t>
  </si>
  <si>
    <t>- Pose du coffret de coupure sur socle avec embase de téléreport à la charge du lot G.O.</t>
  </si>
  <si>
    <t>- pose et raccordement des panneaux de comptage tarif bleu EDF et des disjoncteurs de brabchement à l'interieur des logements et des bureaux</t>
  </si>
  <si>
    <t>– câble ST/34443 2 paires entre les barrettes de connexion en gaine technique ERDF et les compteurs des logements et bureaux</t>
  </si>
  <si>
    <t>– fourreau ICTA  DN 20 depuis la gaine  ERDF jusqu'aux logements et bureaux</t>
  </si>
  <si>
    <r>
      <t>– liaison en câble 1x16mm</t>
    </r>
    <r>
      <rPr>
        <vertAlign val="superscript"/>
        <sz val="10"/>
        <rFont val="Arial"/>
        <family val="2"/>
      </rPr>
      <t>2</t>
    </r>
    <r>
      <rPr>
        <sz val="10"/>
        <rFont val="Arial"/>
        <family val="2"/>
      </rPr>
      <t xml:space="preserve"> sous fourreau ICTA diam. 16 entre la colonne et chaque logement et bureaux</t>
    </r>
  </si>
  <si>
    <t>- Tableaux de désenfumage pour habitation</t>
  </si>
  <si>
    <t>- Alimentations Electrique de Sécurité</t>
  </si>
  <si>
    <t xml:space="preserve">- Interfaces d'étage </t>
  </si>
  <si>
    <t xml:space="preserve">- Commandes automatiques de désenfumage (DI) </t>
  </si>
  <si>
    <t>- Commandes manuelles de désenfumage</t>
  </si>
  <si>
    <t>– chemin de câble parking</t>
  </si>
  <si>
    <t>- relations avec FRANCE TELECOM</t>
  </si>
  <si>
    <t>- Prise RJ45 agrée FT</t>
  </si>
  <si>
    <t>– câble optique type G657 4 fibres entre les points de branchement optique en gaine technique palière et le tableau de communication (TC) des logements sous fourreau ICTA.</t>
  </si>
  <si>
    <t>– câble optique type G657 4 fibres entre les points de branchement optique en gaine technique palière et les bureaux sous fourreau ICTA.</t>
  </si>
  <si>
    <t>– câble optique type G657 4 fibres entre les points de branchement optique en gaine technique palière et les locaux d'activité sous fourreau ICTA.</t>
  </si>
  <si>
    <t>– fourreau ICTA 3422 en gaine palière pour la rocade fibre</t>
  </si>
  <si>
    <t>- prise TV/FM/SAT collective</t>
  </si>
  <si>
    <t>-télécommande et récepteur radio</t>
  </si>
  <si>
    <t>-alimentation des portes motorisées des hall</t>
  </si>
  <si>
    <t>BÂTIMENT G1/G2/PARKINGS</t>
  </si>
  <si>
    <t>- Interrupteur simple allumage étanche</t>
  </si>
  <si>
    <t>- Bouton poussoir étanche</t>
  </si>
  <si>
    <t>- détecteur de luminosité</t>
  </si>
  <si>
    <t>HORS LOT</t>
  </si>
  <si>
    <t>TOTAL GENERAL TTC - EQUIPEMENTS DES LOGEMENTS+</t>
  </si>
  <si>
    <t>3.1</t>
  </si>
  <si>
    <t>3.1.2</t>
  </si>
  <si>
    <t>- Liaison appartement et bureau en câble HO7 2x10mm²</t>
  </si>
  <si>
    <t>- Liaison appartement et bureau en câble HO7 2x16mm²</t>
  </si>
  <si>
    <t>- Liaison appartement et bureau en câble HO7 2x25mm²</t>
  </si>
  <si>
    <t>- Liaison appartement et bureau en câble HO7 2x35mm²</t>
  </si>
  <si>
    <t>3.1.3</t>
  </si>
  <si>
    <t>3.1.4</t>
  </si>
  <si>
    <t>3.1.5</t>
  </si>
  <si>
    <t>Sous total 3.1</t>
  </si>
  <si>
    <t>– colonne de terre en gaine technique</t>
  </si>
  <si>
    <t>3.2</t>
  </si>
  <si>
    <t>Sous total 3.2</t>
  </si>
  <si>
    <t>3.3</t>
  </si>
  <si>
    <t>– Goulotte 2 compartiments</t>
  </si>
  <si>
    <t>– fourreaux encastré en dalle ou cloison</t>
  </si>
  <si>
    <t>Sous total 3.3</t>
  </si>
  <si>
    <t>3.4</t>
  </si>
  <si>
    <t>Sous total 3.4</t>
  </si>
  <si>
    <t>-Tableau électrique bureau</t>
  </si>
  <si>
    <t>3.6</t>
  </si>
  <si>
    <t>3.5</t>
  </si>
  <si>
    <t>Sous total 3.5</t>
  </si>
  <si>
    <t>Sous total 3.6</t>
  </si>
  <si>
    <t>3.7</t>
  </si>
  <si>
    <t>3.7.2</t>
  </si>
  <si>
    <t xml:space="preserve">Sous total 3.7.2 Appartement T1 </t>
  </si>
  <si>
    <t>Sous total 3.7.2 Appartement T3</t>
  </si>
  <si>
    <t>Sous total 3.7</t>
  </si>
  <si>
    <t>3.8</t>
  </si>
  <si>
    <t>Tableau des bureaux</t>
  </si>
  <si>
    <t>Equipements des bureaux</t>
  </si>
  <si>
    <t>Sous total 3.8</t>
  </si>
  <si>
    <t>*Bâtiment G1 et G2</t>
  </si>
  <si>
    <t>*Bâtiment G1, G2 et Pking</t>
  </si>
  <si>
    <t>* bloc GSM gestion en temps réel</t>
  </si>
  <si>
    <t>2.11</t>
  </si>
  <si>
    <t>2.12.2</t>
  </si>
  <si>
    <t>2.12.3</t>
  </si>
  <si>
    <t>- Luminaire type 5</t>
  </si>
  <si>
    <t>Appartement de type T5 duplex</t>
  </si>
  <si>
    <t>Sous total 2.7.2 Appartement T5 duplex</t>
  </si>
  <si>
    <t>- Coffret de communication grade 2</t>
  </si>
  <si>
    <t>- Câblage grade 2</t>
  </si>
  <si>
    <t>– fourreaux PVC diam. 45mm rigide à l'intérieur du bâtiment suivant CCTP</t>
  </si>
  <si>
    <t>- Attentes ventilateur local eau grise G1</t>
  </si>
  <si>
    <t>- Attentes ventilateur local eau grise G2</t>
  </si>
  <si>
    <t>- Attente alarme technique</t>
  </si>
  <si>
    <t>- Attente groupe VMC  en CR1 depuis le TGBT</t>
  </si>
  <si>
    <t>- Attente contrôle d'accès</t>
  </si>
  <si>
    <t>- Attentes portes motorisées pour sas et hall</t>
  </si>
  <si>
    <t>- Attentes portes motorisées pour sas et hall du G1</t>
  </si>
  <si>
    <t>- Attentes portes motorisées pour sas et hall du G2</t>
  </si>
  <si>
    <t>- Attente CTA</t>
  </si>
  <si>
    <t>3.9</t>
  </si>
  <si>
    <t>Sous total 3.9</t>
  </si>
  <si>
    <t>3.10</t>
  </si>
  <si>
    <t>Sous total 3.10</t>
  </si>
  <si>
    <t>3.11</t>
  </si>
  <si>
    <t xml:space="preserve">- Bloc autonome type bi-fonction BEAS/BAEH SATI </t>
  </si>
  <si>
    <t>- Bloc autonome type evacuation  SATI 45lm</t>
  </si>
  <si>
    <t>Sous total 3.11</t>
  </si>
  <si>
    <t>3.12</t>
  </si>
  <si>
    <t>3.12.2</t>
  </si>
  <si>
    <t>3.12.3</t>
  </si>
  <si>
    <t>Sous total 3.13</t>
  </si>
  <si>
    <t>Sous total 3.12</t>
  </si>
  <si>
    <t>3.13</t>
  </si>
  <si>
    <t>3.14</t>
  </si>
  <si>
    <t>Sous total 3.14</t>
  </si>
  <si>
    <t>3.15</t>
  </si>
  <si>
    <t>-alimentation ventouse+ ventouse</t>
  </si>
  <si>
    <t>Sous total 3,.15</t>
  </si>
  <si>
    <t>3.16</t>
  </si>
  <si>
    <t>Sous total 3.16</t>
  </si>
  <si>
    <t>3.17</t>
  </si>
  <si>
    <t>Sous total 3.17</t>
  </si>
  <si>
    <t>Alarme incendie</t>
  </si>
  <si>
    <t>3.18</t>
  </si>
  <si>
    <t>Sous total 3.18</t>
  </si>
  <si>
    <t>3.19</t>
  </si>
  <si>
    <t>Sous total 3.19</t>
  </si>
  <si>
    <t>3.20</t>
  </si>
  <si>
    <t>Sous total 3.20</t>
  </si>
  <si>
    <t>- centrale type4 +transmetteur suivant prescription CCTP</t>
  </si>
  <si>
    <t>- bris de glace</t>
  </si>
  <si>
    <t xml:space="preserve">- diffuseur 2 tons </t>
  </si>
  <si>
    <t>- câblage BUS CR1</t>
  </si>
  <si>
    <t>- câblage SYT 9/10</t>
  </si>
  <si>
    <t>- dossier  DOE</t>
  </si>
  <si>
    <t>- essais</t>
  </si>
  <si>
    <t>- réception de l'installation</t>
  </si>
  <si>
    <t>- diffuseur sonore avec voyant lumineux (flash)</t>
  </si>
  <si>
    <t>- Luminaire type 5: Eclairage terrasse patio</t>
  </si>
  <si>
    <t>- Luminaire type 10 Eclairage terrsse/balcon G2</t>
  </si>
  <si>
    <t>- Luminaire type 9 Eclairage terrasse/balcon ext. G1</t>
  </si>
  <si>
    <t>- Luminaire type 9 Eclairage terrasse/balcon int. G1</t>
  </si>
  <si>
    <t>- Goulotte de distribution en cuisine bâtiment G1</t>
  </si>
  <si>
    <t>- Bouton poussoir sonnerie d'entrée</t>
  </si>
  <si>
    <t>- Prise de courant 2P+T10/16A service</t>
  </si>
  <si>
    <t>- Attente rideau métalique</t>
  </si>
  <si>
    <t>- Luminaire type 2</t>
  </si>
  <si>
    <t>- Luminaire type 3</t>
  </si>
  <si>
    <t>TOTAL GENERAL HT - EQUIPEMENTS DES BUREAUX</t>
  </si>
  <si>
    <t>TOTAL GENERAL TTC - EQUIPEMENTS DES BUREAUX</t>
  </si>
  <si>
    <t>- Fourreaux en dalle pour alimentation des PA1 en CFO et CFA</t>
  </si>
  <si>
    <t>Lot - Electricité</t>
  </si>
  <si>
    <t>Equipement des locaux communs et commerciaux</t>
  </si>
  <si>
    <t>Eclairage normal des communs et des locaux commerciaux</t>
  </si>
  <si>
    <r>
      <rPr>
        <b/>
        <sz val="10"/>
        <rFont val="Arial"/>
        <family val="2"/>
      </rPr>
      <t>*</t>
    </r>
    <r>
      <rPr>
        <b/>
        <u/>
        <sz val="10"/>
        <rFont val="Arial"/>
        <family val="2"/>
      </rPr>
      <t xml:space="preserve"> Appareillages de teinte grise pour G1</t>
    </r>
  </si>
  <si>
    <t>- sonnerie d'entrée de Siedle suivant CCTP</t>
  </si>
  <si>
    <t>- Câbles U1000R2V entre le poste DP et le 1er distributeur de chaque colonne montante du G2 y compris accessoires suivant CCTP</t>
  </si>
  <si>
    <t>– Distributeurs d'arrivée 400A (pieds de colonne)</t>
  </si>
  <si>
    <t>- Distributeurs de niveau 400A</t>
  </si>
  <si>
    <t>- Câbles U1000R2V entre le poste DP et le 1er distributeur de chaque colonne montante du SOHO y compris accessoires suivant CCTP</t>
  </si>
  <si>
    <t>- Chemins de câble isolant IK10 suivant CCTP entre le poste DP et le 1er distributeur de chaque colonne du SOHO</t>
  </si>
  <si>
    <t>- Câbles U1000R2V entre le poste DP et le 1er distributeur de chaque colonne montante du G1 y compris accessoires suivant CCTP</t>
  </si>
  <si>
    <t>- Chemins de câble isolant IK10 suivant CCTP entre le Poste DP et le 1er distributeur de chaque colonne du G1</t>
  </si>
  <si>
    <t>- Chemins de câble isolant IK10 suivant CCTP entre le Poste DP et le 1er distributeur de chaque colonne du G2</t>
  </si>
  <si>
    <t>- Chemins de câble isolant IK10 suivant CCTP entre le Poste DP et T.J. des S.G. G2</t>
  </si>
  <si>
    <t>- Chemins de câble isolant IK10 suivant CCTP entre le Poste DP et T.J. des parkings</t>
  </si>
  <si>
    <t>Tx Hor</t>
  </si>
  <si>
    <t>Coef fourn.</t>
  </si>
  <si>
    <t>C. MO</t>
  </si>
  <si>
    <t>Coéf FG</t>
  </si>
  <si>
    <t>Débours total HT (Mat)</t>
  </si>
  <si>
    <t>Nbre heures</t>
  </si>
  <si>
    <t>Débours total HT (Mat et MO)</t>
  </si>
  <si>
    <t>Prix d'achat suggéré maxi</t>
  </si>
  <si>
    <t>Achat/U  €</t>
  </si>
  <si>
    <t>MO/U</t>
  </si>
  <si>
    <t>Achat/TT  €</t>
  </si>
  <si>
    <t>MO/TT</t>
  </si>
  <si>
    <t>QTE TT</t>
  </si>
  <si>
    <t>Int</t>
  </si>
  <si>
    <t>Ext</t>
  </si>
  <si>
    <t>rexel</t>
  </si>
  <si>
    <t>Philips</t>
  </si>
  <si>
    <t>Intension</t>
  </si>
  <si>
    <t>Iguzzini</t>
  </si>
  <si>
    <t>rexel Maison Alfort</t>
  </si>
  <si>
    <t>Ridi</t>
  </si>
  <si>
    <t>Sammode</t>
  </si>
  <si>
    <t>0</t>
  </si>
  <si>
    <t>LOGEMENTS</t>
  </si>
  <si>
    <t>Colonne 1</t>
  </si>
  <si>
    <t>Colonne 2</t>
  </si>
  <si>
    <t>T1</t>
  </si>
  <si>
    <t>T2</t>
  </si>
  <si>
    <t>T3</t>
  </si>
  <si>
    <t>T4</t>
  </si>
  <si>
    <t>T5</t>
  </si>
  <si>
    <t>TT</t>
  </si>
  <si>
    <t>G1</t>
  </si>
  <si>
    <t>R + 11</t>
  </si>
  <si>
    <t>R + 1</t>
  </si>
  <si>
    <t>R + 2</t>
  </si>
  <si>
    <t>R + 3</t>
  </si>
  <si>
    <t>R + 4</t>
  </si>
  <si>
    <t>R + 5</t>
  </si>
  <si>
    <t>R + 6</t>
  </si>
  <si>
    <t>R + 7</t>
  </si>
  <si>
    <t>R + 8</t>
  </si>
  <si>
    <t>R + 9</t>
  </si>
  <si>
    <t>R + 10</t>
  </si>
  <si>
    <t>TT G</t>
  </si>
  <si>
    <t>TT COLONNE</t>
  </si>
  <si>
    <t>TT BAT</t>
  </si>
  <si>
    <t>G2</t>
  </si>
  <si>
    <t>LOGT</t>
  </si>
  <si>
    <t>SOHO</t>
  </si>
  <si>
    <t>Bureaux</t>
  </si>
  <si>
    <t>RDC</t>
  </si>
  <si>
    <t>Resistex</t>
  </si>
  <si>
    <t>MAJ</t>
  </si>
  <si>
    <t>6 KVA</t>
  </si>
  <si>
    <t>9 KVA</t>
  </si>
  <si>
    <t>Leg 38024</t>
  </si>
  <si>
    <t>Hors lot CCTP 1.6</t>
  </si>
  <si>
    <t>Ventouses Hors lot CCTP 2.16.1.17</t>
  </si>
  <si>
    <t>Niepce</t>
  </si>
  <si>
    <t>Appartement</t>
  </si>
  <si>
    <t>T5 D</t>
  </si>
  <si>
    <t>QT U</t>
  </si>
  <si>
    <t>QT TT</t>
  </si>
  <si>
    <t>QT TT G</t>
  </si>
  <si>
    <t>QT PLANS</t>
  </si>
  <si>
    <t xml:space="preserve"> - Bouton poussoir sonnerie d'entrée T1</t>
  </si>
  <si>
    <t>- DAAF suivant CCTP T3</t>
  </si>
  <si>
    <t>- Boitier et douille DCL, compris fiche 2P+T T3</t>
  </si>
  <si>
    <t>- Ampoule fluocompacte 15W, E27 T3</t>
  </si>
  <si>
    <t>- Ampli TV en GTL y compris alimentation T3</t>
  </si>
  <si>
    <t>- Attente cuisson T3</t>
  </si>
  <si>
    <t>- Prise de courant 2P+T10/16A Lave-Vaisselle T3</t>
  </si>
  <si>
    <t xml:space="preserve">Sous total HT </t>
  </si>
  <si>
    <t>Nombre bureaux sur l'opération</t>
  </si>
  <si>
    <t>- Bouton poussoir mise en marche forcée Bureaux</t>
  </si>
  <si>
    <t>- Poste de travail Bureaux</t>
  </si>
  <si>
    <t>- Goulotte Bureaux</t>
  </si>
  <si>
    <t>- Prise de courant double 2P+T20A au sol G2</t>
  </si>
  <si>
    <t>– Chemin de câble largeur 300mm recharge véhicules électriques</t>
  </si>
  <si>
    <t>- coupure générale chaufferie suivant CCTP</t>
  </si>
  <si>
    <t>BUREAUX</t>
  </si>
  <si>
    <t xml:space="preserve"> - Luminaire type 5</t>
  </si>
  <si>
    <t xml:space="preserve"> - Luminaire type 4 Bureaux SOHO</t>
  </si>
  <si>
    <t xml:space="preserve"> - Luminaire type 3 Bureaux SOHO</t>
  </si>
  <si>
    <t xml:space="preserve"> - Luminaire type 2 Bureaux SOHO</t>
  </si>
  <si>
    <t xml:space="preserve"> - Luminaire type 1 Bureaux SOHO</t>
  </si>
  <si>
    <t>Acaupel Bernard 07 85 84 32 02</t>
  </si>
  <si>
    <t>4 kW</t>
  </si>
  <si>
    <t>- pompe relevage ss-2</t>
  </si>
  <si>
    <t>2 kW</t>
  </si>
  <si>
    <t>7 kW</t>
  </si>
  <si>
    <t>0,5 kW</t>
  </si>
  <si>
    <t>1,5 kW</t>
  </si>
  <si>
    <t>0,1 kW</t>
  </si>
  <si>
    <t>1 kW</t>
  </si>
  <si>
    <t>12 kW</t>
  </si>
  <si>
    <t>- Extracteur VMC</t>
  </si>
  <si>
    <t>0,7 kW</t>
  </si>
  <si>
    <t>Id</t>
  </si>
  <si>
    <t>B2</t>
  </si>
  <si>
    <t/>
  </si>
  <si>
    <t>* Appareillages de finition blanche</t>
  </si>
  <si>
    <t>* Appareillages de finition noire</t>
  </si>
  <si>
    <t>NOTA : Unités, quantités, prix unitaires, prix totaux, etc... : à compléter par l'Entreprise</t>
  </si>
  <si>
    <t>– prise de terre en câble 25 Cu mm2</t>
  </si>
  <si>
    <t>– liaison en câble 1x16mm2 sous fourreau ICTA diam. 16 entre la colonne et chaque logement et bureaux</t>
  </si>
  <si>
    <t>– liaisons en câble R02V 2x1,5mm2 sous fourreau y compris raccordements</t>
  </si>
  <si>
    <t>B3</t>
  </si>
  <si>
    <t>B4</t>
  </si>
  <si>
    <t>B1</t>
  </si>
  <si>
    <t>Est ouvrage</t>
  </si>
  <si>
    <t>Bordereau</t>
  </si>
  <si>
    <t>Est titre</t>
  </si>
  <si>
    <t>Est vide</t>
  </si>
  <si>
    <t xml:space="preserve">C'est un titre </t>
  </si>
  <si>
    <t>XX</t>
  </si>
  <si>
    <t>C'est un titre</t>
  </si>
  <si>
    <t xml:space="preserve">Ma Désignation </t>
  </si>
  <si>
    <t>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</si>
</sst>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quot; &quot;"/>
    <numFmt numFmtId="165" formatCode="_-* #,##0.00\ [$€-1]_-;\-* #,##0.00\ [$€-1]_-;_-* &quot;-&quot;??\ [$€-1]_-"/>
    <numFmt numFmtId="166" formatCode="#,##0.00_0_-_ ;#,##0.00\-_0_ "/>
    <numFmt numFmtId="167" formatCode="_-* #,##0.00\ [$€-40C]_-;\-* #,##0.00\ [$€-40C]_-;_-* &quot;-&quot;??\ [$€-40C]_-;_-@_-"/>
    <numFmt numFmtId="168" formatCode="#,##0.00\ &quot;€&quot;"/>
  </numFmts>
  <fonts count="30">
    <font>
      <sz val="10"/>
      <name val="Arial"/>
    </font>
    <font>
      <sz val="10"/>
      <name val="Arial"/>
      <family val="2"/>
    </font>
    <font>
      <sz val="9"/>
      <name val="Monaco"/>
    </font>
    <font>
      <b/>
      <sz val="9"/>
      <name val="Monaco"/>
    </font>
    <font>
      <sz val="10"/>
      <name val="Arial"/>
      <family val="2"/>
    </font>
    <font>
      <b/>
      <sz val="10"/>
      <name val="Arial"/>
      <family val="2"/>
    </font>
    <font>
      <b/>
      <sz val="11"/>
      <name val="Arial"/>
      <family val="2"/>
    </font>
    <font>
      <sz val="8"/>
      <name val="Arial"/>
      <family val="2"/>
    </font>
    <font>
      <u/>
      <sz val="10"/>
      <name val="Arial"/>
      <family val="2"/>
    </font>
    <font>
      <b/>
      <u/>
      <sz val="10"/>
      <name val="Arial"/>
      <family val="2"/>
    </font>
    <font>
      <sz val="11"/>
      <name val="Arial"/>
      <family val="2"/>
    </font>
    <font>
      <vertAlign val="superscript"/>
      <sz val="10"/>
      <name val="Arial"/>
      <family val="2"/>
    </font>
    <font>
      <sz val="10"/>
      <color indexed="39"/>
      <name val="Arial"/>
      <family val="2"/>
    </font>
    <font>
      <i/>
      <sz val="10"/>
      <name val="Arial"/>
      <family val="2"/>
    </font>
    <font>
      <b/>
      <sz val="10"/>
      <color indexed="10"/>
      <name val="Arial"/>
      <family val="2"/>
    </font>
    <font>
      <b/>
      <u/>
      <sz val="10"/>
      <color indexed="10"/>
      <name val="Arial"/>
      <family val="2"/>
    </font>
    <font>
      <i/>
      <strike/>
      <sz val="10"/>
      <name val="Arial"/>
      <family val="2"/>
    </font>
    <font>
      <b/>
      <sz val="12"/>
      <color rgb="FF004F9F"/>
      <name val="HelveticaNeueLT Com 33 ThEx"/>
      <family val="2"/>
    </font>
    <font>
      <b/>
      <sz val="10"/>
      <color rgb="FFFF0000"/>
      <name val="Arial"/>
      <family val="2"/>
    </font>
    <font>
      <b/>
      <sz val="10"/>
      <color rgb="FF004F9F"/>
      <name val="HelveticaNeueLT Com 33 ThEx"/>
      <family val="2"/>
    </font>
    <font>
      <sz val="10"/>
      <color rgb="FF00B050"/>
      <name val="Arial"/>
      <family val="2"/>
    </font>
    <font>
      <sz val="10"/>
      <color rgb="FF0070C0"/>
      <name val="Arial"/>
      <family val="2"/>
    </font>
    <font>
      <sz val="10"/>
      <color rgb="FFFF0000"/>
      <name val="Arial"/>
      <family val="2"/>
    </font>
    <font>
      <b/>
      <sz val="11"/>
      <color rgb="FFFF0000"/>
      <name val="Arial"/>
      <family val="2"/>
    </font>
    <font>
      <sz val="10"/>
      <name val="Frutiger LT Std 45 Light"/>
      <family val="2"/>
    </font>
    <font>
      <sz val="10"/>
      <name val="Times New Roman"/>
      <family val="1"/>
    </font>
    <font>
      <sz val="11"/>
      <name val="Times New Roman"/>
      <family val="1"/>
    </font>
    <font>
      <b/>
      <sz val="10"/>
      <name val="Times New Roman"/>
      <family val="1"/>
    </font>
    <font>
      <sz val="11"/>
      <name val="Arial Narrow"/>
      <family val="2"/>
    </font>
    <font>
      <sz val="10"/>
      <name val="Arial"/>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FFF99"/>
        <bgColor indexed="64"/>
      </patternFill>
    </fill>
    <fill>
      <patternFill patternType="solid">
        <fgColor rgb="FF66FF99"/>
        <bgColor indexed="64"/>
      </patternFill>
    </fill>
    <fill>
      <patternFill patternType="lightUp"/>
    </fill>
    <fill>
      <patternFill patternType="solid">
        <fgColor theme="5" tint="0.79998168889431442"/>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theme="0" tint="-0.499984740745262"/>
        <bgColor indexed="64"/>
      </patternFill>
    </fill>
    <fill>
      <patternFill patternType="solid">
        <fgColor theme="0" tint="-0.14999847407452621"/>
        <bgColor indexed="64"/>
      </patternFill>
    </fill>
  </fills>
  <borders count="33">
    <border>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4">
    <xf numFmtId="0" fontId="0" fillId="0" borderId="0"/>
    <xf numFmtId="49" fontId="7" fillId="0" borderId="0">
      <alignment vertical="top" wrapText="1"/>
    </xf>
    <xf numFmtId="165" fontId="1" fillId="0" borderId="0" applyFont="0" applyFill="0" applyBorder="0" applyAlignment="0" applyProtection="0"/>
    <xf numFmtId="43" fontId="1" fillId="0" borderId="0" applyFont="0" applyFill="0" applyBorder="0" applyAlignment="0" applyProtection="0"/>
    <xf numFmtId="164" fontId="2" fillId="0" borderId="1"/>
    <xf numFmtId="0" fontId="4" fillId="0" borderId="0"/>
    <xf numFmtId="0" fontId="4" fillId="0" borderId="0"/>
    <xf numFmtId="164" fontId="2" fillId="0" borderId="1"/>
    <xf numFmtId="166" fontId="7" fillId="0" borderId="0"/>
    <xf numFmtId="164" fontId="3" fillId="0" borderId="2"/>
    <xf numFmtId="0" fontId="1" fillId="0" borderId="0"/>
    <xf numFmtId="43" fontId="1" fillId="0" borderId="0" applyFont="0" applyFill="0" applyBorder="0" applyAlignment="0" applyProtection="0"/>
    <xf numFmtId="0" fontId="1" fillId="0" borderId="0"/>
    <xf numFmtId="44" fontId="29" fillId="0" borderId="0" applyFont="0" applyFill="0" applyBorder="0" applyAlignment="0" applyProtection="0"/>
  </cellStyleXfs>
  <cellXfs count="469">
    <xf numFmtId="0" fontId="0" fillId="0" borderId="0" xfId="0"/>
    <xf numFmtId="0" fontId="4" fillId="0" borderId="0" xfId="0" applyFont="1"/>
    <xf numFmtId="0" fontId="5" fillId="0" borderId="3"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right"/>
    </xf>
    <xf numFmtId="0" fontId="5" fillId="0" borderId="0" xfId="0" applyFont="1"/>
    <xf numFmtId="0" fontId="4" fillId="0" borderId="0" xfId="0" applyFont="1" applyBorder="1"/>
    <xf numFmtId="0" fontId="4" fillId="0" borderId="0" xfId="0" applyFont="1" applyBorder="1" applyAlignment="1">
      <alignment horizontal="center"/>
    </xf>
    <xf numFmtId="49" fontId="4" fillId="0" borderId="1" xfId="0" applyNumberFormat="1" applyFont="1" applyFill="1" applyBorder="1" applyAlignment="1">
      <alignment horizontal="center"/>
    </xf>
    <xf numFmtId="49" fontId="4" fillId="0" borderId="1" xfId="0" applyNumberFormat="1" applyFont="1" applyBorder="1" applyAlignment="1">
      <alignment horizontal="center"/>
    </xf>
    <xf numFmtId="49" fontId="4" fillId="0" borderId="1" xfId="0" applyNumberFormat="1" applyFont="1" applyBorder="1" applyAlignment="1">
      <alignment horizontal="justify"/>
    </xf>
    <xf numFmtId="49" fontId="4" fillId="0" borderId="1" xfId="0" applyNumberFormat="1" applyFont="1" applyFill="1" applyBorder="1" applyAlignment="1">
      <alignment horizontal="left"/>
    </xf>
    <xf numFmtId="49" fontId="12" fillId="0" borderId="0" xfId="0" applyNumberFormat="1" applyFont="1" applyFill="1" applyBorder="1"/>
    <xf numFmtId="4" fontId="4" fillId="0" borderId="0" xfId="0" applyNumberFormat="1" applyFont="1" applyFill="1" applyBorder="1" applyAlignment="1">
      <alignment horizontal="center" vertical="center"/>
    </xf>
    <xf numFmtId="0" fontId="4" fillId="0" borderId="1" xfId="0" applyFont="1" applyBorder="1" applyAlignment="1">
      <alignment horizontal="center"/>
    </xf>
    <xf numFmtId="15" fontId="10" fillId="0" borderId="0" xfId="0" applyNumberFormat="1" applyFont="1"/>
    <xf numFmtId="0" fontId="4" fillId="0" borderId="0" xfId="0" applyFont="1" applyAlignment="1">
      <alignment vertical="top"/>
    </xf>
    <xf numFmtId="49" fontId="5" fillId="0" borderId="3" xfId="0" applyNumberFormat="1" applyFont="1" applyBorder="1" applyAlignment="1">
      <alignment horizontal="center" vertical="top"/>
    </xf>
    <xf numFmtId="4" fontId="4" fillId="0" borderId="1" xfId="0" applyNumberFormat="1" applyFont="1" applyBorder="1" applyAlignment="1">
      <alignment horizontal="center" vertical="top"/>
    </xf>
    <xf numFmtId="0" fontId="5" fillId="0" borderId="3" xfId="0" applyFont="1" applyFill="1" applyBorder="1" applyAlignment="1">
      <alignment horizontal="center" vertical="top"/>
    </xf>
    <xf numFmtId="0" fontId="4" fillId="0" borderId="1" xfId="0" applyFont="1" applyFill="1" applyBorder="1" applyAlignment="1">
      <alignment horizontal="left" vertical="top"/>
    </xf>
    <xf numFmtId="4" fontId="4" fillId="0" borderId="1" xfId="0" applyNumberFormat="1" applyFont="1" applyFill="1" applyBorder="1" applyAlignment="1">
      <alignment horizontal="center" vertical="top"/>
    </xf>
    <xf numFmtId="4" fontId="4" fillId="0" borderId="4" xfId="0" applyNumberFormat="1" applyFont="1" applyFill="1" applyBorder="1" applyAlignment="1">
      <alignment horizontal="center" vertical="top"/>
    </xf>
    <xf numFmtId="49" fontId="5"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center" vertical="top"/>
    </xf>
    <xf numFmtId="49" fontId="4" fillId="0" borderId="1" xfId="0" applyNumberFormat="1" applyFont="1" applyBorder="1" applyAlignment="1">
      <alignment horizontal="center" vertical="top"/>
    </xf>
    <xf numFmtId="49" fontId="4" fillId="0" borderId="1" xfId="0" applyNumberFormat="1" applyFont="1" applyBorder="1" applyAlignment="1">
      <alignment horizontal="justify" vertical="top"/>
    </xf>
    <xf numFmtId="49" fontId="5" fillId="0" borderId="1" xfId="0" applyNumberFormat="1" applyFont="1" applyBorder="1" applyAlignment="1">
      <alignment horizontal="center"/>
    </xf>
    <xf numFmtId="0" fontId="0" fillId="0" borderId="0" xfId="0" applyAlignment="1">
      <alignment vertical="top"/>
    </xf>
    <xf numFmtId="49" fontId="4" fillId="0" borderId="1" xfId="0" applyNumberFormat="1" applyFont="1" applyFill="1" applyBorder="1" applyAlignment="1">
      <alignment horizontal="justify" vertical="top"/>
    </xf>
    <xf numFmtId="0" fontId="4" fillId="0" borderId="0" xfId="0" applyFont="1" applyBorder="1" applyAlignment="1">
      <alignment vertical="top"/>
    </xf>
    <xf numFmtId="0" fontId="4" fillId="0" borderId="0" xfId="0" applyFont="1" applyBorder="1" applyAlignment="1">
      <alignment horizontal="center" vertical="top"/>
    </xf>
    <xf numFmtId="0" fontId="10" fillId="0" borderId="0" xfId="0" applyFont="1"/>
    <xf numFmtId="49" fontId="4" fillId="0" borderId="4" xfId="0" applyNumberFormat="1" applyFont="1" applyBorder="1" applyAlignment="1">
      <alignment horizontal="center"/>
    </xf>
    <xf numFmtId="0" fontId="4" fillId="0" borderId="0" xfId="0" applyFont="1" applyAlignment="1">
      <alignment wrapText="1"/>
    </xf>
    <xf numFmtId="49" fontId="5" fillId="0" borderId="4" xfId="0" applyNumberFormat="1" applyFont="1" applyBorder="1" applyAlignment="1">
      <alignment horizontal="right"/>
    </xf>
    <xf numFmtId="0" fontId="6" fillId="0" borderId="0" xfId="0" applyFont="1"/>
    <xf numFmtId="49" fontId="5" fillId="0" borderId="1" xfId="0" applyNumberFormat="1" applyFont="1" applyBorder="1" applyAlignment="1">
      <alignment horizontal="left" vertical="top" indent="1"/>
    </xf>
    <xf numFmtId="49" fontId="4" fillId="0" borderId="4" xfId="1" quotePrefix="1" applyFont="1" applyBorder="1" applyAlignment="1">
      <alignment horizontal="left" vertical="top" wrapText="1" indent="1"/>
    </xf>
    <xf numFmtId="49" fontId="5" fillId="0" borderId="1" xfId="0" applyNumberFormat="1" applyFont="1" applyBorder="1" applyAlignment="1">
      <alignment horizontal="left" indent="1"/>
    </xf>
    <xf numFmtId="49" fontId="4" fillId="0" borderId="1" xfId="0" applyNumberFormat="1" applyFont="1" applyBorder="1" applyAlignment="1">
      <alignment horizontal="left" indent="1"/>
    </xf>
    <xf numFmtId="49" fontId="5" fillId="0" borderId="1" xfId="0" applyNumberFormat="1" applyFont="1" applyFill="1" applyBorder="1" applyAlignment="1">
      <alignment horizontal="left" wrapText="1" indent="1"/>
    </xf>
    <xf numFmtId="49" fontId="4" fillId="0" borderId="1" xfId="0" applyNumberFormat="1" applyFont="1" applyFill="1" applyBorder="1" applyAlignment="1">
      <alignment horizontal="left" wrapText="1" indent="1"/>
    </xf>
    <xf numFmtId="0" fontId="13" fillId="0" borderId="3" xfId="0" applyFont="1" applyFill="1" applyBorder="1" applyAlignment="1">
      <alignment horizontal="center" vertical="center"/>
    </xf>
    <xf numFmtId="49" fontId="13" fillId="0" borderId="1" xfId="0" applyNumberFormat="1" applyFont="1" applyBorder="1" applyAlignment="1">
      <alignment horizontal="left" indent="1"/>
    </xf>
    <xf numFmtId="0" fontId="5" fillId="0" borderId="3" xfId="0" applyFont="1" applyFill="1" applyBorder="1" applyAlignment="1">
      <alignment horizontal="center" vertical="top" wrapText="1"/>
    </xf>
    <xf numFmtId="0" fontId="4" fillId="0" borderId="4" xfId="0" applyFont="1" applyFill="1" applyBorder="1" applyAlignment="1">
      <alignment horizontal="center"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wrapText="1"/>
    </xf>
    <xf numFmtId="3" fontId="17" fillId="0" borderId="0" xfId="6" applyNumberFormat="1" applyFont="1" applyBorder="1" applyAlignment="1" applyProtection="1">
      <alignment horizontal="left" vertical="center"/>
      <protection hidden="1"/>
    </xf>
    <xf numFmtId="3" fontId="17" fillId="0" borderId="5" xfId="6" applyNumberFormat="1" applyFont="1" applyBorder="1" applyAlignment="1" applyProtection="1">
      <alignment horizontal="left" vertical="center"/>
      <protection hidden="1"/>
    </xf>
    <xf numFmtId="0" fontId="4" fillId="0" borderId="0" xfId="0" applyFont="1" applyBorder="1" applyAlignment="1">
      <alignment horizontal="right"/>
    </xf>
    <xf numFmtId="0" fontId="5" fillId="0" borderId="6" xfId="0" applyFont="1" applyBorder="1" applyAlignment="1">
      <alignment horizontal="center" vertical="top"/>
    </xf>
    <xf numFmtId="4" fontId="4" fillId="0" borderId="4" xfId="0" applyNumberFormat="1" applyFont="1" applyBorder="1" applyAlignment="1">
      <alignment horizontal="center" vertical="top"/>
    </xf>
    <xf numFmtId="49" fontId="4" fillId="0" borderId="4" xfId="0" applyNumberFormat="1" applyFont="1" applyFill="1" applyBorder="1" applyAlignment="1">
      <alignment horizontal="center" vertical="top"/>
    </xf>
    <xf numFmtId="49" fontId="4" fillId="0" borderId="0" xfId="0" applyNumberFormat="1" applyFont="1" applyBorder="1" applyAlignment="1">
      <alignment horizontal="center"/>
    </xf>
    <xf numFmtId="49" fontId="4" fillId="0" borderId="4" xfId="0" applyNumberFormat="1" applyFont="1" applyBorder="1" applyAlignment="1">
      <alignment horizontal="center" wrapText="1"/>
    </xf>
    <xf numFmtId="49" fontId="4" fillId="0" borderId="4" xfId="0" applyNumberFormat="1" applyFont="1" applyFill="1" applyBorder="1" applyAlignment="1">
      <alignment horizontal="center"/>
    </xf>
    <xf numFmtId="4" fontId="4" fillId="0" borderId="0" xfId="0" applyNumberFormat="1" applyFont="1" applyBorder="1" applyAlignment="1">
      <alignment horizontal="right" vertical="center"/>
    </xf>
    <xf numFmtId="4" fontId="4" fillId="0" borderId="0" xfId="0" applyNumberFormat="1" applyFont="1" applyFill="1" applyBorder="1" applyAlignment="1">
      <alignment horizontal="center" vertical="top"/>
    </xf>
    <xf numFmtId="0" fontId="5" fillId="0" borderId="0" xfId="0" applyFont="1" applyFill="1" applyBorder="1" applyAlignment="1">
      <alignment horizontal="left" vertical="center"/>
    </xf>
    <xf numFmtId="49" fontId="5" fillId="0" borderId="0" xfId="0" applyNumberFormat="1" applyFont="1" applyFill="1" applyBorder="1" applyAlignment="1">
      <alignment horizontal="right"/>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xf>
    <xf numFmtId="49" fontId="5" fillId="0" borderId="0" xfId="0" applyNumberFormat="1" applyFont="1" applyBorder="1" applyAlignment="1">
      <alignment horizontal="right"/>
    </xf>
    <xf numFmtId="0" fontId="5" fillId="0" borderId="7" xfId="0" applyFont="1" applyFill="1" applyBorder="1" applyAlignment="1">
      <alignment horizontal="center" vertical="center"/>
    </xf>
    <xf numFmtId="49" fontId="5" fillId="0" borderId="8" xfId="0" applyNumberFormat="1" applyFont="1" applyBorder="1" applyAlignment="1">
      <alignment horizontal="right"/>
    </xf>
    <xf numFmtId="49" fontId="4" fillId="0" borderId="8" xfId="0" applyNumberFormat="1" applyFont="1" applyBorder="1" applyAlignment="1">
      <alignment horizontal="center"/>
    </xf>
    <xf numFmtId="4" fontId="4" fillId="0" borderId="10"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8" fillId="0" borderId="3" xfId="0" applyFont="1" applyFill="1" applyBorder="1" applyAlignment="1">
      <alignment horizontal="center" vertical="top"/>
    </xf>
    <xf numFmtId="4" fontId="4" fillId="0" borderId="0" xfId="0" applyNumberFormat="1" applyFont="1" applyBorder="1" applyAlignment="1">
      <alignment horizontal="center" vertical="top"/>
    </xf>
    <xf numFmtId="49" fontId="4" fillId="0" borderId="6" xfId="0" applyNumberFormat="1" applyFont="1" applyBorder="1" applyAlignment="1">
      <alignment horizontal="center"/>
    </xf>
    <xf numFmtId="49" fontId="13" fillId="0" borderId="12" xfId="0" applyNumberFormat="1" applyFont="1" applyBorder="1" applyAlignment="1">
      <alignment horizontal="right"/>
    </xf>
    <xf numFmtId="49" fontId="4" fillId="0" borderId="9" xfId="0" applyNumberFormat="1" applyFont="1" applyBorder="1" applyAlignment="1">
      <alignment horizontal="center"/>
    </xf>
    <xf numFmtId="49" fontId="4" fillId="0" borderId="8" xfId="3" applyNumberFormat="1" applyFont="1" applyBorder="1" applyAlignment="1">
      <alignment horizontal="center"/>
    </xf>
    <xf numFmtId="49" fontId="14" fillId="0" borderId="1" xfId="0" applyNumberFormat="1" applyFont="1" applyBorder="1" applyAlignment="1">
      <alignment horizontal="left" vertical="top" wrapText="1"/>
    </xf>
    <xf numFmtId="3" fontId="17" fillId="0" borderId="0" xfId="6" applyNumberFormat="1" applyFont="1" applyBorder="1" applyAlignment="1" applyProtection="1">
      <alignment horizontal="left" vertical="top"/>
      <protection hidden="1"/>
    </xf>
    <xf numFmtId="49" fontId="5" fillId="0" borderId="1" xfId="0" applyNumberFormat="1" applyFont="1" applyBorder="1" applyAlignment="1">
      <alignment horizontal="left" vertical="top"/>
    </xf>
    <xf numFmtId="0" fontId="4" fillId="0" borderId="1" xfId="0" quotePrefix="1" applyFont="1" applyFill="1" applyBorder="1" applyAlignment="1">
      <alignment horizontal="justify" vertical="top" wrapText="1"/>
    </xf>
    <xf numFmtId="0" fontId="4" fillId="0" borderId="1" xfId="0" applyFont="1" applyFill="1" applyBorder="1" applyAlignment="1">
      <alignment horizontal="justify" vertical="top" wrapText="1"/>
    </xf>
    <xf numFmtId="49" fontId="4" fillId="0" borderId="4" xfId="1" quotePrefix="1" applyFont="1" applyBorder="1" applyAlignment="1">
      <alignment horizontal="left" vertical="top" wrapText="1"/>
    </xf>
    <xf numFmtId="0" fontId="4" fillId="0" borderId="1" xfId="0" quotePrefix="1" applyFont="1" applyFill="1" applyBorder="1" applyAlignment="1">
      <alignment horizontal="left" vertical="top" wrapText="1"/>
    </xf>
    <xf numFmtId="49" fontId="5" fillId="0" borderId="4" xfId="0" applyNumberFormat="1" applyFont="1" applyBorder="1" applyAlignment="1">
      <alignment horizontal="right" vertical="top"/>
    </xf>
    <xf numFmtId="49" fontId="4" fillId="0" borderId="1" xfId="1" quotePrefix="1" applyFont="1" applyBorder="1" applyAlignment="1">
      <alignment horizontal="left" vertical="top" wrapText="1"/>
    </xf>
    <xf numFmtId="49" fontId="5" fillId="0" borderId="1" xfId="0" applyNumberFormat="1" applyFont="1" applyBorder="1" applyAlignment="1">
      <alignment horizontal="left" vertical="top" wrapText="1"/>
    </xf>
    <xf numFmtId="49" fontId="4" fillId="0" borderId="1" xfId="0" applyNumberFormat="1" applyFont="1" applyFill="1" applyBorder="1" applyAlignment="1">
      <alignment horizontal="left" vertical="top"/>
    </xf>
    <xf numFmtId="49" fontId="5"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49" fontId="4" fillId="0" borderId="4" xfId="0" applyNumberFormat="1" applyFont="1" applyFill="1" applyBorder="1" applyAlignment="1">
      <alignment horizontal="left" vertical="top"/>
    </xf>
    <xf numFmtId="49" fontId="13" fillId="0" borderId="4" xfId="0" applyNumberFormat="1" applyFont="1" applyFill="1" applyBorder="1" applyAlignment="1">
      <alignment horizontal="left" vertical="top"/>
    </xf>
    <xf numFmtId="49" fontId="4" fillId="0" borderId="4" xfId="0" applyNumberFormat="1" applyFont="1" applyFill="1" applyBorder="1" applyAlignment="1">
      <alignment horizontal="left" vertical="top" wrapText="1"/>
    </xf>
    <xf numFmtId="49" fontId="5" fillId="0" borderId="8" xfId="0" applyNumberFormat="1" applyFont="1" applyBorder="1" applyAlignment="1">
      <alignment horizontal="right" vertical="top"/>
    </xf>
    <xf numFmtId="49" fontId="5" fillId="0" borderId="0" xfId="0" applyNumberFormat="1" applyFont="1" applyBorder="1" applyAlignment="1">
      <alignment horizontal="right" vertical="top"/>
    </xf>
    <xf numFmtId="0" fontId="5" fillId="0" borderId="0" xfId="0" applyFont="1" applyFill="1" applyBorder="1" applyAlignment="1">
      <alignment horizontal="right" vertical="top"/>
    </xf>
    <xf numFmtId="49" fontId="5" fillId="0" borderId="0" xfId="0" applyNumberFormat="1" applyFont="1" applyFill="1" applyBorder="1" applyAlignment="1">
      <alignment horizontal="right" vertical="top"/>
    </xf>
    <xf numFmtId="3" fontId="19" fillId="0" borderId="5" xfId="6" applyNumberFormat="1" applyFont="1" applyBorder="1" applyAlignment="1" applyProtection="1">
      <alignment horizontal="left" vertical="top"/>
      <protection hidden="1"/>
    </xf>
    <xf numFmtId="3" fontId="19" fillId="0" borderId="0" xfId="6" applyNumberFormat="1" applyFont="1" applyBorder="1" applyAlignment="1" applyProtection="1">
      <alignment horizontal="left" vertical="top"/>
      <protection hidden="1"/>
    </xf>
    <xf numFmtId="0" fontId="4" fillId="0" borderId="1" xfId="0" quotePrefix="1" applyFont="1" applyFill="1" applyBorder="1" applyAlignment="1">
      <alignment horizontal="justify" vertical="top"/>
    </xf>
    <xf numFmtId="0" fontId="4" fillId="0" borderId="1" xfId="0" applyFont="1" applyFill="1" applyBorder="1" applyAlignment="1">
      <alignment horizontal="justify" vertical="top"/>
    </xf>
    <xf numFmtId="0" fontId="4" fillId="0" borderId="4" xfId="0" applyFont="1" applyFill="1" applyBorder="1" applyAlignment="1">
      <alignment horizontal="justify" vertical="top"/>
    </xf>
    <xf numFmtId="0" fontId="4" fillId="0" borderId="1" xfId="0" applyFont="1" applyFill="1" applyBorder="1" applyAlignment="1">
      <alignment horizontal="center"/>
    </xf>
    <xf numFmtId="0" fontId="4" fillId="0" borderId="4" xfId="0" applyFont="1" applyFill="1" applyBorder="1" applyAlignment="1">
      <alignment horizontal="center"/>
    </xf>
    <xf numFmtId="0" fontId="13" fillId="0" borderId="3" xfId="0" applyFont="1" applyFill="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0" applyFont="1" applyFill="1" applyBorder="1" applyAlignment="1">
      <alignment horizontal="left" vertical="top"/>
    </xf>
    <xf numFmtId="0" fontId="4" fillId="0" borderId="0" xfId="0" applyFont="1" applyAlignment="1">
      <alignment horizontal="center" vertical="top"/>
    </xf>
    <xf numFmtId="0" fontId="4" fillId="0" borderId="3" xfId="0" applyFont="1" applyFill="1" applyBorder="1" applyAlignment="1">
      <alignment horizontal="center" vertical="top"/>
    </xf>
    <xf numFmtId="49" fontId="4" fillId="0" borderId="1" xfId="0" quotePrefix="1" applyNumberFormat="1" applyFont="1" applyFill="1" applyBorder="1" applyAlignment="1">
      <alignment horizontal="justify" vertical="top"/>
    </xf>
    <xf numFmtId="4" fontId="4" fillId="0" borderId="13" xfId="0" applyNumberFormat="1" applyFont="1" applyBorder="1" applyAlignment="1">
      <alignment horizontal="right" vertical="center"/>
    </xf>
    <xf numFmtId="49" fontId="8" fillId="0" borderId="1" xfId="0" applyNumberFormat="1" applyFont="1" applyFill="1" applyBorder="1" applyAlignment="1">
      <alignment horizontal="left" vertical="top"/>
    </xf>
    <xf numFmtId="49" fontId="4" fillId="0" borderId="1" xfId="0" quotePrefix="1" applyNumberFormat="1" applyFont="1" applyBorder="1" applyAlignment="1">
      <alignment horizontal="left" vertical="top" wrapText="1"/>
    </xf>
    <xf numFmtId="4" fontId="4" fillId="0" borderId="14" xfId="0" applyNumberFormat="1" applyFont="1" applyFill="1" applyBorder="1" applyAlignment="1">
      <alignment horizontal="center" vertical="top"/>
    </xf>
    <xf numFmtId="49" fontId="4" fillId="0" borderId="14" xfId="0" applyNumberFormat="1" applyFont="1" applyFill="1" applyBorder="1" applyAlignment="1">
      <alignment horizontal="center" vertical="top"/>
    </xf>
    <xf numFmtId="49" fontId="4" fillId="0" borderId="14" xfId="0" applyNumberFormat="1" applyFont="1" applyBorder="1" applyAlignment="1">
      <alignment horizontal="center" vertical="top"/>
    </xf>
    <xf numFmtId="4" fontId="4" fillId="0" borderId="15" xfId="0" applyNumberFormat="1" applyFont="1" applyBorder="1" applyAlignment="1">
      <alignment horizontal="center" vertical="center"/>
    </xf>
    <xf numFmtId="4" fontId="4" fillId="0" borderId="14" xfId="0" applyNumberFormat="1" applyFont="1" applyBorder="1" applyAlignment="1">
      <alignment horizontal="center" vertical="top"/>
    </xf>
    <xf numFmtId="49" fontId="4" fillId="0" borderId="13" xfId="3" applyNumberFormat="1" applyFont="1" applyBorder="1" applyAlignment="1">
      <alignment horizontal="center"/>
    </xf>
    <xf numFmtId="4" fontId="4" fillId="0" borderId="14" xfId="0" applyNumberFormat="1" applyFont="1" applyBorder="1" applyAlignment="1">
      <alignment horizontal="right" vertical="top"/>
    </xf>
    <xf numFmtId="49" fontId="5" fillId="0" borderId="4" xfId="0" applyNumberFormat="1" applyFont="1" applyFill="1" applyBorder="1" applyAlignment="1">
      <alignment horizontal="right" vertical="top"/>
    </xf>
    <xf numFmtId="4" fontId="4" fillId="0" borderId="0" xfId="0" applyNumberFormat="1" applyFont="1" applyBorder="1" applyAlignment="1">
      <alignment horizontal="right" vertical="top"/>
    </xf>
    <xf numFmtId="0" fontId="5" fillId="0" borderId="1" xfId="0" applyFont="1" applyBorder="1" applyAlignment="1">
      <alignment horizontal="center" vertical="top"/>
    </xf>
    <xf numFmtId="49" fontId="5" fillId="0" borderId="5" xfId="0" applyNumberFormat="1" applyFont="1" applyBorder="1" applyAlignment="1">
      <alignment horizontal="center" vertical="top"/>
    </xf>
    <xf numFmtId="0" fontId="20" fillId="0" borderId="1" xfId="0" quotePrefix="1" applyFont="1" applyFill="1" applyBorder="1" applyAlignment="1">
      <alignment horizontal="justify" vertical="top"/>
    </xf>
    <xf numFmtId="49" fontId="13" fillId="0" borderId="4" xfId="0" applyNumberFormat="1" applyFont="1" applyBorder="1" applyAlignment="1">
      <alignment horizontal="right"/>
    </xf>
    <xf numFmtId="49" fontId="16" fillId="0" borderId="1" xfId="0" applyNumberFormat="1" applyFont="1" applyBorder="1" applyAlignment="1">
      <alignment horizontal="left" indent="1"/>
    </xf>
    <xf numFmtId="49" fontId="4" fillId="0" borderId="4" xfId="0" applyNumberFormat="1" applyFont="1" applyFill="1" applyBorder="1" applyAlignment="1">
      <alignment horizontal="left" readingOrder="1"/>
    </xf>
    <xf numFmtId="49" fontId="4" fillId="0" borderId="4" xfId="0" quotePrefix="1" applyNumberFormat="1" applyFont="1" applyBorder="1" applyAlignment="1">
      <alignment horizontal="left" vertical="top" wrapText="1"/>
    </xf>
    <xf numFmtId="49" fontId="9" fillId="0" borderId="1" xfId="0" applyNumberFormat="1" applyFont="1" applyBorder="1" applyAlignment="1">
      <alignment horizontal="left" indent="1"/>
    </xf>
    <xf numFmtId="49" fontId="13" fillId="0" borderId="1" xfId="0" applyNumberFormat="1" applyFont="1" applyFill="1" applyBorder="1" applyAlignment="1">
      <alignment horizontal="left" indent="1"/>
    </xf>
    <xf numFmtId="49" fontId="16" fillId="0" borderId="1" xfId="0" applyNumberFormat="1" applyFont="1" applyFill="1" applyBorder="1" applyAlignment="1">
      <alignment horizontal="left" indent="1"/>
    </xf>
    <xf numFmtId="0" fontId="4" fillId="0" borderId="0" xfId="0" quotePrefix="1" applyFont="1" applyFill="1" applyAlignment="1">
      <alignment vertical="top"/>
    </xf>
    <xf numFmtId="0" fontId="4" fillId="0" borderId="0" xfId="0" applyFont="1" applyFill="1" applyAlignment="1">
      <alignment vertical="top"/>
    </xf>
    <xf numFmtId="0" fontId="18" fillId="0" borderId="1" xfId="0" applyFont="1" applyFill="1" applyBorder="1" applyAlignment="1">
      <alignment horizontal="center" vertical="top"/>
    </xf>
    <xf numFmtId="0" fontId="4" fillId="0" borderId="0" xfId="0" applyFont="1" applyFill="1"/>
    <xf numFmtId="0" fontId="5" fillId="0" borderId="17" xfId="0" applyFont="1" applyFill="1" applyBorder="1" applyAlignment="1">
      <alignment horizontal="right" vertical="center"/>
    </xf>
    <xf numFmtId="0" fontId="23" fillId="2" borderId="15" xfId="0" applyFont="1" applyFill="1" applyBorder="1" applyAlignment="1">
      <alignment horizontal="center" vertical="top"/>
    </xf>
    <xf numFmtId="49" fontId="4" fillId="0" borderId="4" xfId="0" applyNumberFormat="1" applyFont="1" applyBorder="1" applyAlignment="1">
      <alignment horizontal="justify"/>
    </xf>
    <xf numFmtId="0" fontId="5" fillId="0" borderId="0" xfId="0" applyFont="1" applyFill="1" applyBorder="1" applyAlignment="1">
      <alignment horizontal="right" vertical="center"/>
    </xf>
    <xf numFmtId="0" fontId="24" fillId="0" borderId="0" xfId="10" applyFont="1" applyAlignment="1">
      <alignment vertical="center"/>
    </xf>
    <xf numFmtId="4" fontId="25" fillId="0" borderId="0" xfId="0" applyNumberFormat="1" applyFont="1" applyFill="1" applyBorder="1" applyAlignment="1" applyProtection="1">
      <alignment horizontal="right" vertical="center"/>
    </xf>
    <xf numFmtId="4" fontId="25" fillId="0" borderId="0" xfId="0" applyNumberFormat="1" applyFont="1" applyFill="1" applyBorder="1" applyAlignment="1" applyProtection="1">
      <alignment horizontal="right" vertical="center" wrapText="1"/>
    </xf>
    <xf numFmtId="4" fontId="25" fillId="0" borderId="0" xfId="0" applyNumberFormat="1" applyFont="1" applyBorder="1" applyAlignment="1" applyProtection="1">
      <alignment horizontal="right" vertical="center" wrapText="1"/>
    </xf>
    <xf numFmtId="4" fontId="25" fillId="0" borderId="0" xfId="0" applyNumberFormat="1" applyFont="1" applyBorder="1" applyAlignment="1" applyProtection="1">
      <alignment horizontal="right" vertical="center"/>
    </xf>
    <xf numFmtId="4" fontId="25" fillId="4" borderId="23" xfId="0" applyNumberFormat="1" applyFont="1" applyFill="1" applyBorder="1" applyAlignment="1" applyProtection="1">
      <alignment horizontal="right" vertical="center"/>
    </xf>
    <xf numFmtId="4" fontId="25" fillId="0" borderId="23" xfId="0" applyNumberFormat="1" applyFont="1" applyBorder="1" applyAlignment="1" applyProtection="1">
      <alignment horizontal="right" vertical="center"/>
    </xf>
    <xf numFmtId="4" fontId="25" fillId="4" borderId="24" xfId="0" applyNumberFormat="1" applyFont="1" applyFill="1" applyBorder="1" applyAlignment="1" applyProtection="1">
      <alignment horizontal="right" vertical="center"/>
    </xf>
    <xf numFmtId="4" fontId="25" fillId="0" borderId="24" xfId="0" applyNumberFormat="1" applyFont="1" applyBorder="1" applyAlignment="1" applyProtection="1">
      <alignment horizontal="right" vertical="center"/>
    </xf>
    <xf numFmtId="4" fontId="26" fillId="0" borderId="0" xfId="0" applyNumberFormat="1" applyFont="1" applyAlignment="1">
      <alignment vertical="center"/>
    </xf>
    <xf numFmtId="4" fontId="27" fillId="5" borderId="25" xfId="0" applyNumberFormat="1" applyFont="1" applyFill="1" applyBorder="1" applyAlignment="1">
      <alignment horizontal="center" vertical="center"/>
    </xf>
    <xf numFmtId="4" fontId="27" fillId="6" borderId="26" xfId="0" applyNumberFormat="1" applyFont="1" applyFill="1" applyBorder="1" applyAlignment="1">
      <alignment horizontal="center" vertical="center"/>
    </xf>
    <xf numFmtId="4" fontId="27" fillId="6" borderId="25" xfId="0" applyNumberFormat="1" applyFont="1" applyFill="1" applyBorder="1" applyAlignment="1">
      <alignment horizontal="center" vertical="center"/>
    </xf>
    <xf numFmtId="4" fontId="27" fillId="5" borderId="27" xfId="0" applyNumberFormat="1" applyFont="1" applyFill="1" applyBorder="1" applyAlignment="1">
      <alignment horizontal="center" vertical="center"/>
    </xf>
    <xf numFmtId="4" fontId="27" fillId="6" borderId="5" xfId="0" applyNumberFormat="1" applyFont="1" applyFill="1" applyBorder="1" applyAlignment="1">
      <alignment horizontal="center" vertical="center"/>
    </xf>
    <xf numFmtId="4" fontId="27" fillId="6" borderId="27" xfId="0" applyNumberFormat="1" applyFont="1" applyFill="1" applyBorder="1" applyAlignment="1">
      <alignment horizontal="center" vertical="center"/>
    </xf>
    <xf numFmtId="4" fontId="27" fillId="5" borderId="28" xfId="0" applyNumberFormat="1" applyFont="1" applyFill="1" applyBorder="1" applyAlignment="1">
      <alignment horizontal="center" vertical="center"/>
    </xf>
    <xf numFmtId="4" fontId="27" fillId="6" borderId="29" xfId="0" applyNumberFormat="1" applyFont="1" applyFill="1" applyBorder="1" applyAlignment="1">
      <alignment horizontal="center" vertical="center"/>
    </xf>
    <xf numFmtId="4" fontId="27" fillId="6" borderId="28" xfId="0" applyNumberFormat="1" applyFont="1" applyFill="1" applyBorder="1" applyAlignment="1">
      <alignment horizontal="center" vertical="center"/>
    </xf>
    <xf numFmtId="4" fontId="6" fillId="5" borderId="27" xfId="0" applyNumberFormat="1" applyFont="1" applyFill="1" applyBorder="1" applyAlignment="1">
      <alignment horizontal="center" vertical="center"/>
    </xf>
    <xf numFmtId="4" fontId="6" fillId="6" borderId="27" xfId="0" applyNumberFormat="1" applyFont="1" applyFill="1" applyBorder="1" applyAlignment="1">
      <alignment horizontal="center" vertical="center"/>
    </xf>
    <xf numFmtId="167" fontId="24" fillId="0" borderId="1" xfId="10" applyNumberFormat="1" applyFont="1" applyBorder="1" applyAlignment="1">
      <alignment horizontal="right" vertical="center"/>
    </xf>
    <xf numFmtId="168" fontId="28" fillId="0" borderId="1" xfId="0" applyNumberFormat="1" applyFont="1" applyFill="1" applyBorder="1" applyAlignment="1" applyProtection="1">
      <alignment horizontal="right" vertical="center" wrapText="1"/>
    </xf>
    <xf numFmtId="0" fontId="0" fillId="0" borderId="24" xfId="0" applyBorder="1"/>
    <xf numFmtId="0" fontId="0" fillId="2" borderId="24" xfId="0" applyFill="1" applyBorder="1"/>
    <xf numFmtId="0" fontId="1" fillId="0" borderId="0" xfId="0" applyFont="1"/>
    <xf numFmtId="0" fontId="1" fillId="0" borderId="0" xfId="0" applyFont="1" applyAlignment="1">
      <alignment horizontal="right"/>
    </xf>
    <xf numFmtId="11" fontId="1" fillId="0" borderId="0" xfId="0" applyNumberFormat="1" applyFont="1" applyAlignment="1">
      <alignment horizontal="right"/>
    </xf>
    <xf numFmtId="0" fontId="0" fillId="0" borderId="0" xfId="0" applyBorder="1"/>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right" vertical="center"/>
    </xf>
    <xf numFmtId="3" fontId="19" fillId="0" borderId="5" xfId="6" applyNumberFormat="1" applyFont="1" applyBorder="1" applyAlignment="1" applyProtection="1">
      <alignment horizontal="left" vertical="center"/>
      <protection hidden="1"/>
    </xf>
    <xf numFmtId="0" fontId="4" fillId="0" borderId="0" xfId="0" applyFont="1" applyBorder="1" applyAlignment="1">
      <alignment horizontal="center" vertical="center"/>
    </xf>
    <xf numFmtId="0" fontId="4" fillId="0" borderId="0" xfId="0" applyFont="1" applyBorder="1" applyAlignment="1">
      <alignment horizontal="right" vertical="center"/>
    </xf>
    <xf numFmtId="3" fontId="19" fillId="0" borderId="0" xfId="6" applyNumberFormat="1" applyFont="1" applyBorder="1" applyAlignment="1" applyProtection="1">
      <alignment horizontal="left" vertical="center"/>
      <protection hidden="1"/>
    </xf>
    <xf numFmtId="0" fontId="4" fillId="0" borderId="0" xfId="0" applyFont="1" applyBorder="1" applyAlignment="1">
      <alignment vertical="center"/>
    </xf>
    <xf numFmtId="49" fontId="5" fillId="0" borderId="3" xfId="0" applyNumberFormat="1" applyFont="1" applyBorder="1" applyAlignment="1">
      <alignment horizontal="center" vertical="center"/>
    </xf>
    <xf numFmtId="0" fontId="5" fillId="0" borderId="1" xfId="0" applyFont="1" applyBorder="1" applyAlignment="1">
      <alignment horizontal="center" vertical="center"/>
    </xf>
    <xf numFmtId="4" fontId="4" fillId="0" borderId="4" xfId="0" applyNumberFormat="1" applyFont="1" applyBorder="1" applyAlignment="1">
      <alignment horizontal="center" vertical="center"/>
    </xf>
    <xf numFmtId="4" fontId="4" fillId="0" borderId="14" xfId="0" applyNumberFormat="1" applyFont="1" applyBorder="1" applyAlignment="1">
      <alignment horizontal="right" vertical="center"/>
    </xf>
    <xf numFmtId="49" fontId="5" fillId="0" borderId="5" xfId="0" applyNumberFormat="1" applyFont="1" applyBorder="1" applyAlignment="1">
      <alignment horizontal="center" vertical="center"/>
    </xf>
    <xf numFmtId="4" fontId="4" fillId="0" borderId="0" xfId="0" applyNumberFormat="1" applyFont="1" applyBorder="1" applyAlignment="1">
      <alignment horizontal="center" vertical="center"/>
    </xf>
    <xf numFmtId="0" fontId="23" fillId="2" borderId="15" xfId="0" applyFont="1" applyFill="1" applyBorder="1" applyAlignment="1">
      <alignment horizontal="center" vertical="center"/>
    </xf>
    <xf numFmtId="0" fontId="4" fillId="0" borderId="1" xfId="0" applyFont="1" applyFill="1" applyBorder="1" applyAlignment="1">
      <alignment horizontal="left" vertical="center"/>
    </xf>
    <xf numFmtId="4" fontId="4" fillId="0" borderId="4"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49" fontId="4" fillId="0" borderId="4"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49" fontId="14"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xf>
    <xf numFmtId="49" fontId="4" fillId="0" borderId="1" xfId="0" applyNumberFormat="1" applyFont="1" applyBorder="1" applyAlignment="1">
      <alignment horizontal="center" vertical="center"/>
    </xf>
    <xf numFmtId="49" fontId="4" fillId="0" borderId="1" xfId="0" applyNumberFormat="1" applyFont="1" applyBorder="1" applyAlignment="1">
      <alignment horizontal="justify" vertical="center"/>
    </xf>
    <xf numFmtId="0" fontId="5" fillId="0" borderId="3" xfId="0" applyFont="1" applyFill="1" applyBorder="1" applyAlignment="1">
      <alignment horizontal="center" vertical="center" wrapText="1"/>
    </xf>
    <xf numFmtId="0" fontId="4" fillId="0" borderId="1" xfId="0" quotePrefix="1" applyFont="1" applyFill="1" applyBorder="1" applyAlignment="1">
      <alignment horizontal="justify" vertical="center" wrapText="1"/>
    </xf>
    <xf numFmtId="0" fontId="4" fillId="0" borderId="4" xfId="0" applyFont="1" applyFill="1" applyBorder="1" applyAlignment="1">
      <alignment horizontal="center" vertical="center" wrapText="1"/>
    </xf>
    <xf numFmtId="0" fontId="4" fillId="0" borderId="0" xfId="0" applyFont="1" applyAlignment="1">
      <alignment vertical="center" wrapText="1"/>
    </xf>
    <xf numFmtId="0" fontId="4" fillId="0" borderId="1" xfId="0" applyFont="1" applyFill="1" applyBorder="1" applyAlignment="1">
      <alignment horizontal="justify" vertical="center" wrapText="1"/>
    </xf>
    <xf numFmtId="0" fontId="4" fillId="0" borderId="1" xfId="0" quotePrefix="1" applyFont="1" applyFill="1" applyBorder="1" applyAlignment="1">
      <alignment horizontal="left" vertical="center" wrapText="1"/>
    </xf>
    <xf numFmtId="0" fontId="10" fillId="0" borderId="0" xfId="0" applyFont="1" applyAlignment="1">
      <alignment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Continuous" vertical="center" wrapText="1"/>
    </xf>
    <xf numFmtId="0" fontId="22" fillId="0" borderId="1" xfId="0" quotePrefix="1" applyFont="1" applyFill="1" applyBorder="1" applyAlignment="1">
      <alignment horizontal="justify" vertical="center" wrapText="1"/>
    </xf>
    <xf numFmtId="0" fontId="21" fillId="0" borderId="1" xfId="0" quotePrefix="1" applyFont="1" applyFill="1" applyBorder="1" applyAlignment="1">
      <alignment horizontal="justify" vertical="center" wrapText="1"/>
    </xf>
    <xf numFmtId="49" fontId="4" fillId="0" borderId="1" xfId="0" applyNumberFormat="1" applyFont="1" applyFill="1" applyBorder="1" applyAlignment="1">
      <alignment horizontal="left" vertical="center" wrapText="1"/>
    </xf>
    <xf numFmtId="0" fontId="4" fillId="0" borderId="1" xfId="0" quotePrefix="1" applyFont="1" applyFill="1" applyBorder="1" applyAlignment="1">
      <alignment horizontal="justify" vertical="center"/>
    </xf>
    <xf numFmtId="0" fontId="4" fillId="0" borderId="1"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1" xfId="0" applyFont="1" applyFill="1" applyBorder="1" applyAlignment="1">
      <alignment horizontal="justify" vertical="center"/>
    </xf>
    <xf numFmtId="0" fontId="20" fillId="0" borderId="1" xfId="0" quotePrefix="1" applyFont="1" applyFill="1" applyBorder="1" applyAlignment="1">
      <alignment horizontal="justify" vertical="center"/>
    </xf>
    <xf numFmtId="0" fontId="5" fillId="0" borderId="3" xfId="0" applyFont="1" applyFill="1" applyBorder="1" applyAlignment="1">
      <alignment horizontal="left" vertical="center"/>
    </xf>
    <xf numFmtId="0" fontId="4" fillId="0" borderId="4" xfId="0" applyFont="1" applyFill="1" applyBorder="1" applyAlignment="1">
      <alignment horizontal="justify" vertical="center"/>
    </xf>
    <xf numFmtId="49" fontId="4" fillId="0" borderId="1" xfId="0" quotePrefix="1" applyNumberFormat="1" applyFont="1" applyFill="1" applyBorder="1" applyAlignment="1">
      <alignment horizontal="justify" vertical="center"/>
    </xf>
    <xf numFmtId="49" fontId="4" fillId="0" borderId="4" xfId="1" quotePrefix="1" applyFont="1" applyBorder="1" applyAlignment="1">
      <alignment horizontal="left" vertical="center" wrapText="1"/>
    </xf>
    <xf numFmtId="49" fontId="4" fillId="0" borderId="4" xfId="0" applyNumberFormat="1" applyFont="1" applyBorder="1" applyAlignment="1">
      <alignment horizontal="center" vertical="center"/>
    </xf>
    <xf numFmtId="49" fontId="5" fillId="0" borderId="4" xfId="0" applyNumberFormat="1" applyFont="1" applyBorder="1" applyAlignment="1">
      <alignment horizontal="right" vertical="center"/>
    </xf>
    <xf numFmtId="0" fontId="5" fillId="0" borderId="0" xfId="0" applyFont="1" applyAlignment="1">
      <alignment vertical="center"/>
    </xf>
    <xf numFmtId="0" fontId="6" fillId="0" borderId="0" xfId="0" applyFont="1" applyAlignment="1">
      <alignment vertical="center"/>
    </xf>
    <xf numFmtId="49" fontId="4" fillId="0" borderId="1" xfId="0" applyNumberFormat="1" applyFont="1" applyBorder="1" applyAlignment="1">
      <alignment horizontal="left" vertical="center"/>
    </xf>
    <xf numFmtId="49" fontId="4" fillId="0" borderId="1" xfId="0" applyNumberFormat="1" applyFont="1" applyBorder="1" applyAlignment="1">
      <alignment horizontal="left" vertical="center" wrapText="1"/>
    </xf>
    <xf numFmtId="49" fontId="5" fillId="0" borderId="1" xfId="0" applyNumberFormat="1" applyFont="1" applyFill="1" applyBorder="1" applyAlignment="1">
      <alignment horizontal="left" vertical="center"/>
    </xf>
    <xf numFmtId="49" fontId="8" fillId="0" borderId="1" xfId="0" applyNumberFormat="1" applyFont="1" applyFill="1" applyBorder="1" applyAlignment="1">
      <alignment horizontal="left" vertical="center"/>
    </xf>
    <xf numFmtId="49" fontId="4" fillId="0" borderId="1" xfId="0" applyNumberFormat="1" applyFont="1" applyFill="1" applyBorder="1" applyAlignment="1">
      <alignment horizontal="left" vertical="center"/>
    </xf>
    <xf numFmtId="49" fontId="4" fillId="0" borderId="4" xfId="0" applyNumberFormat="1" applyFont="1" applyFill="1" applyBorder="1" applyAlignment="1">
      <alignment horizontal="left" vertical="center"/>
    </xf>
    <xf numFmtId="49" fontId="5" fillId="0" borderId="4" xfId="0" applyNumberFormat="1" applyFont="1" applyFill="1" applyBorder="1" applyAlignment="1">
      <alignment horizontal="right" vertical="center"/>
    </xf>
    <xf numFmtId="49" fontId="4" fillId="0" borderId="1" xfId="0" applyNumberFormat="1" applyFont="1" applyFill="1" applyBorder="1" applyAlignment="1">
      <alignment horizontal="justify" vertical="center"/>
    </xf>
    <xf numFmtId="49" fontId="4" fillId="0" borderId="1" xfId="1" quotePrefix="1" applyFont="1" applyBorder="1" applyAlignment="1">
      <alignment horizontal="left" vertical="center" wrapText="1"/>
    </xf>
    <xf numFmtId="49" fontId="4" fillId="0" borderId="1" xfId="1" quotePrefix="1" applyFont="1" applyFill="1" applyBorder="1" applyAlignment="1">
      <alignment horizontal="left" vertical="center" wrapText="1"/>
    </xf>
    <xf numFmtId="20" fontId="4" fillId="0" borderId="1" xfId="0" quotePrefix="1" applyNumberFormat="1" applyFont="1" applyFill="1" applyBorder="1" applyAlignment="1">
      <alignment horizontal="left" vertical="center"/>
    </xf>
    <xf numFmtId="49" fontId="5" fillId="0" borderId="1" xfId="0" applyNumberFormat="1" applyFont="1" applyBorder="1" applyAlignment="1">
      <alignment horizontal="left" vertical="center" wrapText="1"/>
    </xf>
    <xf numFmtId="49" fontId="22" fillId="0" borderId="1" xfId="0" applyNumberFormat="1" applyFont="1" applyFill="1" applyBorder="1" applyAlignment="1">
      <alignment horizontal="left" vertical="center" wrapText="1"/>
    </xf>
    <xf numFmtId="49" fontId="13" fillId="0" borderId="1"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xf>
    <xf numFmtId="49" fontId="5" fillId="0" borderId="3" xfId="0" applyNumberFormat="1" applyFont="1" applyBorder="1" applyAlignment="1">
      <alignment horizontal="center" vertical="center" wrapText="1"/>
    </xf>
    <xf numFmtId="49" fontId="4" fillId="0" borderId="4" xfId="0" applyNumberFormat="1" applyFont="1" applyFill="1" applyBorder="1" applyAlignment="1">
      <alignment horizontal="left" vertical="center" wrapText="1"/>
    </xf>
    <xf numFmtId="49" fontId="4" fillId="0" borderId="4" xfId="0" applyNumberFormat="1" applyFont="1" applyBorder="1" applyAlignment="1">
      <alignment horizontal="center" vertical="center" wrapText="1"/>
    </xf>
    <xf numFmtId="49" fontId="9" fillId="0" borderId="1" xfId="0" applyNumberFormat="1" applyFont="1" applyBorder="1" applyAlignment="1">
      <alignment horizontal="left" vertical="center"/>
    </xf>
    <xf numFmtId="49" fontId="4" fillId="0" borderId="4" xfId="0" applyNumberFormat="1" applyFont="1" applyBorder="1" applyAlignment="1">
      <alignment horizontal="left" vertical="center"/>
    </xf>
    <xf numFmtId="49" fontId="5" fillId="0" borderId="8" xfId="0" applyNumberFormat="1" applyFont="1" applyBorder="1" applyAlignment="1">
      <alignment horizontal="right" vertical="center"/>
    </xf>
    <xf numFmtId="49" fontId="4" fillId="0" borderId="8"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0" borderId="0" xfId="0" applyNumberFormat="1" applyFont="1" applyBorder="1" applyAlignment="1">
      <alignment horizontal="center" vertical="center"/>
    </xf>
    <xf numFmtId="49" fontId="5" fillId="0" borderId="0" xfId="0" applyNumberFormat="1" applyFont="1" applyFill="1" applyBorder="1" applyAlignment="1">
      <alignment horizontal="right" vertical="center"/>
    </xf>
    <xf numFmtId="49" fontId="12" fillId="0" borderId="0" xfId="0" applyNumberFormat="1" applyFont="1" applyFill="1" applyBorder="1" applyAlignment="1">
      <alignment vertical="center"/>
    </xf>
    <xf numFmtId="0" fontId="1" fillId="0" borderId="13" xfId="0" applyFont="1" applyBorder="1" applyAlignment="1">
      <alignment horizontal="center"/>
    </xf>
    <xf numFmtId="0" fontId="4" fillId="0" borderId="1" xfId="0" applyNumberFormat="1" applyFont="1" applyBorder="1" applyAlignment="1">
      <alignment horizontal="center" vertical="center"/>
    </xf>
    <xf numFmtId="0" fontId="1" fillId="0" borderId="0" xfId="0" applyFont="1" applyAlignment="1">
      <alignment vertical="center"/>
    </xf>
    <xf numFmtId="0" fontId="5" fillId="0" borderId="24" xfId="0" applyFont="1" applyBorder="1"/>
    <xf numFmtId="1" fontId="4" fillId="0" borderId="0" xfId="0" applyNumberFormat="1" applyFont="1" applyAlignment="1">
      <alignment horizontal="center" vertical="center"/>
    </xf>
    <xf numFmtId="1" fontId="4" fillId="0" borderId="0" xfId="0" applyNumberFormat="1" applyFont="1" applyBorder="1" applyAlignment="1">
      <alignment horizontal="center" vertical="center"/>
    </xf>
    <xf numFmtId="1" fontId="4" fillId="0" borderId="1" xfId="0" applyNumberFormat="1" applyFont="1" applyBorder="1" applyAlignment="1">
      <alignment horizontal="center" vertical="center"/>
    </xf>
    <xf numFmtId="1" fontId="4" fillId="0" borderId="1" xfId="0" applyNumberFormat="1" applyFont="1" applyFill="1" applyBorder="1" applyAlignment="1">
      <alignment horizontal="center" vertical="center"/>
    </xf>
    <xf numFmtId="1" fontId="1" fillId="0" borderId="1" xfId="0" applyNumberFormat="1" applyFont="1" applyBorder="1" applyAlignment="1">
      <alignment horizontal="center" vertical="center"/>
    </xf>
    <xf numFmtId="1" fontId="4" fillId="2" borderId="1" xfId="0" applyNumberFormat="1" applyFont="1" applyFill="1" applyBorder="1" applyAlignment="1">
      <alignment horizontal="center" vertical="center"/>
    </xf>
    <xf numFmtId="1" fontId="4" fillId="0" borderId="9" xfId="3" applyNumberFormat="1" applyFont="1" applyBorder="1" applyAlignment="1">
      <alignment horizontal="center" vertical="center"/>
    </xf>
    <xf numFmtId="1" fontId="4" fillId="0" borderId="0" xfId="3" applyNumberFormat="1" applyFont="1" applyBorder="1" applyAlignment="1">
      <alignment horizontal="center" vertical="center"/>
    </xf>
    <xf numFmtId="1" fontId="5" fillId="0" borderId="0" xfId="0" applyNumberFormat="1" applyFont="1" applyFill="1" applyBorder="1" applyAlignment="1">
      <alignment horizontal="right" vertical="center"/>
    </xf>
    <xf numFmtId="1" fontId="12" fillId="0" borderId="0" xfId="0" applyNumberFormat="1" applyFont="1" applyFill="1" applyBorder="1" applyAlignment="1">
      <alignment vertical="center"/>
    </xf>
    <xf numFmtId="1" fontId="4" fillId="0" borderId="0" xfId="0" applyNumberFormat="1" applyFont="1" applyAlignment="1">
      <alignment horizontal="center"/>
    </xf>
    <xf numFmtId="1" fontId="4" fillId="0" borderId="0" xfId="0" applyNumberFormat="1" applyFont="1" applyBorder="1" applyAlignment="1">
      <alignment horizontal="center"/>
    </xf>
    <xf numFmtId="1" fontId="4" fillId="0" borderId="1" xfId="0" applyNumberFormat="1" applyFont="1" applyBorder="1" applyAlignment="1">
      <alignment horizontal="center" vertical="top"/>
    </xf>
    <xf numFmtId="1" fontId="4" fillId="0" borderId="1" xfId="0" applyNumberFormat="1" applyFont="1" applyFill="1" applyBorder="1" applyAlignment="1">
      <alignment horizontal="center" vertical="top"/>
    </xf>
    <xf numFmtId="1" fontId="1" fillId="0" borderId="1" xfId="0" applyNumberFormat="1" applyFont="1" applyBorder="1" applyAlignment="1">
      <alignment horizontal="center" vertical="top"/>
    </xf>
    <xf numFmtId="1" fontId="4" fillId="0" borderId="9" xfId="3" applyNumberFormat="1" applyFont="1" applyBorder="1" applyAlignment="1">
      <alignment horizontal="center"/>
    </xf>
    <xf numFmtId="1" fontId="4" fillId="0" borderId="0" xfId="3" applyNumberFormat="1" applyFont="1" applyBorder="1" applyAlignment="1">
      <alignment horizontal="center"/>
    </xf>
    <xf numFmtId="1" fontId="12" fillId="0" borderId="0" xfId="0" applyNumberFormat="1" applyFont="1" applyFill="1" applyBorder="1"/>
    <xf numFmtId="0" fontId="22" fillId="0" borderId="0" xfId="0" applyFont="1"/>
    <xf numFmtId="2" fontId="4" fillId="0" borderId="0" xfId="0" applyNumberFormat="1" applyFont="1"/>
    <xf numFmtId="2" fontId="4" fillId="0" borderId="0" xfId="0" applyNumberFormat="1" applyFont="1" applyBorder="1"/>
    <xf numFmtId="2" fontId="4" fillId="0" borderId="0" xfId="0" applyNumberFormat="1" applyFont="1" applyFill="1"/>
    <xf numFmtId="2" fontId="4" fillId="0" borderId="0" xfId="0" applyNumberFormat="1" applyFont="1" applyAlignment="1">
      <alignment wrapText="1"/>
    </xf>
    <xf numFmtId="2" fontId="5" fillId="0" borderId="0" xfId="0" applyNumberFormat="1" applyFont="1"/>
    <xf numFmtId="2" fontId="1" fillId="0" borderId="0" xfId="0" applyNumberFormat="1" applyFont="1"/>
    <xf numFmtId="1" fontId="0" fillId="0" borderId="0" xfId="0" applyNumberFormat="1"/>
    <xf numFmtId="49" fontId="13" fillId="0" borderId="0" xfId="0" applyNumberFormat="1" applyFont="1" applyBorder="1" applyAlignment="1">
      <alignment horizontal="left" indent="1"/>
    </xf>
    <xf numFmtId="1" fontId="0" fillId="0" borderId="30" xfId="0" applyNumberFormat="1" applyBorder="1" applyAlignment="1">
      <alignment horizontal="center"/>
    </xf>
    <xf numFmtId="0" fontId="0" fillId="0" borderId="13" xfId="0" applyBorder="1"/>
    <xf numFmtId="1" fontId="0" fillId="0" borderId="13" xfId="0" applyNumberFormat="1" applyBorder="1"/>
    <xf numFmtId="0" fontId="5" fillId="0" borderId="13" xfId="0" applyFont="1" applyBorder="1" applyAlignment="1">
      <alignment horizontal="center"/>
    </xf>
    <xf numFmtId="0" fontId="5" fillId="0" borderId="31" xfId="0" applyFont="1" applyBorder="1" applyAlignment="1">
      <alignment horizontal="center"/>
    </xf>
    <xf numFmtId="1" fontId="5" fillId="0" borderId="0" xfId="0" applyNumberFormat="1" applyFont="1"/>
    <xf numFmtId="1" fontId="1" fillId="7" borderId="1" xfId="0" applyNumberFormat="1" applyFont="1" applyFill="1" applyBorder="1" applyAlignment="1">
      <alignment horizontal="center" vertical="top"/>
    </xf>
    <xf numFmtId="1" fontId="5" fillId="0" borderId="30" xfId="0" applyNumberFormat="1" applyFont="1" applyBorder="1" applyAlignment="1">
      <alignment horizontal="center"/>
    </xf>
    <xf numFmtId="49" fontId="1" fillId="0" borderId="1" xfId="0" applyNumberFormat="1" applyFont="1" applyFill="1" applyBorder="1" applyAlignment="1">
      <alignment horizontal="left" vertical="center" wrapText="1"/>
    </xf>
    <xf numFmtId="49" fontId="1" fillId="0" borderId="1" xfId="0" applyNumberFormat="1" applyFont="1" applyFill="1" applyBorder="1" applyAlignment="1">
      <alignment horizontal="left" vertical="center"/>
    </xf>
    <xf numFmtId="1" fontId="4" fillId="2" borderId="1" xfId="0" applyNumberFormat="1" applyFont="1" applyFill="1" applyBorder="1" applyAlignment="1">
      <alignment horizontal="center" vertical="top"/>
    </xf>
    <xf numFmtId="0" fontId="22" fillId="0" borderId="24" xfId="0" applyFont="1" applyBorder="1"/>
    <xf numFmtId="167" fontId="24" fillId="0" borderId="1" xfId="10" applyNumberFormat="1" applyFont="1" applyBorder="1" applyAlignment="1">
      <alignment horizontal="right" vertical="center"/>
    </xf>
    <xf numFmtId="1" fontId="5" fillId="0" borderId="13" xfId="0" applyNumberFormat="1" applyFont="1" applyBorder="1" applyAlignment="1">
      <alignment horizontal="center"/>
    </xf>
    <xf numFmtId="1" fontId="18" fillId="0" borderId="0" xfId="0" applyNumberFormat="1" applyFont="1"/>
    <xf numFmtId="0" fontId="4" fillId="4" borderId="0" xfId="0" applyFont="1" applyFill="1" applyAlignment="1">
      <alignment vertical="center"/>
    </xf>
    <xf numFmtId="49" fontId="5" fillId="4" borderId="1" xfId="0" applyNumberFormat="1" applyFont="1" applyFill="1" applyBorder="1" applyAlignment="1">
      <alignment horizontal="left" vertical="center" wrapText="1"/>
    </xf>
    <xf numFmtId="0" fontId="0" fillId="2" borderId="0" xfId="0" applyFill="1"/>
    <xf numFmtId="0" fontId="0" fillId="3" borderId="0" xfId="0" applyFill="1"/>
    <xf numFmtId="0" fontId="0" fillId="8" borderId="0" xfId="0" applyFill="1"/>
    <xf numFmtId="0" fontId="0" fillId="9" borderId="0" xfId="0" applyFill="1"/>
    <xf numFmtId="0" fontId="0" fillId="10" borderId="0" xfId="0" applyFill="1"/>
    <xf numFmtId="49" fontId="1" fillId="0" borderId="1" xfId="0" applyNumberFormat="1" applyFont="1" applyFill="1" applyBorder="1" applyAlignment="1">
      <alignment horizontal="left" vertical="top"/>
    </xf>
    <xf numFmtId="0" fontId="0" fillId="0" borderId="0" xfId="0" applyAlignment="1">
      <alignment horizontal="center" vertical="center"/>
    </xf>
    <xf numFmtId="49" fontId="5" fillId="3" borderId="17" xfId="0" applyNumberFormat="1" applyFont="1" applyFill="1" applyBorder="1" applyAlignment="1">
      <alignment horizontal="center" vertical="center" wrapText="1"/>
    </xf>
    <xf numFmtId="168" fontId="28" fillId="0" borderId="0" xfId="0" applyNumberFormat="1" applyFont="1" applyFill="1" applyBorder="1" applyAlignment="1" applyProtection="1">
      <alignment horizontal="right" vertical="center" wrapText="1"/>
    </xf>
    <xf numFmtId="0" fontId="4" fillId="0" borderId="17" xfId="0" applyNumberFormat="1" applyFont="1" applyBorder="1" applyAlignment="1">
      <alignment horizontal="right" vertical="center"/>
    </xf>
    <xf numFmtId="0" fontId="28" fillId="0" borderId="0" xfId="0" applyNumberFormat="1" applyFont="1" applyFill="1" applyBorder="1" applyAlignment="1" applyProtection="1">
      <alignment horizontal="right" vertical="center" wrapText="1"/>
    </xf>
    <xf numFmtId="0" fontId="4" fillId="0" borderId="0" xfId="0" applyNumberFormat="1" applyFont="1" applyBorder="1" applyAlignment="1">
      <alignment horizontal="right" vertical="center"/>
    </xf>
    <xf numFmtId="0" fontId="4" fillId="0" borderId="0" xfId="0" applyNumberFormat="1" applyFont="1" applyAlignment="1">
      <alignment horizontal="center"/>
    </xf>
    <xf numFmtId="0" fontId="4" fillId="0" borderId="0" xfId="0" applyNumberFormat="1" applyFont="1" applyBorder="1" applyAlignment="1">
      <alignment horizontal="right"/>
    </xf>
    <xf numFmtId="0" fontId="4" fillId="0" borderId="0" xfId="0" applyNumberFormat="1" applyFont="1" applyAlignment="1">
      <alignment horizontal="right"/>
    </xf>
    <xf numFmtId="0" fontId="5" fillId="3" borderId="17" xfId="0" applyNumberFormat="1" applyFont="1" applyFill="1" applyBorder="1" applyAlignment="1">
      <alignment horizontal="center" vertical="center" wrapText="1"/>
    </xf>
    <xf numFmtId="0" fontId="4" fillId="0" borderId="17" xfId="0" applyNumberFormat="1" applyFont="1" applyBorder="1" applyAlignment="1">
      <alignment horizontal="center" vertical="top"/>
    </xf>
    <xf numFmtId="0" fontId="4" fillId="0" borderId="0" xfId="0" applyNumberFormat="1" applyFont="1" applyBorder="1" applyAlignment="1">
      <alignment horizontal="center" vertical="center"/>
    </xf>
    <xf numFmtId="0" fontId="4" fillId="0" borderId="17" xfId="0" applyNumberFormat="1" applyFont="1" applyBorder="1" applyAlignment="1">
      <alignment horizontal="right" vertical="top"/>
    </xf>
    <xf numFmtId="49" fontId="0" fillId="0" borderId="0" xfId="0" applyNumberFormat="1"/>
    <xf numFmtId="4" fontId="0" fillId="0" borderId="0" xfId="0" applyNumberFormat="1"/>
    <xf numFmtId="167" fontId="0" fillId="0" borderId="0" xfId="0" applyNumberFormat="1"/>
    <xf numFmtId="168" fontId="0" fillId="0" borderId="0" xfId="0" applyNumberFormat="1"/>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horizontal="center" vertical="top"/>
    </xf>
    <xf numFmtId="49" fontId="5" fillId="3" borderId="16" xfId="0" applyNumberFormat="1" applyFont="1" applyFill="1" applyBorder="1" applyAlignment="1">
      <alignment horizontal="center" vertical="center" wrapText="1"/>
    </xf>
    <xf numFmtId="49" fontId="5" fillId="3" borderId="11"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xf numFmtId="49" fontId="5" fillId="0" borderId="19" xfId="0" applyNumberFormat="1" applyFont="1" applyFill="1" applyBorder="1" applyAlignment="1">
      <alignment horizontal="center" vertical="center" wrapText="1"/>
    </xf>
    <xf numFmtId="49" fontId="5" fillId="0" borderId="20" xfId="0" applyNumberFormat="1" applyFont="1" applyFill="1" applyBorder="1" applyAlignment="1">
      <alignment horizontal="center" vertical="center" wrapText="1"/>
    </xf>
    <xf numFmtId="0" fontId="5" fillId="0" borderId="0" xfId="0" applyFont="1" applyFill="1" applyBorder="1" applyAlignment="1">
      <alignment horizontal="right" vertical="center"/>
    </xf>
    <xf numFmtId="49" fontId="5" fillId="3" borderId="18" xfId="0" applyNumberFormat="1" applyFont="1" applyFill="1" applyBorder="1" applyAlignment="1">
      <alignment horizontal="center" vertical="center"/>
    </xf>
    <xf numFmtId="49" fontId="5" fillId="3" borderId="12" xfId="0" applyNumberFormat="1" applyFont="1" applyFill="1" applyBorder="1" applyAlignment="1">
      <alignment horizontal="center" vertical="center"/>
    </xf>
    <xf numFmtId="49" fontId="5" fillId="3" borderId="18"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1" fontId="5" fillId="3" borderId="18" xfId="0" applyNumberFormat="1" applyFont="1" applyFill="1" applyBorder="1" applyAlignment="1">
      <alignment horizontal="center" vertical="center"/>
    </xf>
    <xf numFmtId="1" fontId="5" fillId="3" borderId="6" xfId="0" applyNumberFormat="1" applyFont="1" applyFill="1" applyBorder="1" applyAlignment="1">
      <alignment horizontal="center" vertical="center"/>
    </xf>
    <xf numFmtId="0" fontId="5" fillId="0" borderId="17" xfId="0" applyFont="1" applyFill="1" applyBorder="1" applyAlignment="1">
      <alignment horizontal="right" vertical="center"/>
    </xf>
    <xf numFmtId="0" fontId="5" fillId="0" borderId="21" xfId="0" applyFont="1" applyFill="1" applyBorder="1" applyAlignment="1">
      <alignment horizontal="right" vertical="center"/>
    </xf>
    <xf numFmtId="1" fontId="5" fillId="3" borderId="22" xfId="0" applyNumberFormat="1" applyFont="1" applyFill="1" applyBorder="1" applyAlignment="1">
      <alignment horizontal="center" vertical="center"/>
    </xf>
    <xf numFmtId="1" fontId="5" fillId="3" borderId="12" xfId="0" applyNumberFormat="1" applyFont="1" applyFill="1" applyBorder="1" applyAlignment="1">
      <alignment horizontal="center" vertical="center"/>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49" fontId="5" fillId="0" borderId="18" xfId="0" applyNumberFormat="1" applyFont="1" applyFill="1" applyBorder="1" applyAlignment="1">
      <alignment horizontal="center" vertical="top"/>
    </xf>
    <xf numFmtId="49" fontId="5" fillId="0" borderId="6" xfId="0" applyNumberFormat="1" applyFont="1" applyFill="1" applyBorder="1" applyAlignment="1">
      <alignment horizontal="center" vertical="top"/>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5" fillId="0" borderId="2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0" fillId="0" borderId="31" xfId="0" applyBorder="1" applyAlignment="1">
      <alignment horizontal="center"/>
    </xf>
    <xf numFmtId="0" fontId="0" fillId="0" borderId="32" xfId="0" applyBorder="1" applyAlignment="1">
      <alignment horizontal="center"/>
    </xf>
    <xf numFmtId="0" fontId="1" fillId="0" borderId="25" xfId="0" applyFon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5" fillId="0" borderId="30" xfId="0" applyFont="1" applyBorder="1" applyAlignment="1">
      <alignment horizontal="center"/>
    </xf>
    <xf numFmtId="0" fontId="5" fillId="0" borderId="32" xfId="0" applyFont="1" applyBorder="1" applyAlignment="1">
      <alignment horizontal="center"/>
    </xf>
    <xf numFmtId="0" fontId="5" fillId="0" borderId="31" xfId="0" applyFont="1" applyBorder="1" applyAlignment="1">
      <alignment horizontal="center"/>
    </xf>
    <xf numFmtId="0" fontId="0" fillId="11" borderId="15" xfId="0" applyFill="1" applyBorder="1" applyAlignment="1">
      <alignment vertical="top"/>
    </xf>
    <xf numFmtId="0" fontId="0" fillId="12" borderId="15" xfId="0" applyFill="1" applyBorder="1"/>
    <xf numFmtId="0" fontId="0" fillId="0" borderId="0" xfId="0" quotePrefix="1"/>
    <xf numFmtId="0" fontId="0" fillId="0" borderId="0" xfId="0" applyNumberFormat="1"/>
    <xf numFmtId="44" fontId="0" fillId="0" borderId="0" xfId="13" applyFont="1"/>
    <xf numFmtId="0" fontId="0" fillId="0" borderId="17" xfId="0" applyBorder="1"/>
    <xf numFmtId="0" fontId="4" fillId="0" borderId="0" xfId="0" applyNumberFormat="1" applyFont="1" applyBorder="1" applyAlignment="1">
      <alignment horizontal="right" vertical="top"/>
    </xf>
    <xf numFmtId="0" fontId="4" fillId="0" borderId="0" xfId="0" applyNumberFormat="1" applyFont="1" applyBorder="1" applyAlignment="1">
      <alignment horizontal="center" vertical="top"/>
    </xf>
    <xf numFmtId="0" fontId="0" fillId="0" borderId="3" xfId="0" applyBorder="1"/>
    <xf numFmtId="0" fontId="13" fillId="0" borderId="0" xfId="0" applyFont="1" applyFill="1" applyBorder="1" applyAlignment="1">
      <alignment horizontal="center" vertical="center"/>
    </xf>
    <xf numFmtId="49" fontId="5" fillId="0" borderId="0" xfId="0" applyNumberFormat="1" applyFont="1" applyBorder="1" applyAlignment="1">
      <alignment horizontal="center" vertical="top"/>
    </xf>
    <xf numFmtId="0" fontId="4" fillId="0" borderId="0" xfId="0" applyFont="1" applyFill="1" applyBorder="1" applyAlignment="1">
      <alignment horizontal="center" vertical="top"/>
    </xf>
    <xf numFmtId="0" fontId="18" fillId="0" borderId="0" xfId="0" applyFont="1" applyFill="1" applyBorder="1" applyAlignment="1">
      <alignment horizontal="center" vertical="center"/>
    </xf>
    <xf numFmtId="0" fontId="13" fillId="0" borderId="0" xfId="0" applyFont="1" applyFill="1" applyBorder="1" applyAlignment="1">
      <alignment horizontal="center" vertical="top"/>
    </xf>
    <xf numFmtId="49" fontId="0" fillId="0" borderId="1" xfId="0" applyNumberFormat="1" applyBorder="1"/>
    <xf numFmtId="49" fontId="4" fillId="0" borderId="0" xfId="0" applyNumberFormat="1" applyFont="1" applyFill="1" applyBorder="1" applyAlignment="1">
      <alignment horizontal="left" vertical="top"/>
    </xf>
    <xf numFmtId="0" fontId="0" fillId="0" borderId="1" xfId="0" applyBorder="1"/>
    <xf numFmtId="49" fontId="4" fillId="0" borderId="0" xfId="0" applyNumberFormat="1" applyFont="1" applyBorder="1" applyAlignment="1">
      <alignment horizontal="left" vertical="top" wrapText="1"/>
    </xf>
    <xf numFmtId="49" fontId="4" fillId="0" borderId="0" xfId="0" applyNumberFormat="1" applyFont="1" applyFill="1" applyBorder="1" applyAlignment="1">
      <alignment horizontal="left" vertical="top" wrapText="1"/>
    </xf>
    <xf numFmtId="49" fontId="0" fillId="0" borderId="4" xfId="0" applyNumberFormat="1" applyBorder="1"/>
    <xf numFmtId="49" fontId="4" fillId="0" borderId="0" xfId="0" applyNumberFormat="1" applyFont="1" applyFill="1" applyBorder="1" applyAlignment="1">
      <alignment horizontal="center" vertical="top"/>
    </xf>
    <xf numFmtId="0" fontId="4" fillId="0" borderId="0" xfId="0" applyFont="1" applyFill="1" applyBorder="1" applyAlignment="1">
      <alignment horizontal="left" vertical="top"/>
    </xf>
    <xf numFmtId="49" fontId="5" fillId="0" borderId="4" xfId="0" applyNumberFormat="1" applyFont="1" applyFill="1" applyBorder="1" applyAlignment="1">
      <alignment horizontal="left" vertical="center"/>
    </xf>
    <xf numFmtId="0" fontId="4" fillId="0" borderId="1" xfId="0" applyFont="1" applyFill="1" applyBorder="1" applyAlignment="1">
      <alignment horizontal="center" wrapText="1"/>
    </xf>
    <xf numFmtId="49"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0" xfId="0" applyFont="1" applyFill="1" applyBorder="1" applyAlignment="1">
      <alignment horizontal="center"/>
    </xf>
    <xf numFmtId="49" fontId="5" fillId="0" borderId="4" xfId="0" applyNumberFormat="1" applyFont="1" applyBorder="1" applyAlignment="1">
      <alignment horizontal="center"/>
    </xf>
    <xf numFmtId="49" fontId="4" fillId="0" borderId="0" xfId="0" applyNumberFormat="1" applyFont="1" applyFill="1" applyBorder="1" applyAlignment="1">
      <alignment horizontal="center" vertical="center"/>
    </xf>
    <xf numFmtId="1" fontId="0" fillId="0" borderId="1" xfId="0" applyNumberFormat="1" applyBorder="1"/>
    <xf numFmtId="1" fontId="4" fillId="0" borderId="0" xfId="0" applyNumberFormat="1" applyFont="1" applyBorder="1" applyAlignment="1">
      <alignment horizontal="center" vertical="top"/>
    </xf>
    <xf numFmtId="1" fontId="4" fillId="2" borderId="0" xfId="0" applyNumberFormat="1" applyFont="1" applyFill="1" applyBorder="1" applyAlignment="1">
      <alignment horizontal="center" vertical="center"/>
    </xf>
    <xf numFmtId="0" fontId="0" fillId="0" borderId="1" xfId="0" applyBorder="1" applyAlignment="1">
      <alignment horizontal="center" vertical="center"/>
    </xf>
    <xf numFmtId="167" fontId="24" fillId="0" borderId="0" xfId="10" applyNumberFormat="1" applyFont="1" applyBorder="1" applyAlignment="1">
      <alignment horizontal="right" vertical="center"/>
    </xf>
    <xf numFmtId="167" fontId="0" fillId="0" borderId="1" xfId="0" applyNumberFormat="1" applyBorder="1"/>
    <xf numFmtId="168" fontId="0" fillId="0" borderId="1" xfId="0" applyNumberFormat="1" applyBorder="1"/>
    <xf numFmtId="49" fontId="4" fillId="0" borderId="0" xfId="0" applyNumberFormat="1" applyFont="1" applyFill="1" applyBorder="1" applyAlignment="1">
      <alignment horizontal="left" vertical="center" wrapText="1"/>
    </xf>
    <xf numFmtId="20" fontId="4" fillId="0" borderId="4" xfId="0" quotePrefix="1" applyNumberFormat="1" applyFont="1" applyFill="1" applyBorder="1" applyAlignment="1">
      <alignment horizontal="left" vertical="center"/>
    </xf>
    <xf numFmtId="49" fontId="5" fillId="0" borderId="4" xfId="0" applyNumberFormat="1" applyFont="1" applyBorder="1" applyAlignment="1">
      <alignment horizontal="left" vertical="center"/>
    </xf>
    <xf numFmtId="49" fontId="5" fillId="0" borderId="4" xfId="0" applyNumberFormat="1" applyFont="1" applyBorder="1" applyAlignment="1">
      <alignment horizontal="left" vertical="top"/>
    </xf>
    <xf numFmtId="49" fontId="5" fillId="0" borderId="4" xfId="0" applyNumberFormat="1" applyFont="1" applyFill="1" applyBorder="1" applyAlignment="1">
      <alignment horizontal="left" vertical="top"/>
    </xf>
    <xf numFmtId="0" fontId="4" fillId="0" borderId="4" xfId="0" applyFont="1" applyFill="1" applyBorder="1" applyAlignment="1">
      <alignment horizontal="left" vertical="center"/>
    </xf>
    <xf numFmtId="0" fontId="4" fillId="0" borderId="4" xfId="0" quotePrefix="1" applyFont="1" applyFill="1" applyBorder="1" applyAlignment="1">
      <alignment horizontal="left" vertical="center" wrapText="1"/>
    </xf>
    <xf numFmtId="0" fontId="0" fillId="11" borderId="15" xfId="0" applyFill="1" applyBorder="1" applyAlignment="1">
      <alignment horizontal="left" vertical="top"/>
    </xf>
    <xf numFmtId="0" fontId="0" fillId="12" borderId="15" xfId="0" applyFill="1" applyBorder="1" applyAlignment="1">
      <alignment horizontal="left"/>
    </xf>
    <xf numFmtId="0" fontId="0" fillId="0" borderId="0" xfId="0" applyAlignment="1">
      <alignment horizontal="left" vertical="top"/>
    </xf>
    <xf numFmtId="49" fontId="0" fillId="0" borderId="1" xfId="0" applyNumberFormat="1" applyBorder="1" applyAlignment="1">
      <alignment horizontal="left"/>
    </xf>
    <xf numFmtId="49" fontId="0" fillId="0" borderId="4" xfId="0" applyNumberFormat="1" applyBorder="1" applyAlignment="1">
      <alignment horizontal="left"/>
    </xf>
    <xf numFmtId="0" fontId="4" fillId="0" borderId="1" xfId="0" quotePrefix="1" applyFont="1" applyFill="1" applyBorder="1" applyAlignment="1">
      <alignment horizontal="left" vertical="center"/>
    </xf>
    <xf numFmtId="0" fontId="4" fillId="0" borderId="1" xfId="0" quotePrefix="1" applyFont="1" applyFill="1" applyBorder="1" applyAlignment="1">
      <alignment horizontal="left" vertical="top"/>
    </xf>
    <xf numFmtId="0" fontId="22" fillId="0" borderId="1" xfId="0" quotePrefix="1" applyFont="1" applyFill="1" applyBorder="1" applyAlignment="1">
      <alignment horizontal="left" vertical="center" wrapText="1"/>
    </xf>
    <xf numFmtId="0" fontId="4" fillId="0" borderId="1" xfId="0" applyFont="1" applyFill="1" applyBorder="1" applyAlignment="1">
      <alignment horizontal="left" vertical="top" wrapText="1"/>
    </xf>
    <xf numFmtId="0" fontId="4" fillId="0" borderId="1" xfId="0" applyFont="1" applyFill="1" applyBorder="1" applyAlignment="1">
      <alignment horizontal="left" vertical="center" wrapText="1"/>
    </xf>
    <xf numFmtId="0" fontId="4" fillId="0" borderId="4" xfId="0" applyFont="1" applyFill="1" applyBorder="1" applyAlignment="1">
      <alignment horizontal="left" vertical="top"/>
    </xf>
    <xf numFmtId="0" fontId="23" fillId="2" borderId="15" xfId="0" applyFont="1" applyFill="1" applyBorder="1" applyAlignment="1">
      <alignment horizontal="left" vertical="top"/>
    </xf>
    <xf numFmtId="0" fontId="5" fillId="0" borderId="1" xfId="0" applyFont="1" applyBorder="1" applyAlignment="1">
      <alignment horizontal="left" vertical="center"/>
    </xf>
    <xf numFmtId="0" fontId="5" fillId="0" borderId="1" xfId="0" applyFont="1" applyBorder="1" applyAlignment="1">
      <alignment horizontal="left" vertical="top"/>
    </xf>
    <xf numFmtId="49" fontId="5" fillId="0" borderId="1" xfId="0" applyNumberFormat="1" applyFont="1" applyBorder="1" applyAlignment="1">
      <alignment horizontal="left"/>
    </xf>
    <xf numFmtId="49" fontId="5" fillId="0" borderId="4" xfId="0" applyNumberFormat="1" applyFont="1" applyBorder="1" applyAlignment="1">
      <alignment horizontal="left"/>
    </xf>
    <xf numFmtId="49" fontId="13" fillId="0" borderId="4" xfId="0" applyNumberFormat="1" applyFont="1" applyBorder="1" applyAlignment="1">
      <alignment horizontal="left"/>
    </xf>
    <xf numFmtId="49" fontId="13" fillId="0" borderId="1" xfId="0" applyNumberFormat="1" applyFont="1" applyBorder="1" applyAlignment="1">
      <alignment horizontal="left"/>
    </xf>
    <xf numFmtId="0" fontId="21" fillId="0" borderId="1" xfId="0" quotePrefix="1" applyFont="1" applyFill="1" applyBorder="1" applyAlignment="1">
      <alignment horizontal="left" vertical="center" wrapText="1"/>
    </xf>
    <xf numFmtId="0" fontId="20" fillId="0" borderId="1" xfId="0" quotePrefix="1" applyFont="1" applyFill="1" applyBorder="1" applyAlignment="1">
      <alignment horizontal="left" vertical="center"/>
    </xf>
    <xf numFmtId="49" fontId="4" fillId="0" borderId="1" xfId="0" quotePrefix="1" applyNumberFormat="1" applyFont="1" applyFill="1" applyBorder="1" applyAlignment="1">
      <alignment horizontal="left" vertical="center"/>
    </xf>
    <xf numFmtId="0" fontId="18" fillId="0" borderId="1" xfId="0" applyFont="1" applyFill="1" applyBorder="1" applyAlignment="1">
      <alignment horizontal="left" vertical="top"/>
    </xf>
    <xf numFmtId="49" fontId="4" fillId="0" borderId="1" xfId="0" applyNumberFormat="1" applyFont="1" applyBorder="1" applyAlignment="1">
      <alignment horizontal="left" vertical="top"/>
    </xf>
    <xf numFmtId="49" fontId="4" fillId="0" borderId="4" xfId="0" applyNumberFormat="1" applyFont="1" applyBorder="1" applyAlignment="1">
      <alignment horizontal="left"/>
    </xf>
    <xf numFmtId="49" fontId="13" fillId="0" borderId="0" xfId="0" applyNumberFormat="1" applyFont="1" applyBorder="1" applyAlignment="1">
      <alignment horizontal="left"/>
    </xf>
    <xf numFmtId="0" fontId="4" fillId="0" borderId="0" xfId="0" quotePrefix="1" applyFont="1" applyFill="1" applyBorder="1" applyAlignment="1">
      <alignment horizontal="left" vertical="top"/>
    </xf>
    <xf numFmtId="0" fontId="0" fillId="0" borderId="0" xfId="0" applyAlignment="1">
      <alignment horizontal="left"/>
    </xf>
    <xf numFmtId="49" fontId="0" fillId="0" borderId="0" xfId="0" applyNumberFormat="1" applyAlignment="1">
      <alignment horizontal="left"/>
    </xf>
    <xf numFmtId="49" fontId="4" fillId="0" borderId="1" xfId="0" applyNumberFormat="1" applyFont="1" applyFill="1" applyBorder="1" applyAlignment="1">
      <alignment horizontal="left" wrapText="1"/>
    </xf>
    <xf numFmtId="49" fontId="13" fillId="0" borderId="1" xfId="0" applyNumberFormat="1" applyFont="1" applyFill="1" applyBorder="1" applyAlignment="1">
      <alignment horizontal="left"/>
    </xf>
    <xf numFmtId="49" fontId="13" fillId="0" borderId="12" xfId="0" applyNumberFormat="1" applyFont="1" applyBorder="1" applyAlignment="1">
      <alignment horizontal="left"/>
    </xf>
    <xf numFmtId="49" fontId="9" fillId="0" borderId="1" xfId="0" applyNumberFormat="1" applyFont="1" applyBorder="1" applyAlignment="1">
      <alignment horizontal="left"/>
    </xf>
    <xf numFmtId="49" fontId="5" fillId="0" borderId="8" xfId="0" applyNumberFormat="1" applyFont="1" applyBorder="1" applyAlignment="1">
      <alignment horizontal="left"/>
    </xf>
    <xf numFmtId="49" fontId="5" fillId="0" borderId="1" xfId="0" applyNumberFormat="1" applyFont="1" applyFill="1" applyBorder="1" applyAlignment="1">
      <alignment horizontal="left" wrapText="1"/>
    </xf>
    <xf numFmtId="49" fontId="4" fillId="0" borderId="1" xfId="0" applyNumberFormat="1" applyFont="1" applyBorder="1" applyAlignment="1">
      <alignment horizontal="left"/>
    </xf>
    <xf numFmtId="49" fontId="4" fillId="0" borderId="0" xfId="0" applyNumberFormat="1" applyFont="1" applyFill="1" applyBorder="1" applyAlignment="1">
      <alignment horizontal="left" wrapText="1"/>
    </xf>
    <xf numFmtId="49" fontId="0" fillId="0" borderId="0" xfId="0" applyNumberFormat="1" applyBorder="1"/>
    <xf numFmtId="49" fontId="4" fillId="0" borderId="1" xfId="0" quotePrefix="1" applyNumberFormat="1" applyFont="1" applyFill="1" applyBorder="1" applyAlignment="1">
      <alignment horizontal="left" vertical="top"/>
    </xf>
    <xf numFmtId="49" fontId="0" fillId="0" borderId="0" xfId="0" applyNumberFormat="1" applyBorder="1" applyAlignment="1">
      <alignment horizontal="left"/>
    </xf>
    <xf numFmtId="0" fontId="5" fillId="0" borderId="6" xfId="0" applyFont="1" applyBorder="1" applyAlignment="1">
      <alignment horizontal="left" vertical="top"/>
    </xf>
    <xf numFmtId="49" fontId="5" fillId="0" borderId="8" xfId="0" applyNumberFormat="1" applyFont="1" applyBorder="1" applyAlignment="1">
      <alignment horizontal="left" vertical="top"/>
    </xf>
    <xf numFmtId="49" fontId="16" fillId="0" borderId="1" xfId="0" applyNumberFormat="1" applyFont="1" applyFill="1" applyBorder="1" applyAlignment="1">
      <alignment horizontal="left"/>
    </xf>
    <xf numFmtId="0" fontId="23" fillId="2" borderId="15" xfId="0" applyFont="1" applyFill="1" applyBorder="1" applyAlignment="1">
      <alignment horizontal="left" vertical="center"/>
    </xf>
    <xf numFmtId="49" fontId="16" fillId="0" borderId="1" xfId="0" applyNumberFormat="1" applyFont="1" applyBorder="1" applyAlignment="1">
      <alignment horizontal="left"/>
    </xf>
    <xf numFmtId="0" fontId="0" fillId="0" borderId="0" xfId="0" applyBorder="1" applyAlignment="1">
      <alignment horizontal="left"/>
    </xf>
    <xf numFmtId="0" fontId="20" fillId="0" borderId="1" xfId="0" quotePrefix="1" applyFont="1" applyFill="1" applyBorder="1" applyAlignment="1">
      <alignment horizontal="left" vertical="top"/>
    </xf>
    <xf numFmtId="49" fontId="5" fillId="0" borderId="8" xfId="0" applyNumberFormat="1" applyFont="1" applyBorder="1" applyAlignment="1">
      <alignment horizontal="left" vertical="center"/>
    </xf>
    <xf numFmtId="4" fontId="0" fillId="0" borderId="0" xfId="0" applyNumberFormat="1" applyBorder="1"/>
    <xf numFmtId="1" fontId="0" fillId="0" borderId="0" xfId="0" applyNumberFormat="1" applyBorder="1"/>
    <xf numFmtId="167" fontId="0" fillId="0" borderId="0" xfId="0" applyNumberFormat="1" applyBorder="1"/>
    <xf numFmtId="168" fontId="0" fillId="0" borderId="0" xfId="0" applyNumberFormat="1" applyBorder="1"/>
    <xf numFmtId="0" fontId="1" fillId="0" borderId="0" xfId="0" applyFont="1" applyAlignment="1">
      <alignment vertical="top"/>
    </xf>
    <xf numFmtId="0" fontId="5" fillId="0" borderId="0" xfId="0" applyFont="1" applyFill="1" applyBorder="1" applyAlignment="1">
      <alignment horizontal="center" vertical="top" wrapText="1"/>
    </xf>
    <xf numFmtId="49" fontId="5" fillId="0" borderId="0" xfId="0" applyNumberFormat="1" applyFont="1" applyBorder="1" applyAlignment="1">
      <alignment horizontal="center" vertical="center"/>
    </xf>
    <xf numFmtId="49" fontId="4" fillId="0" borderId="0" xfId="0" applyNumberFormat="1" applyFont="1" applyBorder="1" applyAlignment="1">
      <alignment horizontal="left" vertical="center" wrapText="1"/>
    </xf>
    <xf numFmtId="49" fontId="4" fillId="0" borderId="0" xfId="0" applyNumberFormat="1" applyFont="1" applyFill="1" applyBorder="1" applyAlignment="1">
      <alignment horizontal="left" vertical="center"/>
    </xf>
    <xf numFmtId="49" fontId="4" fillId="0" borderId="0" xfId="0" quotePrefix="1" applyNumberFormat="1" applyFont="1" applyBorder="1" applyAlignment="1">
      <alignment horizontal="left" vertical="top" wrapText="1"/>
    </xf>
    <xf numFmtId="0" fontId="4" fillId="0" borderId="0" xfId="0" applyFont="1" applyFill="1" applyBorder="1" applyAlignment="1">
      <alignment horizontal="left" vertical="top" wrapText="1"/>
    </xf>
    <xf numFmtId="49" fontId="4" fillId="0" borderId="0" xfId="0" applyNumberFormat="1" applyFont="1" applyBorder="1" applyAlignment="1">
      <alignment horizontal="center" vertical="top" wrapText="1"/>
    </xf>
    <xf numFmtId="49" fontId="4" fillId="0" borderId="1" xfId="0" applyNumberFormat="1" applyFont="1" applyBorder="1" applyAlignment="1">
      <alignment horizontal="center" vertical="center" wrapText="1"/>
    </xf>
    <xf numFmtId="1" fontId="1" fillId="0" borderId="0" xfId="0" applyNumberFormat="1" applyFont="1" applyBorder="1" applyAlignment="1">
      <alignment horizontal="center" vertical="top"/>
    </xf>
    <xf numFmtId="0" fontId="5"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49" fontId="4" fillId="0" borderId="0" xfId="0" applyNumberFormat="1" applyFont="1" applyBorder="1" applyAlignment="1">
      <alignment horizontal="left" vertical="center"/>
    </xf>
    <xf numFmtId="0" fontId="4" fillId="0" borderId="0" xfId="0" applyFont="1" applyFill="1" applyBorder="1" applyAlignment="1">
      <alignment horizontal="left" vertical="center" wrapText="1"/>
    </xf>
    <xf numFmtId="49" fontId="4" fillId="0" borderId="1" xfId="0" applyNumberFormat="1" applyFont="1" applyBorder="1" applyAlignment="1">
      <alignment horizontal="center" wrapText="1"/>
    </xf>
    <xf numFmtId="0" fontId="4" fillId="0" borderId="0" xfId="0" applyFont="1" applyFill="1" applyBorder="1" applyAlignment="1">
      <alignment horizontal="center" vertical="center" wrapText="1"/>
    </xf>
    <xf numFmtId="49" fontId="4" fillId="0" borderId="0" xfId="0" applyNumberFormat="1" applyFont="1" applyBorder="1" applyAlignment="1">
      <alignment horizontal="center" vertical="top"/>
    </xf>
    <xf numFmtId="1" fontId="1" fillId="0" borderId="0" xfId="0" applyNumberFormat="1" applyFont="1" applyBorder="1" applyAlignment="1">
      <alignment horizontal="center" vertical="center"/>
    </xf>
  </cellXfs>
  <cellStyles count="14">
    <cellStyle name="Definition" xfId="1"/>
    <cellStyle name="Euro" xfId="2"/>
    <cellStyle name="Milliers" xfId="3" builtinId="3"/>
    <cellStyle name="Milliers 2" xfId="11"/>
    <cellStyle name="Monétaire" xfId="13" builtinId="4"/>
    <cellStyle name="MONTANT" xfId="4"/>
    <cellStyle name="Normal" xfId="0" builtinId="0"/>
    <cellStyle name="Normal 2" xfId="5"/>
    <cellStyle name="Normal 2 2" xfId="10"/>
    <cellStyle name="Normal 5 3 2" xfId="6"/>
    <cellStyle name="Normal 5 3 2 2" xfId="12"/>
    <cellStyle name="P.U" xfId="7"/>
    <cellStyle name="qte2d" xfId="8"/>
    <cellStyle name="TOTAL LOT" xfId="9"/>
  </cellStyles>
  <dxfs count="18">
    <dxf>
      <numFmt numFmtId="0" formatCode="General"/>
    </dxf>
    <dxf>
      <numFmt numFmtId="30" formatCode="@"/>
      <alignment horizontal="left" textRotation="0" indent="0" justifyLastLine="0" shrinkToFit="0" readingOrder="0"/>
    </dxf>
    <dxf>
      <fill>
        <patternFill>
          <bgColor indexed="10"/>
        </patternFill>
      </fill>
    </dxf>
    <dxf>
      <fill>
        <patternFill>
          <bgColor indexed="10"/>
        </patternFill>
      </fill>
    </dxf>
    <dxf>
      <fill>
        <patternFill>
          <bgColor indexed="10"/>
        </patternFill>
      </fill>
    </dxf>
    <dxf>
      <fill>
        <patternFill>
          <bgColor indexed="1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top" textRotation="0" wrapText="0" indent="0" justifyLastLine="0" shrinkToFit="0" readingOrder="0"/>
    </dxf>
    <dxf>
      <numFmt numFmtId="168" formatCode="#,##0.00\ &quot;€&quot;"/>
    </dxf>
    <dxf>
      <numFmt numFmtId="167" formatCode="_-* #,##0.00\ [$€-40C]_-;\-* #,##0.00\ [$€-40C]_-;_-* &quot;-&quot;??\ [$€-40C]_-;_-@_-"/>
    </dxf>
    <dxf>
      <numFmt numFmtId="1" formatCode="0"/>
    </dxf>
    <dxf>
      <numFmt numFmtId="30" formatCode="@"/>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s>
</file>

<file path=xl/drawings/_rels/drawing3.xml.rels><?xml version="1.0" encoding="UTF-8" standalone="yes"?>
<Relationships xmlns="http://schemas.openxmlformats.org/package/2006/relationships"><Relationship Id="rId8" Type="http://schemas.openxmlformats.org/officeDocument/2006/relationships/image" Target="../media/image52.png"/><Relationship Id="rId13" Type="http://schemas.openxmlformats.org/officeDocument/2006/relationships/image" Target="../media/image56.png"/><Relationship Id="rId18" Type="http://schemas.openxmlformats.org/officeDocument/2006/relationships/image" Target="../media/image61.png"/><Relationship Id="rId3" Type="http://schemas.openxmlformats.org/officeDocument/2006/relationships/image" Target="../media/image39.png"/><Relationship Id="rId7" Type="http://schemas.openxmlformats.org/officeDocument/2006/relationships/image" Target="../media/image51.png"/><Relationship Id="rId12" Type="http://schemas.openxmlformats.org/officeDocument/2006/relationships/image" Target="../media/image43.png"/><Relationship Id="rId17" Type="http://schemas.openxmlformats.org/officeDocument/2006/relationships/image" Target="../media/image60.png"/><Relationship Id="rId2" Type="http://schemas.openxmlformats.org/officeDocument/2006/relationships/image" Target="../media/image48.png"/><Relationship Id="rId16" Type="http://schemas.openxmlformats.org/officeDocument/2006/relationships/image" Target="../media/image59.png"/><Relationship Id="rId1" Type="http://schemas.openxmlformats.org/officeDocument/2006/relationships/image" Target="../media/image47.png"/><Relationship Id="rId6" Type="http://schemas.openxmlformats.org/officeDocument/2006/relationships/image" Target="../media/image50.png"/><Relationship Id="rId11" Type="http://schemas.openxmlformats.org/officeDocument/2006/relationships/image" Target="../media/image55.png"/><Relationship Id="rId5" Type="http://schemas.openxmlformats.org/officeDocument/2006/relationships/image" Target="../media/image49.png"/><Relationship Id="rId15" Type="http://schemas.openxmlformats.org/officeDocument/2006/relationships/image" Target="../media/image58.png"/><Relationship Id="rId10" Type="http://schemas.openxmlformats.org/officeDocument/2006/relationships/image" Target="../media/image54.png"/><Relationship Id="rId4" Type="http://schemas.openxmlformats.org/officeDocument/2006/relationships/image" Target="../media/image40.png"/><Relationship Id="rId9" Type="http://schemas.openxmlformats.org/officeDocument/2006/relationships/image" Target="../media/image53.png"/><Relationship Id="rId14" Type="http://schemas.openxmlformats.org/officeDocument/2006/relationships/image" Target="../media/image57.png"/></Relationships>
</file>

<file path=xl/drawings/_rels/drawing4.xml.rels><?xml version="1.0" encoding="UTF-8" standalone="yes"?>
<Relationships xmlns="http://schemas.openxmlformats.org/package/2006/relationships"><Relationship Id="rId3" Type="http://schemas.openxmlformats.org/officeDocument/2006/relationships/image" Target="../media/image64.png"/><Relationship Id="rId2" Type="http://schemas.openxmlformats.org/officeDocument/2006/relationships/image" Target="../media/image63.png"/><Relationship Id="rId1" Type="http://schemas.openxmlformats.org/officeDocument/2006/relationships/image" Target="../media/image62.png"/><Relationship Id="rId5" Type="http://schemas.openxmlformats.org/officeDocument/2006/relationships/image" Target="../media/image66.png"/><Relationship Id="rId4" Type="http://schemas.openxmlformats.org/officeDocument/2006/relationships/image" Target="../media/image65.png"/></Relationships>
</file>

<file path=xl/drawings/drawing1.xml><?xml version="1.0" encoding="utf-8"?>
<xdr:wsDr xmlns:xdr="http://schemas.openxmlformats.org/drawingml/2006/spreadsheetDrawing" xmlns:a="http://schemas.openxmlformats.org/drawingml/2006/main">
  <xdr:twoCellAnchor>
    <xdr:from>
      <xdr:col>2</xdr:col>
      <xdr:colOff>523875</xdr:colOff>
      <xdr:row>16</xdr:row>
      <xdr:rowOff>0</xdr:rowOff>
    </xdr:from>
    <xdr:to>
      <xdr:col>2</xdr:col>
      <xdr:colOff>523875</xdr:colOff>
      <xdr:row>16</xdr:row>
      <xdr:rowOff>0</xdr:rowOff>
    </xdr:to>
    <xdr:sp macro="" textlink="">
      <xdr:nvSpPr>
        <xdr:cNvPr id="39758" name="Line 1"/>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59" name="Line 5"/>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523875</xdr:colOff>
      <xdr:row>16</xdr:row>
      <xdr:rowOff>0</xdr:rowOff>
    </xdr:from>
    <xdr:to>
      <xdr:col>2</xdr:col>
      <xdr:colOff>523875</xdr:colOff>
      <xdr:row>16</xdr:row>
      <xdr:rowOff>0</xdr:rowOff>
    </xdr:to>
    <xdr:sp macro="" textlink="">
      <xdr:nvSpPr>
        <xdr:cNvPr id="39760" name="Line 9"/>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1" name="Line 13"/>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2" name="Line 21"/>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3" name="Line 29"/>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85725</xdr:rowOff>
    </xdr:from>
    <xdr:to>
      <xdr:col>8</xdr:col>
      <xdr:colOff>27809</xdr:colOff>
      <xdr:row>34</xdr:row>
      <xdr:rowOff>75675</xdr:rowOff>
    </xdr:to>
    <xdr:pic>
      <xdr:nvPicPr>
        <xdr:cNvPr id="2" name="Image 1"/>
        <xdr:cNvPicPr>
          <a:picLocks noChangeAspect="1"/>
        </xdr:cNvPicPr>
      </xdr:nvPicPr>
      <xdr:blipFill>
        <a:blip xmlns:r="http://schemas.openxmlformats.org/officeDocument/2006/relationships" r:embed="rId1"/>
        <a:stretch>
          <a:fillRect/>
        </a:stretch>
      </xdr:blipFill>
      <xdr:spPr>
        <a:xfrm>
          <a:off x="0" y="1057275"/>
          <a:ext cx="6123809" cy="4200000"/>
        </a:xfrm>
        <a:prstGeom prst="rect">
          <a:avLst/>
        </a:prstGeom>
      </xdr:spPr>
    </xdr:pic>
    <xdr:clientData/>
  </xdr:twoCellAnchor>
  <xdr:twoCellAnchor editAs="oneCell">
    <xdr:from>
      <xdr:col>0</xdr:col>
      <xdr:colOff>0</xdr:colOff>
      <xdr:row>0</xdr:row>
      <xdr:rowOff>0</xdr:rowOff>
    </xdr:from>
    <xdr:to>
      <xdr:col>9</xdr:col>
      <xdr:colOff>313428</xdr:colOff>
      <xdr:row>5</xdr:row>
      <xdr:rowOff>18946</xdr:rowOff>
    </xdr:to>
    <xdr:pic>
      <xdr:nvPicPr>
        <xdr:cNvPr id="3" name="Image 2"/>
        <xdr:cNvPicPr>
          <a:picLocks noChangeAspect="1"/>
        </xdr:cNvPicPr>
      </xdr:nvPicPr>
      <xdr:blipFill>
        <a:blip xmlns:r="http://schemas.openxmlformats.org/officeDocument/2006/relationships" r:embed="rId2"/>
        <a:stretch>
          <a:fillRect/>
        </a:stretch>
      </xdr:blipFill>
      <xdr:spPr>
        <a:xfrm>
          <a:off x="0" y="0"/>
          <a:ext cx="7171428" cy="828571"/>
        </a:xfrm>
        <a:prstGeom prst="rect">
          <a:avLst/>
        </a:prstGeom>
      </xdr:spPr>
    </xdr:pic>
    <xdr:clientData/>
  </xdr:twoCellAnchor>
  <xdr:twoCellAnchor editAs="oneCell">
    <xdr:from>
      <xdr:col>0</xdr:col>
      <xdr:colOff>0</xdr:colOff>
      <xdr:row>36</xdr:row>
      <xdr:rowOff>0</xdr:rowOff>
    </xdr:from>
    <xdr:to>
      <xdr:col>3</xdr:col>
      <xdr:colOff>380667</xdr:colOff>
      <xdr:row>38</xdr:row>
      <xdr:rowOff>47579</xdr:rowOff>
    </xdr:to>
    <xdr:pic>
      <xdr:nvPicPr>
        <xdr:cNvPr id="4" name="Image 3"/>
        <xdr:cNvPicPr>
          <a:picLocks noChangeAspect="1"/>
        </xdr:cNvPicPr>
      </xdr:nvPicPr>
      <xdr:blipFill>
        <a:blip xmlns:r="http://schemas.openxmlformats.org/officeDocument/2006/relationships" r:embed="rId3"/>
        <a:stretch>
          <a:fillRect/>
        </a:stretch>
      </xdr:blipFill>
      <xdr:spPr>
        <a:xfrm>
          <a:off x="0" y="5505450"/>
          <a:ext cx="2666667" cy="371429"/>
        </a:xfrm>
        <a:prstGeom prst="rect">
          <a:avLst/>
        </a:prstGeom>
      </xdr:spPr>
    </xdr:pic>
    <xdr:clientData/>
  </xdr:twoCellAnchor>
  <xdr:twoCellAnchor editAs="oneCell">
    <xdr:from>
      <xdr:col>0</xdr:col>
      <xdr:colOff>0</xdr:colOff>
      <xdr:row>40</xdr:row>
      <xdr:rowOff>0</xdr:rowOff>
    </xdr:from>
    <xdr:to>
      <xdr:col>2</xdr:col>
      <xdr:colOff>352190</xdr:colOff>
      <xdr:row>42</xdr:row>
      <xdr:rowOff>104721</xdr:rowOff>
    </xdr:to>
    <xdr:pic>
      <xdr:nvPicPr>
        <xdr:cNvPr id="5" name="Image 4"/>
        <xdr:cNvPicPr>
          <a:picLocks noChangeAspect="1"/>
        </xdr:cNvPicPr>
      </xdr:nvPicPr>
      <xdr:blipFill>
        <a:blip xmlns:r="http://schemas.openxmlformats.org/officeDocument/2006/relationships" r:embed="rId4"/>
        <a:stretch>
          <a:fillRect/>
        </a:stretch>
      </xdr:blipFill>
      <xdr:spPr>
        <a:xfrm>
          <a:off x="0" y="6153150"/>
          <a:ext cx="1876190" cy="428571"/>
        </a:xfrm>
        <a:prstGeom prst="rect">
          <a:avLst/>
        </a:prstGeom>
      </xdr:spPr>
    </xdr:pic>
    <xdr:clientData/>
  </xdr:twoCellAnchor>
  <xdr:twoCellAnchor editAs="oneCell">
    <xdr:from>
      <xdr:col>0</xdr:col>
      <xdr:colOff>0</xdr:colOff>
      <xdr:row>43</xdr:row>
      <xdr:rowOff>0</xdr:rowOff>
    </xdr:from>
    <xdr:to>
      <xdr:col>8</xdr:col>
      <xdr:colOff>370667</xdr:colOff>
      <xdr:row>65</xdr:row>
      <xdr:rowOff>75745</xdr:rowOff>
    </xdr:to>
    <xdr:pic>
      <xdr:nvPicPr>
        <xdr:cNvPr id="6" name="Image 5"/>
        <xdr:cNvPicPr>
          <a:picLocks noChangeAspect="1"/>
        </xdr:cNvPicPr>
      </xdr:nvPicPr>
      <xdr:blipFill>
        <a:blip xmlns:r="http://schemas.openxmlformats.org/officeDocument/2006/relationships" r:embed="rId5"/>
        <a:stretch>
          <a:fillRect/>
        </a:stretch>
      </xdr:blipFill>
      <xdr:spPr>
        <a:xfrm>
          <a:off x="0" y="6638925"/>
          <a:ext cx="6466667" cy="3638095"/>
        </a:xfrm>
        <a:prstGeom prst="rect">
          <a:avLst/>
        </a:prstGeom>
      </xdr:spPr>
    </xdr:pic>
    <xdr:clientData/>
  </xdr:twoCellAnchor>
  <xdr:twoCellAnchor editAs="oneCell">
    <xdr:from>
      <xdr:col>0</xdr:col>
      <xdr:colOff>0</xdr:colOff>
      <xdr:row>67</xdr:row>
      <xdr:rowOff>0</xdr:rowOff>
    </xdr:from>
    <xdr:to>
      <xdr:col>8</xdr:col>
      <xdr:colOff>237333</xdr:colOff>
      <xdr:row>77</xdr:row>
      <xdr:rowOff>75988</xdr:rowOff>
    </xdr:to>
    <xdr:pic>
      <xdr:nvPicPr>
        <xdr:cNvPr id="7" name="Image 6"/>
        <xdr:cNvPicPr>
          <a:picLocks noChangeAspect="1"/>
        </xdr:cNvPicPr>
      </xdr:nvPicPr>
      <xdr:blipFill>
        <a:blip xmlns:r="http://schemas.openxmlformats.org/officeDocument/2006/relationships" r:embed="rId6"/>
        <a:stretch>
          <a:fillRect/>
        </a:stretch>
      </xdr:blipFill>
      <xdr:spPr>
        <a:xfrm>
          <a:off x="0" y="10525125"/>
          <a:ext cx="6333333" cy="1695238"/>
        </a:xfrm>
        <a:prstGeom prst="rect">
          <a:avLst/>
        </a:prstGeom>
      </xdr:spPr>
    </xdr:pic>
    <xdr:clientData/>
  </xdr:twoCellAnchor>
  <xdr:twoCellAnchor editAs="oneCell">
    <xdr:from>
      <xdr:col>0</xdr:col>
      <xdr:colOff>0</xdr:colOff>
      <xdr:row>79</xdr:row>
      <xdr:rowOff>0</xdr:rowOff>
    </xdr:from>
    <xdr:to>
      <xdr:col>7</xdr:col>
      <xdr:colOff>589809</xdr:colOff>
      <xdr:row>95</xdr:row>
      <xdr:rowOff>85390</xdr:rowOff>
    </xdr:to>
    <xdr:pic>
      <xdr:nvPicPr>
        <xdr:cNvPr id="8" name="Image 7"/>
        <xdr:cNvPicPr>
          <a:picLocks noChangeAspect="1"/>
        </xdr:cNvPicPr>
      </xdr:nvPicPr>
      <xdr:blipFill>
        <a:blip xmlns:r="http://schemas.openxmlformats.org/officeDocument/2006/relationships" r:embed="rId7"/>
        <a:stretch>
          <a:fillRect/>
        </a:stretch>
      </xdr:blipFill>
      <xdr:spPr>
        <a:xfrm>
          <a:off x="0" y="12468225"/>
          <a:ext cx="5923809" cy="2676190"/>
        </a:xfrm>
        <a:prstGeom prst="rect">
          <a:avLst/>
        </a:prstGeom>
      </xdr:spPr>
    </xdr:pic>
    <xdr:clientData/>
  </xdr:twoCellAnchor>
  <xdr:twoCellAnchor editAs="oneCell">
    <xdr:from>
      <xdr:col>0</xdr:col>
      <xdr:colOff>0</xdr:colOff>
      <xdr:row>97</xdr:row>
      <xdr:rowOff>0</xdr:rowOff>
    </xdr:from>
    <xdr:to>
      <xdr:col>8</xdr:col>
      <xdr:colOff>456381</xdr:colOff>
      <xdr:row>126</xdr:row>
      <xdr:rowOff>142270</xdr:rowOff>
    </xdr:to>
    <xdr:pic>
      <xdr:nvPicPr>
        <xdr:cNvPr id="9" name="Image 8"/>
        <xdr:cNvPicPr>
          <a:picLocks noChangeAspect="1"/>
        </xdr:cNvPicPr>
      </xdr:nvPicPr>
      <xdr:blipFill>
        <a:blip xmlns:r="http://schemas.openxmlformats.org/officeDocument/2006/relationships" r:embed="rId8"/>
        <a:stretch>
          <a:fillRect/>
        </a:stretch>
      </xdr:blipFill>
      <xdr:spPr>
        <a:xfrm>
          <a:off x="0" y="15382875"/>
          <a:ext cx="6552381" cy="4838095"/>
        </a:xfrm>
        <a:prstGeom prst="rect">
          <a:avLst/>
        </a:prstGeom>
      </xdr:spPr>
    </xdr:pic>
    <xdr:clientData/>
  </xdr:twoCellAnchor>
  <xdr:twoCellAnchor editAs="oneCell">
    <xdr:from>
      <xdr:col>0</xdr:col>
      <xdr:colOff>0</xdr:colOff>
      <xdr:row>128</xdr:row>
      <xdr:rowOff>0</xdr:rowOff>
    </xdr:from>
    <xdr:to>
      <xdr:col>8</xdr:col>
      <xdr:colOff>246857</xdr:colOff>
      <xdr:row>141</xdr:row>
      <xdr:rowOff>114023</xdr:rowOff>
    </xdr:to>
    <xdr:pic>
      <xdr:nvPicPr>
        <xdr:cNvPr id="10" name="Image 9"/>
        <xdr:cNvPicPr>
          <a:picLocks noChangeAspect="1"/>
        </xdr:cNvPicPr>
      </xdr:nvPicPr>
      <xdr:blipFill>
        <a:blip xmlns:r="http://schemas.openxmlformats.org/officeDocument/2006/relationships" r:embed="rId9"/>
        <a:stretch>
          <a:fillRect/>
        </a:stretch>
      </xdr:blipFill>
      <xdr:spPr>
        <a:xfrm>
          <a:off x="0" y="20402550"/>
          <a:ext cx="6342857" cy="2219048"/>
        </a:xfrm>
        <a:prstGeom prst="rect">
          <a:avLst/>
        </a:prstGeom>
      </xdr:spPr>
    </xdr:pic>
    <xdr:clientData/>
  </xdr:twoCellAnchor>
  <xdr:twoCellAnchor editAs="oneCell">
    <xdr:from>
      <xdr:col>0</xdr:col>
      <xdr:colOff>0</xdr:colOff>
      <xdr:row>5</xdr:row>
      <xdr:rowOff>38100</xdr:rowOff>
    </xdr:from>
    <xdr:to>
      <xdr:col>3</xdr:col>
      <xdr:colOff>47333</xdr:colOff>
      <xdr:row>8</xdr:row>
      <xdr:rowOff>47563</xdr:rowOff>
    </xdr:to>
    <xdr:pic>
      <xdr:nvPicPr>
        <xdr:cNvPr id="11" name="Image 10"/>
        <xdr:cNvPicPr>
          <a:picLocks noChangeAspect="1"/>
        </xdr:cNvPicPr>
      </xdr:nvPicPr>
      <xdr:blipFill>
        <a:blip xmlns:r="http://schemas.openxmlformats.org/officeDocument/2006/relationships" r:embed="rId10"/>
        <a:stretch>
          <a:fillRect/>
        </a:stretch>
      </xdr:blipFill>
      <xdr:spPr>
        <a:xfrm>
          <a:off x="0" y="847725"/>
          <a:ext cx="2333333" cy="495238"/>
        </a:xfrm>
        <a:prstGeom prst="rect">
          <a:avLst/>
        </a:prstGeom>
      </xdr:spPr>
    </xdr:pic>
    <xdr:clientData/>
  </xdr:twoCellAnchor>
  <xdr:twoCellAnchor editAs="oneCell">
    <xdr:from>
      <xdr:col>0</xdr:col>
      <xdr:colOff>0</xdr:colOff>
      <xdr:row>143</xdr:row>
      <xdr:rowOff>0</xdr:rowOff>
    </xdr:from>
    <xdr:to>
      <xdr:col>8</xdr:col>
      <xdr:colOff>189714</xdr:colOff>
      <xdr:row>151</xdr:row>
      <xdr:rowOff>161743</xdr:rowOff>
    </xdr:to>
    <xdr:pic>
      <xdr:nvPicPr>
        <xdr:cNvPr id="12" name="Image 11"/>
        <xdr:cNvPicPr>
          <a:picLocks noChangeAspect="1"/>
        </xdr:cNvPicPr>
      </xdr:nvPicPr>
      <xdr:blipFill>
        <a:blip xmlns:r="http://schemas.openxmlformats.org/officeDocument/2006/relationships" r:embed="rId11"/>
        <a:stretch>
          <a:fillRect/>
        </a:stretch>
      </xdr:blipFill>
      <xdr:spPr>
        <a:xfrm>
          <a:off x="0" y="23155275"/>
          <a:ext cx="6285714" cy="1457143"/>
        </a:xfrm>
        <a:prstGeom prst="rect">
          <a:avLst/>
        </a:prstGeom>
      </xdr:spPr>
    </xdr:pic>
    <xdr:clientData/>
  </xdr:twoCellAnchor>
  <xdr:twoCellAnchor editAs="oneCell">
    <xdr:from>
      <xdr:col>0</xdr:col>
      <xdr:colOff>0</xdr:colOff>
      <xdr:row>153</xdr:row>
      <xdr:rowOff>0</xdr:rowOff>
    </xdr:from>
    <xdr:to>
      <xdr:col>8</xdr:col>
      <xdr:colOff>170667</xdr:colOff>
      <xdr:row>160</xdr:row>
      <xdr:rowOff>95096</xdr:rowOff>
    </xdr:to>
    <xdr:pic>
      <xdr:nvPicPr>
        <xdr:cNvPr id="13" name="Image 12"/>
        <xdr:cNvPicPr>
          <a:picLocks noChangeAspect="1"/>
        </xdr:cNvPicPr>
      </xdr:nvPicPr>
      <xdr:blipFill>
        <a:blip xmlns:r="http://schemas.openxmlformats.org/officeDocument/2006/relationships" r:embed="rId12"/>
        <a:stretch>
          <a:fillRect/>
        </a:stretch>
      </xdr:blipFill>
      <xdr:spPr>
        <a:xfrm>
          <a:off x="0" y="24774525"/>
          <a:ext cx="6266667" cy="1228571"/>
        </a:xfrm>
        <a:prstGeom prst="rect">
          <a:avLst/>
        </a:prstGeom>
      </xdr:spPr>
    </xdr:pic>
    <xdr:clientData/>
  </xdr:twoCellAnchor>
  <xdr:twoCellAnchor editAs="oneCell">
    <xdr:from>
      <xdr:col>0</xdr:col>
      <xdr:colOff>0</xdr:colOff>
      <xdr:row>161</xdr:row>
      <xdr:rowOff>0</xdr:rowOff>
    </xdr:from>
    <xdr:to>
      <xdr:col>7</xdr:col>
      <xdr:colOff>456476</xdr:colOff>
      <xdr:row>169</xdr:row>
      <xdr:rowOff>18886</xdr:rowOff>
    </xdr:to>
    <xdr:pic>
      <xdr:nvPicPr>
        <xdr:cNvPr id="14" name="Image 13"/>
        <xdr:cNvPicPr>
          <a:picLocks noChangeAspect="1"/>
        </xdr:cNvPicPr>
      </xdr:nvPicPr>
      <xdr:blipFill>
        <a:blip xmlns:r="http://schemas.openxmlformats.org/officeDocument/2006/relationships" r:embed="rId13"/>
        <a:stretch>
          <a:fillRect/>
        </a:stretch>
      </xdr:blipFill>
      <xdr:spPr>
        <a:xfrm>
          <a:off x="0" y="26069925"/>
          <a:ext cx="5790476" cy="1314286"/>
        </a:xfrm>
        <a:prstGeom prst="rect">
          <a:avLst/>
        </a:prstGeom>
      </xdr:spPr>
    </xdr:pic>
    <xdr:clientData/>
  </xdr:twoCellAnchor>
  <xdr:twoCellAnchor editAs="oneCell">
    <xdr:from>
      <xdr:col>0</xdr:col>
      <xdr:colOff>0</xdr:colOff>
      <xdr:row>170</xdr:row>
      <xdr:rowOff>0</xdr:rowOff>
    </xdr:from>
    <xdr:to>
      <xdr:col>7</xdr:col>
      <xdr:colOff>437429</xdr:colOff>
      <xdr:row>177</xdr:row>
      <xdr:rowOff>152239</xdr:rowOff>
    </xdr:to>
    <xdr:pic>
      <xdr:nvPicPr>
        <xdr:cNvPr id="15" name="Image 14"/>
        <xdr:cNvPicPr>
          <a:picLocks noChangeAspect="1"/>
        </xdr:cNvPicPr>
      </xdr:nvPicPr>
      <xdr:blipFill>
        <a:blip xmlns:r="http://schemas.openxmlformats.org/officeDocument/2006/relationships" r:embed="rId14"/>
        <a:stretch>
          <a:fillRect/>
        </a:stretch>
      </xdr:blipFill>
      <xdr:spPr>
        <a:xfrm>
          <a:off x="0" y="27527250"/>
          <a:ext cx="5771429" cy="1285714"/>
        </a:xfrm>
        <a:prstGeom prst="rect">
          <a:avLst/>
        </a:prstGeom>
      </xdr:spPr>
    </xdr:pic>
    <xdr:clientData/>
  </xdr:twoCellAnchor>
  <xdr:twoCellAnchor editAs="oneCell">
    <xdr:from>
      <xdr:col>0</xdr:col>
      <xdr:colOff>0</xdr:colOff>
      <xdr:row>179</xdr:row>
      <xdr:rowOff>0</xdr:rowOff>
    </xdr:from>
    <xdr:to>
      <xdr:col>8</xdr:col>
      <xdr:colOff>27809</xdr:colOff>
      <xdr:row>209</xdr:row>
      <xdr:rowOff>161298</xdr:rowOff>
    </xdr:to>
    <xdr:pic>
      <xdr:nvPicPr>
        <xdr:cNvPr id="16" name="Image 15"/>
        <xdr:cNvPicPr>
          <a:picLocks noChangeAspect="1"/>
        </xdr:cNvPicPr>
      </xdr:nvPicPr>
      <xdr:blipFill>
        <a:blip xmlns:r="http://schemas.openxmlformats.org/officeDocument/2006/relationships" r:embed="rId15"/>
        <a:stretch>
          <a:fillRect/>
        </a:stretch>
      </xdr:blipFill>
      <xdr:spPr>
        <a:xfrm>
          <a:off x="0" y="28984575"/>
          <a:ext cx="6123809" cy="5019048"/>
        </a:xfrm>
        <a:prstGeom prst="rect">
          <a:avLst/>
        </a:prstGeom>
      </xdr:spPr>
    </xdr:pic>
    <xdr:clientData/>
  </xdr:twoCellAnchor>
  <xdr:twoCellAnchor editAs="oneCell">
    <xdr:from>
      <xdr:col>0</xdr:col>
      <xdr:colOff>0</xdr:colOff>
      <xdr:row>211</xdr:row>
      <xdr:rowOff>0</xdr:rowOff>
    </xdr:from>
    <xdr:to>
      <xdr:col>8</xdr:col>
      <xdr:colOff>304000</xdr:colOff>
      <xdr:row>248</xdr:row>
      <xdr:rowOff>104013</xdr:rowOff>
    </xdr:to>
    <xdr:pic>
      <xdr:nvPicPr>
        <xdr:cNvPr id="17" name="Image 16"/>
        <xdr:cNvPicPr>
          <a:picLocks noChangeAspect="1"/>
        </xdr:cNvPicPr>
      </xdr:nvPicPr>
      <xdr:blipFill>
        <a:blip xmlns:r="http://schemas.openxmlformats.org/officeDocument/2006/relationships" r:embed="rId16"/>
        <a:stretch>
          <a:fillRect/>
        </a:stretch>
      </xdr:blipFill>
      <xdr:spPr>
        <a:xfrm>
          <a:off x="0" y="34166175"/>
          <a:ext cx="6400000" cy="6095238"/>
        </a:xfrm>
        <a:prstGeom prst="rect">
          <a:avLst/>
        </a:prstGeom>
      </xdr:spPr>
    </xdr:pic>
    <xdr:clientData/>
  </xdr:twoCellAnchor>
  <xdr:twoCellAnchor editAs="oneCell">
    <xdr:from>
      <xdr:col>0</xdr:col>
      <xdr:colOff>0</xdr:colOff>
      <xdr:row>250</xdr:row>
      <xdr:rowOff>0</xdr:rowOff>
    </xdr:from>
    <xdr:to>
      <xdr:col>8</xdr:col>
      <xdr:colOff>265905</xdr:colOff>
      <xdr:row>281</xdr:row>
      <xdr:rowOff>56515</xdr:rowOff>
    </xdr:to>
    <xdr:pic>
      <xdr:nvPicPr>
        <xdr:cNvPr id="18" name="Image 17"/>
        <xdr:cNvPicPr>
          <a:picLocks noChangeAspect="1"/>
        </xdr:cNvPicPr>
      </xdr:nvPicPr>
      <xdr:blipFill>
        <a:blip xmlns:r="http://schemas.openxmlformats.org/officeDocument/2006/relationships" r:embed="rId17"/>
        <a:stretch>
          <a:fillRect/>
        </a:stretch>
      </xdr:blipFill>
      <xdr:spPr>
        <a:xfrm>
          <a:off x="0" y="40481250"/>
          <a:ext cx="6361905" cy="5076190"/>
        </a:xfrm>
        <a:prstGeom prst="rect">
          <a:avLst/>
        </a:prstGeom>
      </xdr:spPr>
    </xdr:pic>
    <xdr:clientData/>
  </xdr:twoCellAnchor>
  <xdr:twoCellAnchor editAs="oneCell">
    <xdr:from>
      <xdr:col>0</xdr:col>
      <xdr:colOff>0</xdr:colOff>
      <xdr:row>282</xdr:row>
      <xdr:rowOff>0</xdr:rowOff>
    </xdr:from>
    <xdr:to>
      <xdr:col>8</xdr:col>
      <xdr:colOff>361143</xdr:colOff>
      <xdr:row>317</xdr:row>
      <xdr:rowOff>113577</xdr:rowOff>
    </xdr:to>
    <xdr:pic>
      <xdr:nvPicPr>
        <xdr:cNvPr id="19" name="Image 18"/>
        <xdr:cNvPicPr>
          <a:picLocks noChangeAspect="1"/>
        </xdr:cNvPicPr>
      </xdr:nvPicPr>
      <xdr:blipFill>
        <a:blip xmlns:r="http://schemas.openxmlformats.org/officeDocument/2006/relationships" r:embed="rId18"/>
        <a:stretch>
          <a:fillRect/>
        </a:stretch>
      </xdr:blipFill>
      <xdr:spPr>
        <a:xfrm>
          <a:off x="0" y="45662850"/>
          <a:ext cx="6457143" cy="5780952"/>
        </a:xfrm>
        <a:prstGeom prst="rect">
          <a:avLst/>
        </a:prstGeom>
      </xdr:spPr>
    </xdr:pic>
    <xdr:clientData/>
  </xdr:twoCellAnchor>
  <xdr:twoCellAnchor editAs="oneCell">
    <xdr:from>
      <xdr:col>0</xdr:col>
      <xdr:colOff>0</xdr:colOff>
      <xdr:row>319</xdr:row>
      <xdr:rowOff>0</xdr:rowOff>
    </xdr:from>
    <xdr:to>
      <xdr:col>8</xdr:col>
      <xdr:colOff>218286</xdr:colOff>
      <xdr:row>352</xdr:row>
      <xdr:rowOff>27904</xdr:rowOff>
    </xdr:to>
    <xdr:pic>
      <xdr:nvPicPr>
        <xdr:cNvPr id="20" name="Image 19"/>
        <xdr:cNvPicPr>
          <a:picLocks noChangeAspect="1"/>
        </xdr:cNvPicPr>
      </xdr:nvPicPr>
      <xdr:blipFill>
        <a:blip xmlns:r="http://schemas.openxmlformats.org/officeDocument/2006/relationships" r:embed="rId19"/>
        <a:stretch>
          <a:fillRect/>
        </a:stretch>
      </xdr:blipFill>
      <xdr:spPr>
        <a:xfrm>
          <a:off x="0" y="51654075"/>
          <a:ext cx="6314286" cy="5371429"/>
        </a:xfrm>
        <a:prstGeom prst="rect">
          <a:avLst/>
        </a:prstGeom>
      </xdr:spPr>
    </xdr:pic>
    <xdr:clientData/>
  </xdr:twoCellAnchor>
  <xdr:twoCellAnchor editAs="oneCell">
    <xdr:from>
      <xdr:col>0</xdr:col>
      <xdr:colOff>0</xdr:colOff>
      <xdr:row>353</xdr:row>
      <xdr:rowOff>0</xdr:rowOff>
    </xdr:from>
    <xdr:to>
      <xdr:col>8</xdr:col>
      <xdr:colOff>284952</xdr:colOff>
      <xdr:row>375</xdr:row>
      <xdr:rowOff>47174</xdr:rowOff>
    </xdr:to>
    <xdr:pic>
      <xdr:nvPicPr>
        <xdr:cNvPr id="21" name="Image 20"/>
        <xdr:cNvPicPr>
          <a:picLocks noChangeAspect="1"/>
        </xdr:cNvPicPr>
      </xdr:nvPicPr>
      <xdr:blipFill>
        <a:blip xmlns:r="http://schemas.openxmlformats.org/officeDocument/2006/relationships" r:embed="rId20"/>
        <a:stretch>
          <a:fillRect/>
        </a:stretch>
      </xdr:blipFill>
      <xdr:spPr>
        <a:xfrm>
          <a:off x="0" y="57159525"/>
          <a:ext cx="6380952" cy="3609524"/>
        </a:xfrm>
        <a:prstGeom prst="rect">
          <a:avLst/>
        </a:prstGeom>
      </xdr:spPr>
    </xdr:pic>
    <xdr:clientData/>
  </xdr:twoCellAnchor>
  <xdr:twoCellAnchor editAs="oneCell">
    <xdr:from>
      <xdr:col>0</xdr:col>
      <xdr:colOff>0</xdr:colOff>
      <xdr:row>377</xdr:row>
      <xdr:rowOff>0</xdr:rowOff>
    </xdr:from>
    <xdr:to>
      <xdr:col>8</xdr:col>
      <xdr:colOff>361143</xdr:colOff>
      <xdr:row>391</xdr:row>
      <xdr:rowOff>114002</xdr:rowOff>
    </xdr:to>
    <xdr:pic>
      <xdr:nvPicPr>
        <xdr:cNvPr id="22" name="Image 21"/>
        <xdr:cNvPicPr>
          <a:picLocks noChangeAspect="1"/>
        </xdr:cNvPicPr>
      </xdr:nvPicPr>
      <xdr:blipFill>
        <a:blip xmlns:r="http://schemas.openxmlformats.org/officeDocument/2006/relationships" r:embed="rId21"/>
        <a:stretch>
          <a:fillRect/>
        </a:stretch>
      </xdr:blipFill>
      <xdr:spPr>
        <a:xfrm>
          <a:off x="0" y="61045725"/>
          <a:ext cx="6457143" cy="2380952"/>
        </a:xfrm>
        <a:prstGeom prst="rect">
          <a:avLst/>
        </a:prstGeom>
      </xdr:spPr>
    </xdr:pic>
    <xdr:clientData/>
  </xdr:twoCellAnchor>
  <xdr:twoCellAnchor editAs="oneCell">
    <xdr:from>
      <xdr:col>0</xdr:col>
      <xdr:colOff>19050</xdr:colOff>
      <xdr:row>392</xdr:row>
      <xdr:rowOff>133350</xdr:rowOff>
    </xdr:from>
    <xdr:to>
      <xdr:col>8</xdr:col>
      <xdr:colOff>256383</xdr:colOff>
      <xdr:row>402</xdr:row>
      <xdr:rowOff>161719</xdr:rowOff>
    </xdr:to>
    <xdr:pic>
      <xdr:nvPicPr>
        <xdr:cNvPr id="23" name="Image 22"/>
        <xdr:cNvPicPr>
          <a:picLocks noChangeAspect="1"/>
        </xdr:cNvPicPr>
      </xdr:nvPicPr>
      <xdr:blipFill>
        <a:blip xmlns:r="http://schemas.openxmlformats.org/officeDocument/2006/relationships" r:embed="rId22"/>
        <a:stretch>
          <a:fillRect/>
        </a:stretch>
      </xdr:blipFill>
      <xdr:spPr>
        <a:xfrm>
          <a:off x="19050" y="63607950"/>
          <a:ext cx="6333333" cy="1647619"/>
        </a:xfrm>
        <a:prstGeom prst="rect">
          <a:avLst/>
        </a:prstGeom>
      </xdr:spPr>
    </xdr:pic>
    <xdr:clientData/>
  </xdr:twoCellAnchor>
  <xdr:twoCellAnchor editAs="oneCell">
    <xdr:from>
      <xdr:col>0</xdr:col>
      <xdr:colOff>0</xdr:colOff>
      <xdr:row>404</xdr:row>
      <xdr:rowOff>0</xdr:rowOff>
    </xdr:from>
    <xdr:to>
      <xdr:col>8</xdr:col>
      <xdr:colOff>151619</xdr:colOff>
      <xdr:row>432</xdr:row>
      <xdr:rowOff>37529</xdr:rowOff>
    </xdr:to>
    <xdr:pic>
      <xdr:nvPicPr>
        <xdr:cNvPr id="24" name="Image 23"/>
        <xdr:cNvPicPr>
          <a:picLocks noChangeAspect="1"/>
        </xdr:cNvPicPr>
      </xdr:nvPicPr>
      <xdr:blipFill>
        <a:blip xmlns:r="http://schemas.openxmlformats.org/officeDocument/2006/relationships" r:embed="rId23"/>
        <a:stretch>
          <a:fillRect/>
        </a:stretch>
      </xdr:blipFill>
      <xdr:spPr>
        <a:xfrm>
          <a:off x="0" y="65417700"/>
          <a:ext cx="6247619" cy="4571429"/>
        </a:xfrm>
        <a:prstGeom prst="rect">
          <a:avLst/>
        </a:prstGeom>
      </xdr:spPr>
    </xdr:pic>
    <xdr:clientData/>
  </xdr:twoCellAnchor>
  <xdr:twoCellAnchor editAs="oneCell">
    <xdr:from>
      <xdr:col>0</xdr:col>
      <xdr:colOff>0</xdr:colOff>
      <xdr:row>433</xdr:row>
      <xdr:rowOff>0</xdr:rowOff>
    </xdr:from>
    <xdr:to>
      <xdr:col>8</xdr:col>
      <xdr:colOff>523048</xdr:colOff>
      <xdr:row>452</xdr:row>
      <xdr:rowOff>142473</xdr:rowOff>
    </xdr:to>
    <xdr:pic>
      <xdr:nvPicPr>
        <xdr:cNvPr id="25" name="Image 24"/>
        <xdr:cNvPicPr>
          <a:picLocks noChangeAspect="1"/>
        </xdr:cNvPicPr>
      </xdr:nvPicPr>
      <xdr:blipFill>
        <a:blip xmlns:r="http://schemas.openxmlformats.org/officeDocument/2006/relationships" r:embed="rId24"/>
        <a:stretch>
          <a:fillRect/>
        </a:stretch>
      </xdr:blipFill>
      <xdr:spPr>
        <a:xfrm>
          <a:off x="0" y="70113525"/>
          <a:ext cx="6619048" cy="3219048"/>
        </a:xfrm>
        <a:prstGeom prst="rect">
          <a:avLst/>
        </a:prstGeom>
      </xdr:spPr>
    </xdr:pic>
    <xdr:clientData/>
  </xdr:twoCellAnchor>
  <xdr:twoCellAnchor editAs="oneCell">
    <xdr:from>
      <xdr:col>0</xdr:col>
      <xdr:colOff>0</xdr:colOff>
      <xdr:row>453</xdr:row>
      <xdr:rowOff>0</xdr:rowOff>
    </xdr:from>
    <xdr:to>
      <xdr:col>8</xdr:col>
      <xdr:colOff>142095</xdr:colOff>
      <xdr:row>479</xdr:row>
      <xdr:rowOff>104236</xdr:rowOff>
    </xdr:to>
    <xdr:pic>
      <xdr:nvPicPr>
        <xdr:cNvPr id="26" name="Image 25"/>
        <xdr:cNvPicPr>
          <a:picLocks noChangeAspect="1"/>
        </xdr:cNvPicPr>
      </xdr:nvPicPr>
      <xdr:blipFill>
        <a:blip xmlns:r="http://schemas.openxmlformats.org/officeDocument/2006/relationships" r:embed="rId25"/>
        <a:stretch>
          <a:fillRect/>
        </a:stretch>
      </xdr:blipFill>
      <xdr:spPr>
        <a:xfrm>
          <a:off x="0" y="73352025"/>
          <a:ext cx="6238095" cy="4314286"/>
        </a:xfrm>
        <a:prstGeom prst="rect">
          <a:avLst/>
        </a:prstGeom>
      </xdr:spPr>
    </xdr:pic>
    <xdr:clientData/>
  </xdr:twoCellAnchor>
  <xdr:twoCellAnchor editAs="oneCell">
    <xdr:from>
      <xdr:col>0</xdr:col>
      <xdr:colOff>0</xdr:colOff>
      <xdr:row>480</xdr:row>
      <xdr:rowOff>0</xdr:rowOff>
    </xdr:from>
    <xdr:to>
      <xdr:col>8</xdr:col>
      <xdr:colOff>408762</xdr:colOff>
      <xdr:row>499</xdr:row>
      <xdr:rowOff>132949</xdr:rowOff>
    </xdr:to>
    <xdr:pic>
      <xdr:nvPicPr>
        <xdr:cNvPr id="27" name="Image 26"/>
        <xdr:cNvPicPr>
          <a:picLocks noChangeAspect="1"/>
        </xdr:cNvPicPr>
      </xdr:nvPicPr>
      <xdr:blipFill>
        <a:blip xmlns:r="http://schemas.openxmlformats.org/officeDocument/2006/relationships" r:embed="rId26"/>
        <a:stretch>
          <a:fillRect/>
        </a:stretch>
      </xdr:blipFill>
      <xdr:spPr>
        <a:xfrm>
          <a:off x="0" y="77724000"/>
          <a:ext cx="6504762" cy="3209524"/>
        </a:xfrm>
        <a:prstGeom prst="rect">
          <a:avLst/>
        </a:prstGeom>
      </xdr:spPr>
    </xdr:pic>
    <xdr:clientData/>
  </xdr:twoCellAnchor>
  <xdr:twoCellAnchor editAs="oneCell">
    <xdr:from>
      <xdr:col>0</xdr:col>
      <xdr:colOff>0</xdr:colOff>
      <xdr:row>501</xdr:row>
      <xdr:rowOff>0</xdr:rowOff>
    </xdr:from>
    <xdr:to>
      <xdr:col>8</xdr:col>
      <xdr:colOff>46857</xdr:colOff>
      <xdr:row>527</xdr:row>
      <xdr:rowOff>123283</xdr:rowOff>
    </xdr:to>
    <xdr:pic>
      <xdr:nvPicPr>
        <xdr:cNvPr id="28" name="Image 27"/>
        <xdr:cNvPicPr>
          <a:picLocks noChangeAspect="1"/>
        </xdr:cNvPicPr>
      </xdr:nvPicPr>
      <xdr:blipFill>
        <a:blip xmlns:r="http://schemas.openxmlformats.org/officeDocument/2006/relationships" r:embed="rId27"/>
        <a:stretch>
          <a:fillRect/>
        </a:stretch>
      </xdr:blipFill>
      <xdr:spPr>
        <a:xfrm>
          <a:off x="0" y="81124425"/>
          <a:ext cx="6142857" cy="4333333"/>
        </a:xfrm>
        <a:prstGeom prst="rect">
          <a:avLst/>
        </a:prstGeom>
      </xdr:spPr>
    </xdr:pic>
    <xdr:clientData/>
  </xdr:twoCellAnchor>
  <xdr:twoCellAnchor editAs="oneCell">
    <xdr:from>
      <xdr:col>0</xdr:col>
      <xdr:colOff>0</xdr:colOff>
      <xdr:row>528</xdr:row>
      <xdr:rowOff>47625</xdr:rowOff>
    </xdr:from>
    <xdr:to>
      <xdr:col>7</xdr:col>
      <xdr:colOff>161238</xdr:colOff>
      <xdr:row>544</xdr:row>
      <xdr:rowOff>37777</xdr:rowOff>
    </xdr:to>
    <xdr:pic>
      <xdr:nvPicPr>
        <xdr:cNvPr id="29" name="Image 28"/>
        <xdr:cNvPicPr>
          <a:picLocks noChangeAspect="1"/>
        </xdr:cNvPicPr>
      </xdr:nvPicPr>
      <xdr:blipFill>
        <a:blip xmlns:r="http://schemas.openxmlformats.org/officeDocument/2006/relationships" r:embed="rId28"/>
        <a:stretch>
          <a:fillRect/>
        </a:stretch>
      </xdr:blipFill>
      <xdr:spPr>
        <a:xfrm>
          <a:off x="0" y="85544025"/>
          <a:ext cx="5495238" cy="2580952"/>
        </a:xfrm>
        <a:prstGeom prst="rect">
          <a:avLst/>
        </a:prstGeom>
      </xdr:spPr>
    </xdr:pic>
    <xdr:clientData/>
  </xdr:twoCellAnchor>
  <xdr:twoCellAnchor editAs="oneCell">
    <xdr:from>
      <xdr:col>0</xdr:col>
      <xdr:colOff>0</xdr:colOff>
      <xdr:row>546</xdr:row>
      <xdr:rowOff>0</xdr:rowOff>
    </xdr:from>
    <xdr:to>
      <xdr:col>7</xdr:col>
      <xdr:colOff>46952</xdr:colOff>
      <xdr:row>563</xdr:row>
      <xdr:rowOff>18704</xdr:rowOff>
    </xdr:to>
    <xdr:pic>
      <xdr:nvPicPr>
        <xdr:cNvPr id="30" name="Image 29"/>
        <xdr:cNvPicPr>
          <a:picLocks noChangeAspect="1"/>
        </xdr:cNvPicPr>
      </xdr:nvPicPr>
      <xdr:blipFill>
        <a:blip xmlns:r="http://schemas.openxmlformats.org/officeDocument/2006/relationships" r:embed="rId29"/>
        <a:stretch>
          <a:fillRect/>
        </a:stretch>
      </xdr:blipFill>
      <xdr:spPr>
        <a:xfrm>
          <a:off x="0" y="88411050"/>
          <a:ext cx="5380952" cy="2771429"/>
        </a:xfrm>
        <a:prstGeom prst="rect">
          <a:avLst/>
        </a:prstGeom>
      </xdr:spPr>
    </xdr:pic>
    <xdr:clientData/>
  </xdr:twoCellAnchor>
  <xdr:twoCellAnchor editAs="oneCell">
    <xdr:from>
      <xdr:col>0</xdr:col>
      <xdr:colOff>0</xdr:colOff>
      <xdr:row>565</xdr:row>
      <xdr:rowOff>0</xdr:rowOff>
    </xdr:from>
    <xdr:to>
      <xdr:col>8</xdr:col>
      <xdr:colOff>237333</xdr:colOff>
      <xdr:row>590</xdr:row>
      <xdr:rowOff>94732</xdr:rowOff>
    </xdr:to>
    <xdr:pic>
      <xdr:nvPicPr>
        <xdr:cNvPr id="37" name="Image 36"/>
        <xdr:cNvPicPr>
          <a:picLocks noChangeAspect="1"/>
        </xdr:cNvPicPr>
      </xdr:nvPicPr>
      <xdr:blipFill>
        <a:blip xmlns:r="http://schemas.openxmlformats.org/officeDocument/2006/relationships" r:embed="rId30"/>
        <a:stretch>
          <a:fillRect/>
        </a:stretch>
      </xdr:blipFill>
      <xdr:spPr>
        <a:xfrm>
          <a:off x="0" y="91487625"/>
          <a:ext cx="6333333" cy="4142857"/>
        </a:xfrm>
        <a:prstGeom prst="rect">
          <a:avLst/>
        </a:prstGeom>
      </xdr:spPr>
    </xdr:pic>
    <xdr:clientData/>
  </xdr:twoCellAnchor>
  <xdr:twoCellAnchor editAs="oneCell">
    <xdr:from>
      <xdr:col>0</xdr:col>
      <xdr:colOff>0</xdr:colOff>
      <xdr:row>592</xdr:row>
      <xdr:rowOff>0</xdr:rowOff>
    </xdr:from>
    <xdr:to>
      <xdr:col>8</xdr:col>
      <xdr:colOff>65905</xdr:colOff>
      <xdr:row>634</xdr:row>
      <xdr:rowOff>103912</xdr:rowOff>
    </xdr:to>
    <xdr:pic>
      <xdr:nvPicPr>
        <xdr:cNvPr id="38" name="Image 37"/>
        <xdr:cNvPicPr>
          <a:picLocks noChangeAspect="1"/>
        </xdr:cNvPicPr>
      </xdr:nvPicPr>
      <xdr:blipFill>
        <a:blip xmlns:r="http://schemas.openxmlformats.org/officeDocument/2006/relationships" r:embed="rId31"/>
        <a:stretch>
          <a:fillRect/>
        </a:stretch>
      </xdr:blipFill>
      <xdr:spPr>
        <a:xfrm>
          <a:off x="0" y="95859600"/>
          <a:ext cx="6161905" cy="6904762"/>
        </a:xfrm>
        <a:prstGeom prst="rect">
          <a:avLst/>
        </a:prstGeom>
      </xdr:spPr>
    </xdr:pic>
    <xdr:clientData/>
  </xdr:twoCellAnchor>
  <xdr:twoCellAnchor editAs="oneCell">
    <xdr:from>
      <xdr:col>0</xdr:col>
      <xdr:colOff>0</xdr:colOff>
      <xdr:row>636</xdr:row>
      <xdr:rowOff>0</xdr:rowOff>
    </xdr:from>
    <xdr:to>
      <xdr:col>8</xdr:col>
      <xdr:colOff>104000</xdr:colOff>
      <xdr:row>639</xdr:row>
      <xdr:rowOff>133273</xdr:rowOff>
    </xdr:to>
    <xdr:pic>
      <xdr:nvPicPr>
        <xdr:cNvPr id="39" name="Image 38"/>
        <xdr:cNvPicPr>
          <a:picLocks noChangeAspect="1"/>
        </xdr:cNvPicPr>
      </xdr:nvPicPr>
      <xdr:blipFill>
        <a:blip xmlns:r="http://schemas.openxmlformats.org/officeDocument/2006/relationships" r:embed="rId32"/>
        <a:stretch>
          <a:fillRect/>
        </a:stretch>
      </xdr:blipFill>
      <xdr:spPr>
        <a:xfrm>
          <a:off x="0" y="102984300"/>
          <a:ext cx="6200000" cy="619048"/>
        </a:xfrm>
        <a:prstGeom prst="rect">
          <a:avLst/>
        </a:prstGeom>
      </xdr:spPr>
    </xdr:pic>
    <xdr:clientData/>
  </xdr:twoCellAnchor>
  <xdr:twoCellAnchor editAs="oneCell">
    <xdr:from>
      <xdr:col>0</xdr:col>
      <xdr:colOff>0</xdr:colOff>
      <xdr:row>641</xdr:row>
      <xdr:rowOff>0</xdr:rowOff>
    </xdr:from>
    <xdr:to>
      <xdr:col>8</xdr:col>
      <xdr:colOff>208762</xdr:colOff>
      <xdr:row>695</xdr:row>
      <xdr:rowOff>113193</xdr:rowOff>
    </xdr:to>
    <xdr:pic>
      <xdr:nvPicPr>
        <xdr:cNvPr id="40" name="Image 39"/>
        <xdr:cNvPicPr>
          <a:picLocks noChangeAspect="1"/>
        </xdr:cNvPicPr>
      </xdr:nvPicPr>
      <xdr:blipFill>
        <a:blip xmlns:r="http://schemas.openxmlformats.org/officeDocument/2006/relationships" r:embed="rId33"/>
        <a:stretch>
          <a:fillRect/>
        </a:stretch>
      </xdr:blipFill>
      <xdr:spPr>
        <a:xfrm>
          <a:off x="0" y="103793925"/>
          <a:ext cx="6304762" cy="8857143"/>
        </a:xfrm>
        <a:prstGeom prst="rect">
          <a:avLst/>
        </a:prstGeom>
      </xdr:spPr>
    </xdr:pic>
    <xdr:clientData/>
  </xdr:twoCellAnchor>
  <xdr:twoCellAnchor editAs="oneCell">
    <xdr:from>
      <xdr:col>0</xdr:col>
      <xdr:colOff>0</xdr:colOff>
      <xdr:row>697</xdr:row>
      <xdr:rowOff>0</xdr:rowOff>
    </xdr:from>
    <xdr:to>
      <xdr:col>8</xdr:col>
      <xdr:colOff>170667</xdr:colOff>
      <xdr:row>751</xdr:row>
      <xdr:rowOff>17955</xdr:rowOff>
    </xdr:to>
    <xdr:pic>
      <xdr:nvPicPr>
        <xdr:cNvPr id="41" name="Image 40"/>
        <xdr:cNvPicPr>
          <a:picLocks noChangeAspect="1"/>
        </xdr:cNvPicPr>
      </xdr:nvPicPr>
      <xdr:blipFill>
        <a:blip xmlns:r="http://schemas.openxmlformats.org/officeDocument/2006/relationships" r:embed="rId34"/>
        <a:stretch>
          <a:fillRect/>
        </a:stretch>
      </xdr:blipFill>
      <xdr:spPr>
        <a:xfrm>
          <a:off x="0" y="112861725"/>
          <a:ext cx="6266667" cy="8761905"/>
        </a:xfrm>
        <a:prstGeom prst="rect">
          <a:avLst/>
        </a:prstGeom>
      </xdr:spPr>
    </xdr:pic>
    <xdr:clientData/>
  </xdr:twoCellAnchor>
  <xdr:twoCellAnchor editAs="oneCell">
    <xdr:from>
      <xdr:col>0</xdr:col>
      <xdr:colOff>0</xdr:colOff>
      <xdr:row>753</xdr:row>
      <xdr:rowOff>0</xdr:rowOff>
    </xdr:from>
    <xdr:to>
      <xdr:col>8</xdr:col>
      <xdr:colOff>65905</xdr:colOff>
      <xdr:row>780</xdr:row>
      <xdr:rowOff>142311</xdr:rowOff>
    </xdr:to>
    <xdr:pic>
      <xdr:nvPicPr>
        <xdr:cNvPr id="42" name="Image 41"/>
        <xdr:cNvPicPr>
          <a:picLocks noChangeAspect="1"/>
        </xdr:cNvPicPr>
      </xdr:nvPicPr>
      <xdr:blipFill>
        <a:blip xmlns:r="http://schemas.openxmlformats.org/officeDocument/2006/relationships" r:embed="rId35"/>
        <a:stretch>
          <a:fillRect/>
        </a:stretch>
      </xdr:blipFill>
      <xdr:spPr>
        <a:xfrm>
          <a:off x="0" y="121929525"/>
          <a:ext cx="6161905" cy="4514286"/>
        </a:xfrm>
        <a:prstGeom prst="rect">
          <a:avLst/>
        </a:prstGeom>
      </xdr:spPr>
    </xdr:pic>
    <xdr:clientData/>
  </xdr:twoCellAnchor>
  <xdr:twoCellAnchor editAs="oneCell">
    <xdr:from>
      <xdr:col>0</xdr:col>
      <xdr:colOff>0</xdr:colOff>
      <xdr:row>782</xdr:row>
      <xdr:rowOff>0</xdr:rowOff>
    </xdr:from>
    <xdr:to>
      <xdr:col>8</xdr:col>
      <xdr:colOff>418286</xdr:colOff>
      <xdr:row>788</xdr:row>
      <xdr:rowOff>47498</xdr:rowOff>
    </xdr:to>
    <xdr:pic>
      <xdr:nvPicPr>
        <xdr:cNvPr id="43" name="Image 42"/>
        <xdr:cNvPicPr>
          <a:picLocks noChangeAspect="1"/>
        </xdr:cNvPicPr>
      </xdr:nvPicPr>
      <xdr:blipFill>
        <a:blip xmlns:r="http://schemas.openxmlformats.org/officeDocument/2006/relationships" r:embed="rId36"/>
        <a:stretch>
          <a:fillRect/>
        </a:stretch>
      </xdr:blipFill>
      <xdr:spPr>
        <a:xfrm>
          <a:off x="0" y="126625350"/>
          <a:ext cx="6514286" cy="1019048"/>
        </a:xfrm>
        <a:prstGeom prst="rect">
          <a:avLst/>
        </a:prstGeom>
      </xdr:spPr>
    </xdr:pic>
    <xdr:clientData/>
  </xdr:twoCellAnchor>
  <xdr:twoCellAnchor editAs="oneCell">
    <xdr:from>
      <xdr:col>0</xdr:col>
      <xdr:colOff>0</xdr:colOff>
      <xdr:row>789</xdr:row>
      <xdr:rowOff>0</xdr:rowOff>
    </xdr:from>
    <xdr:to>
      <xdr:col>8</xdr:col>
      <xdr:colOff>418286</xdr:colOff>
      <xdr:row>822</xdr:row>
      <xdr:rowOff>56475</xdr:rowOff>
    </xdr:to>
    <xdr:pic>
      <xdr:nvPicPr>
        <xdr:cNvPr id="44" name="Image 43"/>
        <xdr:cNvPicPr>
          <a:picLocks noChangeAspect="1"/>
        </xdr:cNvPicPr>
      </xdr:nvPicPr>
      <xdr:blipFill>
        <a:blip xmlns:r="http://schemas.openxmlformats.org/officeDocument/2006/relationships" r:embed="rId37"/>
        <a:stretch>
          <a:fillRect/>
        </a:stretch>
      </xdr:blipFill>
      <xdr:spPr>
        <a:xfrm>
          <a:off x="0" y="127758825"/>
          <a:ext cx="6514286" cy="5400000"/>
        </a:xfrm>
        <a:prstGeom prst="rect">
          <a:avLst/>
        </a:prstGeom>
      </xdr:spPr>
    </xdr:pic>
    <xdr:clientData/>
  </xdr:twoCellAnchor>
  <xdr:twoCellAnchor editAs="oneCell">
    <xdr:from>
      <xdr:col>0</xdr:col>
      <xdr:colOff>0</xdr:colOff>
      <xdr:row>824</xdr:row>
      <xdr:rowOff>0</xdr:rowOff>
    </xdr:from>
    <xdr:to>
      <xdr:col>8</xdr:col>
      <xdr:colOff>389714</xdr:colOff>
      <xdr:row>842</xdr:row>
      <xdr:rowOff>56779</xdr:rowOff>
    </xdr:to>
    <xdr:pic>
      <xdr:nvPicPr>
        <xdr:cNvPr id="45" name="Image 44"/>
        <xdr:cNvPicPr>
          <a:picLocks noChangeAspect="1"/>
        </xdr:cNvPicPr>
      </xdr:nvPicPr>
      <xdr:blipFill>
        <a:blip xmlns:r="http://schemas.openxmlformats.org/officeDocument/2006/relationships" r:embed="rId38"/>
        <a:stretch>
          <a:fillRect/>
        </a:stretch>
      </xdr:blipFill>
      <xdr:spPr>
        <a:xfrm>
          <a:off x="0" y="133426200"/>
          <a:ext cx="6485714" cy="2971429"/>
        </a:xfrm>
        <a:prstGeom prst="rect">
          <a:avLst/>
        </a:prstGeom>
      </xdr:spPr>
    </xdr:pic>
    <xdr:clientData/>
  </xdr:twoCellAnchor>
  <xdr:twoCellAnchor editAs="oneCell">
    <xdr:from>
      <xdr:col>0</xdr:col>
      <xdr:colOff>0</xdr:colOff>
      <xdr:row>844</xdr:row>
      <xdr:rowOff>0</xdr:rowOff>
    </xdr:from>
    <xdr:to>
      <xdr:col>8</xdr:col>
      <xdr:colOff>75429</xdr:colOff>
      <xdr:row>850</xdr:row>
      <xdr:rowOff>161783</xdr:rowOff>
    </xdr:to>
    <xdr:pic>
      <xdr:nvPicPr>
        <xdr:cNvPr id="46" name="Image 45"/>
        <xdr:cNvPicPr>
          <a:picLocks noChangeAspect="1"/>
        </xdr:cNvPicPr>
      </xdr:nvPicPr>
      <xdr:blipFill>
        <a:blip xmlns:r="http://schemas.openxmlformats.org/officeDocument/2006/relationships" r:embed="rId39"/>
        <a:stretch>
          <a:fillRect/>
        </a:stretch>
      </xdr:blipFill>
      <xdr:spPr>
        <a:xfrm>
          <a:off x="0" y="136664700"/>
          <a:ext cx="6171429" cy="1133333"/>
        </a:xfrm>
        <a:prstGeom prst="rect">
          <a:avLst/>
        </a:prstGeom>
      </xdr:spPr>
    </xdr:pic>
    <xdr:clientData/>
  </xdr:twoCellAnchor>
  <xdr:twoCellAnchor editAs="oneCell">
    <xdr:from>
      <xdr:col>0</xdr:col>
      <xdr:colOff>0</xdr:colOff>
      <xdr:row>852</xdr:row>
      <xdr:rowOff>0</xdr:rowOff>
    </xdr:from>
    <xdr:to>
      <xdr:col>2</xdr:col>
      <xdr:colOff>752190</xdr:colOff>
      <xdr:row>853</xdr:row>
      <xdr:rowOff>123789</xdr:rowOff>
    </xdr:to>
    <xdr:pic>
      <xdr:nvPicPr>
        <xdr:cNvPr id="47" name="Image 46"/>
        <xdr:cNvPicPr>
          <a:picLocks noChangeAspect="1"/>
        </xdr:cNvPicPr>
      </xdr:nvPicPr>
      <xdr:blipFill>
        <a:blip xmlns:r="http://schemas.openxmlformats.org/officeDocument/2006/relationships" r:embed="rId40"/>
        <a:stretch>
          <a:fillRect/>
        </a:stretch>
      </xdr:blipFill>
      <xdr:spPr>
        <a:xfrm>
          <a:off x="0" y="137960100"/>
          <a:ext cx="2276190" cy="285714"/>
        </a:xfrm>
        <a:prstGeom prst="rect">
          <a:avLst/>
        </a:prstGeom>
      </xdr:spPr>
    </xdr:pic>
    <xdr:clientData/>
  </xdr:twoCellAnchor>
  <xdr:twoCellAnchor editAs="oneCell">
    <xdr:from>
      <xdr:col>0</xdr:col>
      <xdr:colOff>0</xdr:colOff>
      <xdr:row>855</xdr:row>
      <xdr:rowOff>0</xdr:rowOff>
    </xdr:from>
    <xdr:to>
      <xdr:col>7</xdr:col>
      <xdr:colOff>437429</xdr:colOff>
      <xdr:row>857</xdr:row>
      <xdr:rowOff>38055</xdr:rowOff>
    </xdr:to>
    <xdr:pic>
      <xdr:nvPicPr>
        <xdr:cNvPr id="48" name="Image 47"/>
        <xdr:cNvPicPr>
          <a:picLocks noChangeAspect="1"/>
        </xdr:cNvPicPr>
      </xdr:nvPicPr>
      <xdr:blipFill>
        <a:blip xmlns:r="http://schemas.openxmlformats.org/officeDocument/2006/relationships" r:embed="rId41"/>
        <a:stretch>
          <a:fillRect/>
        </a:stretch>
      </xdr:blipFill>
      <xdr:spPr>
        <a:xfrm>
          <a:off x="0" y="138445875"/>
          <a:ext cx="5771429" cy="361905"/>
        </a:xfrm>
        <a:prstGeom prst="rect">
          <a:avLst/>
        </a:prstGeom>
      </xdr:spPr>
    </xdr:pic>
    <xdr:clientData/>
  </xdr:twoCellAnchor>
  <xdr:twoCellAnchor editAs="oneCell">
    <xdr:from>
      <xdr:col>0</xdr:col>
      <xdr:colOff>0</xdr:colOff>
      <xdr:row>858</xdr:row>
      <xdr:rowOff>0</xdr:rowOff>
    </xdr:from>
    <xdr:to>
      <xdr:col>3</xdr:col>
      <xdr:colOff>75905</xdr:colOff>
      <xdr:row>859</xdr:row>
      <xdr:rowOff>152361</xdr:rowOff>
    </xdr:to>
    <xdr:pic>
      <xdr:nvPicPr>
        <xdr:cNvPr id="49" name="Image 48"/>
        <xdr:cNvPicPr>
          <a:picLocks noChangeAspect="1"/>
        </xdr:cNvPicPr>
      </xdr:nvPicPr>
      <xdr:blipFill>
        <a:blip xmlns:r="http://schemas.openxmlformats.org/officeDocument/2006/relationships" r:embed="rId42"/>
        <a:stretch>
          <a:fillRect/>
        </a:stretch>
      </xdr:blipFill>
      <xdr:spPr>
        <a:xfrm>
          <a:off x="0" y="138931650"/>
          <a:ext cx="2361905" cy="314286"/>
        </a:xfrm>
        <a:prstGeom prst="rect">
          <a:avLst/>
        </a:prstGeom>
      </xdr:spPr>
    </xdr:pic>
    <xdr:clientData/>
  </xdr:twoCellAnchor>
  <xdr:twoCellAnchor editAs="oneCell">
    <xdr:from>
      <xdr:col>0</xdr:col>
      <xdr:colOff>0</xdr:colOff>
      <xdr:row>861</xdr:row>
      <xdr:rowOff>0</xdr:rowOff>
    </xdr:from>
    <xdr:to>
      <xdr:col>2</xdr:col>
      <xdr:colOff>237905</xdr:colOff>
      <xdr:row>862</xdr:row>
      <xdr:rowOff>152361</xdr:rowOff>
    </xdr:to>
    <xdr:pic>
      <xdr:nvPicPr>
        <xdr:cNvPr id="50" name="Image 49"/>
        <xdr:cNvPicPr>
          <a:picLocks noChangeAspect="1"/>
        </xdr:cNvPicPr>
      </xdr:nvPicPr>
      <xdr:blipFill>
        <a:blip xmlns:r="http://schemas.openxmlformats.org/officeDocument/2006/relationships" r:embed="rId43"/>
        <a:stretch>
          <a:fillRect/>
        </a:stretch>
      </xdr:blipFill>
      <xdr:spPr>
        <a:xfrm>
          <a:off x="0" y="139417425"/>
          <a:ext cx="1761905" cy="314286"/>
        </a:xfrm>
        <a:prstGeom prst="rect">
          <a:avLst/>
        </a:prstGeom>
      </xdr:spPr>
    </xdr:pic>
    <xdr:clientData/>
  </xdr:twoCellAnchor>
  <xdr:twoCellAnchor editAs="oneCell">
    <xdr:from>
      <xdr:col>0</xdr:col>
      <xdr:colOff>0</xdr:colOff>
      <xdr:row>864</xdr:row>
      <xdr:rowOff>0</xdr:rowOff>
    </xdr:from>
    <xdr:to>
      <xdr:col>3</xdr:col>
      <xdr:colOff>533048</xdr:colOff>
      <xdr:row>866</xdr:row>
      <xdr:rowOff>85674</xdr:rowOff>
    </xdr:to>
    <xdr:pic>
      <xdr:nvPicPr>
        <xdr:cNvPr id="51" name="Image 50"/>
        <xdr:cNvPicPr>
          <a:picLocks noChangeAspect="1"/>
        </xdr:cNvPicPr>
      </xdr:nvPicPr>
      <xdr:blipFill>
        <a:blip xmlns:r="http://schemas.openxmlformats.org/officeDocument/2006/relationships" r:embed="rId44"/>
        <a:stretch>
          <a:fillRect/>
        </a:stretch>
      </xdr:blipFill>
      <xdr:spPr>
        <a:xfrm>
          <a:off x="0" y="139903200"/>
          <a:ext cx="2819048" cy="409524"/>
        </a:xfrm>
        <a:prstGeom prst="rect">
          <a:avLst/>
        </a:prstGeom>
      </xdr:spPr>
    </xdr:pic>
    <xdr:clientData/>
  </xdr:twoCellAnchor>
  <xdr:twoCellAnchor editAs="oneCell">
    <xdr:from>
      <xdr:col>0</xdr:col>
      <xdr:colOff>0</xdr:colOff>
      <xdr:row>868</xdr:row>
      <xdr:rowOff>0</xdr:rowOff>
    </xdr:from>
    <xdr:to>
      <xdr:col>8</xdr:col>
      <xdr:colOff>361143</xdr:colOff>
      <xdr:row>872</xdr:row>
      <xdr:rowOff>18967</xdr:rowOff>
    </xdr:to>
    <xdr:pic>
      <xdr:nvPicPr>
        <xdr:cNvPr id="52" name="Image 51"/>
        <xdr:cNvPicPr>
          <a:picLocks noChangeAspect="1"/>
        </xdr:cNvPicPr>
      </xdr:nvPicPr>
      <xdr:blipFill>
        <a:blip xmlns:r="http://schemas.openxmlformats.org/officeDocument/2006/relationships" r:embed="rId45"/>
        <a:stretch>
          <a:fillRect/>
        </a:stretch>
      </xdr:blipFill>
      <xdr:spPr>
        <a:xfrm>
          <a:off x="0" y="140550900"/>
          <a:ext cx="6457143" cy="666667"/>
        </a:xfrm>
        <a:prstGeom prst="rect">
          <a:avLst/>
        </a:prstGeom>
      </xdr:spPr>
    </xdr:pic>
    <xdr:clientData/>
  </xdr:twoCellAnchor>
  <xdr:twoCellAnchor editAs="oneCell">
    <xdr:from>
      <xdr:col>0</xdr:col>
      <xdr:colOff>0</xdr:colOff>
      <xdr:row>874</xdr:row>
      <xdr:rowOff>0</xdr:rowOff>
    </xdr:from>
    <xdr:to>
      <xdr:col>8</xdr:col>
      <xdr:colOff>265905</xdr:colOff>
      <xdr:row>885</xdr:row>
      <xdr:rowOff>9301</xdr:rowOff>
    </xdr:to>
    <xdr:pic>
      <xdr:nvPicPr>
        <xdr:cNvPr id="53" name="Image 52"/>
        <xdr:cNvPicPr>
          <a:picLocks noChangeAspect="1"/>
        </xdr:cNvPicPr>
      </xdr:nvPicPr>
      <xdr:blipFill>
        <a:blip xmlns:r="http://schemas.openxmlformats.org/officeDocument/2006/relationships" r:embed="rId46"/>
        <a:stretch>
          <a:fillRect/>
        </a:stretch>
      </xdr:blipFill>
      <xdr:spPr>
        <a:xfrm>
          <a:off x="0" y="141522450"/>
          <a:ext cx="6361905" cy="1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170667</xdr:colOff>
      <xdr:row>4</xdr:row>
      <xdr:rowOff>66586</xdr:rowOff>
    </xdr:to>
    <xdr:pic>
      <xdr:nvPicPr>
        <xdr:cNvPr id="2" name="Image 1"/>
        <xdr:cNvPicPr>
          <a:picLocks noChangeAspect="1"/>
        </xdr:cNvPicPr>
      </xdr:nvPicPr>
      <xdr:blipFill>
        <a:blip xmlns:r="http://schemas.openxmlformats.org/officeDocument/2006/relationships" r:embed="rId1"/>
        <a:stretch>
          <a:fillRect/>
        </a:stretch>
      </xdr:blipFill>
      <xdr:spPr>
        <a:xfrm>
          <a:off x="0" y="0"/>
          <a:ext cx="6266667" cy="714286"/>
        </a:xfrm>
        <a:prstGeom prst="rect">
          <a:avLst/>
        </a:prstGeom>
      </xdr:spPr>
    </xdr:pic>
    <xdr:clientData/>
  </xdr:twoCellAnchor>
  <xdr:twoCellAnchor editAs="oneCell">
    <xdr:from>
      <xdr:col>0</xdr:col>
      <xdr:colOff>0</xdr:colOff>
      <xdr:row>6</xdr:row>
      <xdr:rowOff>0</xdr:rowOff>
    </xdr:from>
    <xdr:to>
      <xdr:col>8</xdr:col>
      <xdr:colOff>170667</xdr:colOff>
      <xdr:row>22</xdr:row>
      <xdr:rowOff>142533</xdr:rowOff>
    </xdr:to>
    <xdr:pic>
      <xdr:nvPicPr>
        <xdr:cNvPr id="3" name="Image 2"/>
        <xdr:cNvPicPr>
          <a:picLocks noChangeAspect="1"/>
        </xdr:cNvPicPr>
      </xdr:nvPicPr>
      <xdr:blipFill>
        <a:blip xmlns:r="http://schemas.openxmlformats.org/officeDocument/2006/relationships" r:embed="rId2"/>
        <a:stretch>
          <a:fillRect/>
        </a:stretch>
      </xdr:blipFill>
      <xdr:spPr>
        <a:xfrm>
          <a:off x="0" y="971550"/>
          <a:ext cx="6266667" cy="2733333"/>
        </a:xfrm>
        <a:prstGeom prst="rect">
          <a:avLst/>
        </a:prstGeom>
      </xdr:spPr>
    </xdr:pic>
    <xdr:clientData/>
  </xdr:twoCellAnchor>
  <xdr:twoCellAnchor editAs="oneCell">
    <xdr:from>
      <xdr:col>0</xdr:col>
      <xdr:colOff>0</xdr:colOff>
      <xdr:row>24</xdr:row>
      <xdr:rowOff>0</xdr:rowOff>
    </xdr:from>
    <xdr:to>
      <xdr:col>8</xdr:col>
      <xdr:colOff>75429</xdr:colOff>
      <xdr:row>30</xdr:row>
      <xdr:rowOff>161783</xdr:rowOff>
    </xdr:to>
    <xdr:pic>
      <xdr:nvPicPr>
        <xdr:cNvPr id="4" name="Image 3"/>
        <xdr:cNvPicPr>
          <a:picLocks noChangeAspect="1"/>
        </xdr:cNvPicPr>
      </xdr:nvPicPr>
      <xdr:blipFill>
        <a:blip xmlns:r="http://schemas.openxmlformats.org/officeDocument/2006/relationships" r:embed="rId3"/>
        <a:stretch>
          <a:fillRect/>
        </a:stretch>
      </xdr:blipFill>
      <xdr:spPr>
        <a:xfrm>
          <a:off x="0" y="3886200"/>
          <a:ext cx="6171429" cy="1133333"/>
        </a:xfrm>
        <a:prstGeom prst="rect">
          <a:avLst/>
        </a:prstGeom>
      </xdr:spPr>
    </xdr:pic>
    <xdr:clientData/>
  </xdr:twoCellAnchor>
  <xdr:twoCellAnchor editAs="oneCell">
    <xdr:from>
      <xdr:col>0</xdr:col>
      <xdr:colOff>0</xdr:colOff>
      <xdr:row>32</xdr:row>
      <xdr:rowOff>0</xdr:rowOff>
    </xdr:from>
    <xdr:to>
      <xdr:col>2</xdr:col>
      <xdr:colOff>752190</xdr:colOff>
      <xdr:row>33</xdr:row>
      <xdr:rowOff>123789</xdr:rowOff>
    </xdr:to>
    <xdr:pic>
      <xdr:nvPicPr>
        <xdr:cNvPr id="5" name="Image 4"/>
        <xdr:cNvPicPr>
          <a:picLocks noChangeAspect="1"/>
        </xdr:cNvPicPr>
      </xdr:nvPicPr>
      <xdr:blipFill>
        <a:blip xmlns:r="http://schemas.openxmlformats.org/officeDocument/2006/relationships" r:embed="rId4"/>
        <a:stretch>
          <a:fillRect/>
        </a:stretch>
      </xdr:blipFill>
      <xdr:spPr>
        <a:xfrm>
          <a:off x="0" y="5181600"/>
          <a:ext cx="2276190" cy="285714"/>
        </a:xfrm>
        <a:prstGeom prst="rect">
          <a:avLst/>
        </a:prstGeom>
      </xdr:spPr>
    </xdr:pic>
    <xdr:clientData/>
  </xdr:twoCellAnchor>
  <xdr:twoCellAnchor editAs="oneCell">
    <xdr:from>
      <xdr:col>0</xdr:col>
      <xdr:colOff>0</xdr:colOff>
      <xdr:row>35</xdr:row>
      <xdr:rowOff>0</xdr:rowOff>
    </xdr:from>
    <xdr:to>
      <xdr:col>7</xdr:col>
      <xdr:colOff>637429</xdr:colOff>
      <xdr:row>38</xdr:row>
      <xdr:rowOff>133273</xdr:rowOff>
    </xdr:to>
    <xdr:pic>
      <xdr:nvPicPr>
        <xdr:cNvPr id="6" name="Image 5"/>
        <xdr:cNvPicPr>
          <a:picLocks noChangeAspect="1"/>
        </xdr:cNvPicPr>
      </xdr:nvPicPr>
      <xdr:blipFill>
        <a:blip xmlns:r="http://schemas.openxmlformats.org/officeDocument/2006/relationships" r:embed="rId5"/>
        <a:stretch>
          <a:fillRect/>
        </a:stretch>
      </xdr:blipFill>
      <xdr:spPr>
        <a:xfrm>
          <a:off x="0" y="5667375"/>
          <a:ext cx="5971429" cy="619048"/>
        </a:xfrm>
        <a:prstGeom prst="rect">
          <a:avLst/>
        </a:prstGeom>
      </xdr:spPr>
    </xdr:pic>
    <xdr:clientData/>
  </xdr:twoCellAnchor>
  <xdr:twoCellAnchor editAs="oneCell">
    <xdr:from>
      <xdr:col>0</xdr:col>
      <xdr:colOff>0</xdr:colOff>
      <xdr:row>40</xdr:row>
      <xdr:rowOff>0</xdr:rowOff>
    </xdr:from>
    <xdr:to>
      <xdr:col>8</xdr:col>
      <xdr:colOff>142095</xdr:colOff>
      <xdr:row>62</xdr:row>
      <xdr:rowOff>28126</xdr:rowOff>
    </xdr:to>
    <xdr:pic>
      <xdr:nvPicPr>
        <xdr:cNvPr id="7" name="Image 6"/>
        <xdr:cNvPicPr>
          <a:picLocks noChangeAspect="1"/>
        </xdr:cNvPicPr>
      </xdr:nvPicPr>
      <xdr:blipFill>
        <a:blip xmlns:r="http://schemas.openxmlformats.org/officeDocument/2006/relationships" r:embed="rId6"/>
        <a:stretch>
          <a:fillRect/>
        </a:stretch>
      </xdr:blipFill>
      <xdr:spPr>
        <a:xfrm>
          <a:off x="0" y="6477000"/>
          <a:ext cx="6238095" cy="3590476"/>
        </a:xfrm>
        <a:prstGeom prst="rect">
          <a:avLst/>
        </a:prstGeom>
      </xdr:spPr>
    </xdr:pic>
    <xdr:clientData/>
  </xdr:twoCellAnchor>
  <xdr:twoCellAnchor editAs="oneCell">
    <xdr:from>
      <xdr:col>0</xdr:col>
      <xdr:colOff>0</xdr:colOff>
      <xdr:row>64</xdr:row>
      <xdr:rowOff>0</xdr:rowOff>
    </xdr:from>
    <xdr:to>
      <xdr:col>8</xdr:col>
      <xdr:colOff>427809</xdr:colOff>
      <xdr:row>74</xdr:row>
      <xdr:rowOff>9321</xdr:rowOff>
    </xdr:to>
    <xdr:pic>
      <xdr:nvPicPr>
        <xdr:cNvPr id="8" name="Image 7"/>
        <xdr:cNvPicPr>
          <a:picLocks noChangeAspect="1"/>
        </xdr:cNvPicPr>
      </xdr:nvPicPr>
      <xdr:blipFill>
        <a:blip xmlns:r="http://schemas.openxmlformats.org/officeDocument/2006/relationships" r:embed="rId7"/>
        <a:stretch>
          <a:fillRect/>
        </a:stretch>
      </xdr:blipFill>
      <xdr:spPr>
        <a:xfrm>
          <a:off x="0" y="10363200"/>
          <a:ext cx="6523809" cy="1628571"/>
        </a:xfrm>
        <a:prstGeom prst="rect">
          <a:avLst/>
        </a:prstGeom>
      </xdr:spPr>
    </xdr:pic>
    <xdr:clientData/>
  </xdr:twoCellAnchor>
  <xdr:twoCellAnchor editAs="oneCell">
    <xdr:from>
      <xdr:col>0</xdr:col>
      <xdr:colOff>0</xdr:colOff>
      <xdr:row>76</xdr:row>
      <xdr:rowOff>0</xdr:rowOff>
    </xdr:from>
    <xdr:to>
      <xdr:col>8</xdr:col>
      <xdr:colOff>599238</xdr:colOff>
      <xdr:row>120</xdr:row>
      <xdr:rowOff>122919</xdr:rowOff>
    </xdr:to>
    <xdr:pic>
      <xdr:nvPicPr>
        <xdr:cNvPr id="9" name="Image 8"/>
        <xdr:cNvPicPr>
          <a:picLocks noChangeAspect="1"/>
        </xdr:cNvPicPr>
      </xdr:nvPicPr>
      <xdr:blipFill>
        <a:blip xmlns:r="http://schemas.openxmlformats.org/officeDocument/2006/relationships" r:embed="rId8"/>
        <a:stretch>
          <a:fillRect/>
        </a:stretch>
      </xdr:blipFill>
      <xdr:spPr>
        <a:xfrm>
          <a:off x="0" y="12306300"/>
          <a:ext cx="6695238" cy="7247619"/>
        </a:xfrm>
        <a:prstGeom prst="rect">
          <a:avLst/>
        </a:prstGeom>
      </xdr:spPr>
    </xdr:pic>
    <xdr:clientData/>
  </xdr:twoCellAnchor>
  <xdr:twoCellAnchor editAs="oneCell">
    <xdr:from>
      <xdr:col>0</xdr:col>
      <xdr:colOff>0</xdr:colOff>
      <xdr:row>122</xdr:row>
      <xdr:rowOff>0</xdr:rowOff>
    </xdr:from>
    <xdr:to>
      <xdr:col>8</xdr:col>
      <xdr:colOff>646857</xdr:colOff>
      <xdr:row>182</xdr:row>
      <xdr:rowOff>160690</xdr:rowOff>
    </xdr:to>
    <xdr:pic>
      <xdr:nvPicPr>
        <xdr:cNvPr id="10" name="Image 9"/>
        <xdr:cNvPicPr>
          <a:picLocks noChangeAspect="1"/>
        </xdr:cNvPicPr>
      </xdr:nvPicPr>
      <xdr:blipFill>
        <a:blip xmlns:r="http://schemas.openxmlformats.org/officeDocument/2006/relationships" r:embed="rId9"/>
        <a:stretch>
          <a:fillRect/>
        </a:stretch>
      </xdr:blipFill>
      <xdr:spPr>
        <a:xfrm>
          <a:off x="0" y="19754850"/>
          <a:ext cx="6742857" cy="9876190"/>
        </a:xfrm>
        <a:prstGeom prst="rect">
          <a:avLst/>
        </a:prstGeom>
      </xdr:spPr>
    </xdr:pic>
    <xdr:clientData/>
  </xdr:twoCellAnchor>
  <xdr:twoCellAnchor editAs="oneCell">
    <xdr:from>
      <xdr:col>0</xdr:col>
      <xdr:colOff>0</xdr:colOff>
      <xdr:row>184</xdr:row>
      <xdr:rowOff>0</xdr:rowOff>
    </xdr:from>
    <xdr:to>
      <xdr:col>8</xdr:col>
      <xdr:colOff>323048</xdr:colOff>
      <xdr:row>218</xdr:row>
      <xdr:rowOff>8836</xdr:rowOff>
    </xdr:to>
    <xdr:pic>
      <xdr:nvPicPr>
        <xdr:cNvPr id="11" name="Image 10"/>
        <xdr:cNvPicPr>
          <a:picLocks noChangeAspect="1"/>
        </xdr:cNvPicPr>
      </xdr:nvPicPr>
      <xdr:blipFill>
        <a:blip xmlns:r="http://schemas.openxmlformats.org/officeDocument/2006/relationships" r:embed="rId10"/>
        <a:stretch>
          <a:fillRect/>
        </a:stretch>
      </xdr:blipFill>
      <xdr:spPr>
        <a:xfrm>
          <a:off x="0" y="29794200"/>
          <a:ext cx="6419048" cy="5514286"/>
        </a:xfrm>
        <a:prstGeom prst="rect">
          <a:avLst/>
        </a:prstGeom>
      </xdr:spPr>
    </xdr:pic>
    <xdr:clientData/>
  </xdr:twoCellAnchor>
  <xdr:twoCellAnchor editAs="oneCell">
    <xdr:from>
      <xdr:col>0</xdr:col>
      <xdr:colOff>0</xdr:colOff>
      <xdr:row>220</xdr:row>
      <xdr:rowOff>0</xdr:rowOff>
    </xdr:from>
    <xdr:to>
      <xdr:col>8</xdr:col>
      <xdr:colOff>465905</xdr:colOff>
      <xdr:row>272</xdr:row>
      <xdr:rowOff>122757</xdr:rowOff>
    </xdr:to>
    <xdr:pic>
      <xdr:nvPicPr>
        <xdr:cNvPr id="12" name="Image 11"/>
        <xdr:cNvPicPr>
          <a:picLocks noChangeAspect="1"/>
        </xdr:cNvPicPr>
      </xdr:nvPicPr>
      <xdr:blipFill>
        <a:blip xmlns:r="http://schemas.openxmlformats.org/officeDocument/2006/relationships" r:embed="rId11"/>
        <a:stretch>
          <a:fillRect/>
        </a:stretch>
      </xdr:blipFill>
      <xdr:spPr>
        <a:xfrm>
          <a:off x="0" y="35623500"/>
          <a:ext cx="6561905" cy="8542857"/>
        </a:xfrm>
        <a:prstGeom prst="rect">
          <a:avLst/>
        </a:prstGeom>
      </xdr:spPr>
    </xdr:pic>
    <xdr:clientData/>
  </xdr:twoCellAnchor>
  <xdr:twoCellAnchor editAs="oneCell">
    <xdr:from>
      <xdr:col>0</xdr:col>
      <xdr:colOff>0</xdr:colOff>
      <xdr:row>274</xdr:row>
      <xdr:rowOff>0</xdr:rowOff>
    </xdr:from>
    <xdr:to>
      <xdr:col>2</xdr:col>
      <xdr:colOff>237905</xdr:colOff>
      <xdr:row>275</xdr:row>
      <xdr:rowOff>152361</xdr:rowOff>
    </xdr:to>
    <xdr:pic>
      <xdr:nvPicPr>
        <xdr:cNvPr id="13" name="Image 12"/>
        <xdr:cNvPicPr>
          <a:picLocks noChangeAspect="1"/>
        </xdr:cNvPicPr>
      </xdr:nvPicPr>
      <xdr:blipFill>
        <a:blip xmlns:r="http://schemas.openxmlformats.org/officeDocument/2006/relationships" r:embed="rId12"/>
        <a:stretch>
          <a:fillRect/>
        </a:stretch>
      </xdr:blipFill>
      <xdr:spPr>
        <a:xfrm>
          <a:off x="0" y="44367450"/>
          <a:ext cx="1761905" cy="314286"/>
        </a:xfrm>
        <a:prstGeom prst="rect">
          <a:avLst/>
        </a:prstGeom>
      </xdr:spPr>
    </xdr:pic>
    <xdr:clientData/>
  </xdr:twoCellAnchor>
  <xdr:twoCellAnchor editAs="oneCell">
    <xdr:from>
      <xdr:col>0</xdr:col>
      <xdr:colOff>0</xdr:colOff>
      <xdr:row>277</xdr:row>
      <xdr:rowOff>0</xdr:rowOff>
    </xdr:from>
    <xdr:to>
      <xdr:col>3</xdr:col>
      <xdr:colOff>133048</xdr:colOff>
      <xdr:row>278</xdr:row>
      <xdr:rowOff>123789</xdr:rowOff>
    </xdr:to>
    <xdr:pic>
      <xdr:nvPicPr>
        <xdr:cNvPr id="14" name="Image 13"/>
        <xdr:cNvPicPr>
          <a:picLocks noChangeAspect="1"/>
        </xdr:cNvPicPr>
      </xdr:nvPicPr>
      <xdr:blipFill>
        <a:blip xmlns:r="http://schemas.openxmlformats.org/officeDocument/2006/relationships" r:embed="rId13"/>
        <a:stretch>
          <a:fillRect/>
        </a:stretch>
      </xdr:blipFill>
      <xdr:spPr>
        <a:xfrm>
          <a:off x="0" y="44853225"/>
          <a:ext cx="2419048" cy="285714"/>
        </a:xfrm>
        <a:prstGeom prst="rect">
          <a:avLst/>
        </a:prstGeom>
      </xdr:spPr>
    </xdr:pic>
    <xdr:clientData/>
  </xdr:twoCellAnchor>
  <xdr:twoCellAnchor editAs="oneCell">
    <xdr:from>
      <xdr:col>0</xdr:col>
      <xdr:colOff>38100</xdr:colOff>
      <xdr:row>289</xdr:row>
      <xdr:rowOff>85725</xdr:rowOff>
    </xdr:from>
    <xdr:to>
      <xdr:col>2</xdr:col>
      <xdr:colOff>247433</xdr:colOff>
      <xdr:row>291</xdr:row>
      <xdr:rowOff>133304</xdr:rowOff>
    </xdr:to>
    <xdr:pic>
      <xdr:nvPicPr>
        <xdr:cNvPr id="15" name="Image 14"/>
        <xdr:cNvPicPr>
          <a:picLocks noChangeAspect="1"/>
        </xdr:cNvPicPr>
      </xdr:nvPicPr>
      <xdr:blipFill>
        <a:blip xmlns:r="http://schemas.openxmlformats.org/officeDocument/2006/relationships" r:embed="rId14"/>
        <a:stretch>
          <a:fillRect/>
        </a:stretch>
      </xdr:blipFill>
      <xdr:spPr>
        <a:xfrm>
          <a:off x="38100" y="46882050"/>
          <a:ext cx="1733333" cy="371429"/>
        </a:xfrm>
        <a:prstGeom prst="rect">
          <a:avLst/>
        </a:prstGeom>
      </xdr:spPr>
    </xdr:pic>
    <xdr:clientData/>
  </xdr:twoCellAnchor>
  <xdr:twoCellAnchor editAs="oneCell">
    <xdr:from>
      <xdr:col>0</xdr:col>
      <xdr:colOff>0</xdr:colOff>
      <xdr:row>279</xdr:row>
      <xdr:rowOff>28575</xdr:rowOff>
    </xdr:from>
    <xdr:to>
      <xdr:col>6</xdr:col>
      <xdr:colOff>570857</xdr:colOff>
      <xdr:row>288</xdr:row>
      <xdr:rowOff>104583</xdr:rowOff>
    </xdr:to>
    <xdr:pic>
      <xdr:nvPicPr>
        <xdr:cNvPr id="16" name="Image 15"/>
        <xdr:cNvPicPr>
          <a:picLocks noChangeAspect="1"/>
        </xdr:cNvPicPr>
      </xdr:nvPicPr>
      <xdr:blipFill>
        <a:blip xmlns:r="http://schemas.openxmlformats.org/officeDocument/2006/relationships" r:embed="rId15"/>
        <a:stretch>
          <a:fillRect/>
        </a:stretch>
      </xdr:blipFill>
      <xdr:spPr>
        <a:xfrm>
          <a:off x="0" y="45205650"/>
          <a:ext cx="5142857" cy="1533333"/>
        </a:xfrm>
        <a:prstGeom prst="rect">
          <a:avLst/>
        </a:prstGeom>
      </xdr:spPr>
    </xdr:pic>
    <xdr:clientData/>
  </xdr:twoCellAnchor>
  <xdr:twoCellAnchor editAs="oneCell">
    <xdr:from>
      <xdr:col>0</xdr:col>
      <xdr:colOff>0</xdr:colOff>
      <xdr:row>295</xdr:row>
      <xdr:rowOff>0</xdr:rowOff>
    </xdr:from>
    <xdr:to>
      <xdr:col>7</xdr:col>
      <xdr:colOff>513619</xdr:colOff>
      <xdr:row>297</xdr:row>
      <xdr:rowOff>38055</xdr:rowOff>
    </xdr:to>
    <xdr:pic>
      <xdr:nvPicPr>
        <xdr:cNvPr id="17" name="Image 16"/>
        <xdr:cNvPicPr>
          <a:picLocks noChangeAspect="1"/>
        </xdr:cNvPicPr>
      </xdr:nvPicPr>
      <xdr:blipFill>
        <a:blip xmlns:r="http://schemas.openxmlformats.org/officeDocument/2006/relationships" r:embed="rId16"/>
        <a:stretch>
          <a:fillRect/>
        </a:stretch>
      </xdr:blipFill>
      <xdr:spPr>
        <a:xfrm>
          <a:off x="0" y="47767875"/>
          <a:ext cx="5847619" cy="361905"/>
        </a:xfrm>
        <a:prstGeom prst="rect">
          <a:avLst/>
        </a:prstGeom>
      </xdr:spPr>
    </xdr:pic>
    <xdr:clientData/>
  </xdr:twoCellAnchor>
  <xdr:twoCellAnchor editAs="oneCell">
    <xdr:from>
      <xdr:col>0</xdr:col>
      <xdr:colOff>0</xdr:colOff>
      <xdr:row>292</xdr:row>
      <xdr:rowOff>0</xdr:rowOff>
    </xdr:from>
    <xdr:to>
      <xdr:col>5</xdr:col>
      <xdr:colOff>504286</xdr:colOff>
      <xdr:row>293</xdr:row>
      <xdr:rowOff>152361</xdr:rowOff>
    </xdr:to>
    <xdr:pic>
      <xdr:nvPicPr>
        <xdr:cNvPr id="18" name="Image 17"/>
        <xdr:cNvPicPr>
          <a:picLocks noChangeAspect="1"/>
        </xdr:cNvPicPr>
      </xdr:nvPicPr>
      <xdr:blipFill>
        <a:blip xmlns:r="http://schemas.openxmlformats.org/officeDocument/2006/relationships" r:embed="rId17"/>
        <a:stretch>
          <a:fillRect/>
        </a:stretch>
      </xdr:blipFill>
      <xdr:spPr>
        <a:xfrm>
          <a:off x="0" y="47282100"/>
          <a:ext cx="4314286" cy="314286"/>
        </a:xfrm>
        <a:prstGeom prst="rect">
          <a:avLst/>
        </a:prstGeom>
      </xdr:spPr>
    </xdr:pic>
    <xdr:clientData/>
  </xdr:twoCellAnchor>
  <xdr:twoCellAnchor editAs="oneCell">
    <xdr:from>
      <xdr:col>0</xdr:col>
      <xdr:colOff>0</xdr:colOff>
      <xdr:row>298</xdr:row>
      <xdr:rowOff>0</xdr:rowOff>
    </xdr:from>
    <xdr:to>
      <xdr:col>7</xdr:col>
      <xdr:colOff>589809</xdr:colOff>
      <xdr:row>306</xdr:row>
      <xdr:rowOff>9362</xdr:rowOff>
    </xdr:to>
    <xdr:pic>
      <xdr:nvPicPr>
        <xdr:cNvPr id="19" name="Image 18"/>
        <xdr:cNvPicPr>
          <a:picLocks noChangeAspect="1"/>
        </xdr:cNvPicPr>
      </xdr:nvPicPr>
      <xdr:blipFill>
        <a:blip xmlns:r="http://schemas.openxmlformats.org/officeDocument/2006/relationships" r:embed="rId18"/>
        <a:stretch>
          <a:fillRect/>
        </a:stretch>
      </xdr:blipFill>
      <xdr:spPr>
        <a:xfrm>
          <a:off x="0" y="48253650"/>
          <a:ext cx="5923809" cy="1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79375</xdr:colOff>
      <xdr:row>53</xdr:row>
      <xdr:rowOff>63500</xdr:rowOff>
    </xdr:from>
    <xdr:to>
      <xdr:col>8</xdr:col>
      <xdr:colOff>373851</xdr:colOff>
      <xdr:row>108</xdr:row>
      <xdr:rowOff>94155</xdr:rowOff>
    </xdr:to>
    <xdr:pic>
      <xdr:nvPicPr>
        <xdr:cNvPr id="3" name="Image 2"/>
        <xdr:cNvPicPr>
          <a:picLocks noChangeAspect="1"/>
        </xdr:cNvPicPr>
      </xdr:nvPicPr>
      <xdr:blipFill>
        <a:blip xmlns:r="http://schemas.openxmlformats.org/officeDocument/2006/relationships" r:embed="rId1"/>
        <a:stretch>
          <a:fillRect/>
        </a:stretch>
      </xdr:blipFill>
      <xdr:spPr>
        <a:xfrm>
          <a:off x="79375" y="8477250"/>
          <a:ext cx="6390476" cy="8761905"/>
        </a:xfrm>
        <a:prstGeom prst="rect">
          <a:avLst/>
        </a:prstGeom>
      </xdr:spPr>
    </xdr:pic>
    <xdr:clientData/>
  </xdr:twoCellAnchor>
  <xdr:twoCellAnchor editAs="oneCell">
    <xdr:from>
      <xdr:col>0</xdr:col>
      <xdr:colOff>0</xdr:colOff>
      <xdr:row>0</xdr:row>
      <xdr:rowOff>0</xdr:rowOff>
    </xdr:from>
    <xdr:to>
      <xdr:col>8</xdr:col>
      <xdr:colOff>370667</xdr:colOff>
      <xdr:row>53</xdr:row>
      <xdr:rowOff>24345</xdr:rowOff>
    </xdr:to>
    <xdr:pic>
      <xdr:nvPicPr>
        <xdr:cNvPr id="4" name="Image 3"/>
        <xdr:cNvPicPr>
          <a:picLocks noChangeAspect="1"/>
        </xdr:cNvPicPr>
      </xdr:nvPicPr>
      <xdr:blipFill>
        <a:blip xmlns:r="http://schemas.openxmlformats.org/officeDocument/2006/relationships" r:embed="rId2"/>
        <a:stretch>
          <a:fillRect/>
        </a:stretch>
      </xdr:blipFill>
      <xdr:spPr>
        <a:xfrm>
          <a:off x="0" y="0"/>
          <a:ext cx="6466667" cy="8438095"/>
        </a:xfrm>
        <a:prstGeom prst="rect">
          <a:avLst/>
        </a:prstGeom>
      </xdr:spPr>
    </xdr:pic>
    <xdr:clientData/>
  </xdr:twoCellAnchor>
  <xdr:twoCellAnchor editAs="oneCell">
    <xdr:from>
      <xdr:col>0</xdr:col>
      <xdr:colOff>571500</xdr:colOff>
      <xdr:row>126</xdr:row>
      <xdr:rowOff>83342</xdr:rowOff>
    </xdr:from>
    <xdr:to>
      <xdr:col>8</xdr:col>
      <xdr:colOff>570583</xdr:colOff>
      <xdr:row>188</xdr:row>
      <xdr:rowOff>102216</xdr:rowOff>
    </xdr:to>
    <xdr:pic>
      <xdr:nvPicPr>
        <xdr:cNvPr id="6" name="Image 5"/>
        <xdr:cNvPicPr>
          <a:picLocks noChangeAspect="1"/>
        </xdr:cNvPicPr>
      </xdr:nvPicPr>
      <xdr:blipFill>
        <a:blip xmlns:r="http://schemas.openxmlformats.org/officeDocument/2006/relationships" r:embed="rId3"/>
        <a:stretch>
          <a:fillRect/>
        </a:stretch>
      </xdr:blipFill>
      <xdr:spPr>
        <a:xfrm>
          <a:off x="571500" y="21181217"/>
          <a:ext cx="6095083" cy="14072218"/>
        </a:xfrm>
        <a:prstGeom prst="rect">
          <a:avLst/>
        </a:prstGeom>
      </xdr:spPr>
    </xdr:pic>
    <xdr:clientData/>
  </xdr:twoCellAnchor>
  <xdr:twoCellAnchor editAs="oneCell">
    <xdr:from>
      <xdr:col>0</xdr:col>
      <xdr:colOff>0</xdr:colOff>
      <xdr:row>109</xdr:row>
      <xdr:rowOff>0</xdr:rowOff>
    </xdr:from>
    <xdr:to>
      <xdr:col>8</xdr:col>
      <xdr:colOff>429159</xdr:colOff>
      <xdr:row>118</xdr:row>
      <xdr:rowOff>95250</xdr:rowOff>
    </xdr:to>
    <xdr:pic>
      <xdr:nvPicPr>
        <xdr:cNvPr id="7" name="Image 6"/>
        <xdr:cNvPicPr>
          <a:picLocks noChangeAspect="1"/>
        </xdr:cNvPicPr>
      </xdr:nvPicPr>
      <xdr:blipFill>
        <a:blip xmlns:r="http://schemas.openxmlformats.org/officeDocument/2006/relationships" r:embed="rId4"/>
        <a:stretch>
          <a:fillRect/>
        </a:stretch>
      </xdr:blipFill>
      <xdr:spPr>
        <a:xfrm>
          <a:off x="0" y="18168938"/>
          <a:ext cx="6525159" cy="1595437"/>
        </a:xfrm>
        <a:prstGeom prst="rect">
          <a:avLst/>
        </a:prstGeom>
      </xdr:spPr>
    </xdr:pic>
    <xdr:clientData/>
  </xdr:twoCellAnchor>
  <xdr:twoCellAnchor editAs="oneCell">
    <xdr:from>
      <xdr:col>0</xdr:col>
      <xdr:colOff>369094</xdr:colOff>
      <xdr:row>189</xdr:row>
      <xdr:rowOff>175848</xdr:rowOff>
    </xdr:from>
    <xdr:to>
      <xdr:col>8</xdr:col>
      <xdr:colOff>285750</xdr:colOff>
      <xdr:row>245</xdr:row>
      <xdr:rowOff>35717</xdr:rowOff>
    </xdr:to>
    <xdr:pic>
      <xdr:nvPicPr>
        <xdr:cNvPr id="8" name="Image 7"/>
        <xdr:cNvPicPr>
          <a:picLocks noChangeAspect="1"/>
        </xdr:cNvPicPr>
      </xdr:nvPicPr>
      <xdr:blipFill>
        <a:blip xmlns:r="http://schemas.openxmlformats.org/officeDocument/2006/relationships" r:embed="rId5"/>
        <a:stretch>
          <a:fillRect/>
        </a:stretch>
      </xdr:blipFill>
      <xdr:spPr>
        <a:xfrm>
          <a:off x="369094" y="35501692"/>
          <a:ext cx="6012656" cy="12599556"/>
        </a:xfrm>
        <a:prstGeom prst="rect">
          <a:avLst/>
        </a:prstGeom>
      </xdr:spPr>
    </xdr:pic>
    <xdr:clientData/>
  </xdr:twoCellAnchor>
</xdr:wsDr>
</file>

<file path=xl/tables/table1.xml><?xml version="1.0" encoding="utf-8"?>
<table xmlns="http://schemas.openxmlformats.org/spreadsheetml/2006/main" id="1" name="Compil" displayName="Compil" ref="A5:Q1158" totalsRowShown="0" headerRowDxfId="13">
  <autoFilter ref="A5:Q1158"/>
  <tableColumns count="17">
    <tableColumn id="8" name="Id"/>
    <tableColumn id="2" name="ART._x000a_CCTP"/>
    <tableColumn id="3" name="DESIGNATION" dataDxfId="1"/>
    <tableColumn id="17" name="Ma Désignation " dataCellStyle="Normal">
      <calculatedColumnFormula xml:space="preserve"> TRIM( SUBSTITUTE(SUBSTITUTE(SUBSTITUTE( Compil[[#This Row],[DESIGNATION]],"-",""),"–",""),"*",""))</calculatedColumnFormula>
    </tableColumn>
    <tableColumn id="4" name="Unité" dataDxfId="17"/>
    <tableColumn id="5" name="Q" dataDxfId="16"/>
    <tableColumn id="6" name="P.U." dataDxfId="15"/>
    <tableColumn id="7" name="Total HT" dataDxfId="14"/>
    <tableColumn id="9" name="Bordereau"/>
    <tableColumn id="11" name="Est titre" dataDxfId="11">
      <calculatedColumnFormula>AND(NOT(Compil[[#This Row],[Est ouvrage]]), NOT(ISBLANK(Compil[[#This Row],[ART.
CCTP]])))</calculatedColumnFormula>
    </tableColumn>
    <tableColumn id="1" name="Est ouvrage" dataDxfId="12">
      <calculatedColumnFormula>OR(Compil[[#This Row],[Unité]]="U",Compil[[#This Row],[Unité]]="ens",Compil[[#This Row],[Unité]]="ml")</calculatedColumnFormula>
    </tableColumn>
    <tableColumn id="12" name="Est vide" dataDxfId="10">
      <calculatedColumnFormula>ISBLANK(Compil[[#This Row],[DESIGNATION]])</calculatedColumnFormula>
    </tableColumn>
    <tableColumn id="13" name="Achat/U  €" dataDxfId="9"/>
    <tableColumn id="14" name="MO/U" dataDxfId="8"/>
    <tableColumn id="15" name="Achat/TT  €" dataDxfId="7"/>
    <tableColumn id="16" name="MO/TT" dataDxfId="6"/>
    <tableColumn id="18" name="Nb" dataDxfId="0">
      <calculatedColumnFormula>COUNTIF(Compil[[Ma Désignation ]],Compil[[Ma Désignation ]])</calculatedColumnFormula>
    </tableColumn>
  </tableColumns>
  <tableStyleInfo name="TableStyleDark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H27" sqref="H27"/>
    </sheetView>
  </sheetViews>
  <sheetFormatPr baseColWidth="10" defaultRowHeight="1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0" zoomScaleNormal="100" workbookViewId="0">
      <selection activeCell="H27" sqref="H27"/>
    </sheetView>
  </sheetViews>
  <sheetFormatPr baseColWidth="10" defaultRowHeight="1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68"/>
  <sheetViews>
    <sheetView topLeftCell="A211" zoomScaleNormal="100" workbookViewId="0">
      <selection activeCell="J204" sqref="J204"/>
    </sheetView>
  </sheetViews>
  <sheetFormatPr baseColWidth="10" defaultRowHeight="12.5"/>
  <cols>
    <col min="11" max="11" width="7.453125" bestFit="1" customWidth="1"/>
    <col min="12" max="12" width="7.453125" customWidth="1"/>
    <col min="13" max="13" width="14.54296875" customWidth="1"/>
  </cols>
  <sheetData>
    <row r="1" spans="10:12">
      <c r="J1" t="s">
        <v>482</v>
      </c>
    </row>
    <row r="7" spans="10:12">
      <c r="J7">
        <v>14</v>
      </c>
      <c r="L7" s="167" t="s">
        <v>485</v>
      </c>
    </row>
    <row r="8" spans="10:12">
      <c r="L8" s="167" t="s">
        <v>487</v>
      </c>
    </row>
    <row r="9" spans="10:12">
      <c r="L9" s="167" t="s">
        <v>489</v>
      </c>
    </row>
    <row r="10" spans="10:12">
      <c r="L10" s="167" t="s">
        <v>523</v>
      </c>
    </row>
    <row r="16" spans="10:12" ht="13">
      <c r="J16" s="5">
        <v>4</v>
      </c>
      <c r="L16" s="167" t="s">
        <v>485</v>
      </c>
    </row>
    <row r="17" spans="10:12" ht="13">
      <c r="J17" s="5"/>
      <c r="L17" s="167" t="s">
        <v>486</v>
      </c>
    </row>
    <row r="18" spans="10:12" ht="13">
      <c r="J18" s="5"/>
      <c r="L18" s="167" t="s">
        <v>487</v>
      </c>
    </row>
    <row r="19" spans="10:12" ht="13">
      <c r="J19" s="5"/>
      <c r="L19" s="167" t="s">
        <v>489</v>
      </c>
    </row>
    <row r="20" spans="10:12" ht="13">
      <c r="J20" s="5"/>
      <c r="L20" s="167" t="s">
        <v>523</v>
      </c>
    </row>
    <row r="21" spans="10:12" ht="13">
      <c r="J21" s="5"/>
    </row>
    <row r="22" spans="10:12" ht="13">
      <c r="J22" s="5"/>
    </row>
    <row r="23" spans="10:12" ht="13">
      <c r="J23" s="5"/>
    </row>
    <row r="24" spans="10:12" ht="13">
      <c r="J24" s="5"/>
    </row>
    <row r="25" spans="10:12" ht="13">
      <c r="J25" s="5">
        <v>14</v>
      </c>
      <c r="L25" s="167" t="s">
        <v>485</v>
      </c>
    </row>
    <row r="26" spans="10:12">
      <c r="L26" s="167" t="s">
        <v>487</v>
      </c>
    </row>
    <row r="27" spans="10:12">
      <c r="L27" s="167" t="s">
        <v>489</v>
      </c>
    </row>
    <row r="28" spans="10:12">
      <c r="L28" s="167" t="s">
        <v>522</v>
      </c>
    </row>
    <row r="29" spans="10:12">
      <c r="L29" s="167" t="s">
        <v>523</v>
      </c>
    </row>
    <row r="32" spans="10:12" ht="13">
      <c r="J32" s="5">
        <v>94</v>
      </c>
      <c r="L32" s="167" t="s">
        <v>485</v>
      </c>
    </row>
    <row r="33" spans="10:12">
      <c r="L33" s="167" t="s">
        <v>487</v>
      </c>
    </row>
    <row r="34" spans="10:12">
      <c r="L34" s="167" t="s">
        <v>489</v>
      </c>
    </row>
    <row r="35" spans="10:12">
      <c r="L35" s="167" t="s">
        <v>490</v>
      </c>
    </row>
    <row r="36" spans="10:12">
      <c r="L36" s="167" t="s">
        <v>523</v>
      </c>
    </row>
    <row r="40" spans="10:12" ht="13">
      <c r="J40" s="5">
        <v>18</v>
      </c>
    </row>
    <row r="49" spans="9:14" ht="13">
      <c r="J49" s="5">
        <v>16</v>
      </c>
      <c r="L49" s="167" t="s">
        <v>485</v>
      </c>
    </row>
    <row r="50" spans="9:14">
      <c r="L50" s="167" t="s">
        <v>487</v>
      </c>
    </row>
    <row r="51" spans="9:14">
      <c r="L51" s="167" t="s">
        <v>488</v>
      </c>
    </row>
    <row r="52" spans="9:14">
      <c r="L52" s="167" t="s">
        <v>489</v>
      </c>
    </row>
    <row r="53" spans="9:14">
      <c r="L53" s="167" t="s">
        <v>523</v>
      </c>
    </row>
    <row r="56" spans="9:14" ht="13">
      <c r="J56" s="5">
        <v>351</v>
      </c>
      <c r="L56" s="167" t="s">
        <v>485</v>
      </c>
    </row>
    <row r="57" spans="9:14">
      <c r="L57" s="167" t="s">
        <v>487</v>
      </c>
    </row>
    <row r="58" spans="9:14">
      <c r="L58" s="167" t="s">
        <v>488</v>
      </c>
    </row>
    <row r="59" spans="9:14">
      <c r="L59" s="167" t="s">
        <v>489</v>
      </c>
    </row>
    <row r="60" spans="9:14">
      <c r="L60" s="167" t="s">
        <v>523</v>
      </c>
    </row>
    <row r="63" spans="9:14" ht="13">
      <c r="I63">
        <v>46</v>
      </c>
      <c r="J63" s="5">
        <v>4</v>
      </c>
      <c r="L63" s="167" t="s">
        <v>485</v>
      </c>
      <c r="M63" s="167" t="s">
        <v>487</v>
      </c>
      <c r="N63" s="167" t="s">
        <v>489</v>
      </c>
    </row>
    <row r="64" spans="9:14" ht="13">
      <c r="I64">
        <v>62</v>
      </c>
      <c r="J64" s="5">
        <v>4</v>
      </c>
      <c r="L64" s="167" t="s">
        <v>485</v>
      </c>
      <c r="M64" s="167" t="s">
        <v>487</v>
      </c>
      <c r="N64" s="167" t="s">
        <v>489</v>
      </c>
    </row>
    <row r="65" spans="9:14" ht="13">
      <c r="I65">
        <v>92</v>
      </c>
      <c r="J65" s="5">
        <v>3</v>
      </c>
      <c r="L65" s="167" t="s">
        <v>485</v>
      </c>
      <c r="M65" s="167" t="s">
        <v>487</v>
      </c>
      <c r="N65" s="167" t="s">
        <v>489</v>
      </c>
    </row>
    <row r="66" spans="9:14">
      <c r="L66" s="167" t="s">
        <v>523</v>
      </c>
    </row>
    <row r="73" spans="9:14" ht="13">
      <c r="I73" s="168" t="s">
        <v>483</v>
      </c>
      <c r="J73" s="5">
        <v>12</v>
      </c>
      <c r="L73" s="167" t="s">
        <v>485</v>
      </c>
      <c r="M73" s="167" t="s">
        <v>487</v>
      </c>
      <c r="N73" s="167" t="s">
        <v>489</v>
      </c>
    </row>
    <row r="74" spans="9:14" ht="13">
      <c r="I74" s="169" t="s">
        <v>484</v>
      </c>
      <c r="J74" s="5">
        <v>47</v>
      </c>
      <c r="L74" s="167" t="s">
        <v>485</v>
      </c>
      <c r="M74" s="167" t="s">
        <v>487</v>
      </c>
      <c r="N74" s="167" t="s">
        <v>489</v>
      </c>
    </row>
    <row r="75" spans="9:14" ht="13">
      <c r="J75" s="5"/>
      <c r="L75" s="167" t="s">
        <v>523</v>
      </c>
    </row>
    <row r="76" spans="9:14" ht="13">
      <c r="J76" s="5"/>
    </row>
    <row r="77" spans="9:14" ht="13">
      <c r="J77" s="5"/>
    </row>
    <row r="78" spans="9:14" ht="13">
      <c r="J78" s="5"/>
    </row>
    <row r="79" spans="9:14" ht="13">
      <c r="J79" s="5"/>
    </row>
    <row r="80" spans="9:14" ht="13">
      <c r="J80" s="5"/>
    </row>
    <row r="81" spans="10:12" ht="13">
      <c r="J81" s="5"/>
    </row>
    <row r="82" spans="10:12" ht="13">
      <c r="J82" s="5"/>
    </row>
    <row r="83" spans="10:12" ht="13">
      <c r="J83" s="5"/>
    </row>
    <row r="84" spans="10:12" ht="13">
      <c r="J84" s="5"/>
    </row>
    <row r="85" spans="10:12" ht="13">
      <c r="J85" s="5"/>
    </row>
    <row r="86" spans="10:12" ht="13">
      <c r="J86" s="5">
        <v>19</v>
      </c>
      <c r="L86" s="167" t="s">
        <v>485</v>
      </c>
    </row>
    <row r="87" spans="10:12">
      <c r="L87" s="167" t="s">
        <v>487</v>
      </c>
    </row>
    <row r="88" spans="10:12">
      <c r="L88" s="167" t="s">
        <v>489</v>
      </c>
    </row>
    <row r="89" spans="10:12">
      <c r="L89" s="167" t="s">
        <v>523</v>
      </c>
    </row>
    <row r="94" spans="10:12" ht="13">
      <c r="J94" s="5">
        <v>13</v>
      </c>
      <c r="L94" s="167" t="s">
        <v>529</v>
      </c>
    </row>
    <row r="95" spans="10:12" ht="13">
      <c r="J95" s="5">
        <v>53</v>
      </c>
      <c r="L95" s="167" t="s">
        <v>485</v>
      </c>
    </row>
    <row r="96" spans="10:12">
      <c r="L96" s="167" t="s">
        <v>487</v>
      </c>
    </row>
    <row r="97" spans="10:12">
      <c r="L97" s="167" t="s">
        <v>489</v>
      </c>
    </row>
    <row r="98" spans="10:12">
      <c r="L98" s="167" t="s">
        <v>491</v>
      </c>
    </row>
    <row r="99" spans="10:12">
      <c r="L99" s="167" t="s">
        <v>523</v>
      </c>
    </row>
    <row r="104" spans="10:12" ht="13">
      <c r="J104" s="5">
        <v>160</v>
      </c>
      <c r="L104" s="167" t="s">
        <v>485</v>
      </c>
    </row>
    <row r="105" spans="10:12">
      <c r="L105" s="167" t="s">
        <v>486</v>
      </c>
    </row>
    <row r="106" spans="10:12">
      <c r="L106" s="167" t="s">
        <v>487</v>
      </c>
    </row>
    <row r="107" spans="10:12">
      <c r="L107" s="167" t="s">
        <v>489</v>
      </c>
    </row>
    <row r="108" spans="10:12">
      <c r="L108" s="167" t="s">
        <v>523</v>
      </c>
    </row>
    <row r="113" spans="10:14">
      <c r="J113">
        <v>883</v>
      </c>
      <c r="L113" s="167" t="s">
        <v>485</v>
      </c>
      <c r="M113" s="167" t="s">
        <v>487</v>
      </c>
      <c r="N113" s="167" t="s">
        <v>489</v>
      </c>
    </row>
    <row r="114" spans="10:14">
      <c r="J114">
        <v>131</v>
      </c>
      <c r="L114" s="167" t="s">
        <v>485</v>
      </c>
      <c r="M114" s="167" t="s">
        <v>487</v>
      </c>
      <c r="N114" s="167" t="s">
        <v>489</v>
      </c>
    </row>
    <row r="115" spans="10:14">
      <c r="L115" s="167" t="s">
        <v>523</v>
      </c>
    </row>
    <row r="125" spans="10:14" ht="17.149999999999999" customHeight="1"/>
    <row r="126" spans="10:14" ht="18" customHeight="1"/>
    <row r="127" spans="10:14" ht="18" customHeight="1"/>
    <row r="128" spans="10:14" ht="18" customHeight="1"/>
    <row r="129" spans="1:11" ht="18" customHeight="1">
      <c r="A129" s="165"/>
      <c r="B129" s="165"/>
      <c r="C129" s="165"/>
      <c r="D129" s="165"/>
      <c r="E129" s="165"/>
      <c r="F129" s="165"/>
      <c r="G129" s="165"/>
      <c r="H129" s="165"/>
      <c r="I129" s="165"/>
      <c r="J129" s="165"/>
      <c r="K129" s="170"/>
    </row>
    <row r="130" spans="1:11" ht="18" customHeight="1">
      <c r="A130" s="166"/>
      <c r="B130" s="166"/>
      <c r="C130" s="165"/>
      <c r="D130" s="165"/>
      <c r="E130" s="165"/>
      <c r="F130" s="165"/>
      <c r="G130" s="165"/>
      <c r="H130" s="165"/>
      <c r="I130" s="165"/>
      <c r="J130" s="249">
        <v>546</v>
      </c>
      <c r="K130" s="170"/>
    </row>
    <row r="131" spans="1:11" ht="18" customHeight="1">
      <c r="A131" s="166"/>
      <c r="B131" s="166"/>
      <c r="C131" s="165"/>
      <c r="D131" s="165"/>
      <c r="E131" s="165"/>
      <c r="F131" s="165"/>
      <c r="G131" s="165"/>
      <c r="H131" s="165"/>
      <c r="I131" s="165"/>
      <c r="J131" s="249">
        <v>59</v>
      </c>
      <c r="K131" s="170"/>
    </row>
    <row r="132" spans="1:11" ht="18" customHeight="1">
      <c r="A132" s="166"/>
      <c r="B132" s="166"/>
      <c r="C132" s="165"/>
      <c r="D132" s="165"/>
      <c r="E132" s="165"/>
      <c r="F132" s="165"/>
      <c r="G132" s="165"/>
      <c r="H132" s="165"/>
      <c r="I132" s="165"/>
      <c r="J132" s="249">
        <v>20</v>
      </c>
      <c r="K132" s="170"/>
    </row>
    <row r="133" spans="1:11" ht="18" customHeight="1">
      <c r="A133" s="166"/>
      <c r="B133" s="166"/>
      <c r="C133" s="165"/>
      <c r="D133" s="165"/>
      <c r="E133" s="165"/>
      <c r="F133" s="165"/>
      <c r="G133" s="165"/>
      <c r="H133" s="165"/>
      <c r="I133" s="165"/>
      <c r="J133" s="165">
        <v>214</v>
      </c>
      <c r="K133" s="170"/>
    </row>
    <row r="134" spans="1:11" ht="18" customHeight="1">
      <c r="A134" s="166"/>
      <c r="B134" s="166"/>
      <c r="C134" s="165"/>
      <c r="D134" s="165"/>
      <c r="E134" s="165"/>
      <c r="F134" s="165"/>
      <c r="G134" s="165"/>
      <c r="H134" s="165"/>
      <c r="I134" s="165"/>
      <c r="J134" s="165">
        <v>276</v>
      </c>
      <c r="K134" s="170"/>
    </row>
    <row r="135" spans="1:11" ht="18" customHeight="1">
      <c r="A135" s="166"/>
      <c r="B135" s="166"/>
      <c r="C135" s="165"/>
      <c r="D135" s="165"/>
      <c r="E135" s="165"/>
      <c r="F135" s="165"/>
      <c r="G135" s="165"/>
      <c r="H135" s="165"/>
      <c r="I135" s="165"/>
      <c r="J135" s="249">
        <v>142</v>
      </c>
      <c r="K135" s="170"/>
    </row>
    <row r="136" spans="1:11" ht="18" customHeight="1">
      <c r="A136" s="166"/>
      <c r="B136" s="166"/>
      <c r="C136" s="165"/>
      <c r="D136" s="165"/>
      <c r="E136" s="165"/>
      <c r="F136" s="165"/>
      <c r="G136" s="165"/>
      <c r="H136" s="165"/>
      <c r="I136" s="165"/>
      <c r="J136" s="249">
        <v>25</v>
      </c>
      <c r="K136" s="170"/>
    </row>
    <row r="137" spans="1:11" ht="18" customHeight="1">
      <c r="A137" s="166"/>
      <c r="B137" s="166"/>
      <c r="C137" s="165"/>
      <c r="D137" s="165"/>
      <c r="E137" s="165"/>
      <c r="F137" s="165"/>
      <c r="G137" s="165"/>
      <c r="H137" s="165"/>
      <c r="I137" s="165"/>
      <c r="J137" s="249">
        <v>1</v>
      </c>
      <c r="K137" s="170"/>
    </row>
    <row r="138" spans="1:11" ht="18" customHeight="1">
      <c r="A138" s="166"/>
      <c r="B138" s="166"/>
      <c r="C138" s="165"/>
      <c r="D138" s="165"/>
      <c r="E138" s="165"/>
      <c r="F138" s="165"/>
      <c r="G138" s="165"/>
      <c r="H138" s="165"/>
      <c r="I138" s="165"/>
      <c r="J138" s="249">
        <v>35</v>
      </c>
      <c r="K138" s="170"/>
    </row>
    <row r="139" spans="1:11" ht="18" customHeight="1">
      <c r="A139" s="166"/>
      <c r="B139" s="166"/>
      <c r="C139" s="165"/>
      <c r="D139" s="165"/>
      <c r="E139" s="165"/>
      <c r="F139" s="165"/>
      <c r="G139" s="165"/>
      <c r="H139" s="165"/>
      <c r="I139" s="165"/>
      <c r="J139" s="249">
        <v>46</v>
      </c>
      <c r="K139" s="170"/>
    </row>
    <row r="140" spans="1:11" ht="18" customHeight="1">
      <c r="A140" s="166"/>
      <c r="B140" s="166"/>
      <c r="C140" s="165"/>
      <c r="D140" s="165"/>
      <c r="E140" s="165"/>
      <c r="F140" s="165"/>
      <c r="G140" s="165"/>
      <c r="H140" s="165"/>
      <c r="I140" s="165"/>
      <c r="J140" s="249">
        <v>23</v>
      </c>
      <c r="K140" s="170"/>
    </row>
    <row r="141" spans="1:11" ht="18" customHeight="1">
      <c r="A141" s="166"/>
      <c r="B141" s="166"/>
      <c r="C141" s="165"/>
      <c r="D141" s="165"/>
      <c r="E141" s="165"/>
      <c r="F141" s="165"/>
      <c r="G141" s="165"/>
      <c r="H141" s="165"/>
      <c r="I141" s="165"/>
      <c r="J141" s="249">
        <v>52</v>
      </c>
      <c r="K141" s="170"/>
    </row>
    <row r="142" spans="1:11" ht="18" customHeight="1">
      <c r="A142" s="166"/>
      <c r="B142" s="166"/>
      <c r="C142" s="165"/>
      <c r="D142" s="165"/>
      <c r="E142" s="165"/>
      <c r="F142" s="165"/>
      <c r="G142" s="165"/>
      <c r="H142" s="165"/>
      <c r="I142" s="165"/>
      <c r="J142" s="249">
        <v>76</v>
      </c>
      <c r="K142" s="170"/>
    </row>
    <row r="143" spans="1:11" ht="10.5" customHeight="1">
      <c r="A143" s="165"/>
      <c r="B143" s="165"/>
      <c r="C143" s="165"/>
      <c r="D143" s="165"/>
      <c r="E143" s="165"/>
      <c r="F143" s="165"/>
      <c r="G143" s="165"/>
      <c r="H143" s="165"/>
      <c r="I143" s="165"/>
      <c r="J143" s="165"/>
      <c r="K143" s="170"/>
    </row>
    <row r="144" spans="1:11" ht="18" customHeight="1">
      <c r="A144" s="165"/>
      <c r="B144" s="165"/>
      <c r="C144" s="165"/>
      <c r="D144" s="165"/>
      <c r="E144" s="165"/>
      <c r="F144" s="165"/>
      <c r="G144" s="165"/>
      <c r="H144" s="165"/>
      <c r="I144" s="165"/>
      <c r="J144" s="249">
        <v>58</v>
      </c>
      <c r="K144" s="170"/>
    </row>
    <row r="145" spans="1:11" ht="18" customHeight="1">
      <c r="A145" s="165"/>
      <c r="B145" s="165"/>
      <c r="C145" s="165"/>
      <c r="D145" s="165"/>
      <c r="E145" s="165"/>
      <c r="F145" s="165"/>
      <c r="G145" s="165"/>
      <c r="H145" s="165"/>
      <c r="I145" s="165"/>
      <c r="J145" s="249">
        <v>1995</v>
      </c>
      <c r="K145" s="170"/>
    </row>
    <row r="146" spans="1:11" ht="18" customHeight="1">
      <c r="A146" s="165"/>
      <c r="B146" s="165"/>
      <c r="C146" s="165"/>
      <c r="D146" s="165"/>
      <c r="E146" s="165"/>
      <c r="F146" s="165"/>
      <c r="G146" s="165"/>
      <c r="H146" s="165"/>
      <c r="I146" s="165"/>
      <c r="J146" s="165">
        <v>123</v>
      </c>
      <c r="K146" s="170"/>
    </row>
    <row r="147" spans="1:11" ht="18" customHeight="1">
      <c r="A147" s="165"/>
      <c r="B147" s="165"/>
      <c r="C147" s="165"/>
      <c r="D147" s="165"/>
      <c r="E147" s="165"/>
      <c r="F147" s="165"/>
      <c r="G147" s="165"/>
      <c r="H147" s="165"/>
      <c r="I147" s="165"/>
      <c r="J147" s="165">
        <v>84</v>
      </c>
      <c r="K147" s="170"/>
    </row>
    <row r="148" spans="1:11" ht="18" customHeight="1">
      <c r="A148" s="165"/>
      <c r="B148" s="165"/>
      <c r="C148" s="165"/>
      <c r="D148" s="165"/>
      <c r="E148" s="165"/>
      <c r="F148" s="165"/>
      <c r="G148" s="165"/>
      <c r="H148" s="165"/>
      <c r="I148" s="165"/>
      <c r="J148" s="165">
        <v>118</v>
      </c>
      <c r="K148" s="170"/>
    </row>
    <row r="149" spans="1:11" ht="18" customHeight="1">
      <c r="A149" s="165"/>
      <c r="B149" s="165"/>
      <c r="C149" s="165"/>
      <c r="D149" s="165"/>
      <c r="E149" s="165"/>
      <c r="F149" s="165"/>
      <c r="G149" s="165"/>
      <c r="H149" s="165"/>
      <c r="I149" s="165"/>
      <c r="J149" s="165">
        <v>85</v>
      </c>
      <c r="K149" s="170"/>
    </row>
    <row r="150" spans="1:11" ht="18" customHeight="1">
      <c r="A150" s="165"/>
      <c r="B150" s="165"/>
      <c r="C150" s="165"/>
      <c r="D150" s="165"/>
      <c r="E150" s="165"/>
      <c r="F150" s="165"/>
      <c r="G150" s="165"/>
      <c r="H150" s="165"/>
      <c r="I150" s="165"/>
      <c r="J150" s="165">
        <v>123</v>
      </c>
      <c r="K150" s="170"/>
    </row>
    <row r="151" spans="1:11" ht="18" customHeight="1">
      <c r="A151" s="165"/>
      <c r="B151" s="165"/>
      <c r="C151" s="165"/>
      <c r="D151" s="165"/>
      <c r="E151" s="165"/>
      <c r="F151" s="165"/>
      <c r="G151" s="165"/>
      <c r="H151" s="165"/>
      <c r="I151" s="165"/>
      <c r="J151" s="249">
        <v>55</v>
      </c>
      <c r="K151" s="170"/>
    </row>
    <row r="152" spans="1:11" ht="18" customHeight="1">
      <c r="A152" s="165"/>
      <c r="B152" s="165"/>
      <c r="C152" s="165"/>
      <c r="D152" s="165"/>
      <c r="E152" s="165"/>
      <c r="F152" s="165"/>
      <c r="G152" s="165"/>
      <c r="H152" s="165"/>
      <c r="I152" s="165"/>
      <c r="J152" s="165">
        <v>598</v>
      </c>
      <c r="K152" s="170"/>
    </row>
    <row r="153" spans="1:11" ht="18" customHeight="1">
      <c r="A153" s="165"/>
      <c r="B153" s="165"/>
      <c r="C153" s="165"/>
      <c r="D153" s="165"/>
      <c r="E153" s="165"/>
      <c r="F153" s="165"/>
      <c r="G153" s="165"/>
      <c r="H153" s="165"/>
      <c r="I153" s="165"/>
      <c r="J153" s="165"/>
      <c r="K153" s="170"/>
    </row>
    <row r="154" spans="1:11" ht="18" customHeight="1">
      <c r="A154" s="165"/>
      <c r="B154" s="165"/>
      <c r="C154" s="165"/>
      <c r="D154" s="165"/>
      <c r="E154" s="165"/>
      <c r="F154" s="165"/>
      <c r="G154" s="165"/>
      <c r="H154" s="165"/>
      <c r="I154" s="165"/>
      <c r="J154" s="165"/>
      <c r="K154" s="170"/>
    </row>
    <row r="155" spans="1:11" ht="18" customHeight="1">
      <c r="A155" s="165"/>
      <c r="B155" s="165"/>
      <c r="C155" s="165"/>
      <c r="D155" s="165"/>
      <c r="E155" s="165"/>
      <c r="F155" s="165"/>
      <c r="G155" s="165"/>
      <c r="H155" s="165"/>
      <c r="I155" s="165"/>
      <c r="J155" s="249">
        <v>40</v>
      </c>
      <c r="K155" s="170"/>
    </row>
    <row r="156" spans="1:11" ht="18" customHeight="1">
      <c r="A156" s="165"/>
      <c r="B156" s="165"/>
      <c r="C156" s="165"/>
      <c r="D156" s="165"/>
      <c r="E156" s="165"/>
      <c r="F156" s="165"/>
      <c r="G156" s="165"/>
      <c r="H156" s="165"/>
      <c r="I156" s="165"/>
      <c r="J156" s="165"/>
      <c r="K156" s="170"/>
    </row>
    <row r="157" spans="1:11" ht="18" customHeight="1">
      <c r="A157" s="165"/>
      <c r="B157" s="165"/>
      <c r="C157" s="165"/>
      <c r="D157" s="165"/>
      <c r="E157" s="165"/>
      <c r="F157" s="165"/>
      <c r="G157" s="165"/>
      <c r="H157" s="165"/>
      <c r="I157" s="165"/>
      <c r="J157" s="249">
        <v>36</v>
      </c>
      <c r="K157" s="170"/>
    </row>
    <row r="158" spans="1:11" ht="27.75" customHeight="1">
      <c r="A158" s="165"/>
      <c r="B158" s="165"/>
      <c r="C158" s="165"/>
      <c r="D158" s="165"/>
      <c r="E158" s="165"/>
      <c r="F158" s="165"/>
      <c r="G158" s="165"/>
      <c r="H158" s="165"/>
      <c r="I158" s="165"/>
      <c r="J158" s="288">
        <v>17</v>
      </c>
      <c r="K158" s="170"/>
    </row>
    <row r="159" spans="1:11" ht="18" customHeight="1">
      <c r="A159" s="165"/>
      <c r="B159" s="165"/>
      <c r="C159" s="165"/>
      <c r="D159" s="165"/>
      <c r="E159" s="165"/>
      <c r="F159" s="165"/>
      <c r="G159" s="165"/>
      <c r="H159" s="165"/>
      <c r="I159" s="165"/>
      <c r="J159" s="165">
        <v>3</v>
      </c>
      <c r="K159" s="170"/>
    </row>
    <row r="160" spans="1:11" ht="18" customHeight="1">
      <c r="A160" s="165"/>
      <c r="B160" s="165"/>
      <c r="C160" s="165"/>
      <c r="D160" s="165"/>
      <c r="E160" s="165"/>
      <c r="F160" s="165"/>
      <c r="G160" s="165"/>
      <c r="H160" s="165"/>
      <c r="I160" s="165"/>
      <c r="J160" s="165">
        <v>1</v>
      </c>
      <c r="K160" s="170"/>
    </row>
    <row r="161" spans="1:11" ht="18" customHeight="1">
      <c r="A161" s="165"/>
      <c r="B161" s="165"/>
      <c r="C161" s="165"/>
      <c r="D161" s="165"/>
      <c r="E161" s="165"/>
      <c r="F161" s="165"/>
      <c r="G161" s="165"/>
      <c r="H161" s="165"/>
      <c r="I161" s="165"/>
      <c r="J161" s="249">
        <v>2</v>
      </c>
      <c r="K161" s="170"/>
    </row>
    <row r="162" spans="1:11" ht="18" customHeight="1">
      <c r="A162" s="165"/>
      <c r="B162" s="165"/>
      <c r="C162" s="165"/>
      <c r="D162" s="165"/>
      <c r="E162" s="165"/>
      <c r="F162" s="165"/>
      <c r="G162" s="165"/>
      <c r="H162" s="165"/>
      <c r="I162" s="165"/>
      <c r="J162" s="165">
        <v>193</v>
      </c>
      <c r="K162" s="170"/>
    </row>
    <row r="163" spans="1:11" ht="18" customHeight="1">
      <c r="A163" s="165"/>
      <c r="B163" s="165"/>
      <c r="C163" s="165"/>
      <c r="D163" s="165"/>
      <c r="E163" s="165"/>
      <c r="F163" s="165"/>
      <c r="G163" s="165"/>
      <c r="H163" s="165"/>
      <c r="I163" s="165"/>
      <c r="J163" s="165">
        <v>124</v>
      </c>
      <c r="K163" s="170"/>
    </row>
    <row r="164" spans="1:11" ht="16.5" customHeight="1">
      <c r="A164" s="165"/>
      <c r="B164" s="165"/>
      <c r="C164" s="165"/>
      <c r="D164" s="165"/>
      <c r="E164" s="165"/>
      <c r="F164" s="165"/>
      <c r="G164" s="165"/>
      <c r="H164" s="165"/>
      <c r="I164" s="165"/>
      <c r="J164" s="165">
        <v>134</v>
      </c>
      <c r="K164" s="170"/>
    </row>
    <row r="165" spans="1:11" ht="16.5" customHeight="1">
      <c r="A165" s="165"/>
      <c r="B165" s="165"/>
      <c r="C165" s="165"/>
      <c r="D165" s="165"/>
      <c r="E165" s="165"/>
      <c r="F165" s="165"/>
      <c r="G165" s="165"/>
      <c r="H165" s="165"/>
      <c r="I165" s="165"/>
      <c r="J165" s="165">
        <v>5</v>
      </c>
      <c r="K165" s="170"/>
    </row>
    <row r="166" spans="1:11" ht="16.5" customHeight="1">
      <c r="A166" s="165"/>
      <c r="B166" s="165"/>
      <c r="C166" s="165"/>
      <c r="D166" s="165"/>
      <c r="E166" s="165"/>
      <c r="F166" s="165"/>
      <c r="G166" s="165"/>
      <c r="H166" s="165"/>
      <c r="I166" s="165"/>
      <c r="J166" s="165"/>
      <c r="K166" s="170"/>
    </row>
    <row r="167" spans="1:11" ht="16.5" customHeight="1">
      <c r="A167" s="165"/>
      <c r="B167" s="165"/>
      <c r="C167" s="165"/>
      <c r="D167" s="165"/>
      <c r="E167" s="165"/>
      <c r="F167" s="165"/>
      <c r="G167" s="165"/>
      <c r="H167" s="165"/>
      <c r="I167" s="165"/>
      <c r="J167" s="165">
        <v>2</v>
      </c>
      <c r="K167" s="170"/>
    </row>
    <row r="168" spans="1:11" ht="16.5" customHeight="1">
      <c r="A168" s="165"/>
      <c r="B168" s="165"/>
      <c r="C168" s="165"/>
      <c r="D168" s="165"/>
      <c r="E168" s="165"/>
      <c r="F168" s="165"/>
      <c r="G168" s="165"/>
      <c r="H168" s="165"/>
      <c r="I168" s="165"/>
      <c r="J168" s="165"/>
      <c r="K168" s="170"/>
    </row>
    <row r="169" spans="1:11" ht="21.75" customHeight="1">
      <c r="A169" s="165"/>
      <c r="B169" s="165"/>
      <c r="C169" s="165"/>
      <c r="D169" s="165"/>
      <c r="E169" s="165"/>
      <c r="F169" s="165"/>
      <c r="G169" s="165"/>
      <c r="H169" s="165"/>
      <c r="I169" s="165"/>
      <c r="J169" s="165">
        <v>2</v>
      </c>
      <c r="K169" s="170"/>
    </row>
    <row r="170" spans="1:11" ht="18" customHeight="1">
      <c r="A170" s="165"/>
      <c r="B170" s="165"/>
      <c r="C170" s="165"/>
      <c r="D170" s="165"/>
      <c r="E170" s="165"/>
      <c r="F170" s="165"/>
      <c r="G170" s="165"/>
      <c r="H170" s="165"/>
      <c r="I170" s="165"/>
      <c r="J170" s="249">
        <v>65</v>
      </c>
      <c r="K170" s="170"/>
    </row>
    <row r="171" spans="1:11" ht="18" customHeight="1">
      <c r="A171" s="165"/>
      <c r="B171" s="165"/>
      <c r="C171" s="165"/>
      <c r="D171" s="165"/>
      <c r="E171" s="165"/>
      <c r="F171" s="165"/>
      <c r="G171" s="165"/>
      <c r="H171" s="165"/>
      <c r="I171" s="165"/>
      <c r="J171" s="249">
        <v>17</v>
      </c>
      <c r="K171" s="170"/>
    </row>
    <row r="172" spans="1:11" ht="18" customHeight="1">
      <c r="A172" s="165"/>
      <c r="B172" s="165"/>
      <c r="C172" s="165"/>
      <c r="D172" s="165"/>
      <c r="E172" s="165"/>
      <c r="F172" s="165"/>
      <c r="G172" s="165"/>
      <c r="H172" s="165"/>
      <c r="I172" s="165"/>
      <c r="J172" s="165"/>
      <c r="K172" s="170"/>
    </row>
    <row r="173" spans="1:11" ht="18" customHeight="1">
      <c r="A173" s="165"/>
      <c r="B173" s="165"/>
      <c r="C173" s="165"/>
      <c r="D173" s="165"/>
      <c r="E173" s="165"/>
      <c r="F173" s="165"/>
      <c r="G173" s="165"/>
      <c r="H173" s="165"/>
      <c r="I173" s="165"/>
      <c r="J173" s="249">
        <v>76</v>
      </c>
      <c r="K173" s="170"/>
    </row>
    <row r="174" spans="1:11" ht="18" customHeight="1">
      <c r="A174" s="165"/>
      <c r="B174" s="165"/>
      <c r="C174" s="165"/>
      <c r="D174" s="165"/>
      <c r="E174" s="165"/>
      <c r="F174" s="165"/>
      <c r="G174" s="165"/>
      <c r="H174" s="165"/>
      <c r="I174" s="165"/>
      <c r="J174" s="249">
        <v>28</v>
      </c>
      <c r="K174" s="170"/>
    </row>
    <row r="175" spans="1:11" ht="18" customHeight="1">
      <c r="A175" s="165"/>
      <c r="B175" s="165"/>
      <c r="C175" s="165"/>
      <c r="D175" s="165"/>
      <c r="E175" s="165"/>
      <c r="F175" s="165"/>
      <c r="G175" s="165"/>
      <c r="H175" s="165"/>
      <c r="I175" s="165"/>
      <c r="J175" s="249">
        <v>5</v>
      </c>
      <c r="K175" s="170"/>
    </row>
    <row r="176" spans="1:11" ht="18" customHeight="1">
      <c r="A176" s="165"/>
      <c r="B176" s="165"/>
      <c r="C176" s="165"/>
      <c r="D176" s="165"/>
      <c r="E176" s="165"/>
      <c r="F176" s="165"/>
      <c r="G176" s="165"/>
      <c r="H176" s="165"/>
      <c r="I176" s="165"/>
      <c r="J176" s="165"/>
      <c r="K176" s="170"/>
    </row>
    <row r="177" spans="1:11" ht="18" customHeight="1">
      <c r="A177" s="165"/>
      <c r="B177" s="165"/>
      <c r="C177" s="165"/>
      <c r="D177" s="165"/>
      <c r="E177" s="165"/>
      <c r="F177" s="165"/>
      <c r="G177" s="165"/>
      <c r="H177" s="165"/>
      <c r="I177" s="165"/>
      <c r="J177" s="165">
        <v>138</v>
      </c>
      <c r="K177" s="170"/>
    </row>
    <row r="178" spans="1:11" ht="18" customHeight="1">
      <c r="A178" s="165"/>
      <c r="B178" s="165"/>
      <c r="C178" s="165"/>
      <c r="D178" s="165"/>
      <c r="E178" s="165"/>
      <c r="F178" s="165"/>
      <c r="G178" s="165"/>
      <c r="H178" s="165"/>
      <c r="I178" s="165"/>
      <c r="J178" s="249">
        <v>30</v>
      </c>
      <c r="K178" s="170"/>
    </row>
    <row r="179" spans="1:11" ht="18" customHeight="1">
      <c r="A179" s="165"/>
      <c r="B179" s="165"/>
      <c r="C179" s="165"/>
      <c r="D179" s="165"/>
      <c r="E179" s="165"/>
      <c r="F179" s="165"/>
      <c r="G179" s="165"/>
      <c r="H179" s="165"/>
      <c r="I179" s="165"/>
      <c r="J179" s="165"/>
      <c r="K179" s="170"/>
    </row>
    <row r="180" spans="1:11" ht="18" customHeight="1">
      <c r="A180" s="165"/>
      <c r="B180" s="165"/>
      <c r="C180" s="165"/>
      <c r="D180" s="165"/>
      <c r="E180" s="165"/>
      <c r="F180" s="165"/>
      <c r="G180" s="165"/>
      <c r="H180" s="165"/>
      <c r="I180" s="165"/>
      <c r="J180" s="165"/>
      <c r="K180" s="170"/>
    </row>
    <row r="181" spans="1:11" ht="18" customHeight="1">
      <c r="A181" s="165"/>
      <c r="B181" s="165"/>
      <c r="C181" s="165"/>
      <c r="D181" s="165"/>
      <c r="E181" s="165"/>
      <c r="F181" s="165"/>
      <c r="G181" s="165"/>
      <c r="H181" s="165"/>
      <c r="I181" s="165"/>
      <c r="J181" s="165"/>
      <c r="K181" s="170"/>
    </row>
    <row r="182" spans="1:11" ht="18" customHeight="1">
      <c r="A182" s="165"/>
      <c r="B182" s="165"/>
      <c r="C182" s="165"/>
      <c r="D182" s="165"/>
      <c r="E182" s="165"/>
      <c r="F182" s="165"/>
      <c r="G182" s="165"/>
      <c r="H182" s="165"/>
      <c r="I182" s="165"/>
      <c r="J182" s="165"/>
      <c r="K182" s="170"/>
    </row>
    <row r="183" spans="1:11" ht="18" customHeight="1">
      <c r="A183" s="165"/>
      <c r="B183" s="165"/>
      <c r="C183" s="165"/>
      <c r="D183" s="165"/>
      <c r="E183" s="165"/>
      <c r="F183" s="165"/>
      <c r="G183" s="165"/>
      <c r="H183" s="165"/>
      <c r="I183" s="165"/>
      <c r="J183" s="165"/>
      <c r="K183" s="170"/>
    </row>
    <row r="184" spans="1:11" ht="18" customHeight="1">
      <c r="A184" s="165"/>
      <c r="B184" s="165"/>
      <c r="C184" s="165"/>
      <c r="D184" s="165"/>
      <c r="E184" s="165"/>
      <c r="F184" s="165"/>
      <c r="G184" s="165"/>
      <c r="H184" s="165"/>
      <c r="I184" s="165"/>
      <c r="J184" s="165"/>
      <c r="K184" s="170"/>
    </row>
    <row r="185" spans="1:11" ht="18" customHeight="1">
      <c r="A185" s="165"/>
      <c r="B185" s="165"/>
      <c r="C185" s="165"/>
      <c r="D185" s="165"/>
      <c r="E185" s="165"/>
      <c r="F185" s="165"/>
      <c r="G185" s="165"/>
      <c r="H185" s="165"/>
      <c r="I185" s="165"/>
      <c r="J185" s="165"/>
      <c r="K185" s="170"/>
    </row>
    <row r="186" spans="1:11" ht="18" customHeight="1">
      <c r="A186" s="165"/>
      <c r="B186" s="165"/>
      <c r="C186" s="165"/>
      <c r="D186" s="165"/>
      <c r="E186" s="165"/>
      <c r="F186" s="165"/>
      <c r="G186" s="165"/>
      <c r="H186" s="165"/>
      <c r="I186" s="165"/>
      <c r="J186" s="165"/>
      <c r="K186" s="170"/>
    </row>
    <row r="187" spans="1:11" ht="18" customHeight="1">
      <c r="A187" s="165"/>
      <c r="B187" s="165"/>
      <c r="C187" s="165"/>
      <c r="D187" s="165"/>
      <c r="E187" s="165"/>
      <c r="F187" s="165"/>
      <c r="G187" s="165"/>
      <c r="H187" s="165"/>
      <c r="I187" s="165"/>
      <c r="J187" s="165"/>
      <c r="K187" s="170"/>
    </row>
    <row r="188" spans="1:11" ht="18" customHeight="1">
      <c r="A188" s="165"/>
      <c r="B188" s="165"/>
      <c r="C188" s="165"/>
      <c r="D188" s="165"/>
      <c r="E188" s="165"/>
      <c r="F188" s="165"/>
      <c r="G188" s="165"/>
      <c r="H188" s="165"/>
      <c r="I188" s="165"/>
      <c r="J188" s="165"/>
      <c r="K188" s="170"/>
    </row>
    <row r="189" spans="1:11" ht="18" customHeight="1">
      <c r="A189" s="165"/>
      <c r="B189" s="165"/>
      <c r="C189" s="165"/>
      <c r="D189" s="165"/>
      <c r="E189" s="165"/>
      <c r="F189" s="165"/>
      <c r="G189" s="165"/>
      <c r="H189" s="165"/>
      <c r="I189" s="165"/>
      <c r="J189" s="165"/>
      <c r="K189" s="170"/>
    </row>
    <row r="190" spans="1:11" ht="18" customHeight="1">
      <c r="A190" s="165"/>
      <c r="B190" s="165"/>
      <c r="C190" s="165"/>
      <c r="D190" s="165"/>
      <c r="E190" s="165"/>
      <c r="F190" s="165"/>
      <c r="G190" s="165"/>
      <c r="H190" s="165"/>
      <c r="I190" s="165"/>
      <c r="J190" s="165"/>
      <c r="K190" s="170"/>
    </row>
    <row r="191" spans="1:11" ht="18" customHeight="1">
      <c r="A191" s="165"/>
      <c r="B191" s="165"/>
      <c r="C191" s="165"/>
      <c r="D191" s="165"/>
      <c r="E191" s="165"/>
      <c r="F191" s="165"/>
      <c r="G191" s="165"/>
      <c r="H191" s="165"/>
      <c r="I191" s="165"/>
      <c r="J191" s="165"/>
      <c r="K191" s="170"/>
    </row>
    <row r="192" spans="1:11" ht="18" customHeight="1">
      <c r="A192" s="165"/>
      <c r="B192" s="165"/>
      <c r="C192" s="165"/>
      <c r="D192" s="165"/>
      <c r="E192" s="165"/>
      <c r="F192" s="165"/>
      <c r="G192" s="165"/>
      <c r="H192" s="165"/>
      <c r="I192" s="165"/>
      <c r="J192" s="165"/>
      <c r="K192" s="170"/>
    </row>
    <row r="193" spans="1:11" ht="18" customHeight="1">
      <c r="A193" s="166"/>
      <c r="B193" s="166"/>
      <c r="C193" s="165"/>
      <c r="D193" s="165"/>
      <c r="E193" s="165"/>
      <c r="F193" s="165"/>
      <c r="G193" s="165"/>
      <c r="H193" s="165"/>
      <c r="I193" s="165"/>
      <c r="J193" s="249">
        <v>209</v>
      </c>
      <c r="K193" s="170"/>
    </row>
    <row r="194" spans="1:11" ht="18" customHeight="1">
      <c r="A194" s="166"/>
      <c r="B194" s="166"/>
      <c r="C194" s="165"/>
      <c r="D194" s="165"/>
      <c r="E194" s="165"/>
      <c r="F194" s="165"/>
      <c r="G194" s="165"/>
      <c r="H194" s="165"/>
      <c r="I194" s="165"/>
      <c r="J194" s="249">
        <v>468</v>
      </c>
      <c r="K194" s="170"/>
    </row>
    <row r="195" spans="1:11" ht="18" customHeight="1">
      <c r="A195" s="166"/>
      <c r="B195" s="166"/>
      <c r="C195" s="165"/>
      <c r="D195" s="165"/>
      <c r="E195" s="165"/>
      <c r="F195" s="165"/>
      <c r="G195" s="165"/>
      <c r="H195" s="165"/>
      <c r="I195" s="165"/>
      <c r="J195" s="249">
        <v>134</v>
      </c>
      <c r="K195" s="170"/>
    </row>
    <row r="196" spans="1:11" ht="18" customHeight="1">
      <c r="A196" s="166"/>
      <c r="B196" s="166"/>
      <c r="C196" s="165"/>
      <c r="D196" s="165"/>
      <c r="E196" s="165"/>
      <c r="F196" s="165"/>
      <c r="G196" s="165"/>
      <c r="H196" s="165"/>
      <c r="I196" s="165"/>
      <c r="J196" s="249">
        <v>18</v>
      </c>
      <c r="K196" s="170"/>
    </row>
    <row r="197" spans="1:11" ht="18" customHeight="1">
      <c r="A197" s="166"/>
      <c r="B197" s="166"/>
      <c r="C197" s="165"/>
      <c r="D197" s="165"/>
      <c r="E197" s="165"/>
      <c r="F197" s="165"/>
      <c r="G197" s="165"/>
      <c r="H197" s="165"/>
      <c r="I197" s="165"/>
      <c r="J197" s="165">
        <v>6</v>
      </c>
      <c r="K197" s="170"/>
    </row>
    <row r="198" spans="1:11" ht="18" customHeight="1">
      <c r="A198" s="166"/>
      <c r="B198" s="166"/>
      <c r="C198" s="165"/>
      <c r="D198" s="165"/>
      <c r="E198" s="165"/>
      <c r="F198" s="165"/>
      <c r="G198" s="165"/>
      <c r="H198" s="165"/>
      <c r="I198" s="165"/>
      <c r="J198" s="249">
        <v>117</v>
      </c>
      <c r="K198" s="170"/>
    </row>
    <row r="199" spans="1:11" ht="18" customHeight="1">
      <c r="A199" s="166"/>
      <c r="B199" s="166"/>
      <c r="C199" s="165"/>
      <c r="D199" s="165"/>
      <c r="E199" s="165"/>
      <c r="F199" s="165"/>
      <c r="G199" s="165"/>
      <c r="H199" s="165"/>
      <c r="I199" s="165"/>
      <c r="J199" s="165">
        <v>2</v>
      </c>
      <c r="K199" s="170"/>
    </row>
    <row r="200" spans="1:11" ht="18" customHeight="1">
      <c r="A200" s="166"/>
      <c r="B200" s="166"/>
      <c r="C200" s="165"/>
      <c r="D200" s="165"/>
      <c r="E200" s="165"/>
      <c r="F200" s="165"/>
      <c r="G200" s="165"/>
      <c r="H200" s="165"/>
      <c r="I200" s="165"/>
      <c r="J200" s="249">
        <v>15</v>
      </c>
      <c r="K200" s="170"/>
    </row>
    <row r="201" spans="1:11" ht="18" customHeight="1">
      <c r="A201" s="166"/>
      <c r="B201" s="166"/>
      <c r="C201" s="165"/>
      <c r="D201" s="165"/>
      <c r="E201" s="165"/>
      <c r="F201" s="165"/>
      <c r="G201" s="165"/>
      <c r="H201" s="165"/>
      <c r="I201" s="165"/>
      <c r="J201" s="165"/>
      <c r="K201" s="170"/>
    </row>
    <row r="202" spans="1:11" ht="18" customHeight="1">
      <c r="A202" s="166"/>
      <c r="B202" s="166"/>
      <c r="C202" s="165"/>
      <c r="D202" s="165"/>
      <c r="E202" s="165"/>
      <c r="F202" s="165"/>
      <c r="G202" s="165"/>
      <c r="H202" s="165"/>
      <c r="I202" s="165"/>
      <c r="J202" s="249">
        <v>4</v>
      </c>
      <c r="K202" s="170"/>
    </row>
    <row r="203" spans="1:11" ht="18" customHeight="1">
      <c r="A203" s="166"/>
      <c r="B203" s="166"/>
      <c r="C203" s="165"/>
      <c r="D203" s="165"/>
      <c r="E203" s="165"/>
      <c r="F203" s="165"/>
      <c r="G203" s="165"/>
      <c r="H203" s="165"/>
      <c r="I203" s="165"/>
      <c r="J203" s="249">
        <v>18</v>
      </c>
      <c r="K203" s="170"/>
    </row>
    <row r="204" spans="1:11" ht="18" customHeight="1">
      <c r="A204" s="166"/>
      <c r="B204" s="166"/>
      <c r="C204" s="165"/>
      <c r="D204" s="165"/>
      <c r="E204" s="165"/>
      <c r="F204" s="165"/>
      <c r="G204" s="165"/>
      <c r="H204" s="165"/>
      <c r="I204" s="165"/>
      <c r="J204" s="249">
        <v>20</v>
      </c>
      <c r="K204" s="170"/>
    </row>
    <row r="205" spans="1:11" ht="27.75" customHeight="1">
      <c r="A205" s="166"/>
      <c r="B205" s="166"/>
      <c r="C205" s="165"/>
      <c r="D205" s="165"/>
      <c r="E205" s="165"/>
      <c r="F205" s="165"/>
      <c r="G205" s="165"/>
      <c r="H205" s="165"/>
      <c r="I205" s="165"/>
      <c r="J205" s="249">
        <v>12</v>
      </c>
      <c r="K205" s="170"/>
    </row>
    <row r="206" spans="1:11" ht="13.5" customHeight="1">
      <c r="A206" s="165"/>
      <c r="B206" s="165"/>
      <c r="C206" s="165"/>
      <c r="D206" s="165"/>
      <c r="E206" s="165"/>
      <c r="F206" s="165"/>
      <c r="G206" s="165"/>
      <c r="H206" s="165"/>
      <c r="I206" s="165"/>
      <c r="J206" s="165"/>
      <c r="K206" s="170"/>
    </row>
    <row r="207" spans="1:11" ht="18" customHeight="1">
      <c r="A207" s="165"/>
      <c r="B207" s="165"/>
      <c r="C207" s="165"/>
      <c r="D207" s="165"/>
      <c r="E207" s="165"/>
      <c r="F207" s="165"/>
      <c r="G207" s="165"/>
      <c r="H207" s="165"/>
      <c r="I207" s="165"/>
      <c r="J207" s="165">
        <v>40</v>
      </c>
      <c r="K207" s="170"/>
    </row>
    <row r="208" spans="1:11" ht="18" customHeight="1">
      <c r="A208" s="165"/>
      <c r="B208" s="165"/>
      <c r="C208" s="165"/>
      <c r="D208" s="165"/>
      <c r="E208" s="165"/>
      <c r="F208" s="165"/>
      <c r="G208" s="165"/>
      <c r="H208" s="165"/>
      <c r="I208" s="165"/>
      <c r="J208" s="165">
        <v>133</v>
      </c>
      <c r="K208" s="170"/>
    </row>
    <row r="209" spans="1:11" ht="18" customHeight="1">
      <c r="A209" s="165"/>
      <c r="B209" s="165"/>
      <c r="C209" s="165"/>
      <c r="D209" s="165"/>
      <c r="E209" s="165"/>
      <c r="F209" s="165"/>
      <c r="G209" s="165"/>
      <c r="H209" s="165"/>
      <c r="I209" s="165"/>
      <c r="J209" s="249">
        <v>3</v>
      </c>
      <c r="K209" s="170"/>
    </row>
    <row r="210" spans="1:11" ht="18" customHeight="1">
      <c r="A210" s="165"/>
      <c r="B210" s="165"/>
      <c r="C210" s="165"/>
      <c r="D210" s="165"/>
      <c r="E210" s="165"/>
      <c r="F210" s="165"/>
      <c r="G210" s="165"/>
      <c r="H210" s="165"/>
      <c r="I210" s="165"/>
      <c r="J210" s="249">
        <v>5</v>
      </c>
      <c r="K210" s="170"/>
    </row>
    <row r="211" spans="1:11" ht="18" customHeight="1">
      <c r="A211" s="165"/>
      <c r="B211" s="165"/>
      <c r="C211" s="165"/>
      <c r="D211" s="165"/>
      <c r="E211" s="165"/>
      <c r="F211" s="165"/>
      <c r="G211" s="165"/>
      <c r="H211" s="165"/>
      <c r="I211" s="165"/>
      <c r="J211" s="249">
        <v>3</v>
      </c>
      <c r="K211" s="170"/>
    </row>
    <row r="212" spans="1:11" ht="18" customHeight="1">
      <c r="A212" s="165"/>
      <c r="B212" s="165"/>
      <c r="C212" s="165"/>
      <c r="D212" s="165"/>
      <c r="E212" s="165"/>
      <c r="F212" s="165"/>
      <c r="G212" s="165"/>
      <c r="H212" s="165"/>
      <c r="I212" s="165"/>
      <c r="J212" s="249">
        <v>3</v>
      </c>
      <c r="K212" s="170"/>
    </row>
    <row r="213" spans="1:11" ht="18" customHeight="1">
      <c r="A213" s="165"/>
      <c r="B213" s="165"/>
      <c r="C213" s="165"/>
      <c r="D213" s="165"/>
      <c r="E213" s="165"/>
      <c r="F213" s="165"/>
      <c r="G213" s="165"/>
      <c r="H213" s="165"/>
      <c r="I213" s="165"/>
      <c r="J213" s="165">
        <v>20</v>
      </c>
      <c r="K213" s="170"/>
    </row>
    <row r="214" spans="1:11" ht="18" customHeight="1">
      <c r="A214" s="165"/>
      <c r="B214" s="165"/>
      <c r="C214" s="165"/>
      <c r="D214" s="165"/>
      <c r="E214" s="165"/>
      <c r="F214" s="165"/>
      <c r="G214" s="165"/>
      <c r="H214" s="165"/>
      <c r="I214" s="165"/>
      <c r="J214" s="165">
        <v>20</v>
      </c>
      <c r="K214" s="170"/>
    </row>
    <row r="215" spans="1:11" ht="18" customHeight="1">
      <c r="A215" s="165"/>
      <c r="B215" s="165"/>
      <c r="C215" s="165"/>
      <c r="D215" s="165"/>
      <c r="E215" s="165"/>
      <c r="F215" s="165"/>
      <c r="G215" s="165"/>
      <c r="H215" s="165"/>
      <c r="I215" s="165"/>
      <c r="J215" s="165"/>
      <c r="K215" s="170"/>
    </row>
    <row r="216" spans="1:11" ht="18" customHeight="1">
      <c r="A216" s="165"/>
      <c r="B216" s="165"/>
      <c r="C216" s="165"/>
      <c r="D216" s="165"/>
      <c r="E216" s="165"/>
      <c r="F216" s="165"/>
      <c r="G216" s="165"/>
      <c r="H216" s="165"/>
      <c r="I216" s="165"/>
      <c r="J216" s="165">
        <v>20</v>
      </c>
      <c r="K216" s="170"/>
    </row>
    <row r="217" spans="1:11" ht="18" customHeight="1">
      <c r="A217" s="165"/>
      <c r="B217" s="165"/>
      <c r="C217" s="165"/>
      <c r="D217" s="165"/>
      <c r="E217" s="165"/>
      <c r="F217" s="165"/>
      <c r="G217" s="165"/>
      <c r="H217" s="165"/>
      <c r="I217" s="165"/>
      <c r="J217" s="165"/>
      <c r="K217" s="170"/>
    </row>
    <row r="218" spans="1:11" ht="18" customHeight="1">
      <c r="A218" s="165"/>
      <c r="B218" s="165"/>
      <c r="C218" s="165"/>
      <c r="D218" s="165"/>
      <c r="E218" s="165"/>
      <c r="F218" s="165"/>
      <c r="G218" s="165"/>
      <c r="H218" s="165"/>
      <c r="I218" s="165"/>
      <c r="J218" s="165">
        <v>20</v>
      </c>
      <c r="K218" s="170"/>
    </row>
    <row r="219" spans="1:11" ht="18" customHeight="1">
      <c r="A219" s="165"/>
      <c r="B219" s="165"/>
      <c r="C219" s="165"/>
      <c r="D219" s="165"/>
      <c r="E219" s="165"/>
      <c r="F219" s="165"/>
      <c r="G219" s="165"/>
      <c r="H219" s="165"/>
      <c r="I219" s="165"/>
      <c r="J219" s="165"/>
      <c r="K219" s="170"/>
    </row>
    <row r="220" spans="1:11" ht="18" customHeight="1">
      <c r="A220" s="165"/>
      <c r="B220" s="165"/>
      <c r="C220" s="165"/>
      <c r="D220" s="165"/>
      <c r="E220" s="165"/>
      <c r="F220" s="165"/>
      <c r="G220" s="165"/>
      <c r="H220" s="165"/>
      <c r="I220" s="165"/>
      <c r="J220" s="165"/>
      <c r="K220" s="170"/>
    </row>
    <row r="221" spans="1:11" ht="18" customHeight="1">
      <c r="A221" s="165"/>
      <c r="B221" s="165"/>
      <c r="C221" s="165"/>
      <c r="D221" s="165"/>
      <c r="E221" s="165"/>
      <c r="F221" s="165"/>
      <c r="G221" s="165"/>
      <c r="H221" s="165"/>
      <c r="I221" s="165"/>
      <c r="J221" s="165"/>
      <c r="K221" s="170"/>
    </row>
    <row r="222" spans="1:11" ht="18" customHeight="1">
      <c r="A222" s="165"/>
      <c r="B222" s="165"/>
      <c r="C222" s="165"/>
      <c r="D222" s="165"/>
      <c r="E222" s="165"/>
      <c r="F222" s="165"/>
      <c r="G222" s="165"/>
      <c r="H222" s="165"/>
      <c r="I222" s="165"/>
      <c r="J222" s="165"/>
      <c r="K222" s="170"/>
    </row>
    <row r="223" spans="1:11" ht="18" customHeight="1">
      <c r="A223" s="165"/>
      <c r="B223" s="165"/>
      <c r="C223" s="165"/>
      <c r="D223" s="165"/>
      <c r="E223" s="165"/>
      <c r="F223" s="165"/>
      <c r="G223" s="165"/>
      <c r="H223" s="165"/>
      <c r="I223" s="165"/>
      <c r="J223" s="165"/>
      <c r="K223" s="170"/>
    </row>
    <row r="224" spans="1:11" ht="18" customHeight="1">
      <c r="A224" s="165"/>
      <c r="B224" s="165"/>
      <c r="C224" s="165"/>
      <c r="D224" s="165"/>
      <c r="E224" s="165"/>
      <c r="F224" s="165"/>
      <c r="G224" s="165"/>
      <c r="H224" s="165"/>
      <c r="I224" s="165"/>
      <c r="J224" s="165"/>
      <c r="K224" s="170"/>
    </row>
    <row r="225" spans="1:11" ht="18" customHeight="1">
      <c r="A225" s="165"/>
      <c r="B225" s="165"/>
      <c r="C225" s="165"/>
      <c r="D225" s="165"/>
      <c r="E225" s="165"/>
      <c r="F225" s="165"/>
      <c r="G225" s="165"/>
      <c r="H225" s="165"/>
      <c r="I225" s="165"/>
      <c r="J225" s="165"/>
      <c r="K225" s="170"/>
    </row>
    <row r="226" spans="1:11" ht="18" customHeight="1">
      <c r="A226" s="165"/>
      <c r="B226" s="165"/>
      <c r="C226" s="165"/>
      <c r="D226" s="165"/>
      <c r="E226" s="165"/>
      <c r="F226" s="165"/>
      <c r="G226" s="165"/>
      <c r="H226" s="165"/>
      <c r="I226" s="165"/>
      <c r="J226" s="165"/>
      <c r="K226" s="170"/>
    </row>
    <row r="227" spans="1:11" ht="18" customHeight="1">
      <c r="A227" s="165"/>
      <c r="B227" s="165"/>
      <c r="C227" s="165"/>
      <c r="D227" s="165"/>
      <c r="E227" s="165"/>
      <c r="F227" s="165"/>
      <c r="G227" s="165"/>
      <c r="H227" s="165"/>
      <c r="I227" s="165"/>
      <c r="J227" s="165"/>
      <c r="K227" s="170"/>
    </row>
    <row r="228" spans="1:11" ht="18" customHeight="1">
      <c r="A228" s="165"/>
      <c r="B228" s="165"/>
      <c r="C228" s="165"/>
      <c r="D228" s="165"/>
      <c r="E228" s="165"/>
      <c r="F228" s="165"/>
      <c r="G228" s="165"/>
      <c r="H228" s="165"/>
      <c r="I228" s="165"/>
      <c r="J228" s="165"/>
      <c r="K228" s="170"/>
    </row>
    <row r="229" spans="1:11" ht="18" customHeight="1">
      <c r="A229" s="165"/>
      <c r="B229" s="165"/>
      <c r="C229" s="165"/>
      <c r="D229" s="165"/>
      <c r="E229" s="165"/>
      <c r="F229" s="165"/>
      <c r="G229" s="165"/>
      <c r="H229" s="165"/>
      <c r="I229" s="165"/>
      <c r="J229" s="165"/>
      <c r="K229" s="170"/>
    </row>
    <row r="230" spans="1:11" ht="18" customHeight="1">
      <c r="A230" s="165"/>
      <c r="B230" s="165"/>
      <c r="C230" s="165"/>
      <c r="D230" s="165"/>
      <c r="E230" s="165"/>
      <c r="F230" s="165"/>
      <c r="G230" s="165"/>
      <c r="H230" s="165"/>
      <c r="I230" s="165"/>
      <c r="J230" s="165"/>
      <c r="K230" s="170"/>
    </row>
    <row r="231" spans="1:11" ht="18" customHeight="1">
      <c r="A231" s="165"/>
      <c r="B231" s="165"/>
      <c r="C231" s="165"/>
      <c r="D231" s="165"/>
      <c r="E231" s="165"/>
      <c r="F231" s="165"/>
      <c r="G231" s="165"/>
      <c r="H231" s="165"/>
      <c r="I231" s="165"/>
      <c r="J231" s="165">
        <v>5</v>
      </c>
      <c r="K231" s="170"/>
    </row>
    <row r="232" spans="1:11" ht="18" customHeight="1">
      <c r="A232" s="165"/>
      <c r="B232" s="165"/>
      <c r="C232" s="165"/>
      <c r="D232" s="165"/>
      <c r="E232" s="165"/>
      <c r="F232" s="165"/>
      <c r="G232" s="165"/>
      <c r="H232" s="165"/>
      <c r="I232" s="165"/>
      <c r="J232" s="165"/>
      <c r="K232" s="170"/>
    </row>
    <row r="233" spans="1:11" ht="18" customHeight="1">
      <c r="A233" s="165"/>
      <c r="B233" s="165"/>
      <c r="C233" s="165"/>
      <c r="D233" s="165"/>
      <c r="E233" s="165"/>
      <c r="F233" s="165"/>
      <c r="G233" s="165"/>
      <c r="H233" s="165"/>
      <c r="I233" s="165"/>
      <c r="J233" s="165">
        <v>2</v>
      </c>
      <c r="K233" s="170"/>
    </row>
    <row r="234" spans="1:11" ht="18" customHeight="1">
      <c r="A234" s="165"/>
      <c r="B234" s="165"/>
      <c r="C234" s="165"/>
      <c r="D234" s="165"/>
      <c r="E234" s="165"/>
      <c r="F234" s="165"/>
      <c r="G234" s="165"/>
      <c r="H234" s="165"/>
      <c r="I234" s="165"/>
      <c r="J234" s="165"/>
      <c r="K234" s="170"/>
    </row>
    <row r="235" spans="1:11" ht="18" customHeight="1">
      <c r="A235" s="165"/>
      <c r="B235" s="165"/>
      <c r="C235" s="165"/>
      <c r="D235" s="165"/>
      <c r="E235" s="165"/>
      <c r="F235" s="165"/>
      <c r="G235" s="165"/>
      <c r="H235" s="165"/>
      <c r="I235" s="165"/>
      <c r="J235" s="165"/>
      <c r="K235" s="170"/>
    </row>
    <row r="236" spans="1:11" ht="18" customHeight="1">
      <c r="A236" s="165"/>
      <c r="B236" s="165"/>
      <c r="C236" s="165"/>
      <c r="D236" s="165"/>
      <c r="E236" s="165"/>
      <c r="F236" s="165"/>
      <c r="G236" s="165"/>
      <c r="H236" s="165"/>
      <c r="I236" s="165"/>
      <c r="J236" s="165"/>
      <c r="K236" s="170"/>
    </row>
    <row r="237" spans="1:11" ht="18" customHeight="1">
      <c r="A237" s="165"/>
      <c r="B237" s="165"/>
      <c r="C237" s="165"/>
      <c r="D237" s="165"/>
      <c r="E237" s="165"/>
      <c r="F237" s="165"/>
      <c r="G237" s="165"/>
      <c r="H237" s="165"/>
      <c r="I237" s="165"/>
      <c r="J237" s="165">
        <v>331</v>
      </c>
      <c r="K237" s="170"/>
    </row>
    <row r="238" spans="1:11" ht="18" customHeight="1">
      <c r="A238" s="165"/>
      <c r="B238" s="165"/>
      <c r="C238" s="165"/>
      <c r="D238" s="165"/>
      <c r="E238" s="165"/>
      <c r="F238" s="165"/>
      <c r="G238" s="165"/>
      <c r="H238" s="165"/>
      <c r="I238" s="165"/>
      <c r="J238" s="165"/>
      <c r="K238" s="170"/>
    </row>
    <row r="239" spans="1:11" ht="18" customHeight="1">
      <c r="A239" s="165"/>
      <c r="B239" s="165"/>
      <c r="C239" s="165"/>
      <c r="D239" s="165"/>
      <c r="E239" s="165"/>
      <c r="F239" s="165"/>
      <c r="G239" s="165"/>
      <c r="H239" s="165"/>
      <c r="I239" s="165"/>
      <c r="J239" s="165">
        <v>2</v>
      </c>
      <c r="K239" s="170"/>
    </row>
    <row r="240" spans="1:11" ht="18" customHeight="1">
      <c r="A240" s="165"/>
      <c r="B240" s="165"/>
      <c r="C240" s="165"/>
      <c r="D240" s="165"/>
      <c r="E240" s="165"/>
      <c r="F240" s="165"/>
      <c r="G240" s="165"/>
      <c r="H240" s="165"/>
      <c r="I240" s="165"/>
      <c r="J240" s="165"/>
      <c r="K240" s="170"/>
    </row>
    <row r="241" spans="1:26" ht="18" customHeight="1">
      <c r="A241" s="165"/>
      <c r="B241" s="165"/>
      <c r="C241" s="165"/>
      <c r="D241" s="165"/>
      <c r="E241" s="165"/>
      <c r="F241" s="165"/>
      <c r="G241" s="165"/>
      <c r="H241" s="165"/>
      <c r="I241" s="165"/>
      <c r="J241" s="165"/>
      <c r="K241" s="170"/>
    </row>
    <row r="242" spans="1:26" ht="18" customHeight="1">
      <c r="A242" s="165"/>
      <c r="B242" s="165"/>
      <c r="C242" s="165"/>
      <c r="D242" s="165"/>
      <c r="E242" s="165"/>
      <c r="F242" s="165"/>
      <c r="G242" s="165"/>
      <c r="H242" s="165"/>
      <c r="I242" s="165"/>
      <c r="J242" s="165"/>
      <c r="K242" s="170"/>
    </row>
    <row r="243" spans="1:26" ht="18" customHeight="1">
      <c r="A243" s="165"/>
      <c r="B243" s="165"/>
      <c r="C243" s="165"/>
      <c r="D243" s="165"/>
      <c r="E243" s="165"/>
      <c r="F243" s="165"/>
      <c r="G243" s="165"/>
      <c r="H243" s="165"/>
      <c r="I243" s="165"/>
      <c r="J243" s="165"/>
      <c r="K243" s="170"/>
    </row>
    <row r="244" spans="1:26" ht="18" customHeight="1">
      <c r="A244" s="165"/>
      <c r="B244" s="165"/>
      <c r="C244" s="165"/>
      <c r="D244" s="165"/>
      <c r="E244" s="165"/>
      <c r="F244" s="165"/>
      <c r="G244" s="165"/>
      <c r="H244" s="165"/>
      <c r="I244" s="165"/>
      <c r="J244" s="165"/>
      <c r="K244" s="170"/>
    </row>
    <row r="245" spans="1:26" ht="18" customHeight="1">
      <c r="A245" s="165"/>
      <c r="B245" s="165"/>
      <c r="C245" s="165"/>
      <c r="D245" s="165"/>
      <c r="E245" s="165"/>
      <c r="F245" s="165"/>
      <c r="G245" s="165"/>
      <c r="H245" s="165"/>
      <c r="I245" s="165"/>
      <c r="J245" s="165">
        <v>4</v>
      </c>
      <c r="K245" s="170"/>
    </row>
    <row r="246" spans="1:26" ht="18" customHeight="1">
      <c r="A246" s="165"/>
      <c r="B246" s="165"/>
      <c r="C246" s="165"/>
      <c r="D246" s="165"/>
      <c r="E246" s="165"/>
      <c r="F246" s="165"/>
      <c r="G246" s="165"/>
      <c r="H246" s="165"/>
      <c r="I246" s="165"/>
      <c r="J246" s="165"/>
      <c r="K246" s="170"/>
    </row>
    <row r="247" spans="1:26" ht="18" customHeight="1">
      <c r="A247" s="165"/>
      <c r="B247" s="165"/>
      <c r="C247" s="165"/>
      <c r="D247" s="165"/>
      <c r="E247" s="165"/>
      <c r="F247" s="165"/>
      <c r="G247" s="165"/>
      <c r="H247" s="165"/>
      <c r="I247" s="165"/>
      <c r="J247" s="165"/>
      <c r="K247" s="170"/>
    </row>
    <row r="248" spans="1:26" ht="18" customHeight="1">
      <c r="A248" s="165"/>
      <c r="B248" s="165"/>
      <c r="C248" s="165"/>
      <c r="D248" s="165"/>
      <c r="E248" s="165"/>
      <c r="F248" s="165"/>
      <c r="G248" s="165"/>
      <c r="H248" s="165"/>
      <c r="I248" s="165"/>
      <c r="J248" s="165"/>
      <c r="K248" s="170"/>
    </row>
    <row r="250" spans="1:26">
      <c r="A250" s="167" t="s">
        <v>493</v>
      </c>
      <c r="B250" s="167"/>
    </row>
    <row r="252" spans="1:26" ht="13" thickBot="1"/>
    <row r="253" spans="1:26" ht="13.5" thickBot="1">
      <c r="D253" s="352" t="s">
        <v>524</v>
      </c>
      <c r="E253" s="353"/>
      <c r="F253" s="352" t="s">
        <v>525</v>
      </c>
      <c r="G253" s="354"/>
      <c r="H253" s="353"/>
      <c r="J253" s="352" t="s">
        <v>524</v>
      </c>
      <c r="K253" s="353"/>
      <c r="L253" s="352" t="s">
        <v>525</v>
      </c>
      <c r="M253" s="354"/>
      <c r="N253" s="353"/>
      <c r="P253" s="352" t="s">
        <v>524</v>
      </c>
      <c r="Q253" s="353"/>
      <c r="R253" s="352" t="s">
        <v>525</v>
      </c>
      <c r="S253" s="354"/>
      <c r="T253" s="353"/>
      <c r="V253" s="352" t="s">
        <v>524</v>
      </c>
      <c r="W253" s="353"/>
      <c r="X253" s="352" t="s">
        <v>525</v>
      </c>
      <c r="Y253" s="354"/>
      <c r="Z253" s="353"/>
    </row>
    <row r="254" spans="1:26" ht="13" thickBot="1"/>
    <row r="255" spans="1:26" ht="13" thickBot="1">
      <c r="A255" s="344" t="s">
        <v>518</v>
      </c>
      <c r="B255" s="349" t="s">
        <v>514</v>
      </c>
      <c r="C255" s="341" t="s">
        <v>502</v>
      </c>
      <c r="D255" s="347"/>
      <c r="E255" s="347"/>
      <c r="F255" s="347"/>
      <c r="G255" s="347"/>
      <c r="H255" s="347"/>
      <c r="I255" s="347"/>
      <c r="J255" s="347"/>
      <c r="K255" s="347"/>
      <c r="L255" s="347"/>
      <c r="M255" s="347"/>
      <c r="N255" s="348"/>
      <c r="O255" s="341" t="s">
        <v>517</v>
      </c>
      <c r="P255" s="347"/>
      <c r="Q255" s="347"/>
      <c r="R255" s="347"/>
      <c r="S255" s="347"/>
      <c r="T255" s="347"/>
      <c r="U255" s="347"/>
      <c r="V255" s="347"/>
      <c r="W255" s="347"/>
      <c r="X255" s="347"/>
      <c r="Y255" s="347"/>
      <c r="Z255" s="348"/>
    </row>
    <row r="256" spans="1:26" ht="13" thickBot="1">
      <c r="A256" s="345"/>
      <c r="B256" s="350"/>
      <c r="C256" s="341" t="s">
        <v>494</v>
      </c>
      <c r="D256" s="342"/>
      <c r="E256" s="342"/>
      <c r="F256" s="342"/>
      <c r="G256" s="342"/>
      <c r="H256" s="343"/>
      <c r="I256" s="341" t="s">
        <v>495</v>
      </c>
      <c r="J256" s="342"/>
      <c r="K256" s="342"/>
      <c r="L256" s="342"/>
      <c r="M256" s="342"/>
      <c r="N256" s="343"/>
      <c r="O256" s="341" t="s">
        <v>494</v>
      </c>
      <c r="P256" s="342"/>
      <c r="Q256" s="342"/>
      <c r="R256" s="342"/>
      <c r="S256" s="342"/>
      <c r="T256" s="343"/>
      <c r="U256" s="341" t="s">
        <v>495</v>
      </c>
      <c r="V256" s="342"/>
      <c r="W256" s="342"/>
      <c r="X256" s="342"/>
      <c r="Y256" s="342"/>
      <c r="Z256" s="343"/>
    </row>
    <row r="257" spans="1:26" ht="13" thickBot="1">
      <c r="A257" s="346"/>
      <c r="B257" s="351"/>
      <c r="C257" s="246" t="s">
        <v>501</v>
      </c>
      <c r="D257" s="246" t="s">
        <v>496</v>
      </c>
      <c r="E257" s="246" t="s">
        <v>497</v>
      </c>
      <c r="F257" s="246" t="s">
        <v>498</v>
      </c>
      <c r="G257" s="246" t="s">
        <v>499</v>
      </c>
      <c r="H257" s="246" t="s">
        <v>500</v>
      </c>
      <c r="I257" s="246" t="s">
        <v>501</v>
      </c>
      <c r="J257" s="246" t="s">
        <v>496</v>
      </c>
      <c r="K257" s="246" t="s">
        <v>497</v>
      </c>
      <c r="L257" s="246" t="s">
        <v>498</v>
      </c>
      <c r="M257" s="246" t="s">
        <v>499</v>
      </c>
      <c r="N257" s="246" t="s">
        <v>500</v>
      </c>
      <c r="O257" s="246" t="s">
        <v>501</v>
      </c>
      <c r="P257" s="246" t="s">
        <v>496</v>
      </c>
      <c r="Q257" s="246" t="s">
        <v>497</v>
      </c>
      <c r="R257" s="246" t="s">
        <v>498</v>
      </c>
      <c r="S257" s="246" t="s">
        <v>499</v>
      </c>
      <c r="T257" s="246" t="s">
        <v>500</v>
      </c>
      <c r="U257" s="246" t="s">
        <v>501</v>
      </c>
      <c r="V257" s="246" t="s">
        <v>496</v>
      </c>
      <c r="W257" s="246" t="s">
        <v>497</v>
      </c>
      <c r="X257" s="246" t="s">
        <v>498</v>
      </c>
      <c r="Y257" s="246" t="s">
        <v>499</v>
      </c>
      <c r="Z257" s="246" t="s">
        <v>500</v>
      </c>
    </row>
    <row r="258" spans="1:26">
      <c r="A258" s="167" t="s">
        <v>504</v>
      </c>
      <c r="B258" s="167">
        <f>+C258+I258+O258+U258</f>
        <v>9</v>
      </c>
      <c r="C258">
        <f>SUM(D258:H258)</f>
        <v>4</v>
      </c>
      <c r="D258">
        <v>2</v>
      </c>
      <c r="F258">
        <v>2</v>
      </c>
      <c r="I258">
        <f t="shared" ref="I258:I268" si="0">SUM(J258:N258)</f>
        <v>0</v>
      </c>
      <c r="O258">
        <f t="shared" ref="O258:O268" si="1">SUM(P258:T258)</f>
        <v>5</v>
      </c>
      <c r="P258">
        <v>3</v>
      </c>
      <c r="S258">
        <v>2</v>
      </c>
      <c r="U258">
        <f t="shared" ref="U258:U268" si="2">SUM(V258:Z258)</f>
        <v>0</v>
      </c>
    </row>
    <row r="259" spans="1:26">
      <c r="A259" s="167" t="s">
        <v>505</v>
      </c>
      <c r="B259" s="167">
        <f t="shared" ref="B259:B268" si="3">+C259+I259+O259+U259</f>
        <v>12</v>
      </c>
      <c r="C259">
        <f t="shared" ref="C259:C268" si="4">SUM(D259:H259)</f>
        <v>6</v>
      </c>
      <c r="D259">
        <v>2</v>
      </c>
      <c r="F259">
        <v>1</v>
      </c>
      <c r="G259">
        <v>1</v>
      </c>
      <c r="H259" s="268">
        <v>2</v>
      </c>
      <c r="I259">
        <f t="shared" si="0"/>
        <v>0</v>
      </c>
      <c r="O259">
        <f t="shared" si="1"/>
        <v>6</v>
      </c>
      <c r="P259">
        <v>1</v>
      </c>
      <c r="Q259">
        <v>1</v>
      </c>
      <c r="R259">
        <v>2</v>
      </c>
      <c r="S259">
        <v>1</v>
      </c>
      <c r="T259">
        <v>1</v>
      </c>
      <c r="U259">
        <f t="shared" si="2"/>
        <v>0</v>
      </c>
    </row>
    <row r="260" spans="1:26">
      <c r="A260" s="167" t="s">
        <v>506</v>
      </c>
      <c r="B260" s="167">
        <f t="shared" si="3"/>
        <v>10</v>
      </c>
      <c r="C260">
        <f t="shared" si="4"/>
        <v>4</v>
      </c>
      <c r="E260">
        <v>2</v>
      </c>
      <c r="F260">
        <v>1</v>
      </c>
      <c r="G260">
        <v>1</v>
      </c>
      <c r="I260">
        <f t="shared" si="0"/>
        <v>0</v>
      </c>
      <c r="O260">
        <f t="shared" si="1"/>
        <v>6</v>
      </c>
      <c r="P260">
        <v>1</v>
      </c>
      <c r="Q260">
        <v>1</v>
      </c>
      <c r="R260">
        <v>2</v>
      </c>
      <c r="S260">
        <v>1</v>
      </c>
      <c r="T260">
        <v>1</v>
      </c>
      <c r="U260">
        <f t="shared" si="2"/>
        <v>0</v>
      </c>
    </row>
    <row r="261" spans="1:26">
      <c r="A261" s="167" t="s">
        <v>507</v>
      </c>
      <c r="B261" s="167">
        <f t="shared" si="3"/>
        <v>12</v>
      </c>
      <c r="C261">
        <f t="shared" si="4"/>
        <v>6</v>
      </c>
      <c r="D261">
        <v>2</v>
      </c>
      <c r="F261">
        <v>1</v>
      </c>
      <c r="G261">
        <v>1</v>
      </c>
      <c r="H261" s="268">
        <v>2</v>
      </c>
      <c r="I261">
        <f t="shared" si="0"/>
        <v>0</v>
      </c>
      <c r="O261">
        <f t="shared" si="1"/>
        <v>6</v>
      </c>
      <c r="P261">
        <v>1</v>
      </c>
      <c r="Q261">
        <v>1</v>
      </c>
      <c r="R261">
        <v>2</v>
      </c>
      <c r="S261">
        <v>1</v>
      </c>
      <c r="T261">
        <v>1</v>
      </c>
      <c r="U261">
        <f t="shared" si="2"/>
        <v>0</v>
      </c>
    </row>
    <row r="262" spans="1:26">
      <c r="A262" s="167" t="s">
        <v>508</v>
      </c>
      <c r="B262" s="167">
        <f t="shared" si="3"/>
        <v>10</v>
      </c>
      <c r="C262">
        <f t="shared" si="4"/>
        <v>0</v>
      </c>
      <c r="I262">
        <f t="shared" si="0"/>
        <v>4</v>
      </c>
      <c r="K262">
        <v>2</v>
      </c>
      <c r="L262">
        <v>1</v>
      </c>
      <c r="M262">
        <v>1</v>
      </c>
      <c r="O262">
        <f t="shared" si="1"/>
        <v>6</v>
      </c>
      <c r="P262">
        <v>1</v>
      </c>
      <c r="Q262">
        <v>1</v>
      </c>
      <c r="R262">
        <v>2</v>
      </c>
      <c r="S262">
        <v>1</v>
      </c>
      <c r="T262">
        <v>1</v>
      </c>
      <c r="U262">
        <f t="shared" si="2"/>
        <v>0</v>
      </c>
    </row>
    <row r="263" spans="1:26">
      <c r="A263" s="167" t="s">
        <v>509</v>
      </c>
      <c r="B263" s="167">
        <f t="shared" si="3"/>
        <v>12</v>
      </c>
      <c r="C263">
        <f t="shared" si="4"/>
        <v>0</v>
      </c>
      <c r="I263">
        <f t="shared" si="0"/>
        <v>6</v>
      </c>
      <c r="J263">
        <v>2</v>
      </c>
      <c r="L263">
        <v>1</v>
      </c>
      <c r="M263">
        <v>1</v>
      </c>
      <c r="N263" s="268">
        <v>2</v>
      </c>
      <c r="O263">
        <f t="shared" si="1"/>
        <v>0</v>
      </c>
      <c r="U263">
        <f t="shared" si="2"/>
        <v>6</v>
      </c>
      <c r="V263">
        <v>1</v>
      </c>
      <c r="W263">
        <v>1</v>
      </c>
      <c r="X263">
        <v>2</v>
      </c>
      <c r="Y263">
        <v>1</v>
      </c>
      <c r="Z263">
        <v>1</v>
      </c>
    </row>
    <row r="264" spans="1:26">
      <c r="A264" s="167" t="s">
        <v>510</v>
      </c>
      <c r="B264" s="167">
        <f t="shared" si="3"/>
        <v>10</v>
      </c>
      <c r="C264">
        <f t="shared" si="4"/>
        <v>0</v>
      </c>
      <c r="I264">
        <f t="shared" si="0"/>
        <v>4</v>
      </c>
      <c r="J264">
        <v>1</v>
      </c>
      <c r="K264">
        <v>1</v>
      </c>
      <c r="M264">
        <v>2</v>
      </c>
      <c r="O264">
        <f t="shared" si="1"/>
        <v>0</v>
      </c>
      <c r="U264">
        <f t="shared" si="2"/>
        <v>6</v>
      </c>
      <c r="V264">
        <v>1</v>
      </c>
      <c r="W264">
        <v>1</v>
      </c>
      <c r="X264">
        <v>2</v>
      </c>
      <c r="Y264">
        <v>1</v>
      </c>
      <c r="Z264">
        <v>1</v>
      </c>
    </row>
    <row r="265" spans="1:26">
      <c r="A265" s="167" t="s">
        <v>511</v>
      </c>
      <c r="B265" s="167">
        <f t="shared" si="3"/>
        <v>12</v>
      </c>
      <c r="C265">
        <f t="shared" si="4"/>
        <v>0</v>
      </c>
      <c r="I265">
        <f t="shared" si="0"/>
        <v>6</v>
      </c>
      <c r="J265">
        <v>2</v>
      </c>
      <c r="L265">
        <v>3</v>
      </c>
      <c r="M265">
        <v>1</v>
      </c>
      <c r="O265">
        <f t="shared" si="1"/>
        <v>0</v>
      </c>
      <c r="U265">
        <f t="shared" si="2"/>
        <v>6</v>
      </c>
      <c r="V265">
        <v>1</v>
      </c>
      <c r="W265">
        <v>1</v>
      </c>
      <c r="X265">
        <v>2</v>
      </c>
      <c r="Y265">
        <v>1</v>
      </c>
      <c r="Z265">
        <v>1</v>
      </c>
    </row>
    <row r="266" spans="1:26">
      <c r="A266" s="167" t="s">
        <v>512</v>
      </c>
      <c r="B266" s="167">
        <f t="shared" si="3"/>
        <v>6</v>
      </c>
      <c r="C266">
        <f t="shared" si="4"/>
        <v>0</v>
      </c>
      <c r="I266">
        <f t="shared" si="0"/>
        <v>0</v>
      </c>
      <c r="O266">
        <f t="shared" si="1"/>
        <v>0</v>
      </c>
      <c r="U266">
        <f t="shared" si="2"/>
        <v>6</v>
      </c>
      <c r="V266">
        <v>1</v>
      </c>
      <c r="W266">
        <v>1</v>
      </c>
      <c r="X266">
        <v>2</v>
      </c>
      <c r="Y266">
        <v>1</v>
      </c>
      <c r="Z266">
        <v>1</v>
      </c>
    </row>
    <row r="267" spans="1:26">
      <c r="A267" s="167" t="s">
        <v>513</v>
      </c>
      <c r="B267" s="167">
        <f t="shared" si="3"/>
        <v>6</v>
      </c>
      <c r="C267">
        <f t="shared" si="4"/>
        <v>0</v>
      </c>
      <c r="I267">
        <f t="shared" si="0"/>
        <v>0</v>
      </c>
      <c r="O267">
        <f t="shared" si="1"/>
        <v>0</v>
      </c>
      <c r="U267">
        <f t="shared" si="2"/>
        <v>6</v>
      </c>
      <c r="V267">
        <v>1</v>
      </c>
      <c r="W267">
        <v>1</v>
      </c>
      <c r="X267">
        <v>2</v>
      </c>
      <c r="Y267">
        <v>1</v>
      </c>
      <c r="Z267">
        <v>1</v>
      </c>
    </row>
    <row r="268" spans="1:26">
      <c r="A268" s="167" t="s">
        <v>503</v>
      </c>
      <c r="B268" s="167">
        <f t="shared" si="3"/>
        <v>6</v>
      </c>
      <c r="C268">
        <f t="shared" si="4"/>
        <v>0</v>
      </c>
      <c r="I268">
        <f t="shared" si="0"/>
        <v>0</v>
      </c>
      <c r="O268">
        <f t="shared" si="1"/>
        <v>0</v>
      </c>
      <c r="U268">
        <f t="shared" si="2"/>
        <v>6</v>
      </c>
      <c r="V268">
        <v>2</v>
      </c>
      <c r="X268">
        <v>1</v>
      </c>
      <c r="Y268">
        <v>2</v>
      </c>
      <c r="Z268">
        <v>1</v>
      </c>
    </row>
    <row r="269" spans="1:26">
      <c r="A269" s="167" t="s">
        <v>515</v>
      </c>
      <c r="C269">
        <f>SUM(C258:C268)</f>
        <v>20</v>
      </c>
      <c r="D269">
        <f t="shared" ref="D269:Z269" si="5">SUM(D258:D268)</f>
        <v>6</v>
      </c>
      <c r="E269">
        <f t="shared" si="5"/>
        <v>2</v>
      </c>
      <c r="F269">
        <f t="shared" si="5"/>
        <v>5</v>
      </c>
      <c r="G269">
        <f t="shared" si="5"/>
        <v>3</v>
      </c>
      <c r="H269">
        <f t="shared" si="5"/>
        <v>4</v>
      </c>
      <c r="I269">
        <f t="shared" si="5"/>
        <v>20</v>
      </c>
      <c r="J269">
        <f t="shared" si="5"/>
        <v>5</v>
      </c>
      <c r="K269">
        <f t="shared" si="5"/>
        <v>3</v>
      </c>
      <c r="L269">
        <f t="shared" si="5"/>
        <v>5</v>
      </c>
      <c r="M269">
        <f t="shared" si="5"/>
        <v>5</v>
      </c>
      <c r="N269">
        <f t="shared" si="5"/>
        <v>2</v>
      </c>
      <c r="O269">
        <f t="shared" si="5"/>
        <v>29</v>
      </c>
      <c r="P269">
        <f t="shared" si="5"/>
        <v>7</v>
      </c>
      <c r="Q269">
        <f t="shared" si="5"/>
        <v>4</v>
      </c>
      <c r="R269">
        <f t="shared" si="5"/>
        <v>8</v>
      </c>
      <c r="S269">
        <f t="shared" si="5"/>
        <v>6</v>
      </c>
      <c r="T269">
        <f t="shared" si="5"/>
        <v>4</v>
      </c>
      <c r="U269">
        <f t="shared" si="5"/>
        <v>36</v>
      </c>
      <c r="V269">
        <f t="shared" si="5"/>
        <v>7</v>
      </c>
      <c r="W269">
        <f t="shared" si="5"/>
        <v>5</v>
      </c>
      <c r="X269">
        <f t="shared" si="5"/>
        <v>11</v>
      </c>
      <c r="Y269">
        <f t="shared" si="5"/>
        <v>7</v>
      </c>
      <c r="Z269">
        <f t="shared" si="5"/>
        <v>6</v>
      </c>
    </row>
    <row r="270" spans="1:26">
      <c r="A270" s="167" t="s">
        <v>516</v>
      </c>
      <c r="C270">
        <f>+C269+I269</f>
        <v>40</v>
      </c>
      <c r="O270">
        <f>+O269+U269</f>
        <v>65</v>
      </c>
    </row>
    <row r="271" spans="1:26">
      <c r="A271" s="167" t="s">
        <v>514</v>
      </c>
      <c r="C271">
        <f>+C270+O270</f>
        <v>105</v>
      </c>
    </row>
    <row r="273" spans="1:32" ht="13" thickBot="1"/>
    <row r="274" spans="1:32">
      <c r="A274" s="344" t="s">
        <v>519</v>
      </c>
    </row>
    <row r="275" spans="1:32" ht="13" thickBot="1">
      <c r="A275" s="345"/>
    </row>
    <row r="276" spans="1:32" ht="13" thickBot="1">
      <c r="A276" s="346"/>
      <c r="D276" s="246" t="s">
        <v>496</v>
      </c>
      <c r="E276" s="167" t="s">
        <v>520</v>
      </c>
      <c r="F276" s="246" t="s">
        <v>498</v>
      </c>
      <c r="V276" s="246" t="s">
        <v>496</v>
      </c>
      <c r="W276" s="167" t="s">
        <v>520</v>
      </c>
      <c r="X276" s="246" t="s">
        <v>498</v>
      </c>
    </row>
    <row r="277" spans="1:32">
      <c r="I277">
        <v>25</v>
      </c>
    </row>
    <row r="278" spans="1:32">
      <c r="A278" s="167" t="s">
        <v>521</v>
      </c>
      <c r="C278">
        <f>D278+E278+V278+W278</f>
        <v>17</v>
      </c>
      <c r="D278" s="294">
        <v>3</v>
      </c>
      <c r="E278" s="298">
        <v>5</v>
      </c>
      <c r="I278">
        <v>14</v>
      </c>
      <c r="V278" s="294">
        <v>3</v>
      </c>
      <c r="W278" s="298">
        <v>6</v>
      </c>
    </row>
    <row r="279" spans="1:32">
      <c r="A279" s="167" t="s">
        <v>504</v>
      </c>
      <c r="C279">
        <f>D279+E279+F279+V279+W279+X279</f>
        <v>13</v>
      </c>
      <c r="D279" s="295">
        <v>3</v>
      </c>
      <c r="E279" s="296">
        <v>1</v>
      </c>
      <c r="F279" s="297">
        <v>2</v>
      </c>
      <c r="I279">
        <v>29</v>
      </c>
      <c r="V279" s="295">
        <v>4</v>
      </c>
      <c r="W279" s="296">
        <v>2</v>
      </c>
      <c r="X279" s="297">
        <v>1</v>
      </c>
    </row>
    <row r="280" spans="1:32">
      <c r="D280">
        <f>SUM(D278:D279)</f>
        <v>6</v>
      </c>
      <c r="E280">
        <f>SUM(E278:E279)</f>
        <v>6</v>
      </c>
      <c r="F280">
        <f>SUM(F278:F279)</f>
        <v>2</v>
      </c>
      <c r="I280">
        <v>21</v>
      </c>
      <c r="V280">
        <f>SUM(V278:V279)</f>
        <v>7</v>
      </c>
      <c r="W280">
        <f>SUM(W278:W279)</f>
        <v>8</v>
      </c>
      <c r="X280">
        <f>SUM(X278:X279)</f>
        <v>1</v>
      </c>
    </row>
    <row r="281" spans="1:32">
      <c r="I281">
        <v>10</v>
      </c>
      <c r="P281" s="275">
        <f>+E290-D290</f>
        <v>0</v>
      </c>
    </row>
    <row r="282" spans="1:32" ht="13">
      <c r="I282">
        <v>6</v>
      </c>
      <c r="J282" s="291">
        <f>SUM(I277:I282)</f>
        <v>105</v>
      </c>
      <c r="P282" s="167">
        <f>+P281/(O290+L290+I290+F290+R290+U290+X290+AA290)</f>
        <v>0</v>
      </c>
    </row>
    <row r="283" spans="1:32" ht="13">
      <c r="J283" s="291">
        <f>F287+I287+L287+O287+R287+U287+X287+AA287+AD287</f>
        <v>143</v>
      </c>
      <c r="M283" s="275">
        <f>E315-D315</f>
        <v>1</v>
      </c>
      <c r="O283" s="275">
        <f>E293-D293</f>
        <v>-0.5</v>
      </c>
      <c r="P283">
        <v>0.86614173228346458</v>
      </c>
      <c r="R283">
        <v>0.95238095238095233</v>
      </c>
      <c r="U283" s="170"/>
      <c r="V283" s="170"/>
      <c r="W283" s="170"/>
    </row>
    <row r="284" spans="1:32">
      <c r="U284" s="170"/>
      <c r="V284" s="170"/>
      <c r="W284" s="170"/>
    </row>
    <row r="285" spans="1:32" ht="13.5" thickBot="1">
      <c r="U285" s="170"/>
      <c r="V285" s="276"/>
      <c r="W285" s="170"/>
    </row>
    <row r="286" spans="1:32" ht="13" thickBot="1">
      <c r="F286" s="341" t="s">
        <v>496</v>
      </c>
      <c r="G286" s="342"/>
      <c r="H286" s="342"/>
      <c r="I286" s="341" t="s">
        <v>497</v>
      </c>
      <c r="J286" s="342"/>
      <c r="K286" s="343"/>
      <c r="L286" s="341" t="s">
        <v>498</v>
      </c>
      <c r="M286" s="342"/>
      <c r="N286" s="343"/>
      <c r="O286" s="341" t="s">
        <v>499</v>
      </c>
      <c r="P286" s="342"/>
      <c r="Q286" s="343"/>
      <c r="R286" s="341" t="s">
        <v>500</v>
      </c>
      <c r="S286" s="342"/>
      <c r="T286" s="343"/>
      <c r="U286" s="341" t="s">
        <v>531</v>
      </c>
      <c r="V286" s="342"/>
      <c r="W286" s="343"/>
      <c r="X286" s="341" t="s">
        <v>496</v>
      </c>
      <c r="Y286" s="342"/>
      <c r="Z286" s="342"/>
      <c r="AA286" s="341" t="s">
        <v>498</v>
      </c>
      <c r="AB286" s="342"/>
      <c r="AC286" s="343"/>
      <c r="AD286" s="341" t="s">
        <v>551</v>
      </c>
      <c r="AE286" s="342"/>
      <c r="AF286" s="343"/>
    </row>
    <row r="287" spans="1:32" ht="13.5" thickBot="1">
      <c r="A287" s="167" t="s">
        <v>530</v>
      </c>
      <c r="B287" s="282">
        <f>SUM(F287:U287)</f>
        <v>105</v>
      </c>
      <c r="D287" s="280" t="s">
        <v>535</v>
      </c>
      <c r="E287" s="280" t="s">
        <v>534</v>
      </c>
      <c r="F287" s="277">
        <f>'BATIMENT G1,G2&amp;PKINGS-ELEC 2'!D87</f>
        <v>25</v>
      </c>
      <c r="G287" s="280" t="s">
        <v>532</v>
      </c>
      <c r="H287" s="281" t="s">
        <v>533</v>
      </c>
      <c r="I287" s="279">
        <f>'BATIMENT G1,G2&amp;PKINGS-ELEC 2'!D141</f>
        <v>14</v>
      </c>
      <c r="J287" s="280" t="s">
        <v>532</v>
      </c>
      <c r="K287" s="281" t="s">
        <v>533</v>
      </c>
      <c r="L287" s="279">
        <f>'BATIMENT G1,G2&amp;PKINGS-ELEC 2'!D197</f>
        <v>29</v>
      </c>
      <c r="M287" s="280" t="s">
        <v>532</v>
      </c>
      <c r="N287" s="281" t="s">
        <v>533</v>
      </c>
      <c r="O287" s="279">
        <f>'BATIMENT G1,G2&amp;PKINGS-ELEC 2'!D253</f>
        <v>21</v>
      </c>
      <c r="P287" s="280" t="s">
        <v>532</v>
      </c>
      <c r="Q287" s="281" t="s">
        <v>533</v>
      </c>
      <c r="R287" s="279">
        <f>'BATIMENT G1,G2&amp;PKINGS-ELEC 2'!D309</f>
        <v>10</v>
      </c>
      <c r="S287" s="280" t="s">
        <v>532</v>
      </c>
      <c r="T287" s="281" t="s">
        <v>533</v>
      </c>
      <c r="U287" s="278">
        <v>6</v>
      </c>
      <c r="V287" s="280" t="s">
        <v>532</v>
      </c>
      <c r="W287" s="281" t="s">
        <v>533</v>
      </c>
      <c r="X287" s="284">
        <v>14</v>
      </c>
      <c r="Y287" s="280" t="s">
        <v>532</v>
      </c>
      <c r="Z287" s="281" t="s">
        <v>533</v>
      </c>
      <c r="AA287" s="290">
        <v>8</v>
      </c>
      <c r="AB287" s="280" t="s">
        <v>532</v>
      </c>
      <c r="AC287" s="281" t="s">
        <v>533</v>
      </c>
      <c r="AD287" s="290">
        <v>16</v>
      </c>
      <c r="AE287" s="280" t="s">
        <v>532</v>
      </c>
      <c r="AF287" s="281" t="s">
        <v>533</v>
      </c>
    </row>
    <row r="288" spans="1:32">
      <c r="A288" t="str">
        <f>IF('BATIMENT G1,G2&amp;PKINGS-ELEC 2'!B41="","",'BATIMENT G1,G2&amp;PKINGS-ELEC 2'!B41)</f>
        <v/>
      </c>
      <c r="E288" t="str">
        <f>IF('BATIMENT G1,G2&amp;PKINGS-ELEC 2'!B92="","",'BATIMENT G1,G2&amp;PKINGS-ELEC 2'!B92)</f>
        <v/>
      </c>
      <c r="H288" t="str">
        <f>IF('BATIMENT G1,G2&amp;PKINGS-ELEC 2'!B146="","",'BATIMENT G1,G2&amp;PKINGS-ELEC 2'!B146)</f>
        <v/>
      </c>
    </row>
    <row r="289" spans="1:32">
      <c r="A289" t="str">
        <f>IF('BATIMENT G1,G2&amp;PKINGS-ELEC 2'!B315="","",'BATIMENT G1,G2&amp;PKINGS-ELEC 2'!B315)</f>
        <v>* Appareillages de finition blanche</v>
      </c>
      <c r="E289" s="275"/>
    </row>
    <row r="290" spans="1:32" ht="13">
      <c r="A290" t="str">
        <f>IF('BATIMENT G1,G2&amp;PKINGS-ELEC 2'!B316="","",'BATIMENT G1,G2&amp;PKINGS-ELEC 2'!B316)</f>
        <v>- Interrupteur simple allumage</v>
      </c>
      <c r="D290" s="5">
        <v>546</v>
      </c>
      <c r="E290" s="282">
        <f>(H290+K290+N290+Q290+T290+W290+Z290+AC290+AF290)</f>
        <v>546</v>
      </c>
      <c r="F290">
        <f>+IF(G290="","",$F$287)</f>
        <v>25</v>
      </c>
      <c r="G290">
        <f>1-P283</f>
        <v>0.13385826771653542</v>
      </c>
      <c r="H290">
        <f>IF(G290="","",F290*G290)</f>
        <v>3.3464566929133852</v>
      </c>
      <c r="I290">
        <f>+IF(J290="","",$I$287)</f>
        <v>14</v>
      </c>
      <c r="J290">
        <f>4-P283</f>
        <v>3.1338582677165352</v>
      </c>
      <c r="K290">
        <f>IF(J290="","",I290*J290)</f>
        <v>43.874015748031496</v>
      </c>
      <c r="L290">
        <f>+IF(M290="","",$L$287)</f>
        <v>29</v>
      </c>
      <c r="M290">
        <f>7-P283</f>
        <v>6.1338582677165352</v>
      </c>
      <c r="N290">
        <f>IF(M290="","",L290*M290)</f>
        <v>177.88188976377953</v>
      </c>
      <c r="O290">
        <f>+IF(P290="","",$O$287)</f>
        <v>21</v>
      </c>
      <c r="P290">
        <f>8-P283</f>
        <v>7.1338582677165352</v>
      </c>
      <c r="Q290">
        <f>IF(P290="","",O290*P290)</f>
        <v>149.81102362204723</v>
      </c>
      <c r="R290">
        <f>+IF(S290="","",$R$287)</f>
        <v>10</v>
      </c>
      <c r="S290">
        <f>6-P283</f>
        <v>5.1338582677165352</v>
      </c>
      <c r="T290">
        <f>IF(S290="","",R290*S290)</f>
        <v>51.338582677165348</v>
      </c>
      <c r="U290">
        <f>+IF(V290="","",$U$287)</f>
        <v>6</v>
      </c>
      <c r="V290">
        <f>11-P283</f>
        <v>10.133858267716535</v>
      </c>
      <c r="W290">
        <f>IF(V290="","",U290*V290)</f>
        <v>60.803149606299215</v>
      </c>
      <c r="X290">
        <f>+IF(Y290="","",$X$287)</f>
        <v>14</v>
      </c>
      <c r="Y290">
        <f>1-P283</f>
        <v>0.13385826771653542</v>
      </c>
      <c r="Z290">
        <f>IF(Y290="","",X290*Y290)</f>
        <v>1.8740157480314958</v>
      </c>
      <c r="AA290">
        <f>+IF(AB290="","",$AA$287)</f>
        <v>8</v>
      </c>
      <c r="AB290">
        <f>6-P283</f>
        <v>5.1338582677165352</v>
      </c>
      <c r="AC290">
        <f>IF(AB290="","",AA290*AB290)</f>
        <v>41.070866141732282</v>
      </c>
      <c r="AD290">
        <f t="shared" ref="AD290:AD319" si="6">+IF(AE290="","",$AD$287)</f>
        <v>16</v>
      </c>
      <c r="AE290">
        <v>1</v>
      </c>
      <c r="AF290">
        <f>IF(AE290="","",AD290*AE290)</f>
        <v>16</v>
      </c>
    </row>
    <row r="291" spans="1:32" ht="13">
      <c r="A291" t="str">
        <f>IF('BATIMENT G1,G2&amp;PKINGS-ELEC 2'!B317="","",'BATIMENT G1,G2&amp;PKINGS-ELEC 2'!B317)</f>
        <v>- Interrupteur simple allumage à voyant</v>
      </c>
      <c r="D291" s="5">
        <v>59</v>
      </c>
      <c r="E291" s="282">
        <f t="shared" ref="E291:E319" si="7">(H291+K291+N291+Q291+T291+W291+Z291+AC291+AF291)</f>
        <v>59</v>
      </c>
      <c r="F291">
        <f t="shared" ref="F291:F321" si="8">+IF(G291="","",$F$287)</f>
        <v>25</v>
      </c>
      <c r="G291">
        <v>0</v>
      </c>
      <c r="H291">
        <f t="shared" ref="H291:H321" si="9">IF(G291="","",F291*G291)</f>
        <v>0</v>
      </c>
      <c r="I291">
        <f t="shared" ref="I291:I321" si="10">+IF(J291="","",$I$287)</f>
        <v>14</v>
      </c>
      <c r="J291">
        <v>0</v>
      </c>
      <c r="K291">
        <f t="shared" ref="K291:K321" si="11">IF(J291="","",I291*J291)</f>
        <v>0</v>
      </c>
      <c r="L291">
        <f t="shared" ref="L291:L321" si="12">+IF(M291="","",$L$287)</f>
        <v>29</v>
      </c>
      <c r="M291">
        <v>0.9</v>
      </c>
      <c r="N291">
        <f t="shared" ref="N291:N321" si="13">IF(M291="","",L291*M291)</f>
        <v>26.1</v>
      </c>
      <c r="O291">
        <f t="shared" ref="O291:O321" si="14">+IF(P291="","",$O$287)</f>
        <v>21</v>
      </c>
      <c r="P291">
        <v>0.9</v>
      </c>
      <c r="Q291">
        <f t="shared" ref="Q291:Q321" si="15">IF(P291="","",O291*P291)</f>
        <v>18.900000000000002</v>
      </c>
      <c r="R291">
        <f>+IF(S291="","",$R$287)</f>
        <v>10</v>
      </c>
      <c r="S291">
        <v>0</v>
      </c>
      <c r="T291">
        <f t="shared" ref="T291:T321" si="16">IF(S291="","",R291*S291)</f>
        <v>0</v>
      </c>
      <c r="U291">
        <f t="shared" ref="U291:U321" si="17">+IF(V291="","",$U$287)</f>
        <v>6</v>
      </c>
      <c r="V291">
        <v>1</v>
      </c>
      <c r="W291">
        <f t="shared" ref="W291:W321" si="18">IF(V291="","",U291*V291)</f>
        <v>6</v>
      </c>
      <c r="X291">
        <f t="shared" ref="X291:X319" si="19">+IF(Y291="","",$X$287)</f>
        <v>14</v>
      </c>
      <c r="Y291">
        <v>0</v>
      </c>
      <c r="Z291">
        <f t="shared" ref="Z291:Z319" si="20">IF(Y291="","",X291*Y291)</f>
        <v>0</v>
      </c>
      <c r="AA291">
        <f t="shared" ref="AA291:AA319" si="21">+IF(AB291="","",$AA$287)</f>
        <v>8</v>
      </c>
      <c r="AB291">
        <v>1</v>
      </c>
      <c r="AC291">
        <f t="shared" ref="AC291:AC312" si="22">IF(AB291="","",AA291*AB291)</f>
        <v>8</v>
      </c>
      <c r="AD291">
        <f t="shared" si="6"/>
        <v>16</v>
      </c>
      <c r="AE291">
        <v>0</v>
      </c>
      <c r="AF291">
        <f t="shared" ref="AF291:AF319" si="23">IF(AE291="","",AD291*AE291)</f>
        <v>0</v>
      </c>
    </row>
    <row r="292" spans="1:32" ht="13">
      <c r="A292" t="str">
        <f>IF('BATIMENT G1,G2&amp;PKINGS-ELEC 2'!B318="","",'BATIMENT G1,G2&amp;PKINGS-ELEC 2'!B318)</f>
        <v>- Interrupteur double allumage</v>
      </c>
      <c r="D292" s="5">
        <v>214</v>
      </c>
      <c r="E292" s="282">
        <f t="shared" si="7"/>
        <v>213.99999999999997</v>
      </c>
      <c r="F292">
        <f t="shared" si="8"/>
        <v>25</v>
      </c>
      <c r="G292">
        <f>2+0.952380952380952</f>
        <v>2.9523809523809521</v>
      </c>
      <c r="H292">
        <f t="shared" si="9"/>
        <v>73.809523809523796</v>
      </c>
      <c r="I292">
        <f t="shared" si="10"/>
        <v>14</v>
      </c>
      <c r="J292">
        <v>0.952380952380952</v>
      </c>
      <c r="K292">
        <f t="shared" si="11"/>
        <v>13.333333333333329</v>
      </c>
      <c r="L292">
        <f t="shared" si="12"/>
        <v>29</v>
      </c>
      <c r="M292">
        <v>0.952380952380952</v>
      </c>
      <c r="N292">
        <f t="shared" si="13"/>
        <v>27.619047619047606</v>
      </c>
      <c r="O292">
        <f t="shared" si="14"/>
        <v>21</v>
      </c>
      <c r="P292">
        <v>0.952380952380952</v>
      </c>
      <c r="Q292">
        <f t="shared" si="15"/>
        <v>19.999999999999993</v>
      </c>
      <c r="R292">
        <f>+IF(S292="","",$R$287)</f>
        <v>10</v>
      </c>
      <c r="S292">
        <f>5+0.952380952380952</f>
        <v>5.9523809523809517</v>
      </c>
      <c r="T292">
        <f t="shared" si="16"/>
        <v>59.523809523809518</v>
      </c>
      <c r="U292">
        <f t="shared" si="17"/>
        <v>6</v>
      </c>
      <c r="V292">
        <v>0.952380952380952</v>
      </c>
      <c r="W292">
        <f t="shared" si="18"/>
        <v>5.7142857142857117</v>
      </c>
      <c r="X292">
        <f t="shared" si="19"/>
        <v>14</v>
      </c>
      <c r="Y292">
        <v>1</v>
      </c>
      <c r="Z292">
        <f t="shared" si="20"/>
        <v>14</v>
      </c>
      <c r="AA292">
        <f t="shared" si="21"/>
        <v>8</v>
      </c>
      <c r="AB292">
        <v>0</v>
      </c>
      <c r="AC292">
        <f t="shared" si="22"/>
        <v>0</v>
      </c>
      <c r="AD292">
        <f t="shared" si="6"/>
        <v>16</v>
      </c>
      <c r="AE292">
        <v>0</v>
      </c>
      <c r="AF292">
        <f t="shared" si="23"/>
        <v>0</v>
      </c>
    </row>
    <row r="293" spans="1:32" ht="13">
      <c r="A293" t="str">
        <f>IF('BATIMENT G1,G2&amp;PKINGS-ELEC 2'!B319="","",'BATIMENT G1,G2&amp;PKINGS-ELEC 2'!B319)</f>
        <v xml:space="preserve">- Interrupteur va et vient </v>
      </c>
      <c r="D293" s="5">
        <v>276</v>
      </c>
      <c r="E293" s="282">
        <f t="shared" si="7"/>
        <v>275.5</v>
      </c>
      <c r="F293">
        <f t="shared" si="8"/>
        <v>25</v>
      </c>
      <c r="G293">
        <v>1.5</v>
      </c>
      <c r="H293">
        <f t="shared" si="9"/>
        <v>37.5</v>
      </c>
      <c r="I293">
        <f t="shared" si="10"/>
        <v>14</v>
      </c>
      <c r="J293">
        <v>3</v>
      </c>
      <c r="K293">
        <f t="shared" si="11"/>
        <v>42</v>
      </c>
      <c r="L293">
        <f t="shared" si="12"/>
        <v>29</v>
      </c>
      <c r="M293">
        <v>1</v>
      </c>
      <c r="N293">
        <f t="shared" si="13"/>
        <v>29</v>
      </c>
      <c r="O293">
        <f t="shared" si="14"/>
        <v>21</v>
      </c>
      <c r="P293">
        <v>1</v>
      </c>
      <c r="Q293">
        <f t="shared" si="15"/>
        <v>21</v>
      </c>
      <c r="S293">
        <v>0</v>
      </c>
      <c r="T293">
        <f t="shared" si="16"/>
        <v>0</v>
      </c>
      <c r="U293">
        <f t="shared" si="17"/>
        <v>6</v>
      </c>
      <c r="V293">
        <v>7</v>
      </c>
      <c r="W293">
        <f t="shared" si="18"/>
        <v>42</v>
      </c>
      <c r="X293">
        <f t="shared" si="19"/>
        <v>14</v>
      </c>
      <c r="Y293">
        <v>4</v>
      </c>
      <c r="Z293">
        <f t="shared" si="20"/>
        <v>56</v>
      </c>
      <c r="AA293">
        <f t="shared" si="21"/>
        <v>8</v>
      </c>
      <c r="AB293">
        <v>6</v>
      </c>
      <c r="AC293">
        <f t="shared" si="22"/>
        <v>48</v>
      </c>
      <c r="AD293">
        <f t="shared" si="6"/>
        <v>16</v>
      </c>
      <c r="AE293">
        <v>0</v>
      </c>
      <c r="AF293">
        <f t="shared" si="23"/>
        <v>0</v>
      </c>
    </row>
    <row r="294" spans="1:32" ht="13">
      <c r="A294" t="str">
        <f>IF('BATIMENT G1,G2&amp;PKINGS-ELEC 2'!B320="","",'BATIMENT G1,G2&amp;PKINGS-ELEC 2'!B320)</f>
        <v>- Bouton poussoir</v>
      </c>
      <c r="D294" s="5">
        <v>142</v>
      </c>
      <c r="E294" s="282">
        <f t="shared" si="7"/>
        <v>141</v>
      </c>
      <c r="F294">
        <f t="shared" si="8"/>
        <v>25</v>
      </c>
      <c r="G294">
        <v>0</v>
      </c>
      <c r="H294">
        <f t="shared" si="9"/>
        <v>0</v>
      </c>
      <c r="I294">
        <f t="shared" si="10"/>
        <v>14</v>
      </c>
      <c r="J294">
        <v>0</v>
      </c>
      <c r="K294">
        <f t="shared" si="11"/>
        <v>0</v>
      </c>
      <c r="L294">
        <f t="shared" si="12"/>
        <v>29</v>
      </c>
      <c r="M294">
        <v>2</v>
      </c>
      <c r="N294">
        <f t="shared" si="13"/>
        <v>58</v>
      </c>
      <c r="O294">
        <f t="shared" si="14"/>
        <v>21</v>
      </c>
      <c r="P294">
        <v>3</v>
      </c>
      <c r="Q294">
        <f t="shared" si="15"/>
        <v>63</v>
      </c>
      <c r="R294">
        <f t="shared" ref="R294:R316" si="24">+IF(S294="","",$R$287)</f>
        <v>10</v>
      </c>
      <c r="S294">
        <v>2</v>
      </c>
      <c r="T294">
        <f t="shared" si="16"/>
        <v>20</v>
      </c>
      <c r="U294">
        <f t="shared" si="17"/>
        <v>6</v>
      </c>
      <c r="V294">
        <v>0</v>
      </c>
      <c r="W294">
        <f t="shared" si="18"/>
        <v>0</v>
      </c>
      <c r="X294">
        <f t="shared" si="19"/>
        <v>14</v>
      </c>
      <c r="Y294">
        <v>0</v>
      </c>
      <c r="Z294">
        <f t="shared" si="20"/>
        <v>0</v>
      </c>
      <c r="AA294">
        <f t="shared" si="21"/>
        <v>8</v>
      </c>
      <c r="AB294">
        <v>0</v>
      </c>
      <c r="AC294">
        <f t="shared" si="22"/>
        <v>0</v>
      </c>
      <c r="AD294">
        <f t="shared" si="6"/>
        <v>16</v>
      </c>
      <c r="AE294">
        <v>0</v>
      </c>
      <c r="AF294">
        <f t="shared" si="23"/>
        <v>0</v>
      </c>
    </row>
    <row r="295" spans="1:32" ht="13">
      <c r="A295" t="str">
        <f>IF('BATIMENT G1,G2&amp;PKINGS-ELEC 2'!B321="","",'BATIMENT G1,G2&amp;PKINGS-ELEC 2'!B321)</f>
        <v>- Bouton poussoir sonnerie d'entrée</v>
      </c>
      <c r="D295" s="5">
        <v>134</v>
      </c>
      <c r="E295" s="282">
        <f t="shared" si="7"/>
        <v>143</v>
      </c>
      <c r="F295">
        <f t="shared" si="8"/>
        <v>25</v>
      </c>
      <c r="G295">
        <v>1</v>
      </c>
      <c r="H295">
        <f t="shared" si="9"/>
        <v>25</v>
      </c>
      <c r="I295">
        <f t="shared" si="10"/>
        <v>14</v>
      </c>
      <c r="J295">
        <v>1</v>
      </c>
      <c r="K295">
        <f t="shared" si="11"/>
        <v>14</v>
      </c>
      <c r="L295">
        <f t="shared" si="12"/>
        <v>29</v>
      </c>
      <c r="M295">
        <v>1</v>
      </c>
      <c r="N295">
        <f t="shared" si="13"/>
        <v>29</v>
      </c>
      <c r="O295">
        <f t="shared" si="14"/>
        <v>21</v>
      </c>
      <c r="P295">
        <v>1</v>
      </c>
      <c r="Q295">
        <f t="shared" si="15"/>
        <v>21</v>
      </c>
      <c r="R295">
        <f t="shared" si="24"/>
        <v>10</v>
      </c>
      <c r="S295">
        <v>1</v>
      </c>
      <c r="T295">
        <f t="shared" si="16"/>
        <v>10</v>
      </c>
      <c r="U295">
        <f t="shared" si="17"/>
        <v>6</v>
      </c>
      <c r="V295">
        <v>1</v>
      </c>
      <c r="W295">
        <f t="shared" si="18"/>
        <v>6</v>
      </c>
      <c r="X295">
        <f t="shared" si="19"/>
        <v>14</v>
      </c>
      <c r="Y295">
        <v>1</v>
      </c>
      <c r="Z295">
        <f t="shared" si="20"/>
        <v>14</v>
      </c>
      <c r="AA295">
        <f t="shared" si="21"/>
        <v>8</v>
      </c>
      <c r="AB295">
        <v>1</v>
      </c>
      <c r="AC295">
        <f t="shared" si="22"/>
        <v>8</v>
      </c>
      <c r="AD295">
        <f t="shared" si="6"/>
        <v>16</v>
      </c>
      <c r="AE295">
        <v>1</v>
      </c>
      <c r="AF295">
        <f t="shared" si="23"/>
        <v>16</v>
      </c>
    </row>
    <row r="296" spans="1:32">
      <c r="A296" t="str">
        <f>IF('BATIMENT G1,G2&amp;PKINGS-ELEC 2'!B322="","",'BATIMENT G1,G2&amp;PKINGS-ELEC 2'!B322)</f>
        <v/>
      </c>
      <c r="E296" s="275"/>
      <c r="F296" t="str">
        <f t="shared" si="8"/>
        <v/>
      </c>
      <c r="H296" t="str">
        <f t="shared" si="9"/>
        <v/>
      </c>
      <c r="I296" t="str">
        <f t="shared" si="10"/>
        <v/>
      </c>
      <c r="K296" t="str">
        <f t="shared" si="11"/>
        <v/>
      </c>
      <c r="L296" t="str">
        <f t="shared" si="12"/>
        <v/>
      </c>
      <c r="N296" t="str">
        <f t="shared" si="13"/>
        <v/>
      </c>
      <c r="O296" t="str">
        <f t="shared" si="14"/>
        <v/>
      </c>
      <c r="Q296" t="str">
        <f t="shared" si="15"/>
        <v/>
      </c>
      <c r="R296" t="str">
        <f t="shared" si="24"/>
        <v/>
      </c>
      <c r="T296" t="str">
        <f t="shared" si="16"/>
        <v/>
      </c>
      <c r="U296" t="str">
        <f t="shared" si="17"/>
        <v/>
      </c>
      <c r="W296" t="str">
        <f t="shared" si="18"/>
        <v/>
      </c>
      <c r="X296" t="str">
        <f t="shared" si="19"/>
        <v/>
      </c>
      <c r="Z296" t="str">
        <f t="shared" si="20"/>
        <v/>
      </c>
      <c r="AA296" t="str">
        <f t="shared" si="21"/>
        <v/>
      </c>
      <c r="AC296" t="str">
        <f t="shared" si="22"/>
        <v/>
      </c>
      <c r="AD296">
        <f t="shared" si="6"/>
        <v>16</v>
      </c>
      <c r="AE296">
        <v>0</v>
      </c>
      <c r="AF296">
        <f t="shared" si="23"/>
        <v>0</v>
      </c>
    </row>
    <row r="297" spans="1:32" ht="13">
      <c r="A297" t="str">
        <f>IF('BATIMENT G1,G2&amp;PKINGS-ELEC 2'!B323="","",'BATIMENT G1,G2&amp;PKINGS-ELEC 2'!B323)</f>
        <v>- Prise de courant 2P+T10/16A</v>
      </c>
      <c r="D297" s="5">
        <v>1995</v>
      </c>
      <c r="E297" s="282">
        <f t="shared" si="7"/>
        <v>1996</v>
      </c>
      <c r="F297">
        <f t="shared" si="8"/>
        <v>25</v>
      </c>
      <c r="G297">
        <v>11</v>
      </c>
      <c r="H297">
        <f t="shared" si="9"/>
        <v>275</v>
      </c>
      <c r="I297">
        <f t="shared" si="10"/>
        <v>14</v>
      </c>
      <c r="J297">
        <v>14</v>
      </c>
      <c r="K297">
        <f t="shared" si="11"/>
        <v>196</v>
      </c>
      <c r="L297">
        <f t="shared" si="12"/>
        <v>29</v>
      </c>
      <c r="M297">
        <v>16</v>
      </c>
      <c r="N297">
        <f t="shared" si="13"/>
        <v>464</v>
      </c>
      <c r="O297">
        <f t="shared" si="14"/>
        <v>21</v>
      </c>
      <c r="P297">
        <v>19</v>
      </c>
      <c r="Q297">
        <f t="shared" si="15"/>
        <v>399</v>
      </c>
      <c r="R297">
        <f t="shared" si="24"/>
        <v>10</v>
      </c>
      <c r="S297">
        <v>22</v>
      </c>
      <c r="T297">
        <f t="shared" si="16"/>
        <v>220</v>
      </c>
      <c r="U297">
        <f t="shared" si="17"/>
        <v>6</v>
      </c>
      <c r="V297">
        <v>24</v>
      </c>
      <c r="W297">
        <f t="shared" si="18"/>
        <v>144</v>
      </c>
      <c r="X297">
        <f t="shared" si="19"/>
        <v>14</v>
      </c>
      <c r="Y297">
        <v>11</v>
      </c>
      <c r="Z297">
        <f t="shared" si="20"/>
        <v>154</v>
      </c>
      <c r="AA297">
        <f t="shared" si="21"/>
        <v>8</v>
      </c>
      <c r="AB297">
        <v>16</v>
      </c>
      <c r="AC297">
        <f t="shared" si="22"/>
        <v>128</v>
      </c>
      <c r="AD297">
        <f t="shared" si="6"/>
        <v>16</v>
      </c>
      <c r="AE297">
        <v>1</v>
      </c>
      <c r="AF297">
        <f t="shared" si="23"/>
        <v>16</v>
      </c>
    </row>
    <row r="298" spans="1:32" ht="13">
      <c r="A298" t="str">
        <f>IF('BATIMENT G1,G2&amp;PKINGS-ELEC 2'!B324="","",'BATIMENT G1,G2&amp;PKINGS-ELEC 2'!B324)</f>
        <v>- Prise de courant 2P+T10/16A handicapée</v>
      </c>
      <c r="D298" s="5">
        <v>598</v>
      </c>
      <c r="E298" s="282">
        <f t="shared" si="7"/>
        <v>597</v>
      </c>
      <c r="F298">
        <f t="shared" si="8"/>
        <v>25</v>
      </c>
      <c r="G298">
        <v>3</v>
      </c>
      <c r="H298">
        <f t="shared" si="9"/>
        <v>75</v>
      </c>
      <c r="I298">
        <f t="shared" si="10"/>
        <v>14</v>
      </c>
      <c r="J298">
        <v>4</v>
      </c>
      <c r="K298">
        <f t="shared" si="11"/>
        <v>56</v>
      </c>
      <c r="L298">
        <f t="shared" si="12"/>
        <v>29</v>
      </c>
      <c r="M298">
        <v>6</v>
      </c>
      <c r="N298">
        <f t="shared" si="13"/>
        <v>174</v>
      </c>
      <c r="O298">
        <f t="shared" si="14"/>
        <v>21</v>
      </c>
      <c r="P298">
        <v>6</v>
      </c>
      <c r="Q298">
        <f t="shared" si="15"/>
        <v>126</v>
      </c>
      <c r="R298">
        <f t="shared" si="24"/>
        <v>10</v>
      </c>
      <c r="S298">
        <v>7</v>
      </c>
      <c r="T298">
        <f t="shared" si="16"/>
        <v>70</v>
      </c>
      <c r="U298">
        <f t="shared" si="17"/>
        <v>6</v>
      </c>
      <c r="V298">
        <v>9</v>
      </c>
      <c r="W298">
        <f t="shared" si="18"/>
        <v>54</v>
      </c>
      <c r="X298">
        <f t="shared" si="19"/>
        <v>14</v>
      </c>
      <c r="Y298">
        <v>3</v>
      </c>
      <c r="Z298">
        <f t="shared" si="20"/>
        <v>42</v>
      </c>
      <c r="AA298">
        <f t="shared" si="21"/>
        <v>8</v>
      </c>
      <c r="AB298">
        <v>0</v>
      </c>
      <c r="AC298">
        <f t="shared" si="22"/>
        <v>0</v>
      </c>
      <c r="AD298">
        <f t="shared" si="6"/>
        <v>16</v>
      </c>
      <c r="AE298">
        <v>0</v>
      </c>
      <c r="AF298">
        <f t="shared" si="23"/>
        <v>0</v>
      </c>
    </row>
    <row r="299" spans="1:32" ht="13">
      <c r="A299" t="str">
        <f>IF('BATIMENT G1,G2&amp;PKINGS-ELEC 2'!B325="","",'BATIMENT G1,G2&amp;PKINGS-ELEC 2'!B325)</f>
        <v>- Prise de courant 2P+T10/16A Lave-Linge</v>
      </c>
      <c r="D299" s="5">
        <v>118</v>
      </c>
      <c r="E299" s="282">
        <f t="shared" si="7"/>
        <v>119</v>
      </c>
      <c r="F299">
        <f t="shared" si="8"/>
        <v>25</v>
      </c>
      <c r="G299">
        <v>1</v>
      </c>
      <c r="H299">
        <f t="shared" si="9"/>
        <v>25</v>
      </c>
      <c r="I299">
        <f t="shared" si="10"/>
        <v>14</v>
      </c>
      <c r="J299">
        <v>1</v>
      </c>
      <c r="K299">
        <f t="shared" si="11"/>
        <v>14</v>
      </c>
      <c r="L299">
        <f t="shared" si="12"/>
        <v>29</v>
      </c>
      <c r="M299">
        <v>1</v>
      </c>
      <c r="N299">
        <f t="shared" si="13"/>
        <v>29</v>
      </c>
      <c r="O299">
        <f t="shared" si="14"/>
        <v>21</v>
      </c>
      <c r="P299">
        <v>1</v>
      </c>
      <c r="Q299">
        <f t="shared" si="15"/>
        <v>21</v>
      </c>
      <c r="R299">
        <f t="shared" si="24"/>
        <v>10</v>
      </c>
      <c r="S299">
        <v>1</v>
      </c>
      <c r="T299">
        <f t="shared" si="16"/>
        <v>10</v>
      </c>
      <c r="U299">
        <f t="shared" si="17"/>
        <v>6</v>
      </c>
      <c r="V299">
        <v>1</v>
      </c>
      <c r="W299">
        <f t="shared" si="18"/>
        <v>6</v>
      </c>
      <c r="X299">
        <f t="shared" si="19"/>
        <v>14</v>
      </c>
      <c r="Y299">
        <v>1</v>
      </c>
      <c r="Z299">
        <f t="shared" si="20"/>
        <v>14</v>
      </c>
      <c r="AA299">
        <f t="shared" si="21"/>
        <v>8</v>
      </c>
      <c r="AB299">
        <v>0</v>
      </c>
      <c r="AC299">
        <f t="shared" si="22"/>
        <v>0</v>
      </c>
      <c r="AD299">
        <f t="shared" si="6"/>
        <v>16</v>
      </c>
      <c r="AE299">
        <v>0</v>
      </c>
      <c r="AF299">
        <f t="shared" si="23"/>
        <v>0</v>
      </c>
    </row>
    <row r="300" spans="1:32" ht="13">
      <c r="A300" t="str">
        <f>IF('BATIMENT G1,G2&amp;PKINGS-ELEC 2'!B326="","",'BATIMENT G1,G2&amp;PKINGS-ELEC 2'!B326)</f>
        <v>- Prise de courant 2P+T10/16A Lave-Vaisselle</v>
      </c>
      <c r="D300" s="5">
        <v>85</v>
      </c>
      <c r="E300" s="282">
        <f t="shared" si="7"/>
        <v>80</v>
      </c>
      <c r="F300">
        <f t="shared" si="8"/>
        <v>25</v>
      </c>
      <c r="G300">
        <v>0</v>
      </c>
      <c r="H300">
        <f t="shared" si="9"/>
        <v>0</v>
      </c>
      <c r="I300">
        <f t="shared" si="10"/>
        <v>14</v>
      </c>
      <c r="J300">
        <v>1</v>
      </c>
      <c r="K300">
        <f t="shared" si="11"/>
        <v>14</v>
      </c>
      <c r="L300">
        <f t="shared" si="12"/>
        <v>29</v>
      </c>
      <c r="M300">
        <v>1</v>
      </c>
      <c r="N300">
        <f t="shared" si="13"/>
        <v>29</v>
      </c>
      <c r="O300">
        <f t="shared" si="14"/>
        <v>21</v>
      </c>
      <c r="P300">
        <v>1</v>
      </c>
      <c r="Q300">
        <f t="shared" si="15"/>
        <v>21</v>
      </c>
      <c r="R300">
        <f t="shared" si="24"/>
        <v>10</v>
      </c>
      <c r="S300">
        <v>1</v>
      </c>
      <c r="T300">
        <f t="shared" si="16"/>
        <v>10</v>
      </c>
      <c r="U300">
        <f t="shared" si="17"/>
        <v>6</v>
      </c>
      <c r="V300">
        <v>1</v>
      </c>
      <c r="W300">
        <f t="shared" si="18"/>
        <v>6</v>
      </c>
      <c r="X300">
        <f t="shared" si="19"/>
        <v>14</v>
      </c>
      <c r="Y300">
        <v>0</v>
      </c>
      <c r="Z300">
        <f t="shared" si="20"/>
        <v>0</v>
      </c>
      <c r="AA300">
        <f t="shared" si="21"/>
        <v>8</v>
      </c>
      <c r="AB300">
        <v>0</v>
      </c>
      <c r="AC300">
        <f t="shared" si="22"/>
        <v>0</v>
      </c>
      <c r="AD300">
        <f t="shared" si="6"/>
        <v>16</v>
      </c>
      <c r="AE300">
        <v>0</v>
      </c>
      <c r="AF300">
        <f t="shared" si="23"/>
        <v>0</v>
      </c>
    </row>
    <row r="301" spans="1:32" ht="13">
      <c r="A301" t="str">
        <f>IF('BATIMENT G1,G2&amp;PKINGS-ELEC 2'!B327="","",'BATIMENT G1,G2&amp;PKINGS-ELEC 2'!B327)</f>
        <v>- Prise de courant 2P+T20A four</v>
      </c>
      <c r="D301" s="5">
        <v>84</v>
      </c>
      <c r="E301" s="282">
        <f t="shared" si="7"/>
        <v>80</v>
      </c>
      <c r="F301">
        <f t="shared" si="8"/>
        <v>25</v>
      </c>
      <c r="G301">
        <v>0</v>
      </c>
      <c r="H301">
        <f t="shared" si="9"/>
        <v>0</v>
      </c>
      <c r="I301">
        <f t="shared" si="10"/>
        <v>14</v>
      </c>
      <c r="J301">
        <v>1</v>
      </c>
      <c r="K301">
        <f t="shared" si="11"/>
        <v>14</v>
      </c>
      <c r="L301">
        <f t="shared" si="12"/>
        <v>29</v>
      </c>
      <c r="M301">
        <v>1</v>
      </c>
      <c r="N301">
        <f t="shared" si="13"/>
        <v>29</v>
      </c>
      <c r="O301">
        <f t="shared" si="14"/>
        <v>21</v>
      </c>
      <c r="P301">
        <v>1</v>
      </c>
      <c r="Q301">
        <f t="shared" si="15"/>
        <v>21</v>
      </c>
      <c r="R301">
        <f t="shared" si="24"/>
        <v>10</v>
      </c>
      <c r="S301">
        <v>1</v>
      </c>
      <c r="T301">
        <f t="shared" si="16"/>
        <v>10</v>
      </c>
      <c r="U301">
        <f t="shared" si="17"/>
        <v>6</v>
      </c>
      <c r="V301">
        <v>1</v>
      </c>
      <c r="W301">
        <f t="shared" si="18"/>
        <v>6</v>
      </c>
      <c r="X301">
        <f t="shared" si="19"/>
        <v>14</v>
      </c>
      <c r="Y301">
        <v>0</v>
      </c>
      <c r="Z301">
        <f t="shared" si="20"/>
        <v>0</v>
      </c>
      <c r="AA301">
        <f t="shared" si="21"/>
        <v>8</v>
      </c>
      <c r="AB301">
        <v>0</v>
      </c>
      <c r="AC301">
        <f t="shared" si="22"/>
        <v>0</v>
      </c>
      <c r="AD301">
        <f t="shared" si="6"/>
        <v>16</v>
      </c>
      <c r="AE301">
        <v>0</v>
      </c>
      <c r="AF301">
        <f t="shared" si="23"/>
        <v>0</v>
      </c>
    </row>
    <row r="302" spans="1:32" ht="13">
      <c r="A302" t="str">
        <f>IF('BATIMENT G1,G2&amp;PKINGS-ELEC 2'!B328="","",'BATIMENT G1,G2&amp;PKINGS-ELEC 2'!B328)</f>
        <v xml:space="preserve">- Attente cuisson </v>
      </c>
      <c r="D302" s="5">
        <v>123</v>
      </c>
      <c r="E302" s="282">
        <f t="shared" si="7"/>
        <v>119</v>
      </c>
      <c r="F302">
        <f t="shared" si="8"/>
        <v>25</v>
      </c>
      <c r="G302">
        <v>1</v>
      </c>
      <c r="H302">
        <f t="shared" si="9"/>
        <v>25</v>
      </c>
      <c r="I302">
        <f t="shared" si="10"/>
        <v>14</v>
      </c>
      <c r="J302">
        <v>1</v>
      </c>
      <c r="K302">
        <f t="shared" si="11"/>
        <v>14</v>
      </c>
      <c r="L302">
        <f t="shared" si="12"/>
        <v>29</v>
      </c>
      <c r="M302">
        <v>1</v>
      </c>
      <c r="N302">
        <f t="shared" si="13"/>
        <v>29</v>
      </c>
      <c r="O302">
        <f t="shared" si="14"/>
        <v>21</v>
      </c>
      <c r="P302">
        <v>1</v>
      </c>
      <c r="Q302">
        <f t="shared" si="15"/>
        <v>21</v>
      </c>
      <c r="R302">
        <f t="shared" si="24"/>
        <v>10</v>
      </c>
      <c r="S302">
        <v>1</v>
      </c>
      <c r="T302">
        <f t="shared" si="16"/>
        <v>10</v>
      </c>
      <c r="U302">
        <f t="shared" si="17"/>
        <v>6</v>
      </c>
      <c r="V302">
        <v>1</v>
      </c>
      <c r="W302">
        <f t="shared" si="18"/>
        <v>6</v>
      </c>
      <c r="X302">
        <f t="shared" si="19"/>
        <v>14</v>
      </c>
      <c r="Y302">
        <v>1</v>
      </c>
      <c r="Z302">
        <f t="shared" si="20"/>
        <v>14</v>
      </c>
      <c r="AA302">
        <f t="shared" si="21"/>
        <v>8</v>
      </c>
      <c r="AB302">
        <v>0</v>
      </c>
      <c r="AC302">
        <f t="shared" si="22"/>
        <v>0</v>
      </c>
      <c r="AD302">
        <f t="shared" si="6"/>
        <v>16</v>
      </c>
      <c r="AE302">
        <v>0</v>
      </c>
      <c r="AF302">
        <f t="shared" si="23"/>
        <v>0</v>
      </c>
    </row>
    <row r="303" spans="1:32">
      <c r="A303" t="s">
        <v>161</v>
      </c>
      <c r="E303" s="275">
        <f t="shared" si="7"/>
        <v>39</v>
      </c>
      <c r="F303">
        <f t="shared" si="8"/>
        <v>25</v>
      </c>
      <c r="G303">
        <v>1</v>
      </c>
      <c r="H303">
        <f t="shared" si="9"/>
        <v>25</v>
      </c>
      <c r="I303">
        <f t="shared" si="10"/>
        <v>14</v>
      </c>
      <c r="J303">
        <v>0</v>
      </c>
      <c r="K303">
        <f t="shared" si="11"/>
        <v>0</v>
      </c>
      <c r="L303">
        <f t="shared" si="12"/>
        <v>29</v>
      </c>
      <c r="M303">
        <v>0</v>
      </c>
      <c r="N303">
        <f t="shared" si="13"/>
        <v>0</v>
      </c>
      <c r="O303">
        <f t="shared" si="14"/>
        <v>21</v>
      </c>
      <c r="P303">
        <v>0</v>
      </c>
      <c r="Q303">
        <f t="shared" si="15"/>
        <v>0</v>
      </c>
      <c r="R303">
        <f t="shared" si="24"/>
        <v>10</v>
      </c>
      <c r="S303">
        <v>0</v>
      </c>
      <c r="T303">
        <f t="shared" si="16"/>
        <v>0</v>
      </c>
      <c r="U303">
        <f t="shared" si="17"/>
        <v>6</v>
      </c>
      <c r="V303">
        <v>0</v>
      </c>
      <c r="W303">
        <f t="shared" si="18"/>
        <v>0</v>
      </c>
      <c r="X303">
        <f t="shared" si="19"/>
        <v>14</v>
      </c>
      <c r="Y303">
        <v>1</v>
      </c>
      <c r="Z303">
        <f t="shared" si="20"/>
        <v>14</v>
      </c>
      <c r="AA303">
        <f t="shared" si="21"/>
        <v>8</v>
      </c>
      <c r="AB303">
        <v>0</v>
      </c>
      <c r="AC303">
        <f t="shared" si="22"/>
        <v>0</v>
      </c>
      <c r="AD303">
        <f t="shared" si="6"/>
        <v>16</v>
      </c>
      <c r="AE303">
        <v>0</v>
      </c>
      <c r="AF303">
        <f t="shared" si="23"/>
        <v>0</v>
      </c>
    </row>
    <row r="304" spans="1:32">
      <c r="A304" t="str">
        <f>IF('BATIMENT G1,G2&amp;PKINGS-ELEC 2'!B329="","",'BATIMENT G1,G2&amp;PKINGS-ELEC 2'!B329)</f>
        <v>- Attente éclairage vasque salle de bain</v>
      </c>
      <c r="E304" s="275">
        <f t="shared" si="7"/>
        <v>119</v>
      </c>
      <c r="F304">
        <f t="shared" si="8"/>
        <v>25</v>
      </c>
      <c r="G304">
        <v>1</v>
      </c>
      <c r="H304">
        <f t="shared" si="9"/>
        <v>25</v>
      </c>
      <c r="I304">
        <f t="shared" si="10"/>
        <v>14</v>
      </c>
      <c r="J304">
        <v>1</v>
      </c>
      <c r="K304">
        <f t="shared" si="11"/>
        <v>14</v>
      </c>
      <c r="L304">
        <f t="shared" si="12"/>
        <v>29</v>
      </c>
      <c r="M304">
        <v>1</v>
      </c>
      <c r="N304">
        <f t="shared" si="13"/>
        <v>29</v>
      </c>
      <c r="O304">
        <f t="shared" si="14"/>
        <v>21</v>
      </c>
      <c r="P304">
        <v>1</v>
      </c>
      <c r="Q304">
        <f t="shared" si="15"/>
        <v>21</v>
      </c>
      <c r="R304">
        <f t="shared" si="24"/>
        <v>10</v>
      </c>
      <c r="S304">
        <v>1</v>
      </c>
      <c r="T304">
        <f t="shared" si="16"/>
        <v>10</v>
      </c>
      <c r="U304">
        <f t="shared" si="17"/>
        <v>6</v>
      </c>
      <c r="V304">
        <v>1</v>
      </c>
      <c r="W304">
        <f t="shared" si="18"/>
        <v>6</v>
      </c>
      <c r="X304">
        <f t="shared" si="19"/>
        <v>14</v>
      </c>
      <c r="Y304">
        <v>1</v>
      </c>
      <c r="Z304">
        <f t="shared" si="20"/>
        <v>14</v>
      </c>
      <c r="AA304">
        <f t="shared" si="21"/>
        <v>8</v>
      </c>
      <c r="AB304">
        <v>0</v>
      </c>
      <c r="AC304">
        <f t="shared" si="22"/>
        <v>0</v>
      </c>
      <c r="AD304">
        <f t="shared" si="6"/>
        <v>16</v>
      </c>
      <c r="AE304">
        <v>0</v>
      </c>
      <c r="AF304">
        <f t="shared" si="23"/>
        <v>0</v>
      </c>
    </row>
    <row r="305" spans="1:32">
      <c r="A305" t="str">
        <f>IF('BATIMENT G1,G2&amp;PKINGS-ELEC 2'!B330="","",'BATIMENT G1,G2&amp;PKINGS-ELEC 2'!B330)</f>
        <v>- Attente protections solaires</v>
      </c>
      <c r="E305" s="275">
        <f t="shared" si="7"/>
        <v>487</v>
      </c>
      <c r="F305">
        <f t="shared" si="8"/>
        <v>25</v>
      </c>
      <c r="G305">
        <v>1</v>
      </c>
      <c r="H305">
        <f t="shared" si="9"/>
        <v>25</v>
      </c>
      <c r="I305">
        <f t="shared" si="10"/>
        <v>14</v>
      </c>
      <c r="J305">
        <v>2</v>
      </c>
      <c r="K305">
        <f t="shared" si="11"/>
        <v>28</v>
      </c>
      <c r="L305">
        <f t="shared" si="12"/>
        <v>29</v>
      </c>
      <c r="M305">
        <v>5</v>
      </c>
      <c r="N305">
        <f t="shared" si="13"/>
        <v>145</v>
      </c>
      <c r="O305">
        <f t="shared" si="14"/>
        <v>21</v>
      </c>
      <c r="P305">
        <v>7</v>
      </c>
      <c r="Q305">
        <f t="shared" si="15"/>
        <v>147</v>
      </c>
      <c r="R305">
        <f t="shared" si="24"/>
        <v>10</v>
      </c>
      <c r="S305">
        <v>8</v>
      </c>
      <c r="T305">
        <f t="shared" si="16"/>
        <v>80</v>
      </c>
      <c r="U305">
        <f t="shared" si="17"/>
        <v>6</v>
      </c>
      <c r="V305">
        <v>8</v>
      </c>
      <c r="W305">
        <f t="shared" si="18"/>
        <v>48</v>
      </c>
      <c r="X305">
        <f t="shared" si="19"/>
        <v>14</v>
      </c>
      <c r="Y305">
        <v>1</v>
      </c>
      <c r="Z305">
        <f t="shared" si="20"/>
        <v>14</v>
      </c>
      <c r="AA305">
        <f t="shared" si="21"/>
        <v>8</v>
      </c>
      <c r="AB305">
        <v>0</v>
      </c>
      <c r="AC305">
        <f t="shared" si="22"/>
        <v>0</v>
      </c>
      <c r="AD305">
        <f t="shared" si="6"/>
        <v>16</v>
      </c>
      <c r="AE305">
        <v>0</v>
      </c>
      <c r="AF305">
        <f t="shared" si="23"/>
        <v>0</v>
      </c>
    </row>
    <row r="306" spans="1:32">
      <c r="A306" t="str">
        <f>IF('BATIMENT G1,G2&amp;PKINGS-ELEC 2'!B331="","",'BATIMENT G1,G2&amp;PKINGS-ELEC 2'!B331)</f>
        <v>- Attente VMC y compris interrupteur cuisine</v>
      </c>
      <c r="E306" s="275">
        <f t="shared" si="7"/>
        <v>125</v>
      </c>
      <c r="F306">
        <f t="shared" si="8"/>
        <v>25</v>
      </c>
      <c r="G306">
        <v>1</v>
      </c>
      <c r="H306">
        <f t="shared" si="9"/>
        <v>25</v>
      </c>
      <c r="I306">
        <f t="shared" si="10"/>
        <v>14</v>
      </c>
      <c r="J306">
        <v>1</v>
      </c>
      <c r="K306">
        <f t="shared" si="11"/>
        <v>14</v>
      </c>
      <c r="L306">
        <f t="shared" si="12"/>
        <v>29</v>
      </c>
      <c r="M306">
        <v>1</v>
      </c>
      <c r="N306">
        <f t="shared" si="13"/>
        <v>29</v>
      </c>
      <c r="O306">
        <f t="shared" si="14"/>
        <v>21</v>
      </c>
      <c r="P306">
        <v>1</v>
      </c>
      <c r="Q306">
        <f t="shared" si="15"/>
        <v>21</v>
      </c>
      <c r="R306">
        <f t="shared" si="24"/>
        <v>10</v>
      </c>
      <c r="S306">
        <v>1</v>
      </c>
      <c r="T306">
        <f t="shared" si="16"/>
        <v>10</v>
      </c>
      <c r="U306">
        <f t="shared" si="17"/>
        <v>6</v>
      </c>
      <c r="V306">
        <v>2</v>
      </c>
      <c r="W306">
        <f t="shared" si="18"/>
        <v>12</v>
      </c>
      <c r="X306">
        <f t="shared" si="19"/>
        <v>14</v>
      </c>
      <c r="Y306">
        <v>1</v>
      </c>
      <c r="Z306">
        <f t="shared" si="20"/>
        <v>14</v>
      </c>
      <c r="AA306">
        <f t="shared" si="21"/>
        <v>8</v>
      </c>
      <c r="AB306">
        <v>0</v>
      </c>
      <c r="AC306">
        <f t="shared" si="22"/>
        <v>0</v>
      </c>
      <c r="AD306">
        <f t="shared" si="6"/>
        <v>16</v>
      </c>
      <c r="AE306">
        <v>0</v>
      </c>
      <c r="AF306">
        <f t="shared" si="23"/>
        <v>0</v>
      </c>
    </row>
    <row r="307" spans="1:32">
      <c r="A307" t="str">
        <f>IF('BATIMENT G1,G2&amp;PKINGS-ELEC 2'!B332="","",'BATIMENT G1,G2&amp;PKINGS-ELEC 2'!B332)</f>
        <v>- Attente VMC SdB et WC</v>
      </c>
      <c r="E307" s="275">
        <f t="shared" si="7"/>
        <v>125</v>
      </c>
      <c r="F307">
        <f t="shared" si="8"/>
        <v>25</v>
      </c>
      <c r="G307">
        <v>1</v>
      </c>
      <c r="H307">
        <f t="shared" si="9"/>
        <v>25</v>
      </c>
      <c r="I307">
        <f t="shared" si="10"/>
        <v>14</v>
      </c>
      <c r="J307">
        <v>1</v>
      </c>
      <c r="K307">
        <f t="shared" si="11"/>
        <v>14</v>
      </c>
      <c r="L307">
        <f t="shared" si="12"/>
        <v>29</v>
      </c>
      <c r="M307">
        <v>1</v>
      </c>
      <c r="N307">
        <f t="shared" si="13"/>
        <v>29</v>
      </c>
      <c r="O307">
        <f t="shared" si="14"/>
        <v>21</v>
      </c>
      <c r="P307">
        <v>1</v>
      </c>
      <c r="Q307">
        <f t="shared" si="15"/>
        <v>21</v>
      </c>
      <c r="R307">
        <f t="shared" si="24"/>
        <v>10</v>
      </c>
      <c r="S307">
        <v>1</v>
      </c>
      <c r="T307">
        <f t="shared" si="16"/>
        <v>10</v>
      </c>
      <c r="U307">
        <f t="shared" si="17"/>
        <v>6</v>
      </c>
      <c r="V307">
        <v>2</v>
      </c>
      <c r="W307">
        <f t="shared" si="18"/>
        <v>12</v>
      </c>
      <c r="X307">
        <f t="shared" si="19"/>
        <v>14</v>
      </c>
      <c r="Y307">
        <v>1</v>
      </c>
      <c r="Z307">
        <f t="shared" si="20"/>
        <v>14</v>
      </c>
      <c r="AA307">
        <f t="shared" si="21"/>
        <v>8</v>
      </c>
      <c r="AB307">
        <v>0</v>
      </c>
      <c r="AC307">
        <f t="shared" si="22"/>
        <v>0</v>
      </c>
      <c r="AD307">
        <f t="shared" si="6"/>
        <v>16</v>
      </c>
      <c r="AE307">
        <v>0</v>
      </c>
      <c r="AF307">
        <f t="shared" si="23"/>
        <v>0</v>
      </c>
    </row>
    <row r="308" spans="1:32">
      <c r="A308" t="str">
        <f>IF('BATIMENT G1,G2&amp;PKINGS-ELEC 2'!B333="","",'BATIMENT G1,G2&amp;PKINGS-ELEC 2'!B333)</f>
        <v/>
      </c>
      <c r="E308" s="275"/>
      <c r="F308" t="str">
        <f t="shared" si="8"/>
        <v/>
      </c>
      <c r="H308" t="str">
        <f t="shared" si="9"/>
        <v/>
      </c>
      <c r="I308" t="str">
        <f t="shared" si="10"/>
        <v/>
      </c>
      <c r="K308" t="str">
        <f t="shared" si="11"/>
        <v/>
      </c>
      <c r="L308" t="str">
        <f t="shared" si="12"/>
        <v/>
      </c>
      <c r="N308" t="str">
        <f t="shared" si="13"/>
        <v/>
      </c>
      <c r="O308" t="str">
        <f t="shared" si="14"/>
        <v/>
      </c>
      <c r="Q308" t="str">
        <f t="shared" si="15"/>
        <v/>
      </c>
      <c r="R308" t="str">
        <f t="shared" si="24"/>
        <v/>
      </c>
      <c r="T308" t="str">
        <f t="shared" si="16"/>
        <v/>
      </c>
      <c r="U308" t="str">
        <f t="shared" si="17"/>
        <v/>
      </c>
      <c r="W308" t="str">
        <f t="shared" si="18"/>
        <v/>
      </c>
      <c r="X308" t="str">
        <f t="shared" si="19"/>
        <v/>
      </c>
      <c r="Z308" t="str">
        <f t="shared" si="20"/>
        <v/>
      </c>
      <c r="AA308" t="str">
        <f t="shared" si="21"/>
        <v/>
      </c>
      <c r="AC308" t="str">
        <f t="shared" si="22"/>
        <v/>
      </c>
      <c r="AD308">
        <f t="shared" si="6"/>
        <v>16</v>
      </c>
      <c r="AE308">
        <v>0</v>
      </c>
      <c r="AF308">
        <f t="shared" si="23"/>
        <v>0</v>
      </c>
    </row>
    <row r="309" spans="1:32">
      <c r="A309" t="str">
        <f>IF('BATIMENT G1,G2&amp;PKINGS-ELEC 2'!B353="","",'BATIMENT G1,G2&amp;PKINGS-ELEC 2'!B353)</f>
        <v>- Goulotte de distribution en cuisine bâtiment G1</v>
      </c>
      <c r="E309" s="275">
        <f t="shared" si="7"/>
        <v>0</v>
      </c>
      <c r="F309">
        <f t="shared" si="8"/>
        <v>25</v>
      </c>
      <c r="G309">
        <v>0</v>
      </c>
      <c r="H309">
        <f t="shared" si="9"/>
        <v>0</v>
      </c>
      <c r="I309">
        <f t="shared" si="10"/>
        <v>14</v>
      </c>
      <c r="J309">
        <v>0</v>
      </c>
      <c r="K309">
        <f t="shared" si="11"/>
        <v>0</v>
      </c>
      <c r="L309">
        <f t="shared" si="12"/>
        <v>29</v>
      </c>
      <c r="M309">
        <v>0</v>
      </c>
      <c r="N309">
        <f t="shared" si="13"/>
        <v>0</v>
      </c>
      <c r="O309">
        <f t="shared" si="14"/>
        <v>21</v>
      </c>
      <c r="P309">
        <v>0</v>
      </c>
      <c r="Q309">
        <f t="shared" si="15"/>
        <v>0</v>
      </c>
      <c r="R309">
        <f t="shared" si="24"/>
        <v>10</v>
      </c>
      <c r="S309">
        <v>0</v>
      </c>
      <c r="T309">
        <f t="shared" si="16"/>
        <v>0</v>
      </c>
      <c r="U309">
        <f t="shared" si="17"/>
        <v>6</v>
      </c>
      <c r="V309">
        <v>0</v>
      </c>
      <c r="W309">
        <f t="shared" si="18"/>
        <v>0</v>
      </c>
      <c r="X309">
        <f t="shared" si="19"/>
        <v>14</v>
      </c>
      <c r="Y309">
        <v>0</v>
      </c>
      <c r="Z309">
        <f t="shared" si="20"/>
        <v>0</v>
      </c>
      <c r="AA309">
        <f t="shared" si="21"/>
        <v>8</v>
      </c>
      <c r="AB309">
        <v>0</v>
      </c>
      <c r="AC309">
        <f t="shared" si="22"/>
        <v>0</v>
      </c>
      <c r="AD309">
        <f t="shared" si="6"/>
        <v>16</v>
      </c>
      <c r="AE309">
        <v>0</v>
      </c>
      <c r="AF309">
        <f t="shared" si="23"/>
        <v>0</v>
      </c>
    </row>
    <row r="310" spans="1:32" ht="13">
      <c r="A310" t="str">
        <f>IF('BATIMENT G1,G2&amp;PKINGS-ELEC 2'!B354="","",'BATIMENT G1,G2&amp;PKINGS-ELEC 2'!B354)</f>
        <v>- DAAF suivant CCTP</v>
      </c>
      <c r="D310" s="5">
        <v>133</v>
      </c>
      <c r="E310" s="282">
        <f t="shared" si="7"/>
        <v>133</v>
      </c>
      <c r="F310">
        <f t="shared" si="8"/>
        <v>25</v>
      </c>
      <c r="G310">
        <v>1</v>
      </c>
      <c r="H310">
        <f t="shared" si="9"/>
        <v>25</v>
      </c>
      <c r="I310">
        <f t="shared" si="10"/>
        <v>14</v>
      </c>
      <c r="J310">
        <v>1</v>
      </c>
      <c r="K310">
        <f t="shared" si="11"/>
        <v>14</v>
      </c>
      <c r="L310">
        <f t="shared" si="12"/>
        <v>29</v>
      </c>
      <c r="M310">
        <v>1</v>
      </c>
      <c r="N310">
        <f t="shared" si="13"/>
        <v>29</v>
      </c>
      <c r="O310">
        <f t="shared" si="14"/>
        <v>21</v>
      </c>
      <c r="P310">
        <v>1</v>
      </c>
      <c r="Q310">
        <f t="shared" si="15"/>
        <v>21</v>
      </c>
      <c r="R310">
        <f t="shared" si="24"/>
        <v>10</v>
      </c>
      <c r="S310">
        <v>1</v>
      </c>
      <c r="T310">
        <f t="shared" si="16"/>
        <v>10</v>
      </c>
      <c r="U310">
        <f t="shared" si="17"/>
        <v>6</v>
      </c>
      <c r="V310">
        <v>2</v>
      </c>
      <c r="W310">
        <f t="shared" si="18"/>
        <v>12</v>
      </c>
      <c r="X310">
        <f t="shared" si="19"/>
        <v>14</v>
      </c>
      <c r="Y310">
        <v>1</v>
      </c>
      <c r="Z310">
        <f t="shared" si="20"/>
        <v>14</v>
      </c>
      <c r="AA310">
        <f t="shared" si="21"/>
        <v>8</v>
      </c>
      <c r="AB310">
        <v>1</v>
      </c>
      <c r="AC310">
        <f t="shared" si="22"/>
        <v>8</v>
      </c>
      <c r="AD310">
        <f t="shared" si="6"/>
        <v>16</v>
      </c>
      <c r="AE310">
        <v>0</v>
      </c>
      <c r="AF310">
        <f t="shared" si="23"/>
        <v>0</v>
      </c>
    </row>
    <row r="311" spans="1:32">
      <c r="A311" t="str">
        <f>IF('BATIMENT G1,G2&amp;PKINGS-ELEC 2'!B355="","",'BATIMENT G1,G2&amp;PKINGS-ELEC 2'!B355)</f>
        <v/>
      </c>
      <c r="E311" s="275"/>
      <c r="F311" t="str">
        <f t="shared" si="8"/>
        <v/>
      </c>
      <c r="H311" t="str">
        <f t="shared" si="9"/>
        <v/>
      </c>
      <c r="I311" t="str">
        <f t="shared" si="10"/>
        <v/>
      </c>
      <c r="K311" t="str">
        <f t="shared" si="11"/>
        <v/>
      </c>
      <c r="L311" t="str">
        <f t="shared" si="12"/>
        <v/>
      </c>
      <c r="N311" t="str">
        <f t="shared" si="13"/>
        <v/>
      </c>
      <c r="O311" t="str">
        <f t="shared" si="14"/>
        <v/>
      </c>
      <c r="Q311" t="str">
        <f t="shared" si="15"/>
        <v/>
      </c>
      <c r="R311" t="str">
        <f t="shared" si="24"/>
        <v/>
      </c>
      <c r="T311" t="str">
        <f t="shared" si="16"/>
        <v/>
      </c>
      <c r="U311" t="str">
        <f t="shared" si="17"/>
        <v/>
      </c>
      <c r="W311" t="str">
        <f t="shared" si="18"/>
        <v/>
      </c>
      <c r="X311" t="str">
        <f t="shared" si="19"/>
        <v/>
      </c>
      <c r="Z311" t="str">
        <f t="shared" si="20"/>
        <v/>
      </c>
      <c r="AA311" t="str">
        <f t="shared" si="21"/>
        <v/>
      </c>
      <c r="AC311" t="str">
        <f t="shared" si="22"/>
        <v/>
      </c>
      <c r="AD311">
        <f t="shared" si="6"/>
        <v>16</v>
      </c>
      <c r="AE311">
        <v>0</v>
      </c>
      <c r="AF311">
        <f t="shared" si="23"/>
        <v>0</v>
      </c>
    </row>
    <row r="312" spans="1:32" ht="13">
      <c r="A312" t="str">
        <f>IF('BATIMENT G1,G2&amp;PKINGS-ELEC 2'!B356="","",'BATIMENT G1,G2&amp;PKINGS-ELEC 2'!B356)</f>
        <v>- Luminaire type 9 Eclairage terrasse/balcon ext. G1</v>
      </c>
      <c r="D312" s="5">
        <v>47</v>
      </c>
      <c r="E312" s="282">
        <f t="shared" si="7"/>
        <v>47</v>
      </c>
      <c r="F312">
        <f t="shared" si="8"/>
        <v>25</v>
      </c>
      <c r="G312">
        <v>0</v>
      </c>
      <c r="H312">
        <f t="shared" si="9"/>
        <v>0</v>
      </c>
      <c r="I312">
        <f t="shared" si="10"/>
        <v>14</v>
      </c>
      <c r="J312">
        <v>0</v>
      </c>
      <c r="K312">
        <f t="shared" si="11"/>
        <v>0</v>
      </c>
      <c r="L312">
        <f t="shared" si="12"/>
        <v>29</v>
      </c>
      <c r="M312" s="262">
        <v>0.94</v>
      </c>
      <c r="N312">
        <f t="shared" si="13"/>
        <v>27.259999999999998</v>
      </c>
      <c r="O312">
        <f t="shared" si="14"/>
        <v>21</v>
      </c>
      <c r="P312" s="262">
        <v>0.94</v>
      </c>
      <c r="Q312">
        <f t="shared" si="15"/>
        <v>19.739999999999998</v>
      </c>
      <c r="R312">
        <f t="shared" si="24"/>
        <v>10</v>
      </c>
      <c r="S312">
        <v>0</v>
      </c>
      <c r="T312">
        <f t="shared" si="16"/>
        <v>0</v>
      </c>
      <c r="U312">
        <f t="shared" si="17"/>
        <v>6</v>
      </c>
      <c r="V312">
        <v>0</v>
      </c>
      <c r="W312">
        <f t="shared" si="18"/>
        <v>0</v>
      </c>
      <c r="X312">
        <f t="shared" si="19"/>
        <v>14</v>
      </c>
      <c r="Y312">
        <v>0</v>
      </c>
      <c r="Z312">
        <f t="shared" si="20"/>
        <v>0</v>
      </c>
      <c r="AA312">
        <f t="shared" si="21"/>
        <v>8</v>
      </c>
      <c r="AB312">
        <v>0</v>
      </c>
      <c r="AC312">
        <f t="shared" si="22"/>
        <v>0</v>
      </c>
      <c r="AD312">
        <f t="shared" si="6"/>
        <v>16</v>
      </c>
      <c r="AE312">
        <v>0</v>
      </c>
      <c r="AF312">
        <f t="shared" si="23"/>
        <v>0</v>
      </c>
    </row>
    <row r="313" spans="1:32" ht="13">
      <c r="A313" t="str">
        <f>IF('BATIMENT G1,G2&amp;PKINGS-ELEC 2'!B357="","",'BATIMENT G1,G2&amp;PKINGS-ELEC 2'!B357)</f>
        <v>- Luminaire type 9 Eclairage terrasse/balcon int. G1</v>
      </c>
      <c r="D313" s="5">
        <v>12</v>
      </c>
      <c r="E313" s="282">
        <f t="shared" si="7"/>
        <v>12</v>
      </c>
      <c r="F313">
        <f t="shared" si="8"/>
        <v>25</v>
      </c>
      <c r="G313">
        <v>0</v>
      </c>
      <c r="H313">
        <f t="shared" si="9"/>
        <v>0</v>
      </c>
      <c r="I313">
        <f t="shared" si="10"/>
        <v>14</v>
      </c>
      <c r="J313">
        <v>0</v>
      </c>
      <c r="K313">
        <f t="shared" si="11"/>
        <v>0</v>
      </c>
      <c r="L313">
        <f t="shared" si="12"/>
        <v>29</v>
      </c>
      <c r="M313">
        <v>0</v>
      </c>
      <c r="N313">
        <f t="shared" si="13"/>
        <v>0</v>
      </c>
      <c r="O313">
        <f t="shared" si="14"/>
        <v>21</v>
      </c>
      <c r="P313">
        <v>0</v>
      </c>
      <c r="Q313">
        <f t="shared" si="15"/>
        <v>0</v>
      </c>
      <c r="R313">
        <f t="shared" si="24"/>
        <v>10</v>
      </c>
      <c r="S313">
        <v>0</v>
      </c>
      <c r="T313">
        <f t="shared" si="16"/>
        <v>0</v>
      </c>
      <c r="U313">
        <f t="shared" si="17"/>
        <v>6</v>
      </c>
      <c r="V313">
        <v>2</v>
      </c>
      <c r="W313">
        <f t="shared" si="18"/>
        <v>12</v>
      </c>
      <c r="X313">
        <f t="shared" si="19"/>
        <v>14</v>
      </c>
      <c r="Y313">
        <v>0</v>
      </c>
      <c r="Z313">
        <f t="shared" si="20"/>
        <v>0</v>
      </c>
      <c r="AA313">
        <f t="shared" si="21"/>
        <v>8</v>
      </c>
      <c r="AB313">
        <v>0</v>
      </c>
      <c r="AC313">
        <f t="shared" ref="AC313:AC319" si="25">IF(AB313="","",AA313*AB313)</f>
        <v>0</v>
      </c>
      <c r="AD313">
        <f t="shared" si="6"/>
        <v>16</v>
      </c>
      <c r="AE313">
        <v>0</v>
      </c>
      <c r="AF313">
        <f t="shared" si="23"/>
        <v>0</v>
      </c>
    </row>
    <row r="314" spans="1:32" ht="13">
      <c r="A314" t="str">
        <f>IF('BATIMENT G1,G2&amp;PKINGS-ELEC 2'!B358="","",'BATIMENT G1,G2&amp;PKINGS-ELEC 2'!B358)</f>
        <v>- Luminaire type 10 Eclairage terrsse/balcon G2</v>
      </c>
      <c r="D314" s="5">
        <v>19</v>
      </c>
      <c r="E314" s="282">
        <f t="shared" si="7"/>
        <v>19</v>
      </c>
      <c r="F314">
        <f t="shared" si="8"/>
        <v>25</v>
      </c>
      <c r="G314">
        <v>0</v>
      </c>
      <c r="H314">
        <f t="shared" si="9"/>
        <v>0</v>
      </c>
      <c r="I314">
        <f t="shared" si="10"/>
        <v>14</v>
      </c>
      <c r="J314">
        <v>0</v>
      </c>
      <c r="K314">
        <f t="shared" si="11"/>
        <v>0</v>
      </c>
      <c r="L314">
        <f t="shared" si="12"/>
        <v>29</v>
      </c>
      <c r="M314">
        <f>19/29</f>
        <v>0.65517241379310343</v>
      </c>
      <c r="N314">
        <f t="shared" si="13"/>
        <v>19</v>
      </c>
      <c r="O314">
        <f t="shared" si="14"/>
        <v>21</v>
      </c>
      <c r="P314">
        <v>0</v>
      </c>
      <c r="Q314">
        <f t="shared" si="15"/>
        <v>0</v>
      </c>
      <c r="R314">
        <f t="shared" si="24"/>
        <v>10</v>
      </c>
      <c r="S314">
        <v>0</v>
      </c>
      <c r="T314">
        <f t="shared" si="16"/>
        <v>0</v>
      </c>
      <c r="U314">
        <f t="shared" si="17"/>
        <v>6</v>
      </c>
      <c r="V314">
        <v>0</v>
      </c>
      <c r="W314">
        <f t="shared" si="18"/>
        <v>0</v>
      </c>
      <c r="X314">
        <f t="shared" si="19"/>
        <v>14</v>
      </c>
      <c r="Y314">
        <v>0</v>
      </c>
      <c r="Z314">
        <f t="shared" si="20"/>
        <v>0</v>
      </c>
      <c r="AA314">
        <f t="shared" si="21"/>
        <v>8</v>
      </c>
      <c r="AB314">
        <v>0</v>
      </c>
      <c r="AC314">
        <f t="shared" si="25"/>
        <v>0</v>
      </c>
      <c r="AD314">
        <f t="shared" si="6"/>
        <v>16</v>
      </c>
      <c r="AE314">
        <v>0</v>
      </c>
      <c r="AF314">
        <f t="shared" si="23"/>
        <v>0</v>
      </c>
    </row>
    <row r="315" spans="1:32" ht="13">
      <c r="A315" t="str">
        <f>IF('BATIMENT G1,G2&amp;PKINGS-ELEC 2'!B359="","",'BATIMENT G1,G2&amp;PKINGS-ELEC 2'!B359)</f>
        <v>- Boitier et douille DCL, compris fiche 2P+T</v>
      </c>
      <c r="D315" s="5">
        <f>883+131</f>
        <v>1014</v>
      </c>
      <c r="E315" s="282">
        <f t="shared" si="7"/>
        <v>1015</v>
      </c>
      <c r="F315">
        <f t="shared" si="8"/>
        <v>25</v>
      </c>
      <c r="G315">
        <v>5</v>
      </c>
      <c r="H315">
        <f t="shared" si="9"/>
        <v>125</v>
      </c>
      <c r="I315">
        <f t="shared" si="10"/>
        <v>14</v>
      </c>
      <c r="J315">
        <v>6</v>
      </c>
      <c r="K315">
        <f t="shared" si="11"/>
        <v>84</v>
      </c>
      <c r="L315">
        <f t="shared" si="12"/>
        <v>29</v>
      </c>
      <c r="M315">
        <v>10</v>
      </c>
      <c r="N315">
        <f t="shared" si="13"/>
        <v>290</v>
      </c>
      <c r="O315">
        <f t="shared" si="14"/>
        <v>21</v>
      </c>
      <c r="P315">
        <v>8</v>
      </c>
      <c r="Q315">
        <f t="shared" si="15"/>
        <v>168</v>
      </c>
      <c r="R315">
        <f t="shared" si="24"/>
        <v>10</v>
      </c>
      <c r="S315">
        <v>15</v>
      </c>
      <c r="T315">
        <f t="shared" si="16"/>
        <v>150</v>
      </c>
      <c r="U315">
        <f t="shared" si="17"/>
        <v>6</v>
      </c>
      <c r="V315">
        <v>13</v>
      </c>
      <c r="W315">
        <f t="shared" si="18"/>
        <v>78</v>
      </c>
      <c r="X315">
        <f t="shared" si="19"/>
        <v>14</v>
      </c>
      <c r="Y315">
        <v>4</v>
      </c>
      <c r="Z315">
        <f t="shared" si="20"/>
        <v>56</v>
      </c>
      <c r="AA315">
        <f t="shared" si="21"/>
        <v>8</v>
      </c>
      <c r="AB315">
        <v>8</v>
      </c>
      <c r="AC315">
        <f t="shared" si="25"/>
        <v>64</v>
      </c>
      <c r="AD315">
        <f t="shared" si="6"/>
        <v>16</v>
      </c>
      <c r="AE315">
        <v>0</v>
      </c>
      <c r="AF315">
        <f t="shared" si="23"/>
        <v>0</v>
      </c>
    </row>
    <row r="316" spans="1:32" ht="13">
      <c r="A316" t="str">
        <f>IF('BATIMENT G1,G2&amp;PKINGS-ELEC 2'!B360="","",'BATIMENT G1,G2&amp;PKINGS-ELEC 2'!B360)</f>
        <v>- Ampoule fluocompacte 15W, E27</v>
      </c>
      <c r="D316" s="5">
        <f>+D315</f>
        <v>1014</v>
      </c>
      <c r="E316" s="282">
        <f t="shared" si="7"/>
        <v>1015</v>
      </c>
      <c r="F316">
        <f t="shared" si="8"/>
        <v>25</v>
      </c>
      <c r="G316">
        <v>5</v>
      </c>
      <c r="H316">
        <f t="shared" si="9"/>
        <v>125</v>
      </c>
      <c r="I316">
        <f t="shared" si="10"/>
        <v>14</v>
      </c>
      <c r="J316">
        <v>6</v>
      </c>
      <c r="K316">
        <f t="shared" si="11"/>
        <v>84</v>
      </c>
      <c r="L316">
        <f t="shared" si="12"/>
        <v>29</v>
      </c>
      <c r="M316">
        <v>10</v>
      </c>
      <c r="N316">
        <f t="shared" si="13"/>
        <v>290</v>
      </c>
      <c r="O316">
        <f t="shared" si="14"/>
        <v>21</v>
      </c>
      <c r="P316">
        <v>8</v>
      </c>
      <c r="Q316">
        <f t="shared" si="15"/>
        <v>168</v>
      </c>
      <c r="R316">
        <f t="shared" si="24"/>
        <v>10</v>
      </c>
      <c r="S316">
        <v>15</v>
      </c>
      <c r="T316">
        <f t="shared" si="16"/>
        <v>150</v>
      </c>
      <c r="U316">
        <f t="shared" si="17"/>
        <v>6</v>
      </c>
      <c r="V316">
        <v>13</v>
      </c>
      <c r="W316">
        <f t="shared" si="18"/>
        <v>78</v>
      </c>
      <c r="X316">
        <f t="shared" si="19"/>
        <v>14</v>
      </c>
      <c r="Y316">
        <v>4</v>
      </c>
      <c r="Z316">
        <f t="shared" si="20"/>
        <v>56</v>
      </c>
      <c r="AA316">
        <f t="shared" si="21"/>
        <v>8</v>
      </c>
      <c r="AB316">
        <v>8</v>
      </c>
      <c r="AC316">
        <f t="shared" si="25"/>
        <v>64</v>
      </c>
      <c r="AD316">
        <f t="shared" si="6"/>
        <v>16</v>
      </c>
      <c r="AE316">
        <v>0</v>
      </c>
      <c r="AF316">
        <f t="shared" si="23"/>
        <v>0</v>
      </c>
    </row>
    <row r="317" spans="1:32" ht="13">
      <c r="A317" s="167" t="s">
        <v>552</v>
      </c>
      <c r="D317" s="5">
        <v>18</v>
      </c>
      <c r="E317" s="282">
        <f t="shared" si="7"/>
        <v>18</v>
      </c>
      <c r="X317">
        <f t="shared" si="19"/>
        <v>14</v>
      </c>
      <c r="Y317">
        <f>18/14</f>
        <v>1.2857142857142858</v>
      </c>
      <c r="Z317">
        <f t="shared" si="20"/>
        <v>18</v>
      </c>
      <c r="AE317">
        <v>0</v>
      </c>
    </row>
    <row r="318" spans="1:32">
      <c r="A318" t="str">
        <f>IF('BATIMENT G1,G2&amp;PKINGS-ELEC 2'!B361="","",'BATIMENT G1,G2&amp;PKINGS-ELEC 2'!B361)</f>
        <v/>
      </c>
      <c r="E318" s="275"/>
      <c r="F318" t="str">
        <f t="shared" si="8"/>
        <v/>
      </c>
      <c r="H318" t="str">
        <f t="shared" si="9"/>
        <v/>
      </c>
      <c r="I318" t="str">
        <f t="shared" si="10"/>
        <v/>
      </c>
      <c r="K318" t="str">
        <f t="shared" si="11"/>
        <v/>
      </c>
      <c r="L318" t="str">
        <f t="shared" si="12"/>
        <v/>
      </c>
      <c r="N318" t="str">
        <f t="shared" si="13"/>
        <v/>
      </c>
      <c r="O318" t="str">
        <f t="shared" si="14"/>
        <v/>
      </c>
      <c r="Q318" t="str">
        <f t="shared" si="15"/>
        <v/>
      </c>
      <c r="R318" t="str">
        <f>+IF(S318="","",$R$287)</f>
        <v/>
      </c>
      <c r="T318" t="str">
        <f t="shared" si="16"/>
        <v/>
      </c>
      <c r="U318" t="str">
        <f t="shared" si="17"/>
        <v/>
      </c>
      <c r="W318" t="str">
        <f t="shared" si="18"/>
        <v/>
      </c>
      <c r="X318" t="str">
        <f t="shared" si="19"/>
        <v/>
      </c>
      <c r="Z318" t="str">
        <f t="shared" si="20"/>
        <v/>
      </c>
      <c r="AA318" t="str">
        <f t="shared" si="21"/>
        <v/>
      </c>
      <c r="AC318" t="str">
        <f t="shared" si="25"/>
        <v/>
      </c>
      <c r="AD318">
        <f t="shared" si="6"/>
        <v>16</v>
      </c>
      <c r="AE318">
        <v>0</v>
      </c>
      <c r="AF318">
        <f t="shared" si="23"/>
        <v>0</v>
      </c>
    </row>
    <row r="319" spans="1:32" ht="13">
      <c r="A319" t="str">
        <f>IF('BATIMENT G1,G2&amp;PKINGS-ELEC 2'!B362="","",'BATIMENT G1,G2&amp;PKINGS-ELEC 2'!B362)</f>
        <v>- Ampli TV en GTL y compris alimentation</v>
      </c>
      <c r="E319" s="282">
        <f t="shared" si="7"/>
        <v>105</v>
      </c>
      <c r="F319">
        <f t="shared" si="8"/>
        <v>25</v>
      </c>
      <c r="G319">
        <v>1</v>
      </c>
      <c r="H319">
        <f t="shared" si="9"/>
        <v>25</v>
      </c>
      <c r="I319">
        <f t="shared" si="10"/>
        <v>14</v>
      </c>
      <c r="J319">
        <v>1</v>
      </c>
      <c r="K319">
        <f t="shared" si="11"/>
        <v>14</v>
      </c>
      <c r="L319">
        <f t="shared" si="12"/>
        <v>29</v>
      </c>
      <c r="M319">
        <v>1</v>
      </c>
      <c r="N319">
        <f t="shared" si="13"/>
        <v>29</v>
      </c>
      <c r="O319">
        <f t="shared" si="14"/>
        <v>21</v>
      </c>
      <c r="P319">
        <v>1</v>
      </c>
      <c r="Q319">
        <f t="shared" si="15"/>
        <v>21</v>
      </c>
      <c r="R319">
        <f>+IF(S319="","",$R$287)</f>
        <v>10</v>
      </c>
      <c r="S319">
        <v>1</v>
      </c>
      <c r="T319">
        <f t="shared" si="16"/>
        <v>10</v>
      </c>
      <c r="U319">
        <f t="shared" si="17"/>
        <v>6</v>
      </c>
      <c r="V319">
        <v>1</v>
      </c>
      <c r="W319">
        <f t="shared" si="18"/>
        <v>6</v>
      </c>
      <c r="X319">
        <f t="shared" si="19"/>
        <v>14</v>
      </c>
      <c r="Y319">
        <v>0</v>
      </c>
      <c r="Z319">
        <f t="shared" si="20"/>
        <v>0</v>
      </c>
      <c r="AA319">
        <f t="shared" si="21"/>
        <v>8</v>
      </c>
      <c r="AB319">
        <v>0</v>
      </c>
      <c r="AC319">
        <f t="shared" si="25"/>
        <v>0</v>
      </c>
      <c r="AD319">
        <f t="shared" si="6"/>
        <v>16</v>
      </c>
      <c r="AE319">
        <v>0</v>
      </c>
      <c r="AF319">
        <f t="shared" si="23"/>
        <v>0</v>
      </c>
    </row>
    <row r="320" spans="1:32">
      <c r="A320" t="str">
        <f>IF('BATIMENT G1,G2&amp;PKINGS-ELEC 2'!B363="","",'BATIMENT G1,G2&amp;PKINGS-ELEC 2'!B363)</f>
        <v/>
      </c>
      <c r="E320" s="275"/>
      <c r="F320" t="str">
        <f t="shared" si="8"/>
        <v/>
      </c>
      <c r="H320" t="str">
        <f t="shared" si="9"/>
        <v/>
      </c>
      <c r="I320" t="str">
        <f t="shared" si="10"/>
        <v/>
      </c>
      <c r="K320" t="str">
        <f t="shared" si="11"/>
        <v/>
      </c>
      <c r="L320" t="str">
        <f t="shared" si="12"/>
        <v/>
      </c>
      <c r="N320" t="str">
        <f t="shared" si="13"/>
        <v/>
      </c>
      <c r="O320" t="str">
        <f t="shared" si="14"/>
        <v/>
      </c>
      <c r="Q320" t="str">
        <f t="shared" si="15"/>
        <v/>
      </c>
      <c r="R320" t="str">
        <f>+IF(S320="","",$R$287)</f>
        <v/>
      </c>
      <c r="T320" t="str">
        <f t="shared" si="16"/>
        <v/>
      </c>
      <c r="U320" t="str">
        <f t="shared" si="17"/>
        <v/>
      </c>
      <c r="W320" t="str">
        <f t="shared" si="18"/>
        <v/>
      </c>
    </row>
    <row r="321" spans="5:23">
      <c r="E321" s="275"/>
      <c r="F321" t="str">
        <f t="shared" si="8"/>
        <v/>
      </c>
      <c r="H321" t="str">
        <f t="shared" si="9"/>
        <v/>
      </c>
      <c r="I321" t="str">
        <f t="shared" si="10"/>
        <v/>
      </c>
      <c r="K321" t="str">
        <f t="shared" si="11"/>
        <v/>
      </c>
      <c r="L321" t="str">
        <f t="shared" si="12"/>
        <v/>
      </c>
      <c r="N321" t="str">
        <f t="shared" si="13"/>
        <v/>
      </c>
      <c r="O321" t="str">
        <f t="shared" si="14"/>
        <v/>
      </c>
      <c r="Q321" t="str">
        <f t="shared" si="15"/>
        <v/>
      </c>
      <c r="R321" t="str">
        <f>+IF(S321="","",$R$287)</f>
        <v/>
      </c>
      <c r="T321" t="str">
        <f t="shared" si="16"/>
        <v/>
      </c>
      <c r="U321" t="str">
        <f t="shared" si="17"/>
        <v/>
      </c>
      <c r="W321" t="str">
        <f t="shared" si="18"/>
        <v/>
      </c>
    </row>
    <row r="322" spans="5:23">
      <c r="E322" s="275"/>
    </row>
    <row r="323" spans="5:23">
      <c r="G323">
        <f>SUM(G289:G320)</f>
        <v>38.58623922009749</v>
      </c>
      <c r="J323">
        <f>SUM(J289:J320)</f>
        <v>49.086239220097482</v>
      </c>
      <c r="M323">
        <f>SUM(M289:M320)</f>
        <v>69.581411633890582</v>
      </c>
      <c r="P323">
        <f>SUM(P289:P320)</f>
        <v>71.926239220097486</v>
      </c>
      <c r="S323">
        <f>SUM(S289:S320)</f>
        <v>90.086239220097482</v>
      </c>
      <c r="V323">
        <f>SUM(V289:V320)</f>
        <v>101.0862392200975</v>
      </c>
    </row>
    <row r="605" spans="1:1">
      <c r="A605" t="str">
        <f>IF('BATIMENT G1,G2&amp;PKINGS-ELEC 2'!B370="","",'BATIMENT G1,G2&amp;PKINGS-ELEC 2'!B370)</f>
        <v/>
      </c>
    </row>
    <row r="624" spans="1:1">
      <c r="A624" t="str">
        <f>IF('BATIMENT G1,G2&amp;PKINGS-ELEC 2'!B389="","",'BATIMENT G1,G2&amp;PKINGS-ELEC 2'!B389)</f>
        <v/>
      </c>
    </row>
    <row r="625" spans="1:1">
      <c r="A625" t="str">
        <f>IF('BATIMENT G1,G2&amp;PKINGS-ELEC 2'!B390="","",'BATIMENT G1,G2&amp;PKINGS-ELEC 2'!B390)</f>
        <v/>
      </c>
    </row>
    <row r="626" spans="1:1">
      <c r="A626" t="str">
        <f>IF('BATIMENT G1,G2&amp;PKINGS-ELEC 2'!B391="","",'BATIMENT G1,G2&amp;PKINGS-ELEC 2'!B391)</f>
        <v/>
      </c>
    </row>
    <row r="627" spans="1:1">
      <c r="A627" t="str">
        <f>IF('BATIMENT G1,G2&amp;PKINGS-ELEC 2'!B392="","",'BATIMENT G1,G2&amp;PKINGS-ELEC 2'!B392)</f>
        <v/>
      </c>
    </row>
    <row r="628" spans="1:1">
      <c r="A628" t="str">
        <f>IF('BATIMENT G1,G2&amp;PKINGS-ELEC 2'!B393="","",'BATIMENT G1,G2&amp;PKINGS-ELEC 2'!B393)</f>
        <v/>
      </c>
    </row>
    <row r="629" spans="1:1">
      <c r="A629" t="str">
        <f>IF('BATIMENT G1,G2&amp;PKINGS-ELEC 2'!B394="","",'BATIMENT G1,G2&amp;PKINGS-ELEC 2'!B394)</f>
        <v/>
      </c>
    </row>
    <row r="630" spans="1:1">
      <c r="A630" t="str">
        <f>IF('BATIMENT G1,G2&amp;PKINGS-ELEC 2'!B395="","",'BATIMENT G1,G2&amp;PKINGS-ELEC 2'!B395)</f>
        <v/>
      </c>
    </row>
    <row r="631" spans="1:1">
      <c r="A631" t="str">
        <f>IF('BATIMENT G1,G2&amp;PKINGS-ELEC 2'!B396="","",'BATIMENT G1,G2&amp;PKINGS-ELEC 2'!B396)</f>
        <v/>
      </c>
    </row>
    <row r="632" spans="1:1">
      <c r="A632" t="str">
        <f>IF('BATIMENT G1,G2&amp;PKINGS-ELEC 2'!B397="","",'BATIMENT G1,G2&amp;PKINGS-ELEC 2'!B397)</f>
        <v/>
      </c>
    </row>
    <row r="633" spans="1:1">
      <c r="A633" t="str">
        <f>IF('BATIMENT G1,G2&amp;PKINGS-ELEC 2'!B398="","",'BATIMENT G1,G2&amp;PKINGS-ELEC 2'!B398)</f>
        <v/>
      </c>
    </row>
    <row r="634" spans="1:1">
      <c r="A634" t="str">
        <f>IF('BATIMENT G1,G2&amp;PKINGS-ELEC 2'!B399="","",'BATIMENT G1,G2&amp;PKINGS-ELEC 2'!B399)</f>
        <v/>
      </c>
    </row>
    <row r="635" spans="1:1">
      <c r="A635" t="str">
        <f>IF('BATIMENT G1,G2&amp;PKINGS-ELEC 2'!B400="","",'BATIMENT G1,G2&amp;PKINGS-ELEC 2'!B400)</f>
        <v/>
      </c>
    </row>
    <row r="636" spans="1:1">
      <c r="A636" t="str">
        <f>IF('BATIMENT G1,G2&amp;PKINGS-ELEC 2'!B401="","",'BATIMENT G1,G2&amp;PKINGS-ELEC 2'!B401)</f>
        <v/>
      </c>
    </row>
    <row r="637" spans="1:1">
      <c r="A637" t="str">
        <f>IF('BATIMENT G1,G2&amp;PKINGS-ELEC 2'!B402="","",'BATIMENT G1,G2&amp;PKINGS-ELEC 2'!B402)</f>
        <v>- Prise de courant double 2P+T20A au sol G2</v>
      </c>
    </row>
    <row r="638" spans="1:1">
      <c r="A638" t="str">
        <f>IF('BATIMENT G1,G2&amp;PKINGS-ELEC 2'!B403="","",'BATIMENT G1,G2&amp;PKINGS-ELEC 2'!B403)</f>
        <v/>
      </c>
    </row>
    <row r="639" spans="1:1">
      <c r="A639" t="str">
        <f>IF('BATIMENT G1,G2&amp;PKINGS-ELEC 2'!B404="","",'BATIMENT G1,G2&amp;PKINGS-ELEC 2'!B404)</f>
        <v/>
      </c>
    </row>
    <row r="640" spans="1:1">
      <c r="A640" t="str">
        <f>IF('BATIMENT G1,G2&amp;PKINGS-ELEC 2'!B405="","",'BATIMENT G1,G2&amp;PKINGS-ELEC 2'!B405)</f>
        <v/>
      </c>
    </row>
    <row r="641" spans="1:1">
      <c r="A641" t="str">
        <f>IF('BATIMENT G1,G2&amp;PKINGS-ELEC 2'!B406="","",'BATIMENT G1,G2&amp;PKINGS-ELEC 2'!B406)</f>
        <v/>
      </c>
    </row>
    <row r="642" spans="1:1">
      <c r="A642" t="str">
        <f>IF('BATIMENT G1,G2&amp;PKINGS-ELEC 2'!B407="","",'BATIMENT G1,G2&amp;PKINGS-ELEC 2'!B407)</f>
        <v/>
      </c>
    </row>
    <row r="643" spans="1:1">
      <c r="A643" t="str">
        <f>IF('BATIMENT G1,G2&amp;PKINGS-ELEC 2'!B408="","",'BATIMENT G1,G2&amp;PKINGS-ELEC 2'!B408)</f>
        <v/>
      </c>
    </row>
    <row r="644" spans="1:1">
      <c r="A644" t="str">
        <f>IF('BATIMENT G1,G2&amp;PKINGS-ELEC 2'!B409="","",'BATIMENT G1,G2&amp;PKINGS-ELEC 2'!B409)</f>
        <v/>
      </c>
    </row>
    <row r="645" spans="1:1">
      <c r="A645" t="str">
        <f>IF('BATIMENT G1,G2&amp;PKINGS-ELEC 2'!B410="","",'BATIMENT G1,G2&amp;PKINGS-ELEC 2'!B410)</f>
        <v/>
      </c>
    </row>
    <row r="646" spans="1:1">
      <c r="A646" t="str">
        <f>IF('BATIMENT G1,G2&amp;PKINGS-ELEC 2'!B411="","",'BATIMENT G1,G2&amp;PKINGS-ELEC 2'!B411)</f>
        <v/>
      </c>
    </row>
    <row r="647" spans="1:1">
      <c r="A647" t="str">
        <f>IF('BATIMENT G1,G2&amp;PKINGS-ELEC 2'!B412="","",'BATIMENT G1,G2&amp;PKINGS-ELEC 2'!B412)</f>
        <v/>
      </c>
    </row>
    <row r="648" spans="1:1">
      <c r="A648" t="str">
        <f>IF('BATIMENT G1,G2&amp;PKINGS-ELEC 2'!B413="","",'BATIMENT G1,G2&amp;PKINGS-ELEC 2'!B413)</f>
        <v/>
      </c>
    </row>
    <row r="649" spans="1:1">
      <c r="A649" t="str">
        <f>IF('BATIMENT G1,G2&amp;PKINGS-ELEC 2'!B414="","",'BATIMENT G1,G2&amp;PKINGS-ELEC 2'!B414)</f>
        <v/>
      </c>
    </row>
    <row r="650" spans="1:1">
      <c r="A650" t="str">
        <f>IF('BATIMENT G1,G2&amp;PKINGS-ELEC 2'!B415="","",'BATIMENT G1,G2&amp;PKINGS-ELEC 2'!B415)</f>
        <v/>
      </c>
    </row>
    <row r="651" spans="1:1">
      <c r="A651" t="str">
        <f>IF('BATIMENT G1,G2&amp;PKINGS-ELEC 2'!B416="","",'BATIMENT G1,G2&amp;PKINGS-ELEC 2'!B416)</f>
        <v/>
      </c>
    </row>
    <row r="652" spans="1:1">
      <c r="A652" t="str">
        <f>IF('BATIMENT G1,G2&amp;PKINGS-ELEC 2'!B417="","",'BATIMENT G1,G2&amp;PKINGS-ELEC 2'!B417)</f>
        <v/>
      </c>
    </row>
    <row r="653" spans="1:1">
      <c r="A653" t="str">
        <f>IF('BATIMENT G1,G2&amp;PKINGS-ELEC 2'!B418="","",'BATIMENT G1,G2&amp;PKINGS-ELEC 2'!B418)</f>
        <v/>
      </c>
    </row>
    <row r="654" spans="1:1">
      <c r="A654" t="str">
        <f>IF('BATIMENT G1,G2&amp;PKINGS-ELEC 2'!B419="","",'BATIMENT G1,G2&amp;PKINGS-ELEC 2'!B419)</f>
        <v/>
      </c>
    </row>
    <row r="655" spans="1:1">
      <c r="A655" t="str">
        <f>IF('BATIMENT G1,G2&amp;PKINGS-ELEC 2'!B420="","",'BATIMENT G1,G2&amp;PKINGS-ELEC 2'!B420)</f>
        <v/>
      </c>
    </row>
    <row r="656" spans="1:1">
      <c r="A656" t="str">
        <f>IF('BATIMENT G1,G2&amp;PKINGS-ELEC 2'!B421="","",'BATIMENT G1,G2&amp;PKINGS-ELEC 2'!B421)</f>
        <v/>
      </c>
    </row>
    <row r="657" spans="1:1">
      <c r="A657" t="str">
        <f>IF('BATIMENT G1,G2&amp;PKINGS-ELEC 2'!B422="","",'BATIMENT G1,G2&amp;PKINGS-ELEC 2'!B422)</f>
        <v/>
      </c>
    </row>
    <row r="658" spans="1:1">
      <c r="A658" t="str">
        <f>IF('BATIMENT G1,G2&amp;PKINGS-ELEC 2'!B423="","",'BATIMENT G1,G2&amp;PKINGS-ELEC 2'!B423)</f>
        <v/>
      </c>
    </row>
    <row r="659" spans="1:1">
      <c r="A659" t="str">
        <f>IF('BATIMENT G1,G2&amp;PKINGS-ELEC 2'!B424="","",'BATIMENT G1,G2&amp;PKINGS-ELEC 2'!B424)</f>
        <v/>
      </c>
    </row>
    <row r="660" spans="1:1">
      <c r="A660" t="str">
        <f>IF('BATIMENT G1,G2&amp;PKINGS-ELEC 2'!B425="","",'BATIMENT G1,G2&amp;PKINGS-ELEC 2'!B425)</f>
        <v/>
      </c>
    </row>
    <row r="661" spans="1:1">
      <c r="A661" t="str">
        <f>IF('BATIMENT G1,G2&amp;PKINGS-ELEC 2'!B426="","",'BATIMENT G1,G2&amp;PKINGS-ELEC 2'!B426)</f>
        <v/>
      </c>
    </row>
    <row r="662" spans="1:1">
      <c r="A662" t="str">
        <f>IF('BATIMENT G1,G2&amp;PKINGS-ELEC 2'!B427="","",'BATIMENT G1,G2&amp;PKINGS-ELEC 2'!B427)</f>
        <v/>
      </c>
    </row>
    <row r="663" spans="1:1">
      <c r="A663" t="str">
        <f>IF('BATIMENT G1,G2&amp;PKINGS-ELEC 2'!B428="","",'BATIMENT G1,G2&amp;PKINGS-ELEC 2'!B428)</f>
        <v/>
      </c>
    </row>
    <row r="664" spans="1:1">
      <c r="A664" t="str">
        <f>IF('BATIMENT G1,G2&amp;PKINGS-ELEC 2'!B429="","",'BATIMENT G1,G2&amp;PKINGS-ELEC 2'!B429)</f>
        <v/>
      </c>
    </row>
    <row r="665" spans="1:1">
      <c r="A665" t="str">
        <f>IF('BATIMENT G1,G2&amp;PKINGS-ELEC 2'!B430="","",'BATIMENT G1,G2&amp;PKINGS-ELEC 2'!B430)</f>
        <v/>
      </c>
    </row>
    <row r="666" spans="1:1">
      <c r="A666" t="str">
        <f>IF('BATIMENT G1,G2&amp;PKINGS-ELEC 2'!B431="","",'BATIMENT G1,G2&amp;PKINGS-ELEC 2'!B431)</f>
        <v/>
      </c>
    </row>
    <row r="667" spans="1:1">
      <c r="A667" t="str">
        <f>IF('BATIMENT G1,G2&amp;PKINGS-ELEC 2'!B432="","",'BATIMENT G1,G2&amp;PKINGS-ELEC 2'!B432)</f>
        <v/>
      </c>
    </row>
    <row r="668" spans="1:1">
      <c r="A668" t="str">
        <f>IF('BATIMENT G1,G2&amp;PKINGS-ELEC 2'!B433="","",'BATIMENT G1,G2&amp;PKINGS-ELEC 2'!B433)</f>
        <v/>
      </c>
    </row>
  </sheetData>
  <mergeCells count="26">
    <mergeCell ref="R253:T253"/>
    <mergeCell ref="V253:W253"/>
    <mergeCell ref="X253:Z253"/>
    <mergeCell ref="U286:W286"/>
    <mergeCell ref="F286:H286"/>
    <mergeCell ref="I286:K286"/>
    <mergeCell ref="L286:N286"/>
    <mergeCell ref="O286:Q286"/>
    <mergeCell ref="R286:T286"/>
    <mergeCell ref="X286:Z286"/>
    <mergeCell ref="D253:E253"/>
    <mergeCell ref="F253:H253"/>
    <mergeCell ref="J253:K253"/>
    <mergeCell ref="L253:N253"/>
    <mergeCell ref="P253:Q253"/>
    <mergeCell ref="AA286:AC286"/>
    <mergeCell ref="AD286:AF286"/>
    <mergeCell ref="A255:A257"/>
    <mergeCell ref="A274:A276"/>
    <mergeCell ref="C255:N255"/>
    <mergeCell ref="C256:H256"/>
    <mergeCell ref="I256:N256"/>
    <mergeCell ref="B255:B257"/>
    <mergeCell ref="O255:Z255"/>
    <mergeCell ref="O256:T256"/>
    <mergeCell ref="U256:Z25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74"/>
  <sheetViews>
    <sheetView view="pageBreakPreview" topLeftCell="A10" zoomScaleNormal="100" zoomScaleSheetLayoutView="100" zoomScalePageLayoutView="70" workbookViewId="0">
      <selection activeCell="H27" sqref="H27"/>
    </sheetView>
  </sheetViews>
  <sheetFormatPr baseColWidth="10" defaultRowHeight="12.5"/>
  <cols>
    <col min="1" max="1" width="5.26953125" customWidth="1"/>
    <col min="5" max="5" width="6.54296875" bestFit="1" customWidth="1"/>
    <col min="7" max="7" width="13.7265625" customWidth="1"/>
    <col min="8" max="8" width="9.54296875" customWidth="1"/>
    <col min="9" max="9" width="8.1796875" customWidth="1"/>
    <col min="10" max="10" width="17.26953125" customWidth="1"/>
  </cols>
  <sheetData>
    <row r="2" spans="1:8">
      <c r="H2">
        <v>26</v>
      </c>
    </row>
    <row r="11" spans="1:8">
      <c r="A11" s="28"/>
      <c r="B11" s="28"/>
      <c r="C11" s="28"/>
      <c r="D11" s="28"/>
      <c r="E11" s="28"/>
      <c r="F11" s="28"/>
      <c r="G11" s="28"/>
      <c r="H11" s="28"/>
    </row>
    <row r="12" spans="1:8">
      <c r="A12" s="28"/>
      <c r="B12" s="28"/>
      <c r="C12" s="28"/>
      <c r="D12" s="28"/>
      <c r="E12" s="28"/>
      <c r="F12" s="28"/>
      <c r="G12" s="28"/>
      <c r="H12" s="28"/>
    </row>
    <row r="13" spans="1:8" ht="14">
      <c r="A13" s="28"/>
      <c r="B13" s="319" t="s">
        <v>6</v>
      </c>
      <c r="C13" s="319"/>
      <c r="D13" s="319"/>
      <c r="E13" s="319"/>
      <c r="F13" s="319"/>
      <c r="G13" s="319"/>
      <c r="H13" s="319"/>
    </row>
    <row r="14" spans="1:8">
      <c r="A14" s="28"/>
      <c r="B14" s="28"/>
      <c r="C14" s="28"/>
      <c r="D14" s="28"/>
      <c r="E14" s="28"/>
      <c r="F14" s="28"/>
      <c r="G14" s="28"/>
      <c r="H14" s="28"/>
    </row>
    <row r="15" spans="1:8">
      <c r="A15" s="28"/>
      <c r="B15" s="28"/>
      <c r="C15" s="28"/>
      <c r="D15" s="28"/>
      <c r="E15" s="28"/>
      <c r="F15" s="28"/>
      <c r="G15" s="28"/>
      <c r="H15" s="28"/>
    </row>
    <row r="16" spans="1:8" ht="67.5" customHeight="1">
      <c r="A16" s="28"/>
      <c r="B16" s="317" t="s">
        <v>7</v>
      </c>
      <c r="C16" s="317"/>
      <c r="D16" s="317"/>
      <c r="E16" s="317"/>
      <c r="F16" s="317"/>
      <c r="G16" s="317"/>
      <c r="H16" s="317"/>
    </row>
    <row r="17" spans="1:10">
      <c r="A17" s="28"/>
      <c r="B17" s="28"/>
      <c r="C17" s="28"/>
      <c r="D17" s="28"/>
      <c r="E17" s="28"/>
      <c r="F17" s="28"/>
      <c r="G17" s="28"/>
      <c r="H17" s="28"/>
    </row>
    <row r="18" spans="1:10">
      <c r="A18" s="28"/>
      <c r="B18" s="28"/>
      <c r="C18" s="28"/>
      <c r="D18" s="28"/>
      <c r="E18" s="28"/>
      <c r="F18" s="28"/>
      <c r="G18" s="28"/>
      <c r="H18" s="28"/>
    </row>
    <row r="19" spans="1:10" ht="54" customHeight="1">
      <c r="A19" s="28"/>
      <c r="B19" s="317" t="s">
        <v>8</v>
      </c>
      <c r="C19" s="317"/>
      <c r="D19" s="317"/>
      <c r="E19" s="317"/>
      <c r="F19" s="317"/>
      <c r="G19" s="317"/>
      <c r="H19" s="317"/>
    </row>
    <row r="20" spans="1:10">
      <c r="A20" s="28"/>
      <c r="B20" s="28"/>
      <c r="C20" s="28"/>
      <c r="D20" s="28"/>
      <c r="E20" s="28"/>
      <c r="F20" s="28"/>
      <c r="G20" s="28"/>
      <c r="H20" s="28"/>
    </row>
    <row r="21" spans="1:10">
      <c r="A21" s="28"/>
      <c r="B21" s="28"/>
      <c r="C21" s="28"/>
      <c r="D21" s="28"/>
      <c r="E21" s="28"/>
      <c r="F21" s="28"/>
      <c r="G21" s="28"/>
      <c r="H21" s="28"/>
    </row>
    <row r="22" spans="1:10" ht="146.25" customHeight="1">
      <c r="A22" s="28"/>
      <c r="B22" s="317" t="s">
        <v>9</v>
      </c>
      <c r="C22" s="317"/>
      <c r="D22" s="317"/>
      <c r="E22" s="317"/>
      <c r="F22" s="317"/>
      <c r="G22" s="317"/>
      <c r="H22" s="317"/>
    </row>
    <row r="23" spans="1:10">
      <c r="A23" s="28"/>
      <c r="B23" s="28"/>
      <c r="C23" s="28"/>
      <c r="D23" s="28"/>
      <c r="E23" s="28"/>
      <c r="F23" s="28"/>
      <c r="G23" s="28"/>
      <c r="H23" s="28"/>
    </row>
    <row r="24" spans="1:10" ht="14">
      <c r="A24" s="28"/>
      <c r="B24" s="28"/>
      <c r="C24" s="28"/>
      <c r="D24" s="28"/>
      <c r="E24" s="163" t="str">
        <f>IF(D24="","",(((I24*$J$2)+(J24*$H$2*$H$3))*$J$3)/D24)</f>
        <v/>
      </c>
      <c r="F24" s="164" t="str">
        <f>IF(D24="","",D24*E24)</f>
        <v/>
      </c>
      <c r="G24" s="28"/>
      <c r="H24" s="28"/>
      <c r="I24" t="str">
        <f>IF(D24="","",G24*D24)</f>
        <v/>
      </c>
      <c r="J24" t="str">
        <f>IF(D24="","",D24*H24)</f>
        <v/>
      </c>
    </row>
    <row r="25" spans="1:10" ht="28.5" customHeight="1">
      <c r="A25" s="28"/>
      <c r="B25" s="318" t="s">
        <v>10</v>
      </c>
      <c r="C25" s="318"/>
      <c r="D25" s="318"/>
      <c r="E25" s="318"/>
      <c r="F25" s="318"/>
      <c r="G25" s="318"/>
      <c r="H25" s="318"/>
    </row>
    <row r="26" spans="1:10">
      <c r="A26" s="28"/>
      <c r="B26" s="28"/>
      <c r="C26" s="28"/>
      <c r="D26" s="28"/>
      <c r="E26" s="28"/>
      <c r="F26" s="28"/>
      <c r="G26" s="28"/>
      <c r="H26" s="28"/>
    </row>
    <row r="27" spans="1:10">
      <c r="A27" s="28"/>
      <c r="B27" s="28"/>
      <c r="C27" s="28"/>
      <c r="D27" s="28"/>
      <c r="E27" s="28"/>
      <c r="F27" s="28"/>
      <c r="G27" s="28"/>
      <c r="H27" s="28"/>
    </row>
    <row r="28" spans="1:10" ht="87" customHeight="1">
      <c r="A28" s="28"/>
      <c r="B28" s="317" t="s">
        <v>11</v>
      </c>
      <c r="C28" s="317"/>
      <c r="D28" s="317"/>
      <c r="E28" s="317"/>
      <c r="F28" s="317"/>
      <c r="G28" s="317"/>
      <c r="H28" s="317"/>
    </row>
    <row r="66" spans="15:24" ht="14">
      <c r="O66" s="15"/>
    </row>
    <row r="74" spans="15:24" ht="14">
      <c r="X74" s="32"/>
    </row>
  </sheetData>
  <mergeCells count="6">
    <mergeCell ref="B28:H28"/>
    <mergeCell ref="B25:H25"/>
    <mergeCell ref="B13:H13"/>
    <mergeCell ref="B16:H16"/>
    <mergeCell ref="B19:H19"/>
    <mergeCell ref="B22:H22"/>
  </mergeCells>
  <phoneticPr fontId="0" type="noConversion"/>
  <printOptions horizontalCentered="1" verticalCentered="1"/>
  <pageMargins left="0.39370078740157483" right="0.39370078740157483" top="0.86614173228346458" bottom="0.74803149606299213" header="0.39370078740157483" footer="0.31496062992125984"/>
  <pageSetup paperSize="9" orientation="portrait" r:id="rId1"/>
  <headerFooter alignWithMargins="0">
    <oddHeader xml:space="preserve">&amp;L&amp;"Arial,Gras"&amp;9LOT G - LA CHAPELLE INTERNATIONAL 
&amp;"Arial,Normal"CCTP-13 / Lot ELECTRICITE
DCE MAI 2016 &amp;"Arial,Gras"
</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6"/>
  <sheetViews>
    <sheetView showZeros="0" view="pageBreakPreview" zoomScaleNormal="85" zoomScaleSheetLayoutView="100" workbookViewId="0">
      <pane ySplit="15" topLeftCell="A16" activePane="bottomLeft" state="frozen"/>
      <selection pane="bottomLeft" activeCell="A16" sqref="A16:XFD16"/>
    </sheetView>
  </sheetViews>
  <sheetFormatPr baseColWidth="10" defaultColWidth="11.453125" defaultRowHeight="12.5"/>
  <cols>
    <col min="1" max="1" width="6.54296875" style="171" customWidth="1"/>
    <col min="2" max="2" width="48.26953125" style="172" customWidth="1"/>
    <col min="3" max="3" width="7.7265625" style="171" customWidth="1"/>
    <col min="4" max="4" width="8.81640625" style="250" customWidth="1"/>
    <col min="5" max="5" width="9.54296875" style="173" bestFit="1" customWidth="1"/>
    <col min="6" max="7" width="11.1796875" style="173" customWidth="1"/>
    <col min="8" max="8" width="10" style="172" bestFit="1" customWidth="1"/>
    <col min="9" max="9" width="9.54296875" style="172" customWidth="1"/>
    <col min="10" max="10" width="11.1796875" style="172" bestFit="1" customWidth="1"/>
    <col min="11" max="11" width="11.54296875" style="172" bestFit="1" customWidth="1"/>
    <col min="12" max="16384" width="11.453125" style="172"/>
  </cols>
  <sheetData>
    <row r="1" spans="1:11" ht="13">
      <c r="H1" s="142"/>
      <c r="I1" s="143"/>
      <c r="J1" s="144"/>
      <c r="K1" s="145"/>
    </row>
    <row r="2" spans="1:11" ht="13">
      <c r="H2" s="146" t="s">
        <v>470</v>
      </c>
      <c r="I2" s="147">
        <v>26</v>
      </c>
      <c r="J2" s="148" t="s">
        <v>471</v>
      </c>
      <c r="K2" s="147">
        <v>1.25</v>
      </c>
    </row>
    <row r="3" spans="1:11" ht="13">
      <c r="H3" s="146" t="s">
        <v>472</v>
      </c>
      <c r="I3" s="149">
        <v>1.3</v>
      </c>
      <c r="J3" s="150" t="s">
        <v>473</v>
      </c>
      <c r="K3" s="149">
        <v>1</v>
      </c>
    </row>
    <row r="4" spans="1:11" ht="14">
      <c r="H4" s="146"/>
      <c r="I4" s="151" t="s">
        <v>474</v>
      </c>
      <c r="J4" s="151"/>
      <c r="K4" s="151">
        <f>SUM(J14:J268)</f>
        <v>0</v>
      </c>
    </row>
    <row r="5" spans="1:11" ht="14">
      <c r="H5" s="151"/>
      <c r="I5" s="151" t="s">
        <v>475</v>
      </c>
      <c r="J5" s="151"/>
      <c r="K5" s="151">
        <f>SUM(K14:K268)</f>
        <v>0</v>
      </c>
    </row>
    <row r="6" spans="1:11" ht="14">
      <c r="H6" s="151"/>
      <c r="I6" s="151" t="s">
        <v>476</v>
      </c>
      <c r="J6" s="151"/>
      <c r="K6" s="151">
        <f>K4+K5*$I$2</f>
        <v>0</v>
      </c>
    </row>
    <row r="7" spans="1:11" ht="14">
      <c r="H7" s="151"/>
      <c r="I7" s="151" t="s">
        <v>477</v>
      </c>
      <c r="J7" s="151"/>
      <c r="K7" s="151" t="e">
        <f>#REF!</f>
        <v>#REF!</v>
      </c>
    </row>
    <row r="8" spans="1:11" ht="14">
      <c r="H8" s="151"/>
      <c r="I8" s="151"/>
      <c r="J8" s="151"/>
      <c r="K8" s="151"/>
    </row>
    <row r="9" spans="1:11">
      <c r="H9" s="142"/>
      <c r="I9" s="142"/>
      <c r="J9" s="142"/>
      <c r="K9" s="142"/>
    </row>
    <row r="10" spans="1:11" ht="13" thickBot="1">
      <c r="H10" s="142"/>
      <c r="I10" s="142"/>
      <c r="J10" s="142"/>
      <c r="K10" s="142"/>
    </row>
    <row r="11" spans="1:11" ht="15.5">
      <c r="A11" s="49" t="s">
        <v>127</v>
      </c>
      <c r="B11" s="174"/>
      <c r="C11" s="175"/>
      <c r="D11" s="251"/>
      <c r="E11" s="176"/>
      <c r="F11" s="176"/>
      <c r="G11" s="176"/>
      <c r="H11" s="152"/>
      <c r="I11" s="152"/>
      <c r="J11" s="153"/>
      <c r="K11" s="154"/>
    </row>
    <row r="12" spans="1:11" ht="15.5">
      <c r="A12" s="49" t="s">
        <v>455</v>
      </c>
      <c r="B12" s="174"/>
      <c r="C12" s="175"/>
      <c r="D12" s="251"/>
      <c r="E12" s="176"/>
      <c r="F12" s="176"/>
      <c r="G12" s="176"/>
      <c r="H12" s="155" t="s">
        <v>478</v>
      </c>
      <c r="I12" s="155" t="s">
        <v>479</v>
      </c>
      <c r="J12" s="156" t="s">
        <v>480</v>
      </c>
      <c r="K12" s="157" t="s">
        <v>481</v>
      </c>
    </row>
    <row r="13" spans="1:11" ht="16" thickBot="1">
      <c r="A13" s="49"/>
      <c r="B13" s="177"/>
      <c r="H13" s="158"/>
      <c r="I13" s="158"/>
      <c r="J13" s="159"/>
      <c r="K13" s="160"/>
    </row>
    <row r="14" spans="1:11" s="178" customFormat="1" ht="14">
      <c r="A14" s="324" t="s">
        <v>104</v>
      </c>
      <c r="B14" s="322" t="s">
        <v>105</v>
      </c>
      <c r="C14" s="327" t="s">
        <v>0</v>
      </c>
      <c r="D14" s="331" t="s">
        <v>153</v>
      </c>
      <c r="E14" s="329" t="s">
        <v>128</v>
      </c>
      <c r="F14" s="320" t="s">
        <v>129</v>
      </c>
      <c r="G14" s="301"/>
      <c r="H14" s="161"/>
      <c r="I14" s="161"/>
      <c r="J14" s="162"/>
      <c r="K14" s="162"/>
    </row>
    <row r="15" spans="1:11" s="178" customFormat="1" ht="14">
      <c r="A15" s="325"/>
      <c r="B15" s="323"/>
      <c r="C15" s="328"/>
      <c r="D15" s="332"/>
      <c r="E15" s="330"/>
      <c r="F15" s="321"/>
      <c r="G15" s="301" t="s">
        <v>569</v>
      </c>
      <c r="H15" s="161"/>
      <c r="I15" s="161"/>
      <c r="J15" s="162"/>
      <c r="K15" s="162"/>
    </row>
    <row r="16" spans="1:11" ht="14">
      <c r="A16" s="179"/>
      <c r="B16" s="180" t="s">
        <v>2</v>
      </c>
      <c r="C16" s="181"/>
      <c r="D16" s="252"/>
      <c r="E16" s="58"/>
      <c r="F16" s="182"/>
      <c r="G16" s="303">
        <v>1</v>
      </c>
      <c r="H16" s="161"/>
      <c r="I16" s="161"/>
      <c r="J16" s="162"/>
      <c r="K16" s="162"/>
    </row>
    <row r="17" spans="1:17" ht="14">
      <c r="A17" s="183"/>
      <c r="B17" s="180"/>
      <c r="C17" s="184"/>
      <c r="D17" s="252"/>
      <c r="E17" s="58"/>
      <c r="F17" s="182"/>
      <c r="G17" s="303">
        <f>G16+1</f>
        <v>2</v>
      </c>
      <c r="H17" s="161"/>
      <c r="I17" s="161"/>
      <c r="J17" s="162"/>
      <c r="K17" s="162"/>
    </row>
    <row r="18" spans="1:17" ht="14">
      <c r="A18" s="183"/>
      <c r="B18" s="185" t="s">
        <v>343</v>
      </c>
      <c r="C18" s="184"/>
      <c r="D18" s="252"/>
      <c r="E18" s="58"/>
      <c r="F18" s="182"/>
      <c r="G18" s="303">
        <f t="shared" ref="G18:G81" si="0">G17+1</f>
        <v>3</v>
      </c>
      <c r="H18" s="161"/>
      <c r="I18" s="161"/>
      <c r="J18" s="162"/>
      <c r="K18" s="162"/>
    </row>
    <row r="19" spans="1:17" ht="14">
      <c r="A19" s="2"/>
      <c r="B19" s="186"/>
      <c r="C19" s="187"/>
      <c r="D19" s="253"/>
      <c r="E19" s="13"/>
      <c r="F19" s="182"/>
      <c r="G19" s="303">
        <f t="shared" si="0"/>
        <v>4</v>
      </c>
      <c r="H19" s="161"/>
      <c r="I19" s="161"/>
      <c r="J19" s="162"/>
      <c r="K19" s="162"/>
    </row>
    <row r="20" spans="1:17" ht="14">
      <c r="A20" s="2">
        <v>2</v>
      </c>
      <c r="B20" s="188" t="s">
        <v>61</v>
      </c>
      <c r="C20" s="189"/>
      <c r="D20" s="253"/>
      <c r="E20" s="13"/>
      <c r="F20" s="182"/>
      <c r="G20" s="303">
        <f t="shared" si="0"/>
        <v>5</v>
      </c>
      <c r="H20" s="161"/>
      <c r="I20" s="161"/>
      <c r="J20" s="162"/>
      <c r="K20" s="162"/>
    </row>
    <row r="21" spans="1:17" ht="14">
      <c r="A21" s="2"/>
      <c r="B21" s="188"/>
      <c r="C21" s="189"/>
      <c r="D21" s="253"/>
      <c r="E21" s="13"/>
      <c r="F21" s="182"/>
      <c r="G21" s="303">
        <f t="shared" si="0"/>
        <v>6</v>
      </c>
      <c r="H21" s="161"/>
      <c r="I21" s="161"/>
      <c r="J21" s="162"/>
      <c r="K21" s="162"/>
    </row>
    <row r="22" spans="1:17" ht="26">
      <c r="A22" s="2"/>
      <c r="B22" s="191" t="s">
        <v>154</v>
      </c>
      <c r="C22" s="189"/>
      <c r="D22" s="253"/>
      <c r="E22" s="13"/>
      <c r="F22" s="182"/>
      <c r="G22" s="303">
        <f t="shared" si="0"/>
        <v>7</v>
      </c>
      <c r="H22" s="161"/>
      <c r="I22" s="161"/>
      <c r="J22" s="162"/>
      <c r="K22" s="162"/>
    </row>
    <row r="23" spans="1:17" ht="14">
      <c r="A23" s="2"/>
      <c r="B23" s="190"/>
      <c r="C23" s="189"/>
      <c r="D23" s="253"/>
      <c r="E23" s="13"/>
      <c r="F23" s="182"/>
      <c r="G23" s="303">
        <f t="shared" si="0"/>
        <v>8</v>
      </c>
      <c r="H23" s="161"/>
      <c r="I23" s="161"/>
      <c r="J23" s="162" t="str">
        <f t="shared" ref="J23" si="1">IF(B23="","",H23*B23)</f>
        <v/>
      </c>
      <c r="K23" s="162" t="str">
        <f t="shared" ref="K23" si="2">IF(B23="","",B23*I23)</f>
        <v/>
      </c>
    </row>
    <row r="24" spans="1:17" ht="14">
      <c r="A24" s="2" t="s">
        <v>3</v>
      </c>
      <c r="B24" s="192" t="s">
        <v>122</v>
      </c>
      <c r="C24" s="189"/>
      <c r="D24" s="252"/>
      <c r="E24" s="163" t="str">
        <f>IF(D24="","",(((J24*$K$2)+(K24*$I$2*$I$3))*$K$3)/D24)</f>
        <v/>
      </c>
      <c r="F24" s="164" t="str">
        <f>IF(D24="","",D24*E24)</f>
        <v/>
      </c>
      <c r="G24" s="303">
        <f t="shared" si="0"/>
        <v>9</v>
      </c>
      <c r="H24" s="161"/>
      <c r="I24" s="161"/>
      <c r="J24" s="162" t="str">
        <f>IF(D24="","",H24*D24)</f>
        <v/>
      </c>
      <c r="K24" s="162" t="str">
        <f>IF(D24="","",D24*I24)</f>
        <v/>
      </c>
    </row>
    <row r="25" spans="1:17" ht="14">
      <c r="A25" s="2"/>
      <c r="B25" s="194"/>
      <c r="C25" s="189"/>
      <c r="D25" s="252"/>
      <c r="E25" s="163" t="str">
        <f t="shared" ref="E25:E88" si="3">IF(D25="","",(((J25*$K$2)+(K25*$I$2*$I$3))*$K$3)/D25)</f>
        <v/>
      </c>
      <c r="F25" s="164" t="str">
        <f t="shared" ref="F25:F88" si="4">IF(D25="","",D25*E25)</f>
        <v/>
      </c>
      <c r="G25" s="303">
        <f t="shared" si="0"/>
        <v>10</v>
      </c>
      <c r="H25" s="161"/>
      <c r="I25" s="161"/>
      <c r="J25" s="162" t="str">
        <f t="shared" ref="J25:J88" si="5">IF(D25="","",H25*D25)</f>
        <v/>
      </c>
      <c r="K25" s="162" t="str">
        <f t="shared" ref="K25:K88" si="6">IF(D25="","",D25*I25)</f>
        <v/>
      </c>
    </row>
    <row r="26" spans="1:17" s="198" customFormat="1" ht="25">
      <c r="A26" s="195"/>
      <c r="B26" s="196" t="s">
        <v>136</v>
      </c>
      <c r="C26" s="197" t="s">
        <v>12</v>
      </c>
      <c r="D26" s="254" t="s">
        <v>492</v>
      </c>
      <c r="E26" s="163"/>
      <c r="F26" s="164"/>
      <c r="G26" s="303">
        <f t="shared" si="0"/>
        <v>11</v>
      </c>
      <c r="H26" s="161"/>
      <c r="I26" s="161"/>
      <c r="J26" s="162">
        <f t="shared" si="5"/>
        <v>0</v>
      </c>
      <c r="K26" s="162">
        <f t="shared" si="6"/>
        <v>0</v>
      </c>
    </row>
    <row r="27" spans="1:17" s="198" customFormat="1" ht="25">
      <c r="A27" s="195"/>
      <c r="B27" s="196" t="s">
        <v>137</v>
      </c>
      <c r="C27" s="197" t="s">
        <v>33</v>
      </c>
      <c r="D27" s="252"/>
      <c r="E27" s="163" t="str">
        <f t="shared" si="3"/>
        <v/>
      </c>
      <c r="F27" s="164" t="str">
        <f t="shared" si="4"/>
        <v/>
      </c>
      <c r="G27" s="303">
        <f t="shared" si="0"/>
        <v>12</v>
      </c>
      <c r="H27" s="161"/>
      <c r="I27" s="161"/>
      <c r="J27" s="162" t="str">
        <f t="shared" si="5"/>
        <v/>
      </c>
      <c r="K27" s="162" t="str">
        <f t="shared" si="6"/>
        <v/>
      </c>
    </row>
    <row r="28" spans="1:17" s="198" customFormat="1" ht="14">
      <c r="A28" s="195"/>
      <c r="B28" s="199" t="s">
        <v>123</v>
      </c>
      <c r="C28" s="197" t="s">
        <v>12</v>
      </c>
      <c r="D28" s="254" t="s">
        <v>492</v>
      </c>
      <c r="E28" s="163"/>
      <c r="F28" s="164"/>
      <c r="G28" s="303">
        <f t="shared" si="0"/>
        <v>13</v>
      </c>
      <c r="H28" s="161"/>
      <c r="I28" s="161"/>
      <c r="J28" s="162">
        <f t="shared" si="5"/>
        <v>0</v>
      </c>
      <c r="K28" s="162">
        <f t="shared" si="6"/>
        <v>0</v>
      </c>
    </row>
    <row r="29" spans="1:17" ht="14">
      <c r="A29" s="2"/>
      <c r="B29" s="188"/>
      <c r="C29" s="189"/>
      <c r="D29" s="252"/>
      <c r="E29" s="163" t="str">
        <f t="shared" si="3"/>
        <v/>
      </c>
      <c r="F29" s="164" t="str">
        <f t="shared" si="4"/>
        <v/>
      </c>
      <c r="G29" s="303">
        <f t="shared" si="0"/>
        <v>14</v>
      </c>
      <c r="H29" s="161"/>
      <c r="I29" s="161"/>
      <c r="J29" s="162" t="str">
        <f t="shared" si="5"/>
        <v/>
      </c>
      <c r="K29" s="162" t="str">
        <f t="shared" si="6"/>
        <v/>
      </c>
    </row>
    <row r="30" spans="1:17" ht="37.5">
      <c r="A30" s="2"/>
      <c r="B30" s="200" t="s">
        <v>219</v>
      </c>
      <c r="C30" s="197" t="s">
        <v>12</v>
      </c>
      <c r="D30" s="254">
        <f>QTE!C271</f>
        <v>105</v>
      </c>
      <c r="E30" s="163">
        <f t="shared" si="3"/>
        <v>0</v>
      </c>
      <c r="F30" s="164">
        <f t="shared" si="4"/>
        <v>0</v>
      </c>
      <c r="G30" s="303">
        <f t="shared" si="0"/>
        <v>15</v>
      </c>
      <c r="H30" s="161"/>
      <c r="I30" s="161"/>
      <c r="J30" s="162">
        <f t="shared" si="5"/>
        <v>0</v>
      </c>
      <c r="K30" s="162">
        <f t="shared" si="6"/>
        <v>0</v>
      </c>
      <c r="Q30" s="201"/>
    </row>
    <row r="31" spans="1:17" ht="14">
      <c r="A31" s="2"/>
      <c r="B31" s="200"/>
      <c r="C31" s="197"/>
      <c r="D31" s="252"/>
      <c r="E31" s="163" t="str">
        <f t="shared" si="3"/>
        <v/>
      </c>
      <c r="F31" s="164" t="str">
        <f t="shared" si="4"/>
        <v/>
      </c>
      <c r="G31" s="303">
        <f t="shared" si="0"/>
        <v>16</v>
      </c>
      <c r="H31" s="161"/>
      <c r="I31" s="161"/>
      <c r="J31" s="162" t="str">
        <f t="shared" si="5"/>
        <v/>
      </c>
      <c r="K31" s="162" t="str">
        <f t="shared" si="6"/>
        <v/>
      </c>
      <c r="Q31" s="201"/>
    </row>
    <row r="32" spans="1:17" ht="37.5">
      <c r="A32" s="2"/>
      <c r="B32" s="200" t="s">
        <v>218</v>
      </c>
      <c r="C32" s="197" t="s">
        <v>12</v>
      </c>
      <c r="D32" s="252">
        <v>2</v>
      </c>
      <c r="E32" s="163">
        <f t="shared" si="3"/>
        <v>0</v>
      </c>
      <c r="F32" s="164">
        <f t="shared" si="4"/>
        <v>0</v>
      </c>
      <c r="G32" s="303">
        <f t="shared" si="0"/>
        <v>17</v>
      </c>
      <c r="H32" s="161"/>
      <c r="I32" s="161"/>
      <c r="J32" s="162">
        <f t="shared" si="5"/>
        <v>0</v>
      </c>
      <c r="K32" s="162">
        <f t="shared" si="6"/>
        <v>0</v>
      </c>
      <c r="Q32" s="201"/>
    </row>
    <row r="33" spans="1:17" ht="14">
      <c r="A33" s="2"/>
      <c r="B33" s="200"/>
      <c r="C33" s="197"/>
      <c r="D33" s="252"/>
      <c r="E33" s="163" t="str">
        <f t="shared" si="3"/>
        <v/>
      </c>
      <c r="F33" s="164" t="str">
        <f t="shared" si="4"/>
        <v/>
      </c>
      <c r="G33" s="303">
        <f t="shared" si="0"/>
        <v>18</v>
      </c>
      <c r="H33" s="161"/>
      <c r="I33" s="161"/>
      <c r="J33" s="162" t="str">
        <f t="shared" si="5"/>
        <v/>
      </c>
      <c r="K33" s="162" t="str">
        <f t="shared" si="6"/>
        <v/>
      </c>
      <c r="Q33" s="201"/>
    </row>
    <row r="34" spans="1:17" ht="37.5">
      <c r="A34" s="2"/>
      <c r="B34" s="200" t="s">
        <v>243</v>
      </c>
      <c r="C34" s="197" t="s">
        <v>12</v>
      </c>
      <c r="D34" s="252">
        <v>1</v>
      </c>
      <c r="E34" s="163">
        <f t="shared" si="3"/>
        <v>0</v>
      </c>
      <c r="F34" s="164">
        <f t="shared" si="4"/>
        <v>0</v>
      </c>
      <c r="G34" s="303">
        <f t="shared" si="0"/>
        <v>19</v>
      </c>
      <c r="H34" s="161"/>
      <c r="I34" s="161"/>
      <c r="J34" s="162">
        <f t="shared" si="5"/>
        <v>0</v>
      </c>
      <c r="K34" s="162">
        <f t="shared" si="6"/>
        <v>0</v>
      </c>
      <c r="Q34" s="201"/>
    </row>
    <row r="35" spans="1:17" ht="14">
      <c r="A35" s="2"/>
      <c r="B35" s="200"/>
      <c r="C35" s="197"/>
      <c r="D35" s="252"/>
      <c r="E35" s="163" t="str">
        <f t="shared" si="3"/>
        <v/>
      </c>
      <c r="F35" s="164" t="str">
        <f t="shared" si="4"/>
        <v/>
      </c>
      <c r="G35" s="303">
        <f t="shared" si="0"/>
        <v>20</v>
      </c>
      <c r="H35" s="161"/>
      <c r="I35" s="161"/>
      <c r="J35" s="162" t="str">
        <f t="shared" si="5"/>
        <v/>
      </c>
      <c r="K35" s="162" t="str">
        <f t="shared" si="6"/>
        <v/>
      </c>
      <c r="Q35" s="201"/>
    </row>
    <row r="36" spans="1:17" ht="25">
      <c r="A36" s="202"/>
      <c r="B36" s="196" t="s">
        <v>245</v>
      </c>
      <c r="C36" s="197" t="s">
        <v>12</v>
      </c>
      <c r="D36" s="252">
        <v>1</v>
      </c>
      <c r="E36" s="163">
        <f t="shared" si="3"/>
        <v>0</v>
      </c>
      <c r="F36" s="164">
        <f t="shared" si="4"/>
        <v>0</v>
      </c>
      <c r="G36" s="303">
        <f t="shared" si="0"/>
        <v>21</v>
      </c>
      <c r="H36" s="161"/>
      <c r="I36" s="161"/>
      <c r="J36" s="162">
        <f t="shared" si="5"/>
        <v>0</v>
      </c>
      <c r="K36" s="162">
        <f t="shared" si="6"/>
        <v>0</v>
      </c>
    </row>
    <row r="37" spans="1:17" ht="14">
      <c r="A37" s="202"/>
      <c r="B37" s="196"/>
      <c r="C37" s="197"/>
      <c r="D37" s="252"/>
      <c r="E37" s="163" t="str">
        <f t="shared" si="3"/>
        <v/>
      </c>
      <c r="F37" s="164" t="str">
        <f t="shared" si="4"/>
        <v/>
      </c>
      <c r="G37" s="303">
        <f t="shared" si="0"/>
        <v>22</v>
      </c>
      <c r="H37" s="161"/>
      <c r="I37" s="161"/>
      <c r="J37" s="162" t="str">
        <f t="shared" si="5"/>
        <v/>
      </c>
      <c r="K37" s="162" t="str">
        <f t="shared" si="6"/>
        <v/>
      </c>
    </row>
    <row r="38" spans="1:17" ht="25">
      <c r="A38" s="202"/>
      <c r="B38" s="196" t="s">
        <v>244</v>
      </c>
      <c r="C38" s="197" t="s">
        <v>12</v>
      </c>
      <c r="D38" s="252">
        <v>1</v>
      </c>
      <c r="E38" s="163">
        <f t="shared" si="3"/>
        <v>0</v>
      </c>
      <c r="F38" s="164">
        <f t="shared" si="4"/>
        <v>0</v>
      </c>
      <c r="G38" s="303">
        <f t="shared" si="0"/>
        <v>23</v>
      </c>
      <c r="H38" s="161"/>
      <c r="I38" s="161"/>
      <c r="J38" s="162">
        <f t="shared" si="5"/>
        <v>0</v>
      </c>
      <c r="K38" s="162">
        <f t="shared" si="6"/>
        <v>0</v>
      </c>
    </row>
    <row r="39" spans="1:17" ht="14">
      <c r="A39" s="202"/>
      <c r="B39" s="196"/>
      <c r="C39" s="197"/>
      <c r="D39" s="252"/>
      <c r="E39" s="163" t="str">
        <f t="shared" si="3"/>
        <v/>
      </c>
      <c r="F39" s="164" t="str">
        <f t="shared" si="4"/>
        <v/>
      </c>
      <c r="G39" s="303">
        <f t="shared" si="0"/>
        <v>24</v>
      </c>
      <c r="H39" s="161"/>
      <c r="I39" s="161"/>
      <c r="J39" s="162" t="str">
        <f t="shared" si="5"/>
        <v/>
      </c>
      <c r="K39" s="162" t="str">
        <f t="shared" si="6"/>
        <v/>
      </c>
    </row>
    <row r="40" spans="1:17" ht="50">
      <c r="A40" s="202"/>
      <c r="B40" s="196" t="s">
        <v>249</v>
      </c>
      <c r="C40" s="203" t="s">
        <v>254</v>
      </c>
      <c r="D40" s="252"/>
      <c r="E40" s="163" t="str">
        <f t="shared" si="3"/>
        <v/>
      </c>
      <c r="F40" s="164" t="str">
        <f t="shared" si="4"/>
        <v/>
      </c>
      <c r="G40" s="303">
        <f t="shared" si="0"/>
        <v>25</v>
      </c>
      <c r="H40" s="161"/>
      <c r="I40" s="161"/>
      <c r="J40" s="162" t="str">
        <f t="shared" si="5"/>
        <v/>
      </c>
      <c r="K40" s="162" t="str">
        <f t="shared" si="6"/>
        <v/>
      </c>
    </row>
    <row r="41" spans="1:17" ht="14">
      <c r="A41" s="202"/>
      <c r="B41" s="196"/>
      <c r="C41" s="197"/>
      <c r="D41" s="252"/>
      <c r="E41" s="163" t="str">
        <f t="shared" si="3"/>
        <v/>
      </c>
      <c r="F41" s="164" t="str">
        <f t="shared" si="4"/>
        <v/>
      </c>
      <c r="G41" s="303">
        <f t="shared" si="0"/>
        <v>26</v>
      </c>
      <c r="H41" s="161"/>
      <c r="I41" s="161"/>
      <c r="J41" s="162" t="str">
        <f t="shared" si="5"/>
        <v/>
      </c>
      <c r="K41" s="162" t="str">
        <f t="shared" si="6"/>
        <v/>
      </c>
    </row>
    <row r="42" spans="1:17" ht="25">
      <c r="A42" s="202"/>
      <c r="B42" s="204" t="s">
        <v>214</v>
      </c>
      <c r="C42" s="197" t="s">
        <v>13</v>
      </c>
      <c r="D42" s="252">
        <v>1</v>
      </c>
      <c r="E42" s="163">
        <f t="shared" si="3"/>
        <v>0</v>
      </c>
      <c r="F42" s="164">
        <f t="shared" si="4"/>
        <v>0</v>
      </c>
      <c r="G42" s="303">
        <f t="shared" si="0"/>
        <v>27</v>
      </c>
      <c r="H42" s="161"/>
      <c r="I42" s="161"/>
      <c r="J42" s="162">
        <f t="shared" si="5"/>
        <v>0</v>
      </c>
      <c r="K42" s="162">
        <f t="shared" si="6"/>
        <v>0</v>
      </c>
    </row>
    <row r="43" spans="1:17" ht="25">
      <c r="A43" s="202"/>
      <c r="B43" s="204" t="s">
        <v>216</v>
      </c>
      <c r="C43" s="197" t="s">
        <v>13</v>
      </c>
      <c r="D43" s="252">
        <v>1</v>
      </c>
      <c r="E43" s="163">
        <f t="shared" si="3"/>
        <v>0</v>
      </c>
      <c r="F43" s="164">
        <f t="shared" si="4"/>
        <v>0</v>
      </c>
      <c r="G43" s="303">
        <f t="shared" si="0"/>
        <v>28</v>
      </c>
      <c r="H43" s="161"/>
      <c r="I43" s="161"/>
      <c r="J43" s="162">
        <f t="shared" si="5"/>
        <v>0</v>
      </c>
      <c r="K43" s="162">
        <f t="shared" si="6"/>
        <v>0</v>
      </c>
    </row>
    <row r="44" spans="1:17" ht="14">
      <c r="A44" s="202"/>
      <c r="B44" s="205"/>
      <c r="C44" s="197"/>
      <c r="D44" s="252"/>
      <c r="E44" s="163" t="str">
        <f t="shared" si="3"/>
        <v/>
      </c>
      <c r="F44" s="164" t="str">
        <f t="shared" si="4"/>
        <v/>
      </c>
      <c r="G44" s="303">
        <f t="shared" si="0"/>
        <v>29</v>
      </c>
      <c r="H44" s="161"/>
      <c r="I44" s="161"/>
      <c r="J44" s="162" t="str">
        <f t="shared" si="5"/>
        <v/>
      </c>
      <c r="K44" s="162" t="str">
        <f t="shared" si="6"/>
        <v/>
      </c>
    </row>
    <row r="45" spans="1:17" ht="25">
      <c r="A45" s="202"/>
      <c r="B45" s="200" t="s">
        <v>247</v>
      </c>
      <c r="C45" s="197" t="s">
        <v>1</v>
      </c>
      <c r="D45" s="252">
        <v>20</v>
      </c>
      <c r="E45" s="163">
        <f t="shared" si="3"/>
        <v>0</v>
      </c>
      <c r="F45" s="164">
        <f t="shared" si="4"/>
        <v>0</v>
      </c>
      <c r="G45" s="303">
        <f t="shared" si="0"/>
        <v>30</v>
      </c>
      <c r="H45" s="161"/>
      <c r="I45" s="161"/>
      <c r="J45" s="162">
        <f t="shared" si="5"/>
        <v>0</v>
      </c>
      <c r="K45" s="162">
        <f t="shared" si="6"/>
        <v>0</v>
      </c>
    </row>
    <row r="46" spans="1:17" ht="25">
      <c r="A46" s="202"/>
      <c r="B46" s="200" t="s">
        <v>248</v>
      </c>
      <c r="C46" s="197" t="s">
        <v>1</v>
      </c>
      <c r="D46" s="252">
        <v>65</v>
      </c>
      <c r="E46" s="163">
        <f t="shared" si="3"/>
        <v>0</v>
      </c>
      <c r="F46" s="164">
        <f t="shared" si="4"/>
        <v>0</v>
      </c>
      <c r="G46" s="303">
        <f t="shared" si="0"/>
        <v>31</v>
      </c>
      <c r="H46" s="161"/>
      <c r="I46" s="161"/>
      <c r="J46" s="162">
        <f t="shared" si="5"/>
        <v>0</v>
      </c>
      <c r="K46" s="162">
        <f t="shared" si="6"/>
        <v>0</v>
      </c>
    </row>
    <row r="47" spans="1:17" ht="25">
      <c r="A47" s="202"/>
      <c r="B47" s="196" t="s">
        <v>215</v>
      </c>
      <c r="C47" s="197" t="s">
        <v>1</v>
      </c>
      <c r="D47" s="252">
        <v>5</v>
      </c>
      <c r="E47" s="163">
        <f t="shared" si="3"/>
        <v>0</v>
      </c>
      <c r="F47" s="164">
        <f t="shared" si="4"/>
        <v>0</v>
      </c>
      <c r="G47" s="303">
        <f t="shared" si="0"/>
        <v>32</v>
      </c>
      <c r="H47" s="161"/>
      <c r="I47" s="161"/>
      <c r="J47" s="162">
        <f t="shared" si="5"/>
        <v>0</v>
      </c>
      <c r="K47" s="162">
        <f t="shared" si="6"/>
        <v>0</v>
      </c>
    </row>
    <row r="48" spans="1:17" ht="25">
      <c r="A48" s="202"/>
      <c r="B48" s="196" t="s">
        <v>217</v>
      </c>
      <c r="C48" s="197" t="s">
        <v>1</v>
      </c>
      <c r="D48" s="252">
        <v>5</v>
      </c>
      <c r="E48" s="163">
        <f t="shared" si="3"/>
        <v>0</v>
      </c>
      <c r="F48" s="164">
        <f t="shared" si="4"/>
        <v>0</v>
      </c>
      <c r="G48" s="303">
        <f t="shared" si="0"/>
        <v>33</v>
      </c>
      <c r="H48" s="161"/>
      <c r="I48" s="161"/>
      <c r="J48" s="162">
        <f t="shared" si="5"/>
        <v>0</v>
      </c>
      <c r="K48" s="162">
        <f t="shared" si="6"/>
        <v>0</v>
      </c>
    </row>
    <row r="49" spans="1:17" ht="14">
      <c r="A49" s="202"/>
      <c r="B49" s="196"/>
      <c r="C49" s="197"/>
      <c r="D49" s="252"/>
      <c r="E49" s="163" t="str">
        <f t="shared" si="3"/>
        <v/>
      </c>
      <c r="F49" s="164" t="str">
        <f t="shared" si="4"/>
        <v/>
      </c>
      <c r="G49" s="303">
        <f t="shared" si="0"/>
        <v>34</v>
      </c>
      <c r="H49" s="161"/>
      <c r="I49" s="161"/>
      <c r="J49" s="162" t="str">
        <f t="shared" si="5"/>
        <v/>
      </c>
      <c r="K49" s="162" t="str">
        <f t="shared" si="6"/>
        <v/>
      </c>
    </row>
    <row r="50" spans="1:17" ht="14">
      <c r="A50" s="202"/>
      <c r="B50" s="199" t="s">
        <v>123</v>
      </c>
      <c r="C50" s="197" t="s">
        <v>12</v>
      </c>
      <c r="D50" s="252">
        <v>1</v>
      </c>
      <c r="E50" s="163">
        <f t="shared" si="3"/>
        <v>0</v>
      </c>
      <c r="F50" s="164">
        <f t="shared" si="4"/>
        <v>0</v>
      </c>
      <c r="G50" s="303">
        <f t="shared" si="0"/>
        <v>35</v>
      </c>
      <c r="H50" s="161"/>
      <c r="I50" s="161"/>
      <c r="J50" s="162">
        <f t="shared" si="5"/>
        <v>0</v>
      </c>
      <c r="K50" s="162">
        <f t="shared" si="6"/>
        <v>0</v>
      </c>
    </row>
    <row r="51" spans="1:17" ht="14">
      <c r="A51" s="202"/>
      <c r="B51" s="206" t="s">
        <v>124</v>
      </c>
      <c r="C51" s="189" t="s">
        <v>12</v>
      </c>
      <c r="D51" s="252">
        <v>1</v>
      </c>
      <c r="E51" s="163">
        <f t="shared" si="3"/>
        <v>0</v>
      </c>
      <c r="F51" s="164">
        <f t="shared" si="4"/>
        <v>0</v>
      </c>
      <c r="G51" s="303">
        <f t="shared" si="0"/>
        <v>36</v>
      </c>
      <c r="H51" s="161"/>
      <c r="I51" s="161"/>
      <c r="J51" s="162">
        <f t="shared" si="5"/>
        <v>0</v>
      </c>
      <c r="K51" s="162">
        <f t="shared" si="6"/>
        <v>0</v>
      </c>
    </row>
    <row r="52" spans="1:17" ht="14">
      <c r="A52" s="202"/>
      <c r="B52" s="206"/>
      <c r="C52" s="189"/>
      <c r="D52" s="252"/>
      <c r="E52" s="163" t="str">
        <f t="shared" si="3"/>
        <v/>
      </c>
      <c r="F52" s="164" t="str">
        <f t="shared" si="4"/>
        <v/>
      </c>
      <c r="G52" s="303">
        <f t="shared" si="0"/>
        <v>37</v>
      </c>
      <c r="H52" s="161"/>
      <c r="I52" s="161"/>
      <c r="J52" s="162" t="str">
        <f t="shared" si="5"/>
        <v/>
      </c>
      <c r="K52" s="162" t="str">
        <f t="shared" si="6"/>
        <v/>
      </c>
    </row>
    <row r="53" spans="1:17" ht="25">
      <c r="A53" s="202"/>
      <c r="B53" s="206" t="s">
        <v>143</v>
      </c>
      <c r="C53" s="189" t="s">
        <v>13</v>
      </c>
      <c r="D53" s="252">
        <v>8</v>
      </c>
      <c r="E53" s="163">
        <f t="shared" si="3"/>
        <v>0</v>
      </c>
      <c r="F53" s="164">
        <f t="shared" si="4"/>
        <v>0</v>
      </c>
      <c r="G53" s="303">
        <f t="shared" si="0"/>
        <v>38</v>
      </c>
      <c r="H53" s="161"/>
      <c r="I53" s="161"/>
      <c r="J53" s="162">
        <f t="shared" si="5"/>
        <v>0</v>
      </c>
      <c r="K53" s="162">
        <f t="shared" si="6"/>
        <v>0</v>
      </c>
    </row>
    <row r="54" spans="1:17" ht="14">
      <c r="A54" s="202"/>
      <c r="B54" s="206"/>
      <c r="C54" s="189"/>
      <c r="D54" s="252"/>
      <c r="E54" s="163" t="str">
        <f t="shared" si="3"/>
        <v/>
      </c>
      <c r="F54" s="164" t="str">
        <f t="shared" si="4"/>
        <v/>
      </c>
      <c r="G54" s="303">
        <f t="shared" si="0"/>
        <v>39</v>
      </c>
      <c r="H54" s="161"/>
      <c r="I54" s="161"/>
      <c r="J54" s="162" t="str">
        <f t="shared" si="5"/>
        <v/>
      </c>
      <c r="K54" s="162" t="str">
        <f t="shared" si="6"/>
        <v/>
      </c>
    </row>
    <row r="55" spans="1:17" ht="14">
      <c r="A55" s="202"/>
      <c r="B55" s="206" t="s">
        <v>124</v>
      </c>
      <c r="C55" s="189" t="s">
        <v>12</v>
      </c>
      <c r="D55" s="252">
        <v>1</v>
      </c>
      <c r="E55" s="163">
        <f t="shared" si="3"/>
        <v>0</v>
      </c>
      <c r="F55" s="164">
        <f t="shared" si="4"/>
        <v>0</v>
      </c>
      <c r="G55" s="303">
        <f t="shared" si="0"/>
        <v>40</v>
      </c>
      <c r="H55" s="161"/>
      <c r="I55" s="161"/>
      <c r="J55" s="162">
        <f t="shared" si="5"/>
        <v>0</v>
      </c>
      <c r="K55" s="162">
        <f t="shared" si="6"/>
        <v>0</v>
      </c>
    </row>
    <row r="56" spans="1:17" ht="14">
      <c r="A56" s="202"/>
      <c r="B56" s="206"/>
      <c r="C56" s="189"/>
      <c r="D56" s="252"/>
      <c r="E56" s="163" t="str">
        <f t="shared" si="3"/>
        <v/>
      </c>
      <c r="F56" s="164" t="str">
        <f t="shared" si="4"/>
        <v/>
      </c>
      <c r="G56" s="303">
        <f t="shared" si="0"/>
        <v>41</v>
      </c>
      <c r="H56" s="161"/>
      <c r="I56" s="161"/>
      <c r="J56" s="162" t="str">
        <f t="shared" si="5"/>
        <v/>
      </c>
      <c r="K56" s="162" t="str">
        <f t="shared" si="6"/>
        <v/>
      </c>
    </row>
    <row r="57" spans="1:17" ht="25">
      <c r="A57" s="202"/>
      <c r="B57" s="206" t="s">
        <v>143</v>
      </c>
      <c r="C57" s="189" t="s">
        <v>13</v>
      </c>
      <c r="D57" s="252">
        <v>11</v>
      </c>
      <c r="E57" s="163">
        <f t="shared" si="3"/>
        <v>0</v>
      </c>
      <c r="F57" s="164">
        <f t="shared" si="4"/>
        <v>0</v>
      </c>
      <c r="G57" s="303">
        <f t="shared" si="0"/>
        <v>42</v>
      </c>
      <c r="H57" s="161"/>
      <c r="I57" s="161"/>
      <c r="J57" s="162">
        <f t="shared" si="5"/>
        <v>0</v>
      </c>
      <c r="K57" s="162">
        <f t="shared" si="6"/>
        <v>0</v>
      </c>
    </row>
    <row r="58" spans="1:17" ht="14">
      <c r="A58" s="202"/>
      <c r="B58" s="206"/>
      <c r="C58" s="189"/>
      <c r="D58" s="252"/>
      <c r="E58" s="163" t="str">
        <f t="shared" si="3"/>
        <v/>
      </c>
      <c r="F58" s="164" t="str">
        <f t="shared" si="4"/>
        <v/>
      </c>
      <c r="G58" s="303">
        <f t="shared" si="0"/>
        <v>43</v>
      </c>
      <c r="H58" s="161"/>
      <c r="I58" s="161"/>
      <c r="J58" s="162" t="str">
        <f t="shared" si="5"/>
        <v/>
      </c>
      <c r="K58" s="162" t="str">
        <f t="shared" si="6"/>
        <v/>
      </c>
    </row>
    <row r="59" spans="1:17" ht="25">
      <c r="A59" s="2" t="s">
        <v>155</v>
      </c>
      <c r="B59" s="207" t="s">
        <v>466</v>
      </c>
      <c r="C59" s="208" t="s">
        <v>138</v>
      </c>
      <c r="D59" s="252">
        <v>17</v>
      </c>
      <c r="E59" s="163">
        <f t="shared" si="3"/>
        <v>0</v>
      </c>
      <c r="F59" s="164">
        <f t="shared" si="4"/>
        <v>0</v>
      </c>
      <c r="G59" s="303">
        <f t="shared" si="0"/>
        <v>44</v>
      </c>
      <c r="H59" s="161"/>
      <c r="I59" s="161"/>
      <c r="J59" s="162">
        <f t="shared" si="5"/>
        <v>0</v>
      </c>
      <c r="K59" s="162">
        <f t="shared" si="6"/>
        <v>0</v>
      </c>
      <c r="Q59" s="201"/>
    </row>
    <row r="60" spans="1:17" ht="25">
      <c r="A60" s="2"/>
      <c r="B60" s="207" t="s">
        <v>467</v>
      </c>
      <c r="C60" s="208" t="s">
        <v>138</v>
      </c>
      <c r="D60" s="252">
        <v>54</v>
      </c>
      <c r="E60" s="163">
        <f t="shared" si="3"/>
        <v>0</v>
      </c>
      <c r="F60" s="164">
        <f t="shared" si="4"/>
        <v>0</v>
      </c>
      <c r="G60" s="303">
        <f t="shared" si="0"/>
        <v>45</v>
      </c>
      <c r="H60" s="161"/>
      <c r="I60" s="161"/>
      <c r="J60" s="162">
        <f t="shared" si="5"/>
        <v>0</v>
      </c>
      <c r="K60" s="162">
        <f t="shared" si="6"/>
        <v>0</v>
      </c>
      <c r="Q60" s="201"/>
    </row>
    <row r="61" spans="1:17" ht="25">
      <c r="A61" s="2"/>
      <c r="B61" s="207" t="s">
        <v>468</v>
      </c>
      <c r="C61" s="208" t="s">
        <v>138</v>
      </c>
      <c r="D61" s="252">
        <v>62</v>
      </c>
      <c r="E61" s="163">
        <f t="shared" si="3"/>
        <v>0</v>
      </c>
      <c r="F61" s="164">
        <f t="shared" si="4"/>
        <v>0</v>
      </c>
      <c r="G61" s="303">
        <f t="shared" si="0"/>
        <v>46</v>
      </c>
      <c r="H61" s="161"/>
      <c r="I61" s="161"/>
      <c r="J61" s="162">
        <f t="shared" si="5"/>
        <v>0</v>
      </c>
      <c r="K61" s="162">
        <f t="shared" si="6"/>
        <v>0</v>
      </c>
      <c r="Q61" s="201"/>
    </row>
    <row r="62" spans="1:17" ht="25">
      <c r="A62" s="2"/>
      <c r="B62" s="207" t="s">
        <v>469</v>
      </c>
      <c r="C62" s="208" t="s">
        <v>138</v>
      </c>
      <c r="D62" s="252">
        <v>19</v>
      </c>
      <c r="E62" s="163">
        <f t="shared" si="3"/>
        <v>0</v>
      </c>
      <c r="F62" s="164">
        <f t="shared" si="4"/>
        <v>0</v>
      </c>
      <c r="G62" s="303">
        <f t="shared" si="0"/>
        <v>47</v>
      </c>
      <c r="H62" s="161"/>
      <c r="I62" s="161"/>
      <c r="J62" s="162">
        <f t="shared" si="5"/>
        <v>0</v>
      </c>
      <c r="K62" s="162">
        <f t="shared" si="6"/>
        <v>0</v>
      </c>
      <c r="Q62" s="201"/>
    </row>
    <row r="63" spans="1:17" ht="25">
      <c r="A63" s="2"/>
      <c r="B63" s="207" t="s">
        <v>250</v>
      </c>
      <c r="C63" s="208" t="s">
        <v>138</v>
      </c>
      <c r="D63" s="252">
        <v>0</v>
      </c>
      <c r="E63" s="163"/>
      <c r="F63" s="164"/>
      <c r="G63" s="303">
        <f t="shared" si="0"/>
        <v>48</v>
      </c>
      <c r="H63" s="161"/>
      <c r="I63" s="161"/>
      <c r="J63" s="162">
        <f t="shared" si="5"/>
        <v>0</v>
      </c>
      <c r="K63" s="162">
        <f t="shared" si="6"/>
        <v>0</v>
      </c>
      <c r="Q63" s="201"/>
    </row>
    <row r="64" spans="1:17" ht="14">
      <c r="A64" s="2"/>
      <c r="B64" s="207"/>
      <c r="C64" s="209"/>
      <c r="D64" s="252"/>
      <c r="E64" s="163" t="str">
        <f t="shared" si="3"/>
        <v/>
      </c>
      <c r="F64" s="164" t="str">
        <f t="shared" si="4"/>
        <v/>
      </c>
      <c r="G64" s="303">
        <f t="shared" si="0"/>
        <v>49</v>
      </c>
      <c r="H64" s="161"/>
      <c r="I64" s="161"/>
      <c r="J64" s="162" t="str">
        <f t="shared" si="5"/>
        <v/>
      </c>
      <c r="K64" s="162" t="str">
        <f t="shared" si="6"/>
        <v/>
      </c>
      <c r="Q64" s="201"/>
    </row>
    <row r="65" spans="1:17" ht="25.5" customHeight="1">
      <c r="A65" s="2"/>
      <c r="B65" s="196" t="s">
        <v>253</v>
      </c>
      <c r="C65" s="197" t="s">
        <v>12</v>
      </c>
      <c r="D65" s="252">
        <v>2</v>
      </c>
      <c r="E65" s="163">
        <f t="shared" si="3"/>
        <v>0</v>
      </c>
      <c r="F65" s="164">
        <f t="shared" si="4"/>
        <v>0</v>
      </c>
      <c r="G65" s="303">
        <f t="shared" si="0"/>
        <v>50</v>
      </c>
      <c r="H65" s="161"/>
      <c r="I65" s="161"/>
      <c r="J65" s="162">
        <f t="shared" si="5"/>
        <v>0</v>
      </c>
      <c r="K65" s="162">
        <f t="shared" si="6"/>
        <v>0</v>
      </c>
      <c r="Q65" s="201"/>
    </row>
    <row r="66" spans="1:17" ht="14">
      <c r="A66" s="2"/>
      <c r="B66" s="196"/>
      <c r="C66" s="197"/>
      <c r="D66" s="252"/>
      <c r="E66" s="163" t="str">
        <f t="shared" si="3"/>
        <v/>
      </c>
      <c r="F66" s="164" t="str">
        <f t="shared" si="4"/>
        <v/>
      </c>
      <c r="G66" s="303">
        <f t="shared" si="0"/>
        <v>51</v>
      </c>
      <c r="H66" s="161"/>
      <c r="I66" s="161"/>
      <c r="J66" s="162" t="str">
        <f t="shared" si="5"/>
        <v/>
      </c>
      <c r="K66" s="162" t="str">
        <f t="shared" si="6"/>
        <v/>
      </c>
      <c r="Q66" s="201"/>
    </row>
    <row r="67" spans="1:17" ht="25">
      <c r="A67" s="2"/>
      <c r="B67" s="196" t="s">
        <v>256</v>
      </c>
      <c r="C67" s="197" t="s">
        <v>13</v>
      </c>
      <c r="D67" s="252">
        <f>D45+D46</f>
        <v>85</v>
      </c>
      <c r="E67" s="163">
        <f t="shared" si="3"/>
        <v>0</v>
      </c>
      <c r="F67" s="164">
        <f t="shared" si="4"/>
        <v>0</v>
      </c>
      <c r="G67" s="303">
        <f t="shared" si="0"/>
        <v>52</v>
      </c>
      <c r="H67" s="161"/>
      <c r="I67" s="161"/>
      <c r="J67" s="162">
        <f t="shared" si="5"/>
        <v>0</v>
      </c>
      <c r="K67" s="162">
        <f t="shared" si="6"/>
        <v>0</v>
      </c>
      <c r="Q67" s="201"/>
    </row>
    <row r="68" spans="1:17" ht="25">
      <c r="A68" s="2"/>
      <c r="B68" s="196" t="s">
        <v>255</v>
      </c>
      <c r="C68" s="208" t="s">
        <v>1</v>
      </c>
      <c r="D68" s="252">
        <f>+D45+D46</f>
        <v>85</v>
      </c>
      <c r="E68" s="163">
        <f t="shared" si="3"/>
        <v>0</v>
      </c>
      <c r="F68" s="164">
        <f t="shared" si="4"/>
        <v>0</v>
      </c>
      <c r="G68" s="303">
        <f t="shared" si="0"/>
        <v>53</v>
      </c>
      <c r="H68" s="161"/>
      <c r="I68" s="161"/>
      <c r="J68" s="162">
        <f t="shared" si="5"/>
        <v>0</v>
      </c>
      <c r="K68" s="162">
        <f t="shared" si="6"/>
        <v>0</v>
      </c>
      <c r="Q68" s="201"/>
    </row>
    <row r="69" spans="1:17" ht="14">
      <c r="A69" s="2"/>
      <c r="B69" s="210"/>
      <c r="C69" s="209"/>
      <c r="D69" s="252"/>
      <c r="E69" s="163" t="str">
        <f t="shared" si="3"/>
        <v/>
      </c>
      <c r="F69" s="164" t="str">
        <f t="shared" si="4"/>
        <v/>
      </c>
      <c r="G69" s="303">
        <f t="shared" si="0"/>
        <v>54</v>
      </c>
      <c r="H69" s="161"/>
      <c r="I69" s="161"/>
      <c r="J69" s="162" t="str">
        <f t="shared" si="5"/>
        <v/>
      </c>
      <c r="K69" s="162" t="str">
        <f t="shared" si="6"/>
        <v/>
      </c>
      <c r="Q69" s="201"/>
    </row>
    <row r="70" spans="1:17" ht="37.5">
      <c r="A70" s="2" t="s">
        <v>156</v>
      </c>
      <c r="B70" s="207" t="s">
        <v>465</v>
      </c>
      <c r="C70" s="197" t="s">
        <v>12</v>
      </c>
      <c r="D70" s="252">
        <v>22</v>
      </c>
      <c r="E70" s="163">
        <f t="shared" si="3"/>
        <v>0</v>
      </c>
      <c r="F70" s="164">
        <f t="shared" si="4"/>
        <v>0</v>
      </c>
      <c r="G70" s="303">
        <f t="shared" si="0"/>
        <v>55</v>
      </c>
      <c r="H70" s="161"/>
      <c r="I70" s="161"/>
      <c r="J70" s="162">
        <f t="shared" si="5"/>
        <v>0</v>
      </c>
      <c r="K70" s="162">
        <f t="shared" si="6"/>
        <v>0</v>
      </c>
      <c r="Q70" s="201"/>
    </row>
    <row r="71" spans="1:17" ht="14">
      <c r="A71" s="2"/>
      <c r="B71" s="207"/>
      <c r="C71" s="197"/>
      <c r="D71" s="252"/>
      <c r="E71" s="163" t="str">
        <f t="shared" si="3"/>
        <v/>
      </c>
      <c r="F71" s="164" t="str">
        <f t="shared" si="4"/>
        <v/>
      </c>
      <c r="G71" s="303">
        <f t="shared" si="0"/>
        <v>56</v>
      </c>
      <c r="H71" s="161"/>
      <c r="I71" s="161"/>
      <c r="J71" s="162" t="str">
        <f t="shared" si="5"/>
        <v/>
      </c>
      <c r="K71" s="162" t="str">
        <f t="shared" si="6"/>
        <v/>
      </c>
      <c r="Q71" s="201"/>
    </row>
    <row r="72" spans="1:17" ht="37.5">
      <c r="A72" s="2"/>
      <c r="B72" s="207" t="s">
        <v>460</v>
      </c>
      <c r="C72" s="197" t="s">
        <v>12</v>
      </c>
      <c r="D72" s="252">
        <v>57</v>
      </c>
      <c r="E72" s="163">
        <f t="shared" si="3"/>
        <v>0</v>
      </c>
      <c r="F72" s="164">
        <f t="shared" si="4"/>
        <v>0</v>
      </c>
      <c r="G72" s="303">
        <f t="shared" si="0"/>
        <v>57</v>
      </c>
      <c r="H72" s="161"/>
      <c r="I72" s="161"/>
      <c r="J72" s="162">
        <f t="shared" si="5"/>
        <v>0</v>
      </c>
      <c r="K72" s="162">
        <f t="shared" si="6"/>
        <v>0</v>
      </c>
      <c r="Q72" s="201"/>
    </row>
    <row r="73" spans="1:17" ht="14">
      <c r="A73" s="2"/>
      <c r="B73" s="207"/>
      <c r="C73" s="197"/>
      <c r="D73" s="252"/>
      <c r="E73" s="163" t="str">
        <f t="shared" si="3"/>
        <v/>
      </c>
      <c r="F73" s="164" t="str">
        <f t="shared" si="4"/>
        <v/>
      </c>
      <c r="G73" s="303">
        <f t="shared" si="0"/>
        <v>58</v>
      </c>
      <c r="H73" s="161"/>
      <c r="I73" s="161"/>
      <c r="J73" s="162" t="str">
        <f t="shared" si="5"/>
        <v/>
      </c>
      <c r="K73" s="162" t="str">
        <f t="shared" si="6"/>
        <v/>
      </c>
      <c r="Q73" s="201"/>
    </row>
    <row r="74" spans="1:17" ht="14">
      <c r="A74" s="2"/>
      <c r="B74" s="199" t="s">
        <v>461</v>
      </c>
      <c r="C74" s="208" t="s">
        <v>12</v>
      </c>
      <c r="D74" s="252">
        <v>2</v>
      </c>
      <c r="E74" s="163">
        <f t="shared" si="3"/>
        <v>0</v>
      </c>
      <c r="F74" s="164">
        <f t="shared" si="4"/>
        <v>0</v>
      </c>
      <c r="G74" s="303">
        <f t="shared" si="0"/>
        <v>59</v>
      </c>
      <c r="H74" s="161"/>
      <c r="I74" s="161"/>
      <c r="J74" s="162">
        <f t="shared" si="5"/>
        <v>0</v>
      </c>
      <c r="K74" s="162">
        <f t="shared" si="6"/>
        <v>0</v>
      </c>
      <c r="Q74" s="201"/>
    </row>
    <row r="75" spans="1:17" ht="14">
      <c r="A75" s="2"/>
      <c r="B75" s="207" t="s">
        <v>462</v>
      </c>
      <c r="C75" s="208" t="s">
        <v>13</v>
      </c>
      <c r="D75" s="252">
        <f>9+11</f>
        <v>20</v>
      </c>
      <c r="E75" s="163">
        <f t="shared" si="3"/>
        <v>0</v>
      </c>
      <c r="F75" s="164">
        <f t="shared" si="4"/>
        <v>0</v>
      </c>
      <c r="G75" s="303">
        <f t="shared" si="0"/>
        <v>60</v>
      </c>
      <c r="H75" s="161"/>
      <c r="I75" s="161"/>
      <c r="J75" s="162">
        <f t="shared" si="5"/>
        <v>0</v>
      </c>
      <c r="K75" s="162">
        <f t="shared" si="6"/>
        <v>0</v>
      </c>
      <c r="Q75" s="201"/>
    </row>
    <row r="76" spans="1:17" ht="14">
      <c r="A76" s="2"/>
      <c r="B76" s="211"/>
      <c r="C76" s="208"/>
      <c r="D76" s="252"/>
      <c r="E76" s="163" t="str">
        <f t="shared" si="3"/>
        <v/>
      </c>
      <c r="F76" s="164" t="str">
        <f t="shared" si="4"/>
        <v/>
      </c>
      <c r="G76" s="303">
        <f t="shared" si="0"/>
        <v>61</v>
      </c>
      <c r="H76" s="161"/>
      <c r="I76" s="161"/>
      <c r="J76" s="162" t="str">
        <f t="shared" si="5"/>
        <v/>
      </c>
      <c r="K76" s="162" t="str">
        <f t="shared" si="6"/>
        <v/>
      </c>
      <c r="Q76" s="201"/>
    </row>
    <row r="77" spans="1:17" ht="14">
      <c r="A77" s="212" t="s">
        <v>152</v>
      </c>
      <c r="B77" s="210" t="s">
        <v>139</v>
      </c>
      <c r="C77" s="208" t="s">
        <v>13</v>
      </c>
      <c r="D77" s="252"/>
      <c r="E77" s="163" t="str">
        <f t="shared" si="3"/>
        <v/>
      </c>
      <c r="F77" s="164" t="str">
        <f t="shared" si="4"/>
        <v/>
      </c>
      <c r="G77" s="303">
        <f t="shared" si="0"/>
        <v>62</v>
      </c>
      <c r="H77" s="161"/>
      <c r="I77" s="161"/>
      <c r="J77" s="162" t="str">
        <f t="shared" si="5"/>
        <v/>
      </c>
      <c r="K77" s="162" t="str">
        <f t="shared" si="6"/>
        <v/>
      </c>
      <c r="Q77" s="201"/>
    </row>
    <row r="78" spans="1:17" ht="14">
      <c r="A78" s="2"/>
      <c r="B78" s="210" t="s">
        <v>140</v>
      </c>
      <c r="C78" s="208" t="s">
        <v>13</v>
      </c>
      <c r="D78" s="252">
        <f>+QTE!D269+QTE!E269+QTE!J269+QTE!K269+QTE!P269+QTE!Q269+QTE!V269+QTE!W269</f>
        <v>39</v>
      </c>
      <c r="E78" s="163">
        <f t="shared" si="3"/>
        <v>0</v>
      </c>
      <c r="F78" s="164">
        <f t="shared" si="4"/>
        <v>0</v>
      </c>
      <c r="G78" s="303">
        <f t="shared" si="0"/>
        <v>63</v>
      </c>
      <c r="H78" s="161"/>
      <c r="I78" s="161"/>
      <c r="J78" s="162">
        <f t="shared" si="5"/>
        <v>0</v>
      </c>
      <c r="K78" s="162">
        <f t="shared" si="6"/>
        <v>0</v>
      </c>
      <c r="Q78" s="201"/>
    </row>
    <row r="79" spans="1:17" ht="14">
      <c r="A79" s="2"/>
      <c r="B79" s="210" t="s">
        <v>141</v>
      </c>
      <c r="C79" s="208" t="s">
        <v>13</v>
      </c>
      <c r="D79" s="252">
        <f>+QTE!F269+QTE!G269+QTE!H269+QTE!L269+QTE!M269+QTE!N269+QTE!R269+QTE!S269+QTE!T269+QTE!X269+QTE!Y269+QTE!Z269</f>
        <v>66</v>
      </c>
      <c r="E79" s="163">
        <f t="shared" si="3"/>
        <v>0</v>
      </c>
      <c r="F79" s="164">
        <f t="shared" si="4"/>
        <v>0</v>
      </c>
      <c r="G79" s="303">
        <f t="shared" si="0"/>
        <v>64</v>
      </c>
      <c r="H79" s="161"/>
      <c r="I79" s="161"/>
      <c r="J79" s="162">
        <f t="shared" si="5"/>
        <v>0</v>
      </c>
      <c r="K79" s="162">
        <f t="shared" si="6"/>
        <v>0</v>
      </c>
      <c r="Q79" s="201"/>
    </row>
    <row r="80" spans="1:17" ht="14">
      <c r="A80" s="2"/>
      <c r="B80" s="210" t="s">
        <v>142</v>
      </c>
      <c r="C80" s="208" t="s">
        <v>13</v>
      </c>
      <c r="D80" s="252"/>
      <c r="E80" s="163" t="str">
        <f t="shared" si="3"/>
        <v/>
      </c>
      <c r="F80" s="164" t="str">
        <f t="shared" si="4"/>
        <v/>
      </c>
      <c r="G80" s="303">
        <f t="shared" si="0"/>
        <v>65</v>
      </c>
      <c r="H80" s="161"/>
      <c r="I80" s="161"/>
      <c r="J80" s="162" t="str">
        <f t="shared" si="5"/>
        <v/>
      </c>
      <c r="K80" s="162" t="str">
        <f t="shared" si="6"/>
        <v/>
      </c>
      <c r="Q80" s="201"/>
    </row>
    <row r="81" spans="1:17" ht="14">
      <c r="A81" s="2"/>
      <c r="B81" s="213"/>
      <c r="C81" s="209"/>
      <c r="D81" s="252"/>
      <c r="E81" s="163" t="str">
        <f t="shared" si="3"/>
        <v/>
      </c>
      <c r="F81" s="164" t="str">
        <f t="shared" si="4"/>
        <v/>
      </c>
      <c r="G81" s="303">
        <f t="shared" si="0"/>
        <v>66</v>
      </c>
      <c r="H81" s="161"/>
      <c r="I81" s="161"/>
      <c r="J81" s="162" t="str">
        <f t="shared" si="5"/>
        <v/>
      </c>
      <c r="K81" s="162" t="str">
        <f t="shared" si="6"/>
        <v/>
      </c>
      <c r="Q81" s="201"/>
    </row>
    <row r="82" spans="1:17" ht="14">
      <c r="A82" s="2" t="s">
        <v>151</v>
      </c>
      <c r="B82" s="210" t="s">
        <v>144</v>
      </c>
      <c r="C82" s="208" t="s">
        <v>13</v>
      </c>
      <c r="D82" s="252">
        <f>+D75+D74</f>
        <v>22</v>
      </c>
      <c r="E82" s="163">
        <f t="shared" si="3"/>
        <v>0</v>
      </c>
      <c r="F82" s="164">
        <f t="shared" si="4"/>
        <v>0</v>
      </c>
      <c r="G82" s="303">
        <f t="shared" ref="G82:G145" si="7">G81+1</f>
        <v>67</v>
      </c>
      <c r="H82" s="161"/>
      <c r="I82" s="161"/>
      <c r="J82" s="162">
        <f t="shared" si="5"/>
        <v>0</v>
      </c>
      <c r="K82" s="162">
        <f t="shared" si="6"/>
        <v>0</v>
      </c>
      <c r="Q82" s="201"/>
    </row>
    <row r="83" spans="1:17" ht="14">
      <c r="A83" s="2"/>
      <c r="B83" s="210"/>
      <c r="C83" s="208"/>
      <c r="D83" s="252"/>
      <c r="E83" s="163" t="str">
        <f t="shared" si="3"/>
        <v/>
      </c>
      <c r="F83" s="164" t="str">
        <f t="shared" si="4"/>
        <v/>
      </c>
      <c r="G83" s="303">
        <f t="shared" si="7"/>
        <v>68</v>
      </c>
      <c r="H83" s="161"/>
      <c r="I83" s="161"/>
      <c r="J83" s="162" t="str">
        <f t="shared" si="5"/>
        <v/>
      </c>
      <c r="K83" s="162" t="str">
        <f t="shared" si="6"/>
        <v/>
      </c>
      <c r="Q83" s="201"/>
    </row>
    <row r="84" spans="1:17" ht="14">
      <c r="A84" s="2"/>
      <c r="B84" s="210" t="s">
        <v>145</v>
      </c>
      <c r="C84" s="208" t="s">
        <v>13</v>
      </c>
      <c r="D84" s="252"/>
      <c r="E84" s="163" t="str">
        <f t="shared" si="3"/>
        <v/>
      </c>
      <c r="F84" s="164" t="str">
        <f t="shared" si="4"/>
        <v/>
      </c>
      <c r="G84" s="303">
        <f t="shared" si="7"/>
        <v>69</v>
      </c>
      <c r="H84" s="161"/>
      <c r="I84" s="161"/>
      <c r="J84" s="162" t="str">
        <f t="shared" si="5"/>
        <v/>
      </c>
      <c r="K84" s="162" t="str">
        <f t="shared" si="6"/>
        <v/>
      </c>
      <c r="Q84" s="201"/>
    </row>
    <row r="85" spans="1:17" ht="14">
      <c r="A85" s="2"/>
      <c r="B85" s="210" t="s">
        <v>146</v>
      </c>
      <c r="C85" s="208" t="s">
        <v>13</v>
      </c>
      <c r="D85" s="252"/>
      <c r="E85" s="163" t="str">
        <f t="shared" si="3"/>
        <v/>
      </c>
      <c r="F85" s="164" t="str">
        <f t="shared" si="4"/>
        <v/>
      </c>
      <c r="G85" s="303">
        <f t="shared" si="7"/>
        <v>70</v>
      </c>
      <c r="H85" s="161"/>
      <c r="I85" s="161"/>
      <c r="J85" s="162" t="str">
        <f t="shared" si="5"/>
        <v/>
      </c>
      <c r="K85" s="162" t="str">
        <f t="shared" si="6"/>
        <v/>
      </c>
      <c r="Q85" s="201"/>
    </row>
    <row r="86" spans="1:17" ht="14">
      <c r="A86" s="2"/>
      <c r="B86" s="214"/>
      <c r="C86" s="208"/>
      <c r="D86" s="252"/>
      <c r="E86" s="163" t="str">
        <f t="shared" si="3"/>
        <v/>
      </c>
      <c r="F86" s="164" t="str">
        <f t="shared" si="4"/>
        <v/>
      </c>
      <c r="G86" s="303">
        <f t="shared" si="7"/>
        <v>71</v>
      </c>
      <c r="H86" s="161"/>
      <c r="I86" s="161"/>
      <c r="J86" s="162" t="str">
        <f t="shared" si="5"/>
        <v/>
      </c>
      <c r="K86" s="162" t="str">
        <f t="shared" si="6"/>
        <v/>
      </c>
      <c r="Q86" s="201"/>
    </row>
    <row r="87" spans="1:17" ht="25">
      <c r="A87" s="2"/>
      <c r="B87" s="210" t="s">
        <v>147</v>
      </c>
      <c r="C87" s="208" t="s">
        <v>12</v>
      </c>
      <c r="D87" s="252">
        <v>1</v>
      </c>
      <c r="E87" s="163">
        <f t="shared" si="3"/>
        <v>0</v>
      </c>
      <c r="F87" s="164">
        <f t="shared" si="4"/>
        <v>0</v>
      </c>
      <c r="G87" s="303">
        <f t="shared" si="7"/>
        <v>72</v>
      </c>
      <c r="H87" s="161"/>
      <c r="I87" s="161"/>
      <c r="J87" s="162">
        <f t="shared" si="5"/>
        <v>0</v>
      </c>
      <c r="K87" s="162">
        <f t="shared" si="6"/>
        <v>0</v>
      </c>
      <c r="Q87" s="201"/>
    </row>
    <row r="88" spans="1:17" ht="14">
      <c r="A88" s="2"/>
      <c r="B88" s="210"/>
      <c r="C88" s="208"/>
      <c r="D88" s="252"/>
      <c r="E88" s="163" t="str">
        <f t="shared" si="3"/>
        <v/>
      </c>
      <c r="F88" s="164" t="str">
        <f t="shared" si="4"/>
        <v/>
      </c>
      <c r="G88" s="303">
        <f t="shared" si="7"/>
        <v>73</v>
      </c>
      <c r="H88" s="161"/>
      <c r="I88" s="161"/>
      <c r="J88" s="162" t="str">
        <f t="shared" si="5"/>
        <v/>
      </c>
      <c r="K88" s="162" t="str">
        <f t="shared" si="6"/>
        <v/>
      </c>
      <c r="Q88" s="201"/>
    </row>
    <row r="89" spans="1:17" ht="25">
      <c r="A89" s="2"/>
      <c r="B89" s="210" t="s">
        <v>148</v>
      </c>
      <c r="C89" s="208" t="s">
        <v>12</v>
      </c>
      <c r="D89" s="252">
        <v>1</v>
      </c>
      <c r="E89" s="163">
        <f t="shared" ref="E89:E152" si="8">IF(D89="","",(((J89*$K$2)+(K89*$I$2*$I$3))*$K$3)/D89)</f>
        <v>0</v>
      </c>
      <c r="F89" s="164">
        <f t="shared" ref="F89:F152" si="9">IF(D89="","",D89*E89)</f>
        <v>0</v>
      </c>
      <c r="G89" s="303">
        <f t="shared" si="7"/>
        <v>74</v>
      </c>
      <c r="H89" s="161"/>
      <c r="I89" s="161"/>
      <c r="J89" s="162">
        <f t="shared" ref="J89:J152" si="10">IF(D89="","",H89*D89)</f>
        <v>0</v>
      </c>
      <c r="K89" s="162">
        <f t="shared" ref="K89:K152" si="11">IF(D89="","",D89*I89)</f>
        <v>0</v>
      </c>
      <c r="Q89" s="201"/>
    </row>
    <row r="90" spans="1:17" ht="14">
      <c r="A90" s="2"/>
      <c r="B90" s="210"/>
      <c r="C90" s="208"/>
      <c r="D90" s="252"/>
      <c r="E90" s="163" t="str">
        <f t="shared" si="8"/>
        <v/>
      </c>
      <c r="F90" s="164" t="str">
        <f t="shared" si="9"/>
        <v/>
      </c>
      <c r="G90" s="303">
        <f t="shared" si="7"/>
        <v>75</v>
      </c>
      <c r="H90" s="161"/>
      <c r="I90" s="161"/>
      <c r="J90" s="162" t="str">
        <f t="shared" si="10"/>
        <v/>
      </c>
      <c r="K90" s="162" t="str">
        <f t="shared" si="11"/>
        <v/>
      </c>
      <c r="Q90" s="201"/>
    </row>
    <row r="91" spans="1:17" ht="37.5">
      <c r="A91" s="2"/>
      <c r="B91" s="210" t="s">
        <v>213</v>
      </c>
      <c r="C91" s="208" t="s">
        <v>12</v>
      </c>
      <c r="D91" s="252">
        <v>1</v>
      </c>
      <c r="E91" s="163">
        <f t="shared" si="8"/>
        <v>0</v>
      </c>
      <c r="F91" s="164">
        <f t="shared" si="9"/>
        <v>0</v>
      </c>
      <c r="G91" s="303">
        <f t="shared" si="7"/>
        <v>76</v>
      </c>
      <c r="H91" s="161"/>
      <c r="I91" s="161"/>
      <c r="J91" s="162">
        <f t="shared" si="10"/>
        <v>0</v>
      </c>
      <c r="K91" s="162">
        <f t="shared" si="11"/>
        <v>0</v>
      </c>
      <c r="Q91" s="201"/>
    </row>
    <row r="92" spans="1:17" ht="14">
      <c r="A92" s="2"/>
      <c r="B92" s="213"/>
      <c r="C92" s="209"/>
      <c r="D92" s="252"/>
      <c r="E92" s="163" t="str">
        <f t="shared" si="8"/>
        <v/>
      </c>
      <c r="F92" s="164" t="str">
        <f t="shared" si="9"/>
        <v/>
      </c>
      <c r="G92" s="303">
        <f t="shared" si="7"/>
        <v>77</v>
      </c>
      <c r="H92" s="161"/>
      <c r="I92" s="161"/>
      <c r="J92" s="162" t="str">
        <f t="shared" si="10"/>
        <v/>
      </c>
      <c r="K92" s="162" t="str">
        <f t="shared" si="11"/>
        <v/>
      </c>
      <c r="Q92" s="201"/>
    </row>
    <row r="93" spans="1:17" ht="14">
      <c r="A93" s="2"/>
      <c r="B93" s="210" t="s">
        <v>149</v>
      </c>
      <c r="C93" s="208" t="s">
        <v>12</v>
      </c>
      <c r="D93" s="252">
        <f>+(8+11)*3</f>
        <v>57</v>
      </c>
      <c r="E93" s="163">
        <f t="shared" si="8"/>
        <v>0</v>
      </c>
      <c r="F93" s="164">
        <f t="shared" si="9"/>
        <v>0</v>
      </c>
      <c r="G93" s="303">
        <f t="shared" si="7"/>
        <v>78</v>
      </c>
      <c r="H93" s="161"/>
      <c r="I93" s="161"/>
      <c r="J93" s="162">
        <f t="shared" si="10"/>
        <v>0</v>
      </c>
      <c r="K93" s="162">
        <f t="shared" si="11"/>
        <v>0</v>
      </c>
      <c r="Q93" s="201"/>
    </row>
    <row r="94" spans="1:17" ht="14">
      <c r="A94" s="2"/>
      <c r="B94" s="210"/>
      <c r="C94" s="208"/>
      <c r="D94" s="252"/>
      <c r="E94" s="163" t="str">
        <f t="shared" si="8"/>
        <v/>
      </c>
      <c r="F94" s="164" t="str">
        <f t="shared" si="9"/>
        <v/>
      </c>
      <c r="G94" s="303">
        <f t="shared" si="7"/>
        <v>79</v>
      </c>
      <c r="H94" s="161"/>
      <c r="I94" s="161"/>
      <c r="J94" s="162" t="str">
        <f t="shared" si="10"/>
        <v/>
      </c>
      <c r="K94" s="162" t="str">
        <f t="shared" si="11"/>
        <v/>
      </c>
      <c r="Q94" s="201"/>
    </row>
    <row r="95" spans="1:17" ht="25">
      <c r="A95" s="2"/>
      <c r="B95" s="210" t="s">
        <v>150</v>
      </c>
      <c r="C95" s="208" t="s">
        <v>12</v>
      </c>
      <c r="D95" s="252">
        <f>105*10</f>
        <v>1050</v>
      </c>
      <c r="E95" s="163">
        <f t="shared" si="8"/>
        <v>0</v>
      </c>
      <c r="F95" s="164">
        <f t="shared" si="9"/>
        <v>0</v>
      </c>
      <c r="G95" s="303">
        <f t="shared" si="7"/>
        <v>80</v>
      </c>
      <c r="H95" s="161"/>
      <c r="I95" s="161"/>
      <c r="J95" s="162">
        <f t="shared" si="10"/>
        <v>0</v>
      </c>
      <c r="K95" s="162">
        <f t="shared" si="11"/>
        <v>0</v>
      </c>
      <c r="Q95" s="201"/>
    </row>
    <row r="96" spans="1:17" ht="14">
      <c r="A96" s="2"/>
      <c r="B96" s="215"/>
      <c r="C96" s="216"/>
      <c r="D96" s="252"/>
      <c r="E96" s="163" t="str">
        <f t="shared" si="8"/>
        <v/>
      </c>
      <c r="F96" s="164" t="str">
        <f t="shared" si="9"/>
        <v/>
      </c>
      <c r="G96" s="303">
        <f t="shared" si="7"/>
        <v>81</v>
      </c>
      <c r="H96" s="161"/>
      <c r="I96" s="161"/>
      <c r="J96" s="162" t="str">
        <f t="shared" si="10"/>
        <v/>
      </c>
      <c r="K96" s="162" t="str">
        <f t="shared" si="11"/>
        <v/>
      </c>
      <c r="Q96" s="201"/>
    </row>
    <row r="97" spans="1:17" s="218" customFormat="1" ht="14">
      <c r="A97" s="2"/>
      <c r="B97" s="217" t="s">
        <v>103</v>
      </c>
      <c r="C97" s="216"/>
      <c r="D97" s="252"/>
      <c r="E97" s="163" t="str">
        <f t="shared" si="8"/>
        <v/>
      </c>
      <c r="F97" s="164" t="str">
        <f t="shared" si="9"/>
        <v/>
      </c>
      <c r="G97" s="303">
        <f t="shared" si="7"/>
        <v>82</v>
      </c>
      <c r="H97" s="161"/>
      <c r="I97" s="161"/>
      <c r="J97" s="162" t="str">
        <f t="shared" si="10"/>
        <v/>
      </c>
      <c r="K97" s="162" t="str">
        <f t="shared" si="11"/>
        <v/>
      </c>
      <c r="Q97" s="219"/>
    </row>
    <row r="98" spans="1:17" ht="14">
      <c r="A98" s="2"/>
      <c r="B98" s="194"/>
      <c r="C98" s="216"/>
      <c r="D98" s="252"/>
      <c r="E98" s="163" t="str">
        <f t="shared" si="8"/>
        <v/>
      </c>
      <c r="F98" s="164" t="str">
        <f t="shared" si="9"/>
        <v/>
      </c>
      <c r="G98" s="303">
        <f t="shared" si="7"/>
        <v>83</v>
      </c>
      <c r="H98" s="161"/>
      <c r="I98" s="161"/>
      <c r="J98" s="162" t="str">
        <f t="shared" si="10"/>
        <v/>
      </c>
      <c r="K98" s="162" t="str">
        <f t="shared" si="11"/>
        <v/>
      </c>
    </row>
    <row r="99" spans="1:17" ht="14">
      <c r="A99" s="2" t="s">
        <v>4</v>
      </c>
      <c r="B99" s="192" t="s">
        <v>29</v>
      </c>
      <c r="C99" s="216"/>
      <c r="D99" s="252"/>
      <c r="E99" s="163" t="str">
        <f t="shared" si="8"/>
        <v/>
      </c>
      <c r="F99" s="164" t="str">
        <f t="shared" si="9"/>
        <v/>
      </c>
      <c r="G99" s="303">
        <f t="shared" si="7"/>
        <v>84</v>
      </c>
      <c r="H99" s="161"/>
      <c r="I99" s="161"/>
      <c r="J99" s="162" t="str">
        <f t="shared" si="10"/>
        <v/>
      </c>
      <c r="K99" s="162" t="str">
        <f t="shared" si="11"/>
        <v/>
      </c>
    </row>
    <row r="100" spans="1:17" ht="14">
      <c r="A100" s="2"/>
      <c r="B100" s="194"/>
      <c r="C100" s="216"/>
      <c r="D100" s="252"/>
      <c r="E100" s="163" t="str">
        <f t="shared" si="8"/>
        <v/>
      </c>
      <c r="F100" s="164" t="str">
        <f t="shared" si="9"/>
        <v/>
      </c>
      <c r="G100" s="303">
        <f t="shared" si="7"/>
        <v>85</v>
      </c>
      <c r="H100" s="161"/>
      <c r="I100" s="161"/>
      <c r="J100" s="162" t="str">
        <f t="shared" si="10"/>
        <v/>
      </c>
      <c r="K100" s="162" t="str">
        <f t="shared" si="11"/>
        <v/>
      </c>
    </row>
    <row r="101" spans="1:17" ht="14">
      <c r="A101" s="2"/>
      <c r="B101" s="220" t="s">
        <v>14</v>
      </c>
      <c r="C101" s="216" t="s">
        <v>13</v>
      </c>
      <c r="D101" s="252">
        <v>1</v>
      </c>
      <c r="E101" s="163">
        <f t="shared" si="8"/>
        <v>0</v>
      </c>
      <c r="F101" s="164">
        <f t="shared" si="9"/>
        <v>0</v>
      </c>
      <c r="G101" s="303">
        <f t="shared" si="7"/>
        <v>86</v>
      </c>
      <c r="H101" s="161"/>
      <c r="I101" s="161"/>
      <c r="J101" s="162">
        <f t="shared" si="10"/>
        <v>0</v>
      </c>
      <c r="K101" s="162">
        <f t="shared" si="11"/>
        <v>0</v>
      </c>
    </row>
    <row r="102" spans="1:17" ht="14.5">
      <c r="A102" s="2"/>
      <c r="B102" s="220" t="s">
        <v>15</v>
      </c>
      <c r="C102" s="216" t="s">
        <v>12</v>
      </c>
      <c r="D102" s="252">
        <v>1</v>
      </c>
      <c r="E102" s="163">
        <f t="shared" si="8"/>
        <v>0</v>
      </c>
      <c r="F102" s="164">
        <f t="shared" si="9"/>
        <v>0</v>
      </c>
      <c r="G102" s="303">
        <f t="shared" si="7"/>
        <v>87</v>
      </c>
      <c r="H102" s="161"/>
      <c r="I102" s="161"/>
      <c r="J102" s="162">
        <f t="shared" si="10"/>
        <v>0</v>
      </c>
      <c r="K102" s="162">
        <f t="shared" si="11"/>
        <v>0</v>
      </c>
    </row>
    <row r="103" spans="1:17" ht="14">
      <c r="A103" s="2"/>
      <c r="B103" s="220" t="s">
        <v>16</v>
      </c>
      <c r="C103" s="216" t="s">
        <v>12</v>
      </c>
      <c r="D103" s="252">
        <v>1</v>
      </c>
      <c r="E103" s="163">
        <f t="shared" si="8"/>
        <v>0</v>
      </c>
      <c r="F103" s="164">
        <f t="shared" si="9"/>
        <v>0</v>
      </c>
      <c r="G103" s="303">
        <f t="shared" si="7"/>
        <v>88</v>
      </c>
      <c r="H103" s="161"/>
      <c r="I103" s="161"/>
      <c r="J103" s="162">
        <f t="shared" si="10"/>
        <v>0</v>
      </c>
      <c r="K103" s="162">
        <f t="shared" si="11"/>
        <v>0</v>
      </c>
    </row>
    <row r="104" spans="1:17" ht="14">
      <c r="A104" s="2"/>
      <c r="B104" s="220" t="s">
        <v>30</v>
      </c>
      <c r="C104" s="216" t="s">
        <v>12</v>
      </c>
      <c r="D104" s="252">
        <v>1</v>
      </c>
      <c r="E104" s="163">
        <f t="shared" si="8"/>
        <v>0</v>
      </c>
      <c r="F104" s="164">
        <f t="shared" si="9"/>
        <v>0</v>
      </c>
      <c r="G104" s="303">
        <f t="shared" si="7"/>
        <v>89</v>
      </c>
      <c r="H104" s="161"/>
      <c r="I104" s="161"/>
      <c r="J104" s="162">
        <f t="shared" si="10"/>
        <v>0</v>
      </c>
      <c r="K104" s="162">
        <f t="shared" si="11"/>
        <v>0</v>
      </c>
    </row>
    <row r="105" spans="1:17" ht="27">
      <c r="A105" s="2"/>
      <c r="B105" s="221" t="s">
        <v>125</v>
      </c>
      <c r="C105" s="216" t="s">
        <v>13</v>
      </c>
      <c r="D105" s="252">
        <v>105</v>
      </c>
      <c r="E105" s="163">
        <f t="shared" si="8"/>
        <v>0</v>
      </c>
      <c r="F105" s="164">
        <f t="shared" si="9"/>
        <v>0</v>
      </c>
      <c r="G105" s="303">
        <f t="shared" si="7"/>
        <v>90</v>
      </c>
      <c r="H105" s="161"/>
      <c r="I105" s="161"/>
      <c r="J105" s="162">
        <f t="shared" si="10"/>
        <v>0</v>
      </c>
      <c r="K105" s="162">
        <f t="shared" si="11"/>
        <v>0</v>
      </c>
    </row>
    <row r="106" spans="1:17" ht="14">
      <c r="A106" s="2"/>
      <c r="B106" s="221" t="s">
        <v>31</v>
      </c>
      <c r="C106" s="216" t="s">
        <v>13</v>
      </c>
      <c r="D106" s="252">
        <f>QTE!J162-'BATIMENT SOHO-ELEC 1'!D79</f>
        <v>177</v>
      </c>
      <c r="E106" s="163">
        <f t="shared" si="8"/>
        <v>0</v>
      </c>
      <c r="F106" s="164">
        <f t="shared" si="9"/>
        <v>0</v>
      </c>
      <c r="G106" s="303">
        <f t="shared" si="7"/>
        <v>91</v>
      </c>
      <c r="H106" s="161"/>
      <c r="I106" s="161"/>
      <c r="J106" s="162">
        <f t="shared" si="10"/>
        <v>0</v>
      </c>
      <c r="K106" s="162">
        <f t="shared" si="11"/>
        <v>0</v>
      </c>
    </row>
    <row r="107" spans="1:17" ht="14">
      <c r="A107" s="2"/>
      <c r="B107" s="194"/>
      <c r="C107" s="216"/>
      <c r="D107" s="252"/>
      <c r="E107" s="163" t="str">
        <f t="shared" si="8"/>
        <v/>
      </c>
      <c r="F107" s="164" t="str">
        <f t="shared" si="9"/>
        <v/>
      </c>
      <c r="G107" s="303">
        <f t="shared" si="7"/>
        <v>92</v>
      </c>
      <c r="H107" s="161"/>
      <c r="I107" s="161"/>
      <c r="J107" s="162" t="str">
        <f t="shared" si="10"/>
        <v/>
      </c>
      <c r="K107" s="162" t="str">
        <f t="shared" si="11"/>
        <v/>
      </c>
    </row>
    <row r="108" spans="1:17" s="218" customFormat="1" ht="14">
      <c r="A108" s="2"/>
      <c r="B108" s="217" t="s">
        <v>106</v>
      </c>
      <c r="C108" s="216"/>
      <c r="D108" s="252"/>
      <c r="E108" s="163" t="str">
        <f t="shared" si="8"/>
        <v/>
      </c>
      <c r="F108" s="164" t="str">
        <f t="shared" si="9"/>
        <v/>
      </c>
      <c r="G108" s="303">
        <f t="shared" si="7"/>
        <v>93</v>
      </c>
      <c r="H108" s="161"/>
      <c r="I108" s="161"/>
      <c r="J108" s="162" t="str">
        <f t="shared" si="10"/>
        <v/>
      </c>
      <c r="K108" s="162" t="str">
        <f t="shared" si="11"/>
        <v/>
      </c>
      <c r="Q108" s="219"/>
    </row>
    <row r="109" spans="1:17" ht="14">
      <c r="A109" s="2"/>
      <c r="B109" s="194"/>
      <c r="C109" s="216"/>
      <c r="D109" s="252"/>
      <c r="E109" s="163" t="str">
        <f t="shared" si="8"/>
        <v/>
      </c>
      <c r="F109" s="164" t="str">
        <f t="shared" si="9"/>
        <v/>
      </c>
      <c r="G109" s="303">
        <f t="shared" si="7"/>
        <v>94</v>
      </c>
      <c r="H109" s="161"/>
      <c r="I109" s="161"/>
      <c r="J109" s="162" t="str">
        <f t="shared" si="10"/>
        <v/>
      </c>
      <c r="K109" s="162" t="str">
        <f t="shared" si="11"/>
        <v/>
      </c>
    </row>
    <row r="110" spans="1:17" ht="14">
      <c r="A110" s="2" t="s">
        <v>5</v>
      </c>
      <c r="B110" s="222" t="s">
        <v>157</v>
      </c>
      <c r="C110" s="189"/>
      <c r="D110" s="252"/>
      <c r="E110" s="163" t="str">
        <f t="shared" si="8"/>
        <v/>
      </c>
      <c r="F110" s="164" t="str">
        <f t="shared" si="9"/>
        <v/>
      </c>
      <c r="G110" s="303">
        <f t="shared" si="7"/>
        <v>95</v>
      </c>
      <c r="H110" s="161"/>
      <c r="I110" s="161"/>
      <c r="J110" s="162" t="str">
        <f t="shared" si="10"/>
        <v/>
      </c>
      <c r="K110" s="162" t="str">
        <f t="shared" si="11"/>
        <v/>
      </c>
    </row>
    <row r="111" spans="1:17" ht="14">
      <c r="A111" s="2"/>
      <c r="B111" s="222"/>
      <c r="C111" s="189"/>
      <c r="D111" s="252"/>
      <c r="E111" s="163" t="str">
        <f t="shared" si="8"/>
        <v/>
      </c>
      <c r="F111" s="164" t="str">
        <f t="shared" si="9"/>
        <v/>
      </c>
      <c r="G111" s="303">
        <f t="shared" si="7"/>
        <v>96</v>
      </c>
      <c r="H111" s="161"/>
      <c r="I111" s="161"/>
      <c r="J111" s="162" t="str">
        <f t="shared" si="10"/>
        <v/>
      </c>
      <c r="K111" s="162" t="str">
        <f t="shared" si="11"/>
        <v/>
      </c>
    </row>
    <row r="112" spans="1:17" ht="14">
      <c r="A112" s="2"/>
      <c r="B112" s="223" t="s">
        <v>158</v>
      </c>
      <c r="C112" s="189"/>
      <c r="D112" s="252"/>
      <c r="E112" s="163" t="str">
        <f t="shared" si="8"/>
        <v/>
      </c>
      <c r="F112" s="164" t="str">
        <f t="shared" si="9"/>
        <v/>
      </c>
      <c r="G112" s="303">
        <f t="shared" si="7"/>
        <v>97</v>
      </c>
      <c r="H112" s="161"/>
      <c r="I112" s="161"/>
      <c r="J112" s="162" t="str">
        <f t="shared" si="10"/>
        <v/>
      </c>
      <c r="K112" s="162" t="str">
        <f t="shared" si="11"/>
        <v/>
      </c>
    </row>
    <row r="113" spans="1:11" ht="14">
      <c r="A113" s="2"/>
      <c r="B113" s="224" t="s">
        <v>80</v>
      </c>
      <c r="C113" s="189" t="s">
        <v>1</v>
      </c>
      <c r="D113" s="252"/>
      <c r="E113" s="163" t="str">
        <f t="shared" si="8"/>
        <v/>
      </c>
      <c r="F113" s="164" t="str">
        <f t="shared" si="9"/>
        <v/>
      </c>
      <c r="G113" s="303">
        <f t="shared" si="7"/>
        <v>98</v>
      </c>
      <c r="H113" s="161"/>
      <c r="I113" s="161"/>
      <c r="J113" s="162" t="str">
        <f t="shared" si="10"/>
        <v/>
      </c>
      <c r="K113" s="162" t="str">
        <f t="shared" si="11"/>
        <v/>
      </c>
    </row>
    <row r="114" spans="1:11" ht="14">
      <c r="A114" s="2"/>
      <c r="B114" s="224" t="s">
        <v>81</v>
      </c>
      <c r="C114" s="189" t="s">
        <v>1</v>
      </c>
      <c r="D114" s="252">
        <f>(50+72+16)+(48.5*2)</f>
        <v>235</v>
      </c>
      <c r="E114" s="163">
        <f t="shared" si="8"/>
        <v>0</v>
      </c>
      <c r="F114" s="164">
        <f t="shared" si="9"/>
        <v>0</v>
      </c>
      <c r="G114" s="303">
        <f t="shared" si="7"/>
        <v>99</v>
      </c>
      <c r="H114" s="161"/>
      <c r="I114" s="161"/>
      <c r="J114" s="162">
        <f t="shared" si="10"/>
        <v>0</v>
      </c>
      <c r="K114" s="162">
        <f t="shared" si="11"/>
        <v>0</v>
      </c>
    </row>
    <row r="115" spans="1:11" ht="14">
      <c r="A115" s="2"/>
      <c r="B115" s="224" t="s">
        <v>82</v>
      </c>
      <c r="C115" s="189" t="s">
        <v>1</v>
      </c>
      <c r="D115" s="252">
        <f>(35)+22.5</f>
        <v>57.5</v>
      </c>
      <c r="E115" s="163">
        <f t="shared" si="8"/>
        <v>0</v>
      </c>
      <c r="F115" s="164">
        <f t="shared" si="9"/>
        <v>0</v>
      </c>
      <c r="G115" s="303">
        <f t="shared" si="7"/>
        <v>100</v>
      </c>
      <c r="H115" s="161"/>
      <c r="I115" s="161"/>
      <c r="J115" s="162">
        <f t="shared" si="10"/>
        <v>0</v>
      </c>
      <c r="K115" s="162">
        <f t="shared" si="11"/>
        <v>0</v>
      </c>
    </row>
    <row r="116" spans="1:11" ht="14">
      <c r="A116" s="2"/>
      <c r="B116" s="224" t="s">
        <v>220</v>
      </c>
      <c r="C116" s="225" t="s">
        <v>257</v>
      </c>
      <c r="D116" s="252"/>
      <c r="E116" s="163" t="str">
        <f t="shared" si="8"/>
        <v/>
      </c>
      <c r="F116" s="164" t="str">
        <f t="shared" si="9"/>
        <v/>
      </c>
      <c r="G116" s="303">
        <f t="shared" si="7"/>
        <v>101</v>
      </c>
      <c r="H116" s="161"/>
      <c r="I116" s="161"/>
      <c r="J116" s="162" t="str">
        <f t="shared" si="10"/>
        <v/>
      </c>
      <c r="K116" s="162" t="str">
        <f t="shared" si="11"/>
        <v/>
      </c>
    </row>
    <row r="117" spans="1:11" ht="14">
      <c r="A117" s="2"/>
      <c r="B117" s="224" t="s">
        <v>160</v>
      </c>
      <c r="C117" s="189" t="s">
        <v>1</v>
      </c>
      <c r="D117" s="252">
        <f>(8+11)*3.5</f>
        <v>66.5</v>
      </c>
      <c r="E117" s="163">
        <f t="shared" si="8"/>
        <v>0</v>
      </c>
      <c r="F117" s="164">
        <f t="shared" si="9"/>
        <v>0</v>
      </c>
      <c r="G117" s="303">
        <f t="shared" si="7"/>
        <v>102</v>
      </c>
      <c r="H117" s="161"/>
      <c r="I117" s="161"/>
      <c r="J117" s="162">
        <f t="shared" si="10"/>
        <v>0</v>
      </c>
      <c r="K117" s="162">
        <f t="shared" si="11"/>
        <v>0</v>
      </c>
    </row>
    <row r="118" spans="1:11" ht="14">
      <c r="A118" s="2"/>
      <c r="B118" s="224" t="s">
        <v>83</v>
      </c>
      <c r="C118" s="189" t="s">
        <v>12</v>
      </c>
      <c r="D118" s="252">
        <v>1</v>
      </c>
      <c r="E118" s="163">
        <f t="shared" si="8"/>
        <v>0</v>
      </c>
      <c r="F118" s="164">
        <f t="shared" si="9"/>
        <v>0</v>
      </c>
      <c r="G118" s="303">
        <f t="shared" si="7"/>
        <v>103</v>
      </c>
      <c r="H118" s="161"/>
      <c r="I118" s="161"/>
      <c r="J118" s="162">
        <f t="shared" si="10"/>
        <v>0</v>
      </c>
      <c r="K118" s="162">
        <f t="shared" si="11"/>
        <v>0</v>
      </c>
    </row>
    <row r="119" spans="1:11" ht="14">
      <c r="A119" s="2"/>
      <c r="B119" s="224"/>
      <c r="C119" s="189"/>
      <c r="D119" s="252"/>
      <c r="E119" s="163" t="str">
        <f t="shared" si="8"/>
        <v/>
      </c>
      <c r="F119" s="164" t="str">
        <f t="shared" si="9"/>
        <v/>
      </c>
      <c r="G119" s="303">
        <f t="shared" si="7"/>
        <v>104</v>
      </c>
      <c r="H119" s="161"/>
      <c r="I119" s="161"/>
      <c r="J119" s="162" t="str">
        <f t="shared" si="10"/>
        <v/>
      </c>
      <c r="K119" s="162" t="str">
        <f t="shared" si="11"/>
        <v/>
      </c>
    </row>
    <row r="120" spans="1:11" ht="14">
      <c r="A120" s="2"/>
      <c r="B120" s="223" t="s">
        <v>159</v>
      </c>
      <c r="C120" s="189"/>
      <c r="D120" s="252"/>
      <c r="E120" s="163" t="str">
        <f t="shared" si="8"/>
        <v/>
      </c>
      <c r="F120" s="164" t="str">
        <f t="shared" si="9"/>
        <v/>
      </c>
      <c r="G120" s="303">
        <f t="shared" si="7"/>
        <v>105</v>
      </c>
      <c r="H120" s="161"/>
      <c r="I120" s="161"/>
      <c r="J120" s="162" t="str">
        <f t="shared" si="10"/>
        <v/>
      </c>
      <c r="K120" s="162" t="str">
        <f t="shared" si="11"/>
        <v/>
      </c>
    </row>
    <row r="121" spans="1:11" ht="14">
      <c r="A121" s="2"/>
      <c r="B121" s="224" t="s">
        <v>81</v>
      </c>
      <c r="C121" s="189" t="s">
        <v>1</v>
      </c>
      <c r="D121" s="252"/>
      <c r="E121" s="163" t="str">
        <f t="shared" si="8"/>
        <v/>
      </c>
      <c r="F121" s="164" t="str">
        <f t="shared" si="9"/>
        <v/>
      </c>
      <c r="G121" s="303">
        <f t="shared" si="7"/>
        <v>106</v>
      </c>
      <c r="H121" s="161"/>
      <c r="I121" s="161"/>
      <c r="J121" s="162" t="str">
        <f t="shared" si="10"/>
        <v/>
      </c>
      <c r="K121" s="162" t="str">
        <f t="shared" si="11"/>
        <v/>
      </c>
    </row>
    <row r="122" spans="1:11" ht="14">
      <c r="A122" s="2"/>
      <c r="B122" s="224" t="s">
        <v>82</v>
      </c>
      <c r="C122" s="189" t="s">
        <v>1</v>
      </c>
      <c r="D122" s="252">
        <f>(113)</f>
        <v>113</v>
      </c>
      <c r="E122" s="163">
        <f t="shared" si="8"/>
        <v>0</v>
      </c>
      <c r="F122" s="164">
        <f t="shared" si="9"/>
        <v>0</v>
      </c>
      <c r="G122" s="303">
        <f t="shared" si="7"/>
        <v>107</v>
      </c>
      <c r="H122" s="161"/>
      <c r="I122" s="161"/>
      <c r="J122" s="162">
        <f t="shared" si="10"/>
        <v>0</v>
      </c>
      <c r="K122" s="162">
        <f t="shared" si="11"/>
        <v>0</v>
      </c>
    </row>
    <row r="123" spans="1:11" ht="14">
      <c r="A123" s="2"/>
      <c r="B123" s="224" t="s">
        <v>160</v>
      </c>
      <c r="C123" s="189" t="s">
        <v>1</v>
      </c>
      <c r="D123" s="252">
        <f>(8+11)*3.5</f>
        <v>66.5</v>
      </c>
      <c r="E123" s="163">
        <f t="shared" si="8"/>
        <v>0</v>
      </c>
      <c r="F123" s="164">
        <f t="shared" si="9"/>
        <v>0</v>
      </c>
      <c r="G123" s="303">
        <f t="shared" si="7"/>
        <v>108</v>
      </c>
      <c r="H123" s="161"/>
      <c r="I123" s="161"/>
      <c r="J123" s="162">
        <f t="shared" si="10"/>
        <v>0</v>
      </c>
      <c r="K123" s="162">
        <f t="shared" si="11"/>
        <v>0</v>
      </c>
    </row>
    <row r="124" spans="1:11" ht="14">
      <c r="A124" s="2"/>
      <c r="B124" s="224" t="s">
        <v>83</v>
      </c>
      <c r="C124" s="189" t="s">
        <v>12</v>
      </c>
      <c r="D124" s="252">
        <v>1</v>
      </c>
      <c r="E124" s="163">
        <f t="shared" si="8"/>
        <v>0</v>
      </c>
      <c r="F124" s="164">
        <f t="shared" si="9"/>
        <v>0</v>
      </c>
      <c r="G124" s="303">
        <f t="shared" si="7"/>
        <v>109</v>
      </c>
      <c r="H124" s="161"/>
      <c r="I124" s="161"/>
      <c r="J124" s="162">
        <f t="shared" si="10"/>
        <v>0</v>
      </c>
      <c r="K124" s="162">
        <f t="shared" si="11"/>
        <v>0</v>
      </c>
    </row>
    <row r="125" spans="1:11" ht="14">
      <c r="A125" s="2"/>
      <c r="B125" s="224"/>
      <c r="C125" s="189"/>
      <c r="D125" s="252"/>
      <c r="E125" s="163" t="str">
        <f t="shared" si="8"/>
        <v/>
      </c>
      <c r="F125" s="164" t="str">
        <f t="shared" si="9"/>
        <v/>
      </c>
      <c r="G125" s="303">
        <f t="shared" si="7"/>
        <v>110</v>
      </c>
      <c r="H125" s="161"/>
      <c r="I125" s="161"/>
      <c r="J125" s="162" t="str">
        <f t="shared" si="10"/>
        <v/>
      </c>
      <c r="K125" s="162" t="str">
        <f t="shared" si="11"/>
        <v/>
      </c>
    </row>
    <row r="126" spans="1:11" ht="14">
      <c r="A126" s="2"/>
      <c r="B126" s="226" t="s">
        <v>107</v>
      </c>
      <c r="C126" s="216"/>
      <c r="D126" s="252"/>
      <c r="E126" s="163" t="str">
        <f t="shared" si="8"/>
        <v/>
      </c>
      <c r="F126" s="164" t="str">
        <f t="shared" si="9"/>
        <v/>
      </c>
      <c r="G126" s="303">
        <f t="shared" si="7"/>
        <v>111</v>
      </c>
      <c r="H126" s="161"/>
      <c r="I126" s="161"/>
      <c r="J126" s="162" t="str">
        <f t="shared" si="10"/>
        <v/>
      </c>
      <c r="K126" s="162" t="str">
        <f t="shared" si="11"/>
        <v/>
      </c>
    </row>
    <row r="127" spans="1:11" ht="14">
      <c r="A127" s="2"/>
      <c r="B127" s="227"/>
      <c r="C127" s="216"/>
      <c r="D127" s="252"/>
      <c r="E127" s="163" t="str">
        <f t="shared" si="8"/>
        <v/>
      </c>
      <c r="F127" s="164" t="str">
        <f t="shared" si="9"/>
        <v/>
      </c>
      <c r="G127" s="303">
        <f t="shared" si="7"/>
        <v>112</v>
      </c>
      <c r="H127" s="161"/>
      <c r="I127" s="161"/>
      <c r="J127" s="162" t="str">
        <f t="shared" si="10"/>
        <v/>
      </c>
      <c r="K127" s="162" t="str">
        <f t="shared" si="11"/>
        <v/>
      </c>
    </row>
    <row r="128" spans="1:11" ht="14">
      <c r="A128" s="2" t="s">
        <v>28</v>
      </c>
      <c r="B128" s="222" t="s">
        <v>73</v>
      </c>
      <c r="C128" s="216"/>
      <c r="D128" s="252"/>
      <c r="E128" s="163" t="str">
        <f t="shared" si="8"/>
        <v/>
      </c>
      <c r="F128" s="164" t="str">
        <f t="shared" si="9"/>
        <v/>
      </c>
      <c r="G128" s="303">
        <f t="shared" si="7"/>
        <v>113</v>
      </c>
      <c r="H128" s="161"/>
      <c r="I128" s="161"/>
      <c r="J128" s="162" t="str">
        <f t="shared" si="10"/>
        <v/>
      </c>
      <c r="K128" s="162" t="str">
        <f t="shared" si="11"/>
        <v/>
      </c>
    </row>
    <row r="129" spans="1:17" ht="14">
      <c r="A129" s="2"/>
      <c r="B129" s="227"/>
      <c r="C129" s="216"/>
      <c r="D129" s="252"/>
      <c r="E129" s="163" t="str">
        <f t="shared" si="8"/>
        <v/>
      </c>
      <c r="F129" s="164" t="str">
        <f t="shared" si="9"/>
        <v/>
      </c>
      <c r="G129" s="303">
        <f t="shared" si="7"/>
        <v>114</v>
      </c>
      <c r="H129" s="161"/>
      <c r="I129" s="161"/>
      <c r="J129" s="162" t="str">
        <f t="shared" si="10"/>
        <v/>
      </c>
      <c r="K129" s="162" t="str">
        <f t="shared" si="11"/>
        <v/>
      </c>
    </row>
    <row r="130" spans="1:17" ht="25">
      <c r="A130" s="2"/>
      <c r="B130" s="221" t="s">
        <v>224</v>
      </c>
      <c r="C130" s="193" t="s">
        <v>12</v>
      </c>
      <c r="D130" s="252">
        <v>1</v>
      </c>
      <c r="E130" s="163">
        <f t="shared" si="8"/>
        <v>0</v>
      </c>
      <c r="F130" s="164">
        <f t="shared" si="9"/>
        <v>0</v>
      </c>
      <c r="G130" s="303">
        <f t="shared" si="7"/>
        <v>115</v>
      </c>
      <c r="H130" s="161"/>
      <c r="I130" s="161"/>
      <c r="J130" s="162">
        <f t="shared" si="10"/>
        <v>0</v>
      </c>
      <c r="K130" s="162">
        <f t="shared" si="11"/>
        <v>0</v>
      </c>
    </row>
    <row r="131" spans="1:17" ht="25">
      <c r="A131" s="2"/>
      <c r="B131" s="221" t="s">
        <v>221</v>
      </c>
      <c r="C131" s="193" t="s">
        <v>12</v>
      </c>
      <c r="D131" s="252">
        <v>1</v>
      </c>
      <c r="E131" s="163">
        <f t="shared" si="8"/>
        <v>0</v>
      </c>
      <c r="F131" s="164">
        <f t="shared" si="9"/>
        <v>0</v>
      </c>
      <c r="G131" s="303">
        <f t="shared" si="7"/>
        <v>116</v>
      </c>
      <c r="H131" s="161"/>
      <c r="I131" s="161"/>
      <c r="J131" s="162">
        <f t="shared" si="10"/>
        <v>0</v>
      </c>
      <c r="K131" s="162">
        <f t="shared" si="11"/>
        <v>0</v>
      </c>
    </row>
    <row r="132" spans="1:17" ht="25">
      <c r="A132" s="2"/>
      <c r="B132" s="221" t="s">
        <v>222</v>
      </c>
      <c r="C132" s="193" t="s">
        <v>12</v>
      </c>
      <c r="D132" s="252">
        <v>1</v>
      </c>
      <c r="E132" s="163">
        <f t="shared" si="8"/>
        <v>0</v>
      </c>
      <c r="F132" s="164">
        <f t="shared" si="9"/>
        <v>0</v>
      </c>
      <c r="G132" s="303">
        <f t="shared" si="7"/>
        <v>117</v>
      </c>
      <c r="H132" s="161"/>
      <c r="I132" s="161"/>
      <c r="J132" s="162">
        <f t="shared" si="10"/>
        <v>0</v>
      </c>
      <c r="K132" s="162">
        <f t="shared" si="11"/>
        <v>0</v>
      </c>
    </row>
    <row r="133" spans="1:17" ht="14">
      <c r="A133" s="2"/>
      <c r="B133" s="221"/>
      <c r="C133" s="193"/>
      <c r="D133" s="252"/>
      <c r="E133" s="163" t="str">
        <f t="shared" si="8"/>
        <v/>
      </c>
      <c r="F133" s="164" t="str">
        <f t="shared" si="9"/>
        <v/>
      </c>
      <c r="G133" s="303">
        <f t="shared" si="7"/>
        <v>118</v>
      </c>
      <c r="H133" s="161"/>
      <c r="I133" s="161"/>
      <c r="J133" s="162" t="str">
        <f t="shared" si="10"/>
        <v/>
      </c>
      <c r="K133" s="162" t="str">
        <f t="shared" si="11"/>
        <v/>
      </c>
    </row>
    <row r="134" spans="1:17" ht="33" customHeight="1">
      <c r="A134" s="2"/>
      <c r="B134" s="221" t="s">
        <v>225</v>
      </c>
      <c r="C134" s="193" t="s">
        <v>12</v>
      </c>
      <c r="D134" s="252">
        <v>1</v>
      </c>
      <c r="E134" s="163">
        <f t="shared" si="8"/>
        <v>0</v>
      </c>
      <c r="F134" s="164">
        <f t="shared" si="9"/>
        <v>0</v>
      </c>
      <c r="G134" s="303">
        <f t="shared" si="7"/>
        <v>119</v>
      </c>
      <c r="H134" s="161"/>
      <c r="I134" s="161"/>
      <c r="J134" s="162">
        <f t="shared" si="10"/>
        <v>0</v>
      </c>
      <c r="K134" s="162">
        <f t="shared" si="11"/>
        <v>0</v>
      </c>
    </row>
    <row r="135" spans="1:17" ht="33" customHeight="1">
      <c r="A135" s="2"/>
      <c r="B135" s="221" t="s">
        <v>226</v>
      </c>
      <c r="C135" s="193" t="s">
        <v>12</v>
      </c>
      <c r="D135" s="252">
        <v>1</v>
      </c>
      <c r="E135" s="163">
        <f t="shared" si="8"/>
        <v>0</v>
      </c>
      <c r="F135" s="164">
        <f t="shared" si="9"/>
        <v>0</v>
      </c>
      <c r="G135" s="303">
        <f t="shared" si="7"/>
        <v>120</v>
      </c>
      <c r="H135" s="161"/>
      <c r="I135" s="161"/>
      <c r="J135" s="162">
        <f t="shared" si="10"/>
        <v>0</v>
      </c>
      <c r="K135" s="162">
        <f t="shared" si="11"/>
        <v>0</v>
      </c>
    </row>
    <row r="136" spans="1:17" ht="33" customHeight="1">
      <c r="A136" s="2"/>
      <c r="B136" s="228" t="s">
        <v>74</v>
      </c>
      <c r="C136" s="216" t="s">
        <v>12</v>
      </c>
      <c r="D136" s="252">
        <v>1</v>
      </c>
      <c r="E136" s="163">
        <f t="shared" si="8"/>
        <v>0</v>
      </c>
      <c r="F136" s="164">
        <f t="shared" si="9"/>
        <v>0</v>
      </c>
      <c r="G136" s="303">
        <f t="shared" si="7"/>
        <v>121</v>
      </c>
      <c r="H136" s="161"/>
      <c r="I136" s="161"/>
      <c r="J136" s="162">
        <f t="shared" si="10"/>
        <v>0</v>
      </c>
      <c r="K136" s="162">
        <f t="shared" si="11"/>
        <v>0</v>
      </c>
    </row>
    <row r="137" spans="1:17" ht="14">
      <c r="A137" s="2"/>
      <c r="B137" s="228"/>
      <c r="C137" s="216"/>
      <c r="D137" s="252"/>
      <c r="E137" s="163" t="str">
        <f t="shared" si="8"/>
        <v/>
      </c>
      <c r="F137" s="164" t="str">
        <f t="shared" si="9"/>
        <v/>
      </c>
      <c r="G137" s="303">
        <f t="shared" si="7"/>
        <v>122</v>
      </c>
      <c r="H137" s="161"/>
      <c r="I137" s="161"/>
      <c r="J137" s="162" t="str">
        <f t="shared" si="10"/>
        <v/>
      </c>
      <c r="K137" s="162" t="str">
        <f t="shared" si="11"/>
        <v/>
      </c>
    </row>
    <row r="138" spans="1:17" ht="14">
      <c r="A138" s="2"/>
      <c r="B138" s="217" t="s">
        <v>108</v>
      </c>
      <c r="C138" s="216"/>
      <c r="D138" s="252"/>
      <c r="E138" s="163" t="str">
        <f t="shared" si="8"/>
        <v/>
      </c>
      <c r="F138" s="164" t="str">
        <f t="shared" si="9"/>
        <v/>
      </c>
      <c r="G138" s="303">
        <f t="shared" si="7"/>
        <v>123</v>
      </c>
      <c r="H138" s="161"/>
      <c r="I138" s="161"/>
      <c r="J138" s="162" t="str">
        <f t="shared" si="10"/>
        <v/>
      </c>
      <c r="K138" s="162" t="str">
        <f t="shared" si="11"/>
        <v/>
      </c>
    </row>
    <row r="139" spans="1:17" ht="14">
      <c r="A139" s="2"/>
      <c r="B139" s="228"/>
      <c r="C139" s="216"/>
      <c r="D139" s="252"/>
      <c r="E139" s="163" t="str">
        <f t="shared" si="8"/>
        <v/>
      </c>
      <c r="F139" s="164" t="str">
        <f t="shared" si="9"/>
        <v/>
      </c>
      <c r="G139" s="303">
        <f t="shared" si="7"/>
        <v>124</v>
      </c>
      <c r="H139" s="161"/>
      <c r="I139" s="161"/>
      <c r="J139" s="162" t="str">
        <f t="shared" si="10"/>
        <v/>
      </c>
      <c r="K139" s="162" t="str">
        <f t="shared" si="11"/>
        <v/>
      </c>
    </row>
    <row r="140" spans="1:17" ht="14">
      <c r="A140" s="2" t="s">
        <v>75</v>
      </c>
      <c r="B140" s="222" t="s">
        <v>258</v>
      </c>
      <c r="C140" s="216"/>
      <c r="D140" s="252"/>
      <c r="E140" s="163" t="str">
        <f t="shared" si="8"/>
        <v/>
      </c>
      <c r="F140" s="164" t="str">
        <f t="shared" si="9"/>
        <v/>
      </c>
      <c r="G140" s="303">
        <f t="shared" si="7"/>
        <v>125</v>
      </c>
      <c r="H140" s="161"/>
      <c r="I140" s="161"/>
      <c r="J140" s="162" t="str">
        <f t="shared" si="10"/>
        <v/>
      </c>
      <c r="K140" s="162" t="str">
        <f t="shared" si="11"/>
        <v/>
      </c>
    </row>
    <row r="141" spans="1:17" ht="14">
      <c r="A141" s="2"/>
      <c r="B141" s="229"/>
      <c r="C141" s="216"/>
      <c r="D141" s="252"/>
      <c r="E141" s="163" t="str">
        <f t="shared" si="8"/>
        <v/>
      </c>
      <c r="F141" s="164" t="str">
        <f t="shared" si="9"/>
        <v/>
      </c>
      <c r="G141" s="303">
        <f t="shared" si="7"/>
        <v>126</v>
      </c>
      <c r="H141" s="161"/>
      <c r="I141" s="161"/>
      <c r="J141" s="162" t="str">
        <f t="shared" si="10"/>
        <v/>
      </c>
      <c r="K141" s="162" t="str">
        <f t="shared" si="11"/>
        <v/>
      </c>
    </row>
    <row r="142" spans="1:17" ht="14">
      <c r="A142" s="2"/>
      <c r="B142" s="206" t="s">
        <v>259</v>
      </c>
      <c r="C142" s="193" t="s">
        <v>12</v>
      </c>
      <c r="D142" s="252">
        <v>3</v>
      </c>
      <c r="E142" s="163">
        <f t="shared" si="8"/>
        <v>0</v>
      </c>
      <c r="F142" s="164">
        <f t="shared" si="9"/>
        <v>0</v>
      </c>
      <c r="G142" s="303">
        <f t="shared" si="7"/>
        <v>127</v>
      </c>
      <c r="H142" s="161"/>
      <c r="I142" s="161"/>
      <c r="J142" s="162">
        <f t="shared" si="10"/>
        <v>0</v>
      </c>
      <c r="K142" s="162">
        <f t="shared" si="11"/>
        <v>0</v>
      </c>
      <c r="L142" s="248" t="s">
        <v>526</v>
      </c>
    </row>
    <row r="143" spans="1:17" ht="14">
      <c r="A143" s="2"/>
      <c r="B143" s="229"/>
      <c r="C143" s="216"/>
      <c r="D143" s="252"/>
      <c r="E143" s="163" t="str">
        <f t="shared" si="8"/>
        <v/>
      </c>
      <c r="F143" s="164" t="str">
        <f t="shared" si="9"/>
        <v/>
      </c>
      <c r="G143" s="303">
        <f t="shared" si="7"/>
        <v>128</v>
      </c>
      <c r="H143" s="161"/>
      <c r="I143" s="161"/>
      <c r="J143" s="162" t="str">
        <f t="shared" si="10"/>
        <v/>
      </c>
      <c r="K143" s="162" t="str">
        <f t="shared" si="11"/>
        <v/>
      </c>
    </row>
    <row r="144" spans="1:17" s="218" customFormat="1" ht="14">
      <c r="A144" s="2"/>
      <c r="B144" s="226" t="s">
        <v>109</v>
      </c>
      <c r="C144" s="216"/>
      <c r="D144" s="252"/>
      <c r="E144" s="163" t="str">
        <f t="shared" si="8"/>
        <v/>
      </c>
      <c r="F144" s="164" t="str">
        <f t="shared" si="9"/>
        <v/>
      </c>
      <c r="G144" s="303">
        <f t="shared" si="7"/>
        <v>129</v>
      </c>
      <c r="H144" s="161"/>
      <c r="I144" s="161"/>
      <c r="J144" s="162" t="str">
        <f t="shared" si="10"/>
        <v/>
      </c>
      <c r="K144" s="162" t="str">
        <f t="shared" si="11"/>
        <v/>
      </c>
      <c r="Q144" s="219"/>
    </row>
    <row r="145" spans="1:11" ht="14">
      <c r="A145" s="2"/>
      <c r="B145" s="227"/>
      <c r="C145" s="216"/>
      <c r="D145" s="252"/>
      <c r="E145" s="163" t="str">
        <f t="shared" si="8"/>
        <v/>
      </c>
      <c r="F145" s="164" t="str">
        <f t="shared" si="9"/>
        <v/>
      </c>
      <c r="G145" s="303">
        <f t="shared" si="7"/>
        <v>130</v>
      </c>
      <c r="H145" s="161"/>
      <c r="I145" s="161"/>
      <c r="J145" s="162" t="str">
        <f t="shared" si="10"/>
        <v/>
      </c>
      <c r="K145" s="162" t="str">
        <f t="shared" si="11"/>
        <v/>
      </c>
    </row>
    <row r="146" spans="1:11" ht="14">
      <c r="A146" s="2" t="s">
        <v>78</v>
      </c>
      <c r="B146" s="222" t="s">
        <v>34</v>
      </c>
      <c r="C146" s="216"/>
      <c r="D146" s="252"/>
      <c r="E146" s="163" t="str">
        <f t="shared" si="8"/>
        <v/>
      </c>
      <c r="F146" s="164" t="str">
        <f t="shared" si="9"/>
        <v/>
      </c>
      <c r="G146" s="303">
        <f t="shared" ref="G146:G209" si="12">G145+1</f>
        <v>131</v>
      </c>
      <c r="H146" s="161"/>
      <c r="I146" s="161"/>
      <c r="J146" s="162" t="str">
        <f t="shared" si="10"/>
        <v/>
      </c>
      <c r="K146" s="162" t="str">
        <f t="shared" si="11"/>
        <v/>
      </c>
    </row>
    <row r="147" spans="1:11" ht="14">
      <c r="A147" s="2"/>
      <c r="B147" s="224"/>
      <c r="C147" s="216"/>
      <c r="D147" s="252"/>
      <c r="E147" s="163" t="str">
        <f t="shared" si="8"/>
        <v/>
      </c>
      <c r="F147" s="164" t="str">
        <f t="shared" si="9"/>
        <v/>
      </c>
      <c r="G147" s="303">
        <f t="shared" si="12"/>
        <v>132</v>
      </c>
      <c r="H147" s="161"/>
      <c r="I147" s="161"/>
      <c r="J147" s="162" t="str">
        <f t="shared" si="10"/>
        <v/>
      </c>
      <c r="K147" s="162" t="str">
        <f t="shared" si="11"/>
        <v/>
      </c>
    </row>
    <row r="148" spans="1:11" ht="14">
      <c r="A148" s="2" t="s">
        <v>561</v>
      </c>
      <c r="B148" s="224" t="s">
        <v>241</v>
      </c>
      <c r="C148" s="216" t="s">
        <v>12</v>
      </c>
      <c r="D148" s="252">
        <v>1</v>
      </c>
      <c r="E148" s="163">
        <f t="shared" si="8"/>
        <v>0</v>
      </c>
      <c r="F148" s="164">
        <f t="shared" si="9"/>
        <v>0</v>
      </c>
      <c r="G148" s="303">
        <f t="shared" si="12"/>
        <v>133</v>
      </c>
      <c r="H148" s="161"/>
      <c r="I148" s="161"/>
      <c r="J148" s="162">
        <f t="shared" si="10"/>
        <v>0</v>
      </c>
      <c r="K148" s="162">
        <f t="shared" si="11"/>
        <v>0</v>
      </c>
    </row>
    <row r="149" spans="1:11" ht="14">
      <c r="A149" s="2" t="s">
        <v>561</v>
      </c>
      <c r="B149" s="224" t="s">
        <v>242</v>
      </c>
      <c r="C149" s="216" t="s">
        <v>12</v>
      </c>
      <c r="D149" s="252">
        <v>1</v>
      </c>
      <c r="E149" s="163">
        <f t="shared" si="8"/>
        <v>0</v>
      </c>
      <c r="F149" s="164">
        <f t="shared" si="9"/>
        <v>0</v>
      </c>
      <c r="G149" s="303">
        <f t="shared" si="12"/>
        <v>134</v>
      </c>
      <c r="H149" s="161"/>
      <c r="I149" s="161"/>
      <c r="J149" s="162">
        <f t="shared" si="10"/>
        <v>0</v>
      </c>
      <c r="K149" s="162">
        <f t="shared" si="11"/>
        <v>0</v>
      </c>
    </row>
    <row r="150" spans="1:11" ht="14">
      <c r="A150" s="2" t="s">
        <v>560</v>
      </c>
      <c r="B150" s="224" t="s">
        <v>283</v>
      </c>
      <c r="C150" s="216" t="s">
        <v>12</v>
      </c>
      <c r="D150" s="252">
        <v>2</v>
      </c>
      <c r="E150" s="163">
        <f t="shared" si="8"/>
        <v>0</v>
      </c>
      <c r="F150" s="164">
        <f t="shared" si="9"/>
        <v>0</v>
      </c>
      <c r="G150" s="303">
        <f t="shared" si="12"/>
        <v>135</v>
      </c>
      <c r="H150" s="161"/>
      <c r="I150" s="161"/>
      <c r="J150" s="162">
        <f t="shared" si="10"/>
        <v>0</v>
      </c>
      <c r="K150" s="162">
        <f t="shared" si="11"/>
        <v>0</v>
      </c>
    </row>
    <row r="151" spans="1:11" ht="14">
      <c r="A151" s="2" t="s">
        <v>560</v>
      </c>
      <c r="B151" s="224" t="s">
        <v>284</v>
      </c>
      <c r="C151" s="216" t="s">
        <v>12</v>
      </c>
      <c r="D151" s="252">
        <v>3</v>
      </c>
      <c r="E151" s="163">
        <f t="shared" si="8"/>
        <v>0</v>
      </c>
      <c r="F151" s="164">
        <f t="shared" si="9"/>
        <v>0</v>
      </c>
      <c r="G151" s="303">
        <f t="shared" si="12"/>
        <v>136</v>
      </c>
      <c r="H151" s="161"/>
      <c r="I151" s="161"/>
      <c r="J151" s="162">
        <f t="shared" si="10"/>
        <v>0</v>
      </c>
      <c r="K151" s="162">
        <f t="shared" si="11"/>
        <v>0</v>
      </c>
    </row>
    <row r="152" spans="1:11" ht="14">
      <c r="A152" s="2" t="s">
        <v>558</v>
      </c>
      <c r="B152" s="224" t="s">
        <v>285</v>
      </c>
      <c r="C152" s="216" t="s">
        <v>12</v>
      </c>
      <c r="D152" s="252">
        <v>2</v>
      </c>
      <c r="E152" s="163">
        <f t="shared" si="8"/>
        <v>0</v>
      </c>
      <c r="F152" s="164">
        <f t="shared" si="9"/>
        <v>0</v>
      </c>
      <c r="G152" s="303">
        <f t="shared" si="12"/>
        <v>137</v>
      </c>
      <c r="H152" s="161"/>
      <c r="I152" s="161"/>
      <c r="J152" s="162">
        <f t="shared" si="10"/>
        <v>0</v>
      </c>
      <c r="K152" s="162">
        <f t="shared" si="11"/>
        <v>0</v>
      </c>
    </row>
    <row r="153" spans="1:11" ht="14">
      <c r="A153" s="2"/>
      <c r="B153" s="224" t="s">
        <v>32</v>
      </c>
      <c r="C153" s="216" t="s">
        <v>12</v>
      </c>
      <c r="D153" s="252">
        <v>1</v>
      </c>
      <c r="E153" s="163">
        <f t="shared" ref="E153:E184" si="13">IF(D153="","",(((J153*$K$2)+(K153*$I$2*$I$3))*$K$3)/D153)</f>
        <v>0</v>
      </c>
      <c r="F153" s="164">
        <f t="shared" ref="F153:F184" si="14">IF(D153="","",D153*E153)</f>
        <v>0</v>
      </c>
      <c r="G153" s="303">
        <f t="shared" si="12"/>
        <v>138</v>
      </c>
      <c r="H153" s="161"/>
      <c r="I153" s="161"/>
      <c r="J153" s="162">
        <f t="shared" ref="J153:J184" si="15">IF(D153="","",H153*D153)</f>
        <v>0</v>
      </c>
      <c r="K153" s="162">
        <f t="shared" ref="K153:K184" si="16">IF(D153="","",D153*I153)</f>
        <v>0</v>
      </c>
    </row>
    <row r="154" spans="1:11" ht="14">
      <c r="A154" s="2" t="s">
        <v>563</v>
      </c>
      <c r="B154" s="224" t="s">
        <v>286</v>
      </c>
      <c r="C154" s="189" t="s">
        <v>12</v>
      </c>
      <c r="D154" s="252">
        <v>1</v>
      </c>
      <c r="E154" s="163">
        <f t="shared" si="13"/>
        <v>0</v>
      </c>
      <c r="F154" s="164">
        <f t="shared" si="14"/>
        <v>0</v>
      </c>
      <c r="G154" s="303">
        <f t="shared" si="12"/>
        <v>139</v>
      </c>
      <c r="H154" s="161"/>
      <c r="I154" s="161"/>
      <c r="J154" s="162">
        <f t="shared" si="15"/>
        <v>0</v>
      </c>
      <c r="K154" s="162">
        <f t="shared" si="16"/>
        <v>0</v>
      </c>
    </row>
    <row r="155" spans="1:11" ht="14">
      <c r="A155" s="2" t="s">
        <v>563</v>
      </c>
      <c r="B155" s="224" t="s">
        <v>287</v>
      </c>
      <c r="C155" s="189" t="s">
        <v>12</v>
      </c>
      <c r="D155" s="252">
        <v>1</v>
      </c>
      <c r="E155" s="163">
        <f t="shared" si="13"/>
        <v>0</v>
      </c>
      <c r="F155" s="164">
        <f t="shared" si="14"/>
        <v>0</v>
      </c>
      <c r="G155" s="303">
        <f t="shared" si="12"/>
        <v>140</v>
      </c>
      <c r="H155" s="161"/>
      <c r="I155" s="161"/>
      <c r="J155" s="162">
        <f t="shared" si="15"/>
        <v>0</v>
      </c>
      <c r="K155" s="162">
        <f t="shared" si="16"/>
        <v>0</v>
      </c>
    </row>
    <row r="156" spans="1:11" ht="14">
      <c r="A156" s="2" t="s">
        <v>561</v>
      </c>
      <c r="B156" s="224" t="s">
        <v>288</v>
      </c>
      <c r="C156" s="189" t="s">
        <v>12</v>
      </c>
      <c r="D156" s="252">
        <v>1</v>
      </c>
      <c r="E156" s="163">
        <f t="shared" si="13"/>
        <v>0</v>
      </c>
      <c r="F156" s="164">
        <f t="shared" si="14"/>
        <v>0</v>
      </c>
      <c r="G156" s="303">
        <f t="shared" si="12"/>
        <v>141</v>
      </c>
      <c r="H156" s="161"/>
      <c r="I156" s="161"/>
      <c r="J156" s="162">
        <f t="shared" si="15"/>
        <v>0</v>
      </c>
      <c r="K156" s="162">
        <f t="shared" si="16"/>
        <v>0</v>
      </c>
    </row>
    <row r="157" spans="1:11" ht="14">
      <c r="A157" s="2" t="s">
        <v>566</v>
      </c>
      <c r="B157" s="224" t="s">
        <v>289</v>
      </c>
      <c r="C157" s="189" t="s">
        <v>12</v>
      </c>
      <c r="D157" s="252">
        <v>1</v>
      </c>
      <c r="E157" s="163">
        <f t="shared" si="13"/>
        <v>0</v>
      </c>
      <c r="F157" s="164">
        <f t="shared" si="14"/>
        <v>0</v>
      </c>
      <c r="G157" s="303">
        <f t="shared" si="12"/>
        <v>142</v>
      </c>
      <c r="H157" s="161"/>
      <c r="I157" s="161"/>
      <c r="J157" s="162">
        <f t="shared" si="15"/>
        <v>0</v>
      </c>
      <c r="K157" s="162">
        <f t="shared" si="16"/>
        <v>0</v>
      </c>
    </row>
    <row r="158" spans="1:11" ht="14">
      <c r="A158" s="2"/>
      <c r="B158" s="224" t="s">
        <v>290</v>
      </c>
      <c r="C158" s="216" t="s">
        <v>12</v>
      </c>
      <c r="D158" s="252">
        <v>1</v>
      </c>
      <c r="E158" s="163">
        <f t="shared" si="13"/>
        <v>0</v>
      </c>
      <c r="F158" s="164">
        <f t="shared" si="14"/>
        <v>0</v>
      </c>
      <c r="G158" s="303">
        <f t="shared" si="12"/>
        <v>143</v>
      </c>
      <c r="H158" s="161"/>
      <c r="I158" s="161"/>
      <c r="J158" s="162">
        <f t="shared" si="15"/>
        <v>0</v>
      </c>
      <c r="K158" s="162">
        <f t="shared" si="16"/>
        <v>0</v>
      </c>
    </row>
    <row r="159" spans="1:11" ht="14">
      <c r="A159" s="2"/>
      <c r="B159" s="224" t="s">
        <v>291</v>
      </c>
      <c r="C159" s="216" t="s">
        <v>12</v>
      </c>
      <c r="D159" s="252">
        <v>1</v>
      </c>
      <c r="E159" s="163">
        <f t="shared" si="13"/>
        <v>0</v>
      </c>
      <c r="F159" s="164">
        <f t="shared" si="14"/>
        <v>0</v>
      </c>
      <c r="G159" s="303">
        <f t="shared" si="12"/>
        <v>144</v>
      </c>
      <c r="H159" s="161"/>
      <c r="I159" s="161"/>
      <c r="J159" s="162">
        <f t="shared" si="15"/>
        <v>0</v>
      </c>
      <c r="K159" s="162">
        <f t="shared" si="16"/>
        <v>0</v>
      </c>
    </row>
    <row r="160" spans="1:11" ht="14">
      <c r="A160" s="2"/>
      <c r="B160" s="224" t="s">
        <v>292</v>
      </c>
      <c r="C160" s="216" t="s">
        <v>12</v>
      </c>
      <c r="D160" s="252">
        <v>1</v>
      </c>
      <c r="E160" s="163">
        <f t="shared" si="13"/>
        <v>0</v>
      </c>
      <c r="F160" s="164">
        <f t="shared" si="14"/>
        <v>0</v>
      </c>
      <c r="G160" s="303">
        <f t="shared" si="12"/>
        <v>145</v>
      </c>
      <c r="H160" s="161"/>
      <c r="I160" s="161"/>
      <c r="J160" s="162">
        <f t="shared" si="15"/>
        <v>0</v>
      </c>
      <c r="K160" s="162">
        <f t="shared" si="16"/>
        <v>0</v>
      </c>
    </row>
    <row r="161" spans="1:11" ht="14">
      <c r="A161" s="2"/>
      <c r="B161" s="224" t="s">
        <v>293</v>
      </c>
      <c r="C161" s="216" t="s">
        <v>12</v>
      </c>
      <c r="D161" s="252">
        <v>1</v>
      </c>
      <c r="E161" s="163">
        <f t="shared" si="13"/>
        <v>0</v>
      </c>
      <c r="F161" s="164">
        <f t="shared" si="14"/>
        <v>0</v>
      </c>
      <c r="G161" s="303">
        <f t="shared" si="12"/>
        <v>146</v>
      </c>
      <c r="H161" s="161"/>
      <c r="I161" s="161"/>
      <c r="J161" s="162">
        <f t="shared" si="15"/>
        <v>0</v>
      </c>
      <c r="K161" s="162">
        <f t="shared" si="16"/>
        <v>0</v>
      </c>
    </row>
    <row r="162" spans="1:11" ht="14">
      <c r="A162" s="2"/>
      <c r="B162" s="224" t="s">
        <v>294</v>
      </c>
      <c r="C162" s="216" t="s">
        <v>12</v>
      </c>
      <c r="D162" s="252">
        <v>1</v>
      </c>
      <c r="E162" s="163">
        <f t="shared" si="13"/>
        <v>0</v>
      </c>
      <c r="F162" s="164">
        <f t="shared" si="14"/>
        <v>0</v>
      </c>
      <c r="G162" s="303">
        <f t="shared" si="12"/>
        <v>147</v>
      </c>
      <c r="H162" s="161"/>
      <c r="I162" s="161"/>
      <c r="J162" s="162">
        <f t="shared" si="15"/>
        <v>0</v>
      </c>
      <c r="K162" s="162">
        <f t="shared" si="16"/>
        <v>0</v>
      </c>
    </row>
    <row r="163" spans="1:11" ht="25">
      <c r="A163" s="2"/>
      <c r="B163" s="206" t="s">
        <v>295</v>
      </c>
      <c r="C163" s="216" t="s">
        <v>12</v>
      </c>
      <c r="D163" s="252">
        <v>1</v>
      </c>
      <c r="E163" s="163">
        <f t="shared" si="13"/>
        <v>0</v>
      </c>
      <c r="F163" s="164">
        <f t="shared" si="14"/>
        <v>0</v>
      </c>
      <c r="G163" s="303">
        <f t="shared" si="12"/>
        <v>148</v>
      </c>
      <c r="H163" s="161"/>
      <c r="I163" s="161"/>
      <c r="J163" s="162">
        <f t="shared" si="15"/>
        <v>0</v>
      </c>
      <c r="K163" s="162">
        <f t="shared" si="16"/>
        <v>0</v>
      </c>
    </row>
    <row r="164" spans="1:11" ht="25">
      <c r="A164" s="2"/>
      <c r="B164" s="206" t="s">
        <v>296</v>
      </c>
      <c r="C164" s="216" t="s">
        <v>12</v>
      </c>
      <c r="D164" s="252">
        <v>1</v>
      </c>
      <c r="E164" s="163">
        <f t="shared" si="13"/>
        <v>0</v>
      </c>
      <c r="F164" s="164">
        <f t="shared" si="14"/>
        <v>0</v>
      </c>
      <c r="G164" s="303">
        <f t="shared" si="12"/>
        <v>149</v>
      </c>
      <c r="H164" s="161"/>
      <c r="I164" s="161"/>
      <c r="J164" s="162">
        <f t="shared" si="15"/>
        <v>0</v>
      </c>
      <c r="K164" s="162">
        <f t="shared" si="16"/>
        <v>0</v>
      </c>
    </row>
    <row r="165" spans="1:11" ht="14">
      <c r="A165" s="2"/>
      <c r="B165" s="224" t="s">
        <v>297</v>
      </c>
      <c r="C165" s="216" t="s">
        <v>12</v>
      </c>
      <c r="D165" s="252">
        <v>1</v>
      </c>
      <c r="E165" s="163">
        <f t="shared" si="13"/>
        <v>0</v>
      </c>
      <c r="F165" s="164">
        <f t="shared" si="14"/>
        <v>0</v>
      </c>
      <c r="G165" s="303">
        <f t="shared" si="12"/>
        <v>150</v>
      </c>
      <c r="H165" s="161"/>
      <c r="I165" s="161"/>
      <c r="J165" s="162">
        <f t="shared" si="15"/>
        <v>0</v>
      </c>
      <c r="K165" s="162">
        <f t="shared" si="16"/>
        <v>0</v>
      </c>
    </row>
    <row r="166" spans="1:11" ht="14">
      <c r="A166" s="2" t="s">
        <v>562</v>
      </c>
      <c r="B166" s="224" t="s">
        <v>298</v>
      </c>
      <c r="C166" s="189" t="s">
        <v>12</v>
      </c>
      <c r="D166" s="252">
        <v>1</v>
      </c>
      <c r="E166" s="163">
        <f t="shared" si="13"/>
        <v>0</v>
      </c>
      <c r="F166" s="164">
        <f t="shared" si="14"/>
        <v>0</v>
      </c>
      <c r="G166" s="303">
        <f t="shared" si="12"/>
        <v>151</v>
      </c>
      <c r="H166" s="161"/>
      <c r="I166" s="161"/>
      <c r="J166" s="162">
        <f t="shared" si="15"/>
        <v>0</v>
      </c>
      <c r="K166" s="162">
        <f t="shared" si="16"/>
        <v>0</v>
      </c>
    </row>
    <row r="167" spans="1:11" ht="14">
      <c r="A167" s="2" t="s">
        <v>562</v>
      </c>
      <c r="B167" s="224" t="s">
        <v>299</v>
      </c>
      <c r="C167" s="189" t="s">
        <v>12</v>
      </c>
      <c r="D167" s="252">
        <v>1</v>
      </c>
      <c r="E167" s="163">
        <f t="shared" si="13"/>
        <v>0</v>
      </c>
      <c r="F167" s="164">
        <f t="shared" si="14"/>
        <v>0</v>
      </c>
      <c r="G167" s="303">
        <f t="shared" si="12"/>
        <v>152</v>
      </c>
      <c r="H167" s="161"/>
      <c r="I167" s="161"/>
      <c r="J167" s="162">
        <f t="shared" si="15"/>
        <v>0</v>
      </c>
      <c r="K167" s="162">
        <f t="shared" si="16"/>
        <v>0</v>
      </c>
    </row>
    <row r="168" spans="1:11" ht="14">
      <c r="A168" s="2"/>
      <c r="B168" s="224" t="s">
        <v>400</v>
      </c>
      <c r="C168" s="189" t="s">
        <v>12</v>
      </c>
      <c r="D168" s="252">
        <v>1</v>
      </c>
      <c r="E168" s="163">
        <f t="shared" si="13"/>
        <v>0</v>
      </c>
      <c r="F168" s="164">
        <f t="shared" si="14"/>
        <v>0</v>
      </c>
      <c r="G168" s="303">
        <f t="shared" si="12"/>
        <v>153</v>
      </c>
      <c r="H168" s="161"/>
      <c r="I168" s="161"/>
      <c r="J168" s="162">
        <f t="shared" si="15"/>
        <v>0</v>
      </c>
      <c r="K168" s="162">
        <f t="shared" si="16"/>
        <v>0</v>
      </c>
    </row>
    <row r="169" spans="1:11" ht="14">
      <c r="A169" s="2"/>
      <c r="B169" s="224" t="s">
        <v>401</v>
      </c>
      <c r="C169" s="189" t="s">
        <v>12</v>
      </c>
      <c r="D169" s="252">
        <v>1</v>
      </c>
      <c r="E169" s="163">
        <f t="shared" si="13"/>
        <v>0</v>
      </c>
      <c r="F169" s="164">
        <f t="shared" si="14"/>
        <v>0</v>
      </c>
      <c r="G169" s="303">
        <f t="shared" si="12"/>
        <v>154</v>
      </c>
      <c r="H169" s="161"/>
      <c r="I169" s="161"/>
      <c r="J169" s="162">
        <f t="shared" si="15"/>
        <v>0</v>
      </c>
      <c r="K169" s="162">
        <f t="shared" si="16"/>
        <v>0</v>
      </c>
    </row>
    <row r="170" spans="1:11" ht="14">
      <c r="A170" s="2"/>
      <c r="B170" s="224" t="s">
        <v>300</v>
      </c>
      <c r="C170" s="189" t="s">
        <v>12</v>
      </c>
      <c r="D170" s="252">
        <v>1</v>
      </c>
      <c r="E170" s="163">
        <f t="shared" si="13"/>
        <v>0</v>
      </c>
      <c r="F170" s="164">
        <f t="shared" si="14"/>
        <v>0</v>
      </c>
      <c r="G170" s="303">
        <f t="shared" si="12"/>
        <v>155</v>
      </c>
      <c r="H170" s="161"/>
      <c r="I170" s="161"/>
      <c r="J170" s="162">
        <f t="shared" si="15"/>
        <v>0</v>
      </c>
      <c r="K170" s="162">
        <f t="shared" si="16"/>
        <v>0</v>
      </c>
    </row>
    <row r="171" spans="1:11" ht="14">
      <c r="A171" s="2"/>
      <c r="B171" s="230" t="s">
        <v>301</v>
      </c>
      <c r="C171" s="189" t="s">
        <v>12</v>
      </c>
      <c r="D171" s="252">
        <v>1</v>
      </c>
      <c r="E171" s="163">
        <f t="shared" si="13"/>
        <v>0</v>
      </c>
      <c r="F171" s="164">
        <f t="shared" si="14"/>
        <v>0</v>
      </c>
      <c r="G171" s="303">
        <f t="shared" si="12"/>
        <v>156</v>
      </c>
      <c r="H171" s="161"/>
      <c r="I171" s="161"/>
      <c r="J171" s="162">
        <f t="shared" si="15"/>
        <v>0</v>
      </c>
      <c r="K171" s="162">
        <f t="shared" si="16"/>
        <v>0</v>
      </c>
    </row>
    <row r="172" spans="1:11" ht="14">
      <c r="A172" s="2" t="s">
        <v>561</v>
      </c>
      <c r="B172" s="224" t="s">
        <v>302</v>
      </c>
      <c r="C172" s="189" t="s">
        <v>12</v>
      </c>
      <c r="D172" s="252">
        <v>1</v>
      </c>
      <c r="E172" s="163">
        <f t="shared" si="13"/>
        <v>0</v>
      </c>
      <c r="F172" s="164">
        <f t="shared" si="14"/>
        <v>0</v>
      </c>
      <c r="G172" s="303">
        <f t="shared" si="12"/>
        <v>157</v>
      </c>
      <c r="H172" s="161"/>
      <c r="I172" s="161"/>
      <c r="J172" s="162">
        <f t="shared" si="15"/>
        <v>0</v>
      </c>
      <c r="K172" s="162">
        <f t="shared" si="16"/>
        <v>0</v>
      </c>
    </row>
    <row r="173" spans="1:11" ht="14">
      <c r="A173" s="2" t="s">
        <v>561</v>
      </c>
      <c r="B173" s="224" t="s">
        <v>303</v>
      </c>
      <c r="C173" s="189" t="s">
        <v>12</v>
      </c>
      <c r="D173" s="252">
        <v>2</v>
      </c>
      <c r="E173" s="163">
        <f t="shared" si="13"/>
        <v>0</v>
      </c>
      <c r="F173" s="164">
        <f t="shared" si="14"/>
        <v>0</v>
      </c>
      <c r="G173" s="303">
        <f t="shared" si="12"/>
        <v>158</v>
      </c>
      <c r="H173" s="161"/>
      <c r="I173" s="161"/>
      <c r="J173" s="162">
        <f t="shared" si="15"/>
        <v>0</v>
      </c>
      <c r="K173" s="162">
        <f t="shared" si="16"/>
        <v>0</v>
      </c>
    </row>
    <row r="174" spans="1:11" ht="14">
      <c r="A174" s="2" t="s">
        <v>564</v>
      </c>
      <c r="B174" s="224" t="s">
        <v>394</v>
      </c>
      <c r="C174" s="189" t="s">
        <v>12</v>
      </c>
      <c r="D174" s="252">
        <v>1</v>
      </c>
      <c r="E174" s="163">
        <f t="shared" si="13"/>
        <v>0</v>
      </c>
      <c r="F174" s="164">
        <f t="shared" si="14"/>
        <v>0</v>
      </c>
      <c r="G174" s="303">
        <f t="shared" si="12"/>
        <v>159</v>
      </c>
      <c r="H174" s="161"/>
      <c r="I174" s="161"/>
      <c r="J174" s="162">
        <f t="shared" si="15"/>
        <v>0</v>
      </c>
      <c r="K174" s="162">
        <f t="shared" si="16"/>
        <v>0</v>
      </c>
    </row>
    <row r="175" spans="1:11" ht="14">
      <c r="A175" s="2">
        <v>0.1</v>
      </c>
      <c r="B175" s="224" t="s">
        <v>395</v>
      </c>
      <c r="C175" s="189" t="s">
        <v>12</v>
      </c>
      <c r="D175" s="252">
        <v>1</v>
      </c>
      <c r="E175" s="163">
        <f t="shared" si="13"/>
        <v>0</v>
      </c>
      <c r="F175" s="164">
        <f t="shared" si="14"/>
        <v>0</v>
      </c>
      <c r="G175" s="303">
        <f t="shared" si="12"/>
        <v>160</v>
      </c>
      <c r="H175" s="161"/>
      <c r="I175" s="161"/>
      <c r="J175" s="162">
        <f t="shared" si="15"/>
        <v>0</v>
      </c>
      <c r="K175" s="162">
        <f t="shared" si="16"/>
        <v>0</v>
      </c>
    </row>
    <row r="176" spans="1:11" ht="28">
      <c r="A176" s="2"/>
      <c r="B176" s="224" t="s">
        <v>38</v>
      </c>
      <c r="C176" s="216" t="s">
        <v>12</v>
      </c>
      <c r="D176" s="252">
        <v>0</v>
      </c>
      <c r="E176" s="163"/>
      <c r="F176" s="164" t="s">
        <v>527</v>
      </c>
      <c r="G176" s="303">
        <f t="shared" si="12"/>
        <v>161</v>
      </c>
      <c r="H176" s="161"/>
      <c r="I176" s="161"/>
      <c r="J176" s="162">
        <f t="shared" si="15"/>
        <v>0</v>
      </c>
      <c r="K176" s="162">
        <f t="shared" si="16"/>
        <v>0</v>
      </c>
    </row>
    <row r="177" spans="1:17" ht="14">
      <c r="A177" s="2"/>
      <c r="B177" s="194"/>
      <c r="C177" s="216"/>
      <c r="D177" s="252"/>
      <c r="E177" s="163" t="str">
        <f t="shared" si="13"/>
        <v/>
      </c>
      <c r="F177" s="164" t="str">
        <f t="shared" si="14"/>
        <v/>
      </c>
      <c r="G177" s="303">
        <f t="shared" si="12"/>
        <v>162</v>
      </c>
      <c r="H177" s="161"/>
      <c r="I177" s="161"/>
      <c r="J177" s="162" t="str">
        <f t="shared" si="15"/>
        <v/>
      </c>
      <c r="K177" s="162" t="str">
        <f t="shared" si="16"/>
        <v/>
      </c>
    </row>
    <row r="178" spans="1:17" s="218" customFormat="1" ht="14">
      <c r="A178" s="2"/>
      <c r="B178" s="217" t="s">
        <v>112</v>
      </c>
      <c r="C178" s="216"/>
      <c r="D178" s="252"/>
      <c r="E178" s="163" t="str">
        <f t="shared" si="13"/>
        <v/>
      </c>
      <c r="F178" s="164" t="str">
        <f t="shared" si="14"/>
        <v/>
      </c>
      <c r="G178" s="303">
        <f t="shared" si="12"/>
        <v>163</v>
      </c>
      <c r="H178" s="161"/>
      <c r="I178" s="161"/>
      <c r="J178" s="162" t="str">
        <f t="shared" si="15"/>
        <v/>
      </c>
      <c r="K178" s="162" t="str">
        <f t="shared" si="16"/>
        <v/>
      </c>
      <c r="Q178" s="219"/>
    </row>
    <row r="179" spans="1:17" ht="14">
      <c r="A179" s="2"/>
      <c r="B179" s="194"/>
      <c r="C179" s="216"/>
      <c r="D179" s="252"/>
      <c r="E179" s="163" t="str">
        <f t="shared" si="13"/>
        <v/>
      </c>
      <c r="F179" s="164" t="str">
        <f t="shared" si="14"/>
        <v/>
      </c>
      <c r="G179" s="303">
        <f t="shared" si="12"/>
        <v>164</v>
      </c>
      <c r="H179" s="161"/>
      <c r="I179" s="161"/>
      <c r="J179" s="162" t="str">
        <f t="shared" si="15"/>
        <v/>
      </c>
      <c r="K179" s="162" t="str">
        <f t="shared" si="16"/>
        <v/>
      </c>
    </row>
    <row r="180" spans="1:17" ht="14">
      <c r="A180" s="2" t="s">
        <v>79</v>
      </c>
      <c r="B180" s="231" t="s">
        <v>25</v>
      </c>
      <c r="C180" s="216"/>
      <c r="D180" s="252"/>
      <c r="E180" s="163" t="str">
        <f t="shared" si="13"/>
        <v/>
      </c>
      <c r="F180" s="164" t="str">
        <f t="shared" si="14"/>
        <v/>
      </c>
      <c r="G180" s="303">
        <f t="shared" si="12"/>
        <v>165</v>
      </c>
      <c r="H180" s="161"/>
      <c r="I180" s="161"/>
      <c r="J180" s="162" t="str">
        <f t="shared" si="15"/>
        <v/>
      </c>
      <c r="K180" s="162" t="str">
        <f t="shared" si="16"/>
        <v/>
      </c>
    </row>
    <row r="181" spans="1:17" ht="14">
      <c r="A181" s="2"/>
      <c r="B181" s="221"/>
      <c r="C181" s="216"/>
      <c r="D181" s="252"/>
      <c r="E181" s="163" t="str">
        <f t="shared" si="13"/>
        <v/>
      </c>
      <c r="F181" s="164" t="str">
        <f t="shared" si="14"/>
        <v/>
      </c>
      <c r="G181" s="303">
        <f t="shared" si="12"/>
        <v>166</v>
      </c>
      <c r="H181" s="161"/>
      <c r="I181" s="161"/>
      <c r="J181" s="162" t="str">
        <f t="shared" si="15"/>
        <v/>
      </c>
      <c r="K181" s="162" t="str">
        <f t="shared" si="16"/>
        <v/>
      </c>
    </row>
    <row r="182" spans="1:17" ht="25">
      <c r="A182" s="2"/>
      <c r="B182" s="221" t="s">
        <v>305</v>
      </c>
      <c r="C182" s="216" t="s">
        <v>12</v>
      </c>
      <c r="D182" s="252">
        <v>1</v>
      </c>
      <c r="E182" s="163">
        <f t="shared" si="13"/>
        <v>0</v>
      </c>
      <c r="F182" s="164">
        <f t="shared" si="14"/>
        <v>0</v>
      </c>
      <c r="G182" s="303">
        <f t="shared" si="12"/>
        <v>167</v>
      </c>
      <c r="H182" s="161"/>
      <c r="I182" s="161"/>
      <c r="J182" s="162">
        <f t="shared" si="15"/>
        <v>0</v>
      </c>
      <c r="K182" s="162">
        <f t="shared" si="16"/>
        <v>0</v>
      </c>
      <c r="N182" s="248" t="s">
        <v>557</v>
      </c>
    </row>
    <row r="183" spans="1:17" ht="25">
      <c r="A183" s="2"/>
      <c r="B183" s="221" t="s">
        <v>306</v>
      </c>
      <c r="C183" s="216" t="s">
        <v>12</v>
      </c>
      <c r="D183" s="252">
        <v>1</v>
      </c>
      <c r="E183" s="163">
        <f t="shared" si="13"/>
        <v>0</v>
      </c>
      <c r="F183" s="164">
        <f t="shared" si="14"/>
        <v>0</v>
      </c>
      <c r="G183" s="303">
        <f t="shared" si="12"/>
        <v>168</v>
      </c>
      <c r="H183" s="161"/>
      <c r="I183" s="161"/>
      <c r="J183" s="162">
        <f t="shared" si="15"/>
        <v>0</v>
      </c>
      <c r="K183" s="162">
        <f t="shared" si="16"/>
        <v>0</v>
      </c>
    </row>
    <row r="184" spans="1:17" ht="25">
      <c r="A184" s="2"/>
      <c r="B184" s="221" t="s">
        <v>308</v>
      </c>
      <c r="C184" s="216" t="s">
        <v>12</v>
      </c>
      <c r="D184" s="252">
        <v>1</v>
      </c>
      <c r="E184" s="163">
        <f t="shared" si="13"/>
        <v>0</v>
      </c>
      <c r="F184" s="164">
        <f t="shared" si="14"/>
        <v>0</v>
      </c>
      <c r="G184" s="303">
        <f t="shared" si="12"/>
        <v>169</v>
      </c>
      <c r="H184" s="161"/>
      <c r="I184" s="161"/>
      <c r="J184" s="162">
        <f t="shared" si="15"/>
        <v>0</v>
      </c>
      <c r="K184" s="162">
        <f t="shared" si="16"/>
        <v>0</v>
      </c>
    </row>
    <row r="185" spans="1:17" ht="27">
      <c r="A185" s="2"/>
      <c r="B185" s="221" t="s">
        <v>20</v>
      </c>
      <c r="C185" s="216" t="s">
        <v>12</v>
      </c>
      <c r="D185" s="252">
        <v>1</v>
      </c>
      <c r="E185" s="163">
        <f t="shared" ref="E185:E248" si="17">IF(D185="","",(((J185*$K$2)+(K185*$I$2*$I$3))*$K$3)/D185)</f>
        <v>0</v>
      </c>
      <c r="F185" s="164">
        <f t="shared" ref="F185:F248" si="18">IF(D185="","",D185*E185)</f>
        <v>0</v>
      </c>
      <c r="G185" s="303">
        <f t="shared" si="12"/>
        <v>170</v>
      </c>
      <c r="H185" s="161"/>
      <c r="I185" s="161"/>
      <c r="J185" s="162">
        <f t="shared" ref="J185:J248" si="19">IF(D185="","",H185*D185)</f>
        <v>0</v>
      </c>
      <c r="K185" s="162">
        <f t="shared" ref="K185:K248" si="20">IF(D185="","",D185*I185)</f>
        <v>0</v>
      </c>
    </row>
    <row r="186" spans="1:17" ht="14">
      <c r="A186" s="2"/>
      <c r="B186" s="194"/>
      <c r="C186" s="216"/>
      <c r="D186" s="252"/>
      <c r="E186" s="163" t="str">
        <f t="shared" si="17"/>
        <v/>
      </c>
      <c r="F186" s="164" t="str">
        <f t="shared" si="18"/>
        <v/>
      </c>
      <c r="G186" s="303">
        <f t="shared" si="12"/>
        <v>171</v>
      </c>
      <c r="H186" s="161"/>
      <c r="I186" s="161"/>
      <c r="J186" s="162" t="str">
        <f t="shared" si="19"/>
        <v/>
      </c>
      <c r="K186" s="162" t="str">
        <f t="shared" si="20"/>
        <v/>
      </c>
    </row>
    <row r="187" spans="1:17" s="218" customFormat="1" ht="14">
      <c r="A187" s="2"/>
      <c r="B187" s="217" t="s">
        <v>113</v>
      </c>
      <c r="C187" s="216"/>
      <c r="D187" s="252"/>
      <c r="E187" s="163" t="str">
        <f t="shared" si="17"/>
        <v/>
      </c>
      <c r="F187" s="164" t="str">
        <f t="shared" si="18"/>
        <v/>
      </c>
      <c r="G187" s="303">
        <f t="shared" si="12"/>
        <v>172</v>
      </c>
      <c r="H187" s="161"/>
      <c r="I187" s="161"/>
      <c r="J187" s="162" t="str">
        <f t="shared" si="19"/>
        <v/>
      </c>
      <c r="K187" s="162" t="str">
        <f t="shared" si="20"/>
        <v/>
      </c>
      <c r="Q187" s="219"/>
    </row>
    <row r="188" spans="1:17" ht="14">
      <c r="A188" s="2"/>
      <c r="B188" s="224"/>
      <c r="C188" s="216"/>
      <c r="D188" s="252"/>
      <c r="E188" s="163" t="str">
        <f t="shared" si="17"/>
        <v/>
      </c>
      <c r="F188" s="164" t="str">
        <f t="shared" si="18"/>
        <v/>
      </c>
      <c r="G188" s="303">
        <f t="shared" si="12"/>
        <v>173</v>
      </c>
      <c r="H188" s="161"/>
      <c r="I188" s="161"/>
      <c r="J188" s="162" t="str">
        <f t="shared" si="19"/>
        <v/>
      </c>
      <c r="K188" s="162" t="str">
        <f t="shared" si="20"/>
        <v/>
      </c>
    </row>
    <row r="189" spans="1:17" ht="14">
      <c r="A189" s="2" t="s">
        <v>170</v>
      </c>
      <c r="B189" s="188" t="s">
        <v>132</v>
      </c>
      <c r="C189" s="216"/>
      <c r="D189" s="252"/>
      <c r="E189" s="163" t="str">
        <f t="shared" si="17"/>
        <v/>
      </c>
      <c r="F189" s="164" t="str">
        <f t="shared" si="18"/>
        <v/>
      </c>
      <c r="G189" s="303">
        <f t="shared" si="12"/>
        <v>174</v>
      </c>
      <c r="H189" s="161"/>
      <c r="I189" s="161"/>
      <c r="J189" s="162" t="str">
        <f t="shared" si="19"/>
        <v/>
      </c>
      <c r="K189" s="162" t="str">
        <f t="shared" si="20"/>
        <v/>
      </c>
      <c r="N189" s="248" t="s">
        <v>557</v>
      </c>
    </row>
    <row r="190" spans="1:17" ht="14">
      <c r="A190" s="2"/>
      <c r="B190" s="232"/>
      <c r="C190" s="216"/>
      <c r="D190" s="252"/>
      <c r="E190" s="163" t="str">
        <f t="shared" si="17"/>
        <v/>
      </c>
      <c r="F190" s="164" t="str">
        <f t="shared" si="18"/>
        <v/>
      </c>
      <c r="G190" s="303">
        <f t="shared" si="12"/>
        <v>175</v>
      </c>
      <c r="H190" s="161"/>
      <c r="I190" s="161"/>
      <c r="J190" s="162" t="str">
        <f t="shared" si="19"/>
        <v/>
      </c>
      <c r="K190" s="162" t="str">
        <f t="shared" si="20"/>
        <v/>
      </c>
    </row>
    <row r="191" spans="1:17" ht="14">
      <c r="A191" s="2"/>
      <c r="B191" s="206" t="s">
        <v>382</v>
      </c>
      <c r="C191" s="216"/>
      <c r="D191" s="252"/>
      <c r="E191" s="163" t="str">
        <f t="shared" si="17"/>
        <v/>
      </c>
      <c r="F191" s="164" t="str">
        <f t="shared" si="18"/>
        <v/>
      </c>
      <c r="G191" s="303">
        <f t="shared" si="12"/>
        <v>176</v>
      </c>
      <c r="H191" s="161"/>
      <c r="I191" s="161"/>
      <c r="J191" s="162" t="str">
        <f t="shared" si="19"/>
        <v/>
      </c>
      <c r="K191" s="162" t="str">
        <f t="shared" si="20"/>
        <v/>
      </c>
    </row>
    <row r="192" spans="1:17" ht="14">
      <c r="A192" s="2"/>
      <c r="B192" s="221" t="s">
        <v>328</v>
      </c>
      <c r="C192" s="216" t="s">
        <v>12</v>
      </c>
      <c r="D192" s="252">
        <v>2</v>
      </c>
      <c r="E192" s="163">
        <f t="shared" si="17"/>
        <v>0</v>
      </c>
      <c r="F192" s="164">
        <f t="shared" si="18"/>
        <v>0</v>
      </c>
      <c r="G192" s="303">
        <f t="shared" si="12"/>
        <v>177</v>
      </c>
      <c r="H192" s="161"/>
      <c r="I192" s="161"/>
      <c r="J192" s="162">
        <f t="shared" si="19"/>
        <v>0</v>
      </c>
      <c r="K192" s="162">
        <f t="shared" si="20"/>
        <v>0</v>
      </c>
    </row>
    <row r="193" spans="1:17" ht="14">
      <c r="A193" s="2"/>
      <c r="B193" s="221" t="s">
        <v>329</v>
      </c>
      <c r="C193" s="216" t="s">
        <v>12</v>
      </c>
      <c r="D193" s="252">
        <v>2</v>
      </c>
      <c r="E193" s="163">
        <f t="shared" si="17"/>
        <v>0</v>
      </c>
      <c r="F193" s="164">
        <f t="shared" si="18"/>
        <v>0</v>
      </c>
      <c r="G193" s="303">
        <f t="shared" si="12"/>
        <v>178</v>
      </c>
      <c r="H193" s="161"/>
      <c r="I193" s="161"/>
      <c r="J193" s="162">
        <f t="shared" si="19"/>
        <v>0</v>
      </c>
      <c r="K193" s="162">
        <f t="shared" si="20"/>
        <v>0</v>
      </c>
    </row>
    <row r="194" spans="1:17" ht="14">
      <c r="A194" s="2"/>
      <c r="B194" s="221" t="s">
        <v>330</v>
      </c>
      <c r="C194" s="216" t="s">
        <v>13</v>
      </c>
      <c r="D194" s="252">
        <f>QTE!J216</f>
        <v>20</v>
      </c>
      <c r="E194" s="163">
        <f t="shared" si="17"/>
        <v>0</v>
      </c>
      <c r="F194" s="164">
        <f t="shared" si="18"/>
        <v>0</v>
      </c>
      <c r="G194" s="303">
        <f t="shared" si="12"/>
        <v>179</v>
      </c>
      <c r="H194" s="161"/>
      <c r="I194" s="161"/>
      <c r="J194" s="162">
        <f t="shared" si="19"/>
        <v>0</v>
      </c>
      <c r="K194" s="162">
        <f t="shared" si="20"/>
        <v>0</v>
      </c>
    </row>
    <row r="195" spans="1:17" ht="14">
      <c r="A195" s="2"/>
      <c r="B195" s="221" t="s">
        <v>331</v>
      </c>
      <c r="C195" s="216" t="s">
        <v>13</v>
      </c>
      <c r="D195" s="252">
        <f>QTE!J207</f>
        <v>40</v>
      </c>
      <c r="E195" s="163">
        <f t="shared" si="17"/>
        <v>0</v>
      </c>
      <c r="F195" s="164">
        <f t="shared" si="18"/>
        <v>0</v>
      </c>
      <c r="G195" s="303">
        <f t="shared" si="12"/>
        <v>180</v>
      </c>
      <c r="H195" s="161"/>
      <c r="I195" s="161"/>
      <c r="J195" s="162">
        <f t="shared" si="19"/>
        <v>0</v>
      </c>
      <c r="K195" s="162">
        <f t="shared" si="20"/>
        <v>0</v>
      </c>
    </row>
    <row r="196" spans="1:17" ht="14">
      <c r="A196" s="2"/>
      <c r="B196" s="221" t="s">
        <v>332</v>
      </c>
      <c r="C196" s="216" t="s">
        <v>13</v>
      </c>
      <c r="D196" s="252">
        <v>2</v>
      </c>
      <c r="E196" s="163">
        <f t="shared" si="17"/>
        <v>0</v>
      </c>
      <c r="F196" s="164">
        <f t="shared" si="18"/>
        <v>0</v>
      </c>
      <c r="G196" s="303">
        <f t="shared" si="12"/>
        <v>181</v>
      </c>
      <c r="H196" s="161"/>
      <c r="I196" s="161"/>
      <c r="J196" s="162">
        <f t="shared" si="19"/>
        <v>0</v>
      </c>
      <c r="K196" s="162">
        <f t="shared" si="20"/>
        <v>0</v>
      </c>
    </row>
    <row r="197" spans="1:17" ht="25">
      <c r="A197" s="2"/>
      <c r="B197" s="221" t="s">
        <v>169</v>
      </c>
      <c r="C197" s="216" t="s">
        <v>12</v>
      </c>
      <c r="D197" s="252">
        <v>1</v>
      </c>
      <c r="E197" s="163">
        <f t="shared" si="17"/>
        <v>0</v>
      </c>
      <c r="F197" s="164">
        <f t="shared" si="18"/>
        <v>0</v>
      </c>
      <c r="G197" s="303">
        <f t="shared" si="12"/>
        <v>182</v>
      </c>
      <c r="H197" s="161"/>
      <c r="I197" s="161"/>
      <c r="J197" s="162">
        <f t="shared" si="19"/>
        <v>0</v>
      </c>
      <c r="K197" s="162">
        <f t="shared" si="20"/>
        <v>0</v>
      </c>
    </row>
    <row r="198" spans="1:17" ht="25">
      <c r="A198" s="2"/>
      <c r="B198" s="221" t="s">
        <v>168</v>
      </c>
      <c r="C198" s="216" t="s">
        <v>12</v>
      </c>
      <c r="D198" s="252">
        <v>1</v>
      </c>
      <c r="E198" s="163">
        <f t="shared" si="17"/>
        <v>0</v>
      </c>
      <c r="F198" s="164">
        <f t="shared" si="18"/>
        <v>0</v>
      </c>
      <c r="G198" s="303">
        <f t="shared" si="12"/>
        <v>183</v>
      </c>
      <c r="H198" s="161"/>
      <c r="I198" s="161"/>
      <c r="J198" s="162">
        <f t="shared" si="19"/>
        <v>0</v>
      </c>
      <c r="K198" s="162">
        <f t="shared" si="20"/>
        <v>0</v>
      </c>
    </row>
    <row r="199" spans="1:17" ht="25">
      <c r="A199" s="2"/>
      <c r="B199" s="221" t="s">
        <v>66</v>
      </c>
      <c r="C199" s="216" t="s">
        <v>12</v>
      </c>
      <c r="D199" s="252">
        <v>1</v>
      </c>
      <c r="E199" s="163">
        <f t="shared" si="17"/>
        <v>0</v>
      </c>
      <c r="F199" s="164">
        <f t="shared" si="18"/>
        <v>0</v>
      </c>
      <c r="G199" s="303">
        <f t="shared" si="12"/>
        <v>184</v>
      </c>
      <c r="H199" s="161"/>
      <c r="I199" s="161"/>
      <c r="J199" s="162">
        <f t="shared" si="19"/>
        <v>0</v>
      </c>
      <c r="K199" s="162">
        <f t="shared" si="20"/>
        <v>0</v>
      </c>
    </row>
    <row r="200" spans="1:17" ht="14">
      <c r="A200" s="2"/>
      <c r="B200" s="194"/>
      <c r="C200" s="216"/>
      <c r="D200" s="252"/>
      <c r="E200" s="163" t="str">
        <f t="shared" si="17"/>
        <v/>
      </c>
      <c r="F200" s="164" t="str">
        <f t="shared" si="18"/>
        <v/>
      </c>
      <c r="G200" s="303">
        <f t="shared" si="12"/>
        <v>185</v>
      </c>
      <c r="H200" s="161"/>
      <c r="I200" s="161"/>
      <c r="J200" s="162" t="str">
        <f t="shared" si="19"/>
        <v/>
      </c>
      <c r="K200" s="162" t="str">
        <f t="shared" si="20"/>
        <v/>
      </c>
    </row>
    <row r="201" spans="1:17" s="218" customFormat="1" ht="14">
      <c r="A201" s="2"/>
      <c r="B201" s="217" t="s">
        <v>120</v>
      </c>
      <c r="C201" s="216"/>
      <c r="D201" s="252"/>
      <c r="E201" s="163" t="str">
        <f t="shared" si="17"/>
        <v/>
      </c>
      <c r="F201" s="164" t="str">
        <f t="shared" si="18"/>
        <v/>
      </c>
      <c r="G201" s="303">
        <f t="shared" si="12"/>
        <v>186</v>
      </c>
      <c r="H201" s="161"/>
      <c r="I201" s="161"/>
      <c r="J201" s="162" t="str">
        <f t="shared" si="19"/>
        <v/>
      </c>
      <c r="K201" s="162" t="str">
        <f t="shared" si="20"/>
        <v/>
      </c>
      <c r="Q201" s="219"/>
    </row>
    <row r="202" spans="1:17" ht="14">
      <c r="A202" s="2"/>
      <c r="B202" s="194"/>
      <c r="C202" s="216"/>
      <c r="D202" s="252"/>
      <c r="E202" s="163" t="str">
        <f t="shared" si="17"/>
        <v/>
      </c>
      <c r="F202" s="164" t="str">
        <f t="shared" si="18"/>
        <v/>
      </c>
      <c r="G202" s="303">
        <f t="shared" si="12"/>
        <v>187</v>
      </c>
      <c r="H202" s="161"/>
      <c r="I202" s="161"/>
      <c r="J202" s="162" t="str">
        <f t="shared" si="19"/>
        <v/>
      </c>
      <c r="K202" s="162" t="str">
        <f t="shared" si="20"/>
        <v/>
      </c>
    </row>
    <row r="203" spans="1:17" ht="14">
      <c r="A203" s="2" t="s">
        <v>385</v>
      </c>
      <c r="B203" s="188" t="s">
        <v>87</v>
      </c>
      <c r="C203" s="216"/>
      <c r="D203" s="252"/>
      <c r="E203" s="163" t="str">
        <f t="shared" si="17"/>
        <v/>
      </c>
      <c r="F203" s="164" t="str">
        <f t="shared" si="18"/>
        <v/>
      </c>
      <c r="G203" s="303">
        <f t="shared" si="12"/>
        <v>188</v>
      </c>
      <c r="H203" s="161"/>
      <c r="I203" s="161"/>
      <c r="J203" s="162" t="str">
        <f t="shared" si="19"/>
        <v/>
      </c>
      <c r="K203" s="162" t="str">
        <f t="shared" si="20"/>
        <v/>
      </c>
      <c r="N203" s="248" t="s">
        <v>557</v>
      </c>
    </row>
    <row r="204" spans="1:17" ht="14">
      <c r="A204" s="2"/>
      <c r="B204" s="188"/>
      <c r="C204" s="216"/>
      <c r="D204" s="252"/>
      <c r="E204" s="163" t="str">
        <f t="shared" si="17"/>
        <v/>
      </c>
      <c r="F204" s="164" t="str">
        <f t="shared" si="18"/>
        <v/>
      </c>
      <c r="G204" s="303">
        <f t="shared" si="12"/>
        <v>189</v>
      </c>
      <c r="H204" s="161"/>
      <c r="I204" s="161"/>
      <c r="J204" s="162" t="str">
        <f t="shared" si="19"/>
        <v/>
      </c>
      <c r="K204" s="162" t="str">
        <f t="shared" si="20"/>
        <v/>
      </c>
    </row>
    <row r="205" spans="1:17" ht="14">
      <c r="A205" s="2"/>
      <c r="B205" s="206" t="s">
        <v>383</v>
      </c>
      <c r="C205" s="216"/>
      <c r="D205" s="252"/>
      <c r="E205" s="163" t="str">
        <f t="shared" si="17"/>
        <v/>
      </c>
      <c r="F205" s="164" t="str">
        <f t="shared" si="18"/>
        <v/>
      </c>
      <c r="G205" s="303">
        <f t="shared" si="12"/>
        <v>190</v>
      </c>
      <c r="H205" s="161"/>
      <c r="I205" s="161"/>
      <c r="J205" s="162" t="str">
        <f t="shared" si="19"/>
        <v/>
      </c>
      <c r="K205" s="162" t="str">
        <f t="shared" si="20"/>
        <v/>
      </c>
    </row>
    <row r="206" spans="1:17" ht="14">
      <c r="A206" s="2"/>
      <c r="B206" s="206" t="s">
        <v>67</v>
      </c>
      <c r="C206" s="216" t="s">
        <v>13</v>
      </c>
      <c r="D206" s="252">
        <f>QTE!J173</f>
        <v>76</v>
      </c>
      <c r="E206" s="163">
        <f t="shared" si="17"/>
        <v>0</v>
      </c>
      <c r="F206" s="164">
        <f t="shared" si="18"/>
        <v>0</v>
      </c>
      <c r="G206" s="303">
        <f t="shared" si="12"/>
        <v>191</v>
      </c>
      <c r="H206" s="161"/>
      <c r="I206" s="161"/>
      <c r="J206" s="162">
        <f t="shared" si="19"/>
        <v>0</v>
      </c>
      <c r="K206" s="162">
        <f t="shared" si="20"/>
        <v>0</v>
      </c>
    </row>
    <row r="207" spans="1:17" ht="14">
      <c r="A207" s="2"/>
      <c r="B207" s="206" t="s">
        <v>62</v>
      </c>
      <c r="C207" s="216" t="s">
        <v>13</v>
      </c>
      <c r="D207" s="252">
        <f>QTE!J170+QTE!J171</f>
        <v>82</v>
      </c>
      <c r="E207" s="163">
        <f t="shared" si="17"/>
        <v>0</v>
      </c>
      <c r="F207" s="164">
        <f t="shared" si="18"/>
        <v>0</v>
      </c>
      <c r="G207" s="303">
        <f t="shared" si="12"/>
        <v>192</v>
      </c>
      <c r="H207" s="161"/>
      <c r="I207" s="161"/>
      <c r="J207" s="162">
        <f t="shared" si="19"/>
        <v>0</v>
      </c>
      <c r="K207" s="162">
        <f t="shared" si="20"/>
        <v>0</v>
      </c>
    </row>
    <row r="208" spans="1:17" ht="14">
      <c r="A208" s="2"/>
      <c r="B208" s="206" t="s">
        <v>88</v>
      </c>
      <c r="C208" s="216" t="s">
        <v>13</v>
      </c>
      <c r="D208" s="252">
        <f>QTE!J175-'BATIMENT SOHO-ELEC 1'!D130</f>
        <v>3</v>
      </c>
      <c r="E208" s="163">
        <f t="shared" si="17"/>
        <v>0</v>
      </c>
      <c r="F208" s="164">
        <f t="shared" si="18"/>
        <v>0</v>
      </c>
      <c r="G208" s="303">
        <f t="shared" si="12"/>
        <v>193</v>
      </c>
      <c r="H208" s="161"/>
      <c r="I208" s="161"/>
      <c r="J208" s="162">
        <f t="shared" si="19"/>
        <v>0</v>
      </c>
      <c r="K208" s="162">
        <f t="shared" si="20"/>
        <v>0</v>
      </c>
    </row>
    <row r="209" spans="1:17" ht="14">
      <c r="A209" s="2"/>
      <c r="B209" s="206" t="s">
        <v>36</v>
      </c>
      <c r="C209" s="216" t="s">
        <v>12</v>
      </c>
      <c r="D209" s="252">
        <v>3</v>
      </c>
      <c r="E209" s="163">
        <f t="shared" si="17"/>
        <v>0</v>
      </c>
      <c r="F209" s="164">
        <f t="shared" si="18"/>
        <v>0</v>
      </c>
      <c r="G209" s="303">
        <f t="shared" si="12"/>
        <v>194</v>
      </c>
      <c r="H209" s="161"/>
      <c r="I209" s="161"/>
      <c r="J209" s="162">
        <f t="shared" si="19"/>
        <v>0</v>
      </c>
      <c r="K209" s="162">
        <f t="shared" si="20"/>
        <v>0</v>
      </c>
    </row>
    <row r="210" spans="1:17" ht="14">
      <c r="A210" s="2"/>
      <c r="B210" s="206" t="s">
        <v>37</v>
      </c>
      <c r="C210" s="216" t="s">
        <v>12</v>
      </c>
      <c r="D210" s="252">
        <v>1</v>
      </c>
      <c r="E210" s="163">
        <f t="shared" si="17"/>
        <v>0</v>
      </c>
      <c r="F210" s="164">
        <f t="shared" si="18"/>
        <v>0</v>
      </c>
      <c r="G210" s="303">
        <f t="shared" ref="G210:G273" si="21">G209+1</f>
        <v>195</v>
      </c>
      <c r="H210" s="161"/>
      <c r="I210" s="161"/>
      <c r="J210" s="162">
        <f t="shared" si="19"/>
        <v>0</v>
      </c>
      <c r="K210" s="162">
        <f t="shared" si="20"/>
        <v>0</v>
      </c>
    </row>
    <row r="211" spans="1:17" ht="14">
      <c r="A211" s="2"/>
      <c r="B211" s="206" t="s">
        <v>314</v>
      </c>
      <c r="C211" s="216" t="s">
        <v>13</v>
      </c>
      <c r="D211" s="252">
        <f>QTE!J171</f>
        <v>17</v>
      </c>
      <c r="E211" s="163">
        <f t="shared" si="17"/>
        <v>0</v>
      </c>
      <c r="F211" s="164">
        <f t="shared" si="18"/>
        <v>0</v>
      </c>
      <c r="G211" s="303">
        <f t="shared" si="21"/>
        <v>196</v>
      </c>
      <c r="H211" s="161"/>
      <c r="I211" s="161"/>
      <c r="J211" s="162">
        <f t="shared" si="19"/>
        <v>0</v>
      </c>
      <c r="K211" s="162">
        <f t="shared" si="20"/>
        <v>0</v>
      </c>
    </row>
    <row r="212" spans="1:17" ht="14">
      <c r="A212" s="2"/>
      <c r="B212" s="206" t="s">
        <v>313</v>
      </c>
      <c r="C212" s="216" t="s">
        <v>1</v>
      </c>
      <c r="D212" s="252">
        <f>(D207)*3</f>
        <v>246</v>
      </c>
      <c r="E212" s="163">
        <f t="shared" si="17"/>
        <v>0</v>
      </c>
      <c r="F212" s="164">
        <f t="shared" si="18"/>
        <v>0</v>
      </c>
      <c r="G212" s="303">
        <f t="shared" si="21"/>
        <v>197</v>
      </c>
      <c r="H212" s="161"/>
      <c r="I212" s="161"/>
      <c r="J212" s="162">
        <f t="shared" si="19"/>
        <v>0</v>
      </c>
      <c r="K212" s="162">
        <f t="shared" si="20"/>
        <v>0</v>
      </c>
    </row>
    <row r="213" spans="1:17" ht="14">
      <c r="A213" s="2"/>
      <c r="B213" s="194"/>
      <c r="C213" s="216"/>
      <c r="D213" s="252"/>
      <c r="E213" s="163" t="str">
        <f t="shared" si="17"/>
        <v/>
      </c>
      <c r="F213" s="164" t="str">
        <f t="shared" si="18"/>
        <v/>
      </c>
      <c r="G213" s="303">
        <f t="shared" si="21"/>
        <v>198</v>
      </c>
      <c r="H213" s="161"/>
      <c r="I213" s="161"/>
      <c r="J213" s="162" t="str">
        <f t="shared" si="19"/>
        <v/>
      </c>
      <c r="K213" s="162" t="str">
        <f t="shared" si="20"/>
        <v/>
      </c>
    </row>
    <row r="214" spans="1:17" s="218" customFormat="1" ht="14">
      <c r="A214" s="2"/>
      <c r="B214" s="217" t="s">
        <v>173</v>
      </c>
      <c r="C214" s="216"/>
      <c r="D214" s="252"/>
      <c r="E214" s="163" t="str">
        <f t="shared" si="17"/>
        <v/>
      </c>
      <c r="F214" s="164" t="str">
        <f t="shared" si="18"/>
        <v/>
      </c>
      <c r="G214" s="303">
        <f t="shared" si="21"/>
        <v>199</v>
      </c>
      <c r="H214" s="161"/>
      <c r="I214" s="161"/>
      <c r="J214" s="162" t="str">
        <f t="shared" si="19"/>
        <v/>
      </c>
      <c r="K214" s="162" t="str">
        <f t="shared" si="20"/>
        <v/>
      </c>
      <c r="Q214" s="219"/>
    </row>
    <row r="215" spans="1:17" ht="14">
      <c r="A215" s="2"/>
      <c r="B215" s="224"/>
      <c r="C215" s="216"/>
      <c r="D215" s="252"/>
      <c r="E215" s="163" t="str">
        <f t="shared" si="17"/>
        <v/>
      </c>
      <c r="F215" s="164" t="str">
        <f t="shared" si="18"/>
        <v/>
      </c>
      <c r="G215" s="303">
        <f t="shared" si="21"/>
        <v>200</v>
      </c>
      <c r="H215" s="161"/>
      <c r="I215" s="161"/>
      <c r="J215" s="162" t="str">
        <f t="shared" si="19"/>
        <v/>
      </c>
      <c r="K215" s="162" t="str">
        <f t="shared" si="20"/>
        <v/>
      </c>
    </row>
    <row r="216" spans="1:17" ht="14">
      <c r="A216" s="2" t="s">
        <v>190</v>
      </c>
      <c r="B216" s="188" t="s">
        <v>60</v>
      </c>
      <c r="C216" s="216"/>
      <c r="D216" s="252"/>
      <c r="E216" s="163" t="str">
        <f t="shared" si="17"/>
        <v/>
      </c>
      <c r="F216" s="164" t="str">
        <f t="shared" si="18"/>
        <v/>
      </c>
      <c r="G216" s="303">
        <f t="shared" si="21"/>
        <v>201</v>
      </c>
      <c r="H216" s="161"/>
      <c r="I216" s="161"/>
      <c r="J216" s="162" t="str">
        <f t="shared" si="19"/>
        <v/>
      </c>
      <c r="K216" s="162" t="str">
        <f t="shared" si="20"/>
        <v/>
      </c>
    </row>
    <row r="217" spans="1:17" ht="14">
      <c r="A217" s="2"/>
      <c r="B217" s="206"/>
      <c r="C217" s="216"/>
      <c r="D217" s="252"/>
      <c r="E217" s="163" t="str">
        <f t="shared" si="17"/>
        <v/>
      </c>
      <c r="F217" s="164" t="str">
        <f t="shared" si="18"/>
        <v/>
      </c>
      <c r="G217" s="303">
        <f t="shared" si="21"/>
        <v>202</v>
      </c>
      <c r="H217" s="161"/>
      <c r="I217" s="161"/>
      <c r="J217" s="162" t="str">
        <f t="shared" si="19"/>
        <v/>
      </c>
      <c r="K217" s="162" t="str">
        <f t="shared" si="20"/>
        <v/>
      </c>
    </row>
    <row r="218" spans="1:17" ht="14">
      <c r="A218" s="2" t="s">
        <v>386</v>
      </c>
      <c r="B218" s="188" t="s">
        <v>26</v>
      </c>
      <c r="C218" s="216"/>
      <c r="D218" s="252"/>
      <c r="E218" s="163" t="str">
        <f t="shared" si="17"/>
        <v/>
      </c>
      <c r="F218" s="164" t="str">
        <f t="shared" si="18"/>
        <v/>
      </c>
      <c r="G218" s="303">
        <f t="shared" si="21"/>
        <v>203</v>
      </c>
      <c r="H218" s="161"/>
      <c r="I218" s="161"/>
      <c r="J218" s="162" t="str">
        <f t="shared" si="19"/>
        <v/>
      </c>
      <c r="K218" s="162" t="str">
        <f t="shared" si="20"/>
        <v/>
      </c>
    </row>
    <row r="219" spans="1:17" ht="25">
      <c r="A219" s="2"/>
      <c r="B219" s="206" t="s">
        <v>181</v>
      </c>
      <c r="C219" s="216" t="s">
        <v>33</v>
      </c>
      <c r="D219" s="252"/>
      <c r="E219" s="163" t="str">
        <f t="shared" si="17"/>
        <v/>
      </c>
      <c r="F219" s="164" t="str">
        <f t="shared" si="18"/>
        <v/>
      </c>
      <c r="G219" s="303">
        <f t="shared" si="21"/>
        <v>204</v>
      </c>
      <c r="H219" s="161"/>
      <c r="I219" s="161"/>
      <c r="J219" s="162" t="str">
        <f t="shared" si="19"/>
        <v/>
      </c>
      <c r="K219" s="162" t="str">
        <f t="shared" si="20"/>
        <v/>
      </c>
    </row>
    <row r="220" spans="1:17" ht="25">
      <c r="A220" s="2"/>
      <c r="B220" s="206" t="s">
        <v>183</v>
      </c>
      <c r="C220" s="216" t="s">
        <v>138</v>
      </c>
      <c r="D220" s="252">
        <f>QTE!C271*10</f>
        <v>1050</v>
      </c>
      <c r="E220" s="163">
        <f t="shared" si="17"/>
        <v>0</v>
      </c>
      <c r="F220" s="164">
        <f t="shared" si="18"/>
        <v>0</v>
      </c>
      <c r="G220" s="303">
        <f t="shared" si="21"/>
        <v>205</v>
      </c>
      <c r="H220" s="161"/>
      <c r="I220" s="161"/>
      <c r="J220" s="162">
        <f t="shared" si="19"/>
        <v>0</v>
      </c>
      <c r="K220" s="162">
        <f t="shared" si="20"/>
        <v>0</v>
      </c>
    </row>
    <row r="221" spans="1:17" ht="14">
      <c r="A221" s="43"/>
      <c r="B221" s="206" t="s">
        <v>171</v>
      </c>
      <c r="C221" s="216" t="s">
        <v>12</v>
      </c>
      <c r="D221" s="252">
        <v>1</v>
      </c>
      <c r="E221" s="163">
        <f t="shared" si="17"/>
        <v>0</v>
      </c>
      <c r="F221" s="164">
        <f t="shared" si="18"/>
        <v>0</v>
      </c>
      <c r="G221" s="303">
        <f t="shared" si="21"/>
        <v>206</v>
      </c>
      <c r="H221" s="161"/>
      <c r="I221" s="161"/>
      <c r="J221" s="162">
        <f t="shared" si="19"/>
        <v>0</v>
      </c>
      <c r="K221" s="162">
        <f t="shared" si="20"/>
        <v>0</v>
      </c>
    </row>
    <row r="222" spans="1:17" ht="14">
      <c r="A222" s="43"/>
      <c r="B222" s="206" t="s">
        <v>90</v>
      </c>
      <c r="C222" s="216" t="s">
        <v>12</v>
      </c>
      <c r="D222" s="252">
        <v>1</v>
      </c>
      <c r="E222" s="163">
        <f t="shared" si="17"/>
        <v>0</v>
      </c>
      <c r="F222" s="164">
        <f t="shared" si="18"/>
        <v>0</v>
      </c>
      <c r="G222" s="303">
        <f t="shared" si="21"/>
        <v>207</v>
      </c>
      <c r="H222" s="161"/>
      <c r="I222" s="161"/>
      <c r="J222" s="162">
        <f t="shared" si="19"/>
        <v>0</v>
      </c>
      <c r="K222" s="162">
        <f t="shared" si="20"/>
        <v>0</v>
      </c>
    </row>
    <row r="223" spans="1:17" ht="14">
      <c r="A223" s="43"/>
      <c r="B223" s="206" t="s">
        <v>182</v>
      </c>
      <c r="C223" s="216" t="s">
        <v>12</v>
      </c>
      <c r="D223" s="252">
        <v>1</v>
      </c>
      <c r="E223" s="163">
        <f t="shared" si="17"/>
        <v>0</v>
      </c>
      <c r="F223" s="164">
        <f t="shared" si="18"/>
        <v>0</v>
      </c>
      <c r="G223" s="303">
        <f t="shared" si="21"/>
        <v>208</v>
      </c>
      <c r="H223" s="161"/>
      <c r="I223" s="161"/>
      <c r="J223" s="162">
        <f t="shared" si="19"/>
        <v>0</v>
      </c>
      <c r="K223" s="162">
        <f t="shared" si="20"/>
        <v>0</v>
      </c>
    </row>
    <row r="224" spans="1:17" ht="14">
      <c r="A224" s="43"/>
      <c r="B224" s="206" t="s">
        <v>333</v>
      </c>
      <c r="C224" s="216" t="s">
        <v>33</v>
      </c>
      <c r="D224" s="252"/>
      <c r="E224" s="163" t="str">
        <f t="shared" si="17"/>
        <v/>
      </c>
      <c r="F224" s="164" t="str">
        <f t="shared" si="18"/>
        <v/>
      </c>
      <c r="G224" s="303">
        <f t="shared" si="21"/>
        <v>209</v>
      </c>
      <c r="H224" s="161"/>
      <c r="I224" s="161"/>
      <c r="J224" s="162" t="str">
        <f t="shared" si="19"/>
        <v/>
      </c>
      <c r="K224" s="162" t="str">
        <f t="shared" si="20"/>
        <v/>
      </c>
    </row>
    <row r="225" spans="1:16" ht="14">
      <c r="A225" s="43"/>
      <c r="B225" s="206" t="s">
        <v>174</v>
      </c>
      <c r="C225" s="216" t="s">
        <v>33</v>
      </c>
      <c r="D225" s="252"/>
      <c r="E225" s="163" t="str">
        <f t="shared" si="17"/>
        <v/>
      </c>
      <c r="F225" s="164" t="str">
        <f t="shared" si="18"/>
        <v/>
      </c>
      <c r="G225" s="303">
        <f t="shared" si="21"/>
        <v>210</v>
      </c>
      <c r="H225" s="161"/>
      <c r="I225" s="161"/>
      <c r="J225" s="162" t="str">
        <f t="shared" si="19"/>
        <v/>
      </c>
      <c r="K225" s="162" t="str">
        <f t="shared" si="20"/>
        <v/>
      </c>
    </row>
    <row r="226" spans="1:16" ht="25">
      <c r="A226" s="43"/>
      <c r="B226" s="206" t="s">
        <v>317</v>
      </c>
      <c r="C226" s="216" t="s">
        <v>13</v>
      </c>
      <c r="D226" s="252">
        <f>(8+11)*3</f>
        <v>57</v>
      </c>
      <c r="E226" s="163">
        <f t="shared" si="17"/>
        <v>0</v>
      </c>
      <c r="F226" s="164">
        <f t="shared" si="18"/>
        <v>0</v>
      </c>
      <c r="G226" s="303">
        <f t="shared" si="21"/>
        <v>211</v>
      </c>
      <c r="H226" s="161"/>
      <c r="I226" s="161"/>
      <c r="J226" s="162">
        <f t="shared" si="19"/>
        <v>0</v>
      </c>
      <c r="K226" s="162">
        <f t="shared" si="20"/>
        <v>0</v>
      </c>
    </row>
    <row r="227" spans="1:16" ht="14">
      <c r="A227" s="43"/>
      <c r="B227" s="206" t="s">
        <v>334</v>
      </c>
      <c r="C227" s="216" t="s">
        <v>12</v>
      </c>
      <c r="D227" s="252">
        <v>1</v>
      </c>
      <c r="E227" s="163">
        <f t="shared" si="17"/>
        <v>0</v>
      </c>
      <c r="F227" s="164">
        <f t="shared" si="18"/>
        <v>0</v>
      </c>
      <c r="G227" s="303">
        <f t="shared" si="21"/>
        <v>212</v>
      </c>
      <c r="H227" s="161"/>
      <c r="I227" s="161"/>
      <c r="J227" s="162">
        <f t="shared" si="19"/>
        <v>0</v>
      </c>
      <c r="K227" s="162">
        <f t="shared" si="20"/>
        <v>0</v>
      </c>
    </row>
    <row r="228" spans="1:16" ht="14">
      <c r="A228" s="43"/>
      <c r="B228" s="206" t="s">
        <v>43</v>
      </c>
      <c r="C228" s="216" t="s">
        <v>12</v>
      </c>
      <c r="D228" s="252">
        <v>1</v>
      </c>
      <c r="E228" s="163">
        <f t="shared" si="17"/>
        <v>0</v>
      </c>
      <c r="F228" s="164">
        <f t="shared" si="18"/>
        <v>0</v>
      </c>
      <c r="G228" s="303">
        <f t="shared" si="21"/>
        <v>213</v>
      </c>
      <c r="H228" s="161"/>
      <c r="I228" s="161"/>
      <c r="J228" s="162">
        <f t="shared" si="19"/>
        <v>0</v>
      </c>
      <c r="K228" s="162">
        <f t="shared" si="20"/>
        <v>0</v>
      </c>
    </row>
    <row r="229" spans="1:16" ht="14">
      <c r="A229" s="43"/>
      <c r="B229" s="206" t="s">
        <v>319</v>
      </c>
      <c r="C229" s="216" t="s">
        <v>12</v>
      </c>
      <c r="D229" s="252">
        <v>1</v>
      </c>
      <c r="E229" s="163">
        <f t="shared" si="17"/>
        <v>0</v>
      </c>
      <c r="F229" s="164">
        <f t="shared" si="18"/>
        <v>0</v>
      </c>
      <c r="G229" s="303">
        <f t="shared" si="21"/>
        <v>214</v>
      </c>
      <c r="H229" s="161"/>
      <c r="I229" s="161"/>
      <c r="J229" s="162">
        <f t="shared" si="19"/>
        <v>0</v>
      </c>
      <c r="K229" s="162">
        <f t="shared" si="20"/>
        <v>0</v>
      </c>
    </row>
    <row r="230" spans="1:16" ht="14">
      <c r="A230" s="43"/>
      <c r="B230" s="206" t="s">
        <v>318</v>
      </c>
      <c r="C230" s="216" t="s">
        <v>12</v>
      </c>
      <c r="D230" s="252">
        <v>1</v>
      </c>
      <c r="E230" s="163">
        <f t="shared" si="17"/>
        <v>0</v>
      </c>
      <c r="F230" s="164">
        <f t="shared" si="18"/>
        <v>0</v>
      </c>
      <c r="G230" s="303">
        <f t="shared" si="21"/>
        <v>215</v>
      </c>
      <c r="H230" s="161"/>
      <c r="I230" s="161"/>
      <c r="J230" s="162">
        <f t="shared" si="19"/>
        <v>0</v>
      </c>
      <c r="K230" s="162">
        <f t="shared" si="20"/>
        <v>0</v>
      </c>
    </row>
    <row r="231" spans="1:16" ht="14">
      <c r="A231" s="43"/>
      <c r="B231" s="206" t="s">
        <v>320</v>
      </c>
      <c r="C231" s="216" t="s">
        <v>12</v>
      </c>
      <c r="D231" s="252">
        <v>1</v>
      </c>
      <c r="E231" s="163">
        <f t="shared" si="17"/>
        <v>0</v>
      </c>
      <c r="F231" s="164">
        <f t="shared" si="18"/>
        <v>0</v>
      </c>
      <c r="G231" s="303">
        <f t="shared" si="21"/>
        <v>216</v>
      </c>
      <c r="H231" s="161"/>
      <c r="I231" s="161"/>
      <c r="J231" s="162">
        <f t="shared" si="19"/>
        <v>0</v>
      </c>
      <c r="K231" s="162">
        <f t="shared" si="20"/>
        <v>0</v>
      </c>
    </row>
    <row r="232" spans="1:16" ht="14">
      <c r="A232" s="43"/>
      <c r="B232" s="206"/>
      <c r="C232" s="216"/>
      <c r="D232" s="252"/>
      <c r="E232" s="163" t="str">
        <f t="shared" si="17"/>
        <v/>
      </c>
      <c r="F232" s="164" t="str">
        <f t="shared" si="18"/>
        <v/>
      </c>
      <c r="G232" s="303">
        <f t="shared" si="21"/>
        <v>217</v>
      </c>
      <c r="H232" s="161"/>
      <c r="I232" s="161"/>
      <c r="J232" s="162" t="str">
        <f t="shared" si="19"/>
        <v/>
      </c>
      <c r="K232" s="162" t="str">
        <f t="shared" si="20"/>
        <v/>
      </c>
    </row>
    <row r="233" spans="1:16" ht="37.5">
      <c r="A233" s="43"/>
      <c r="B233" s="206" t="s">
        <v>315</v>
      </c>
      <c r="C233" s="189" t="s">
        <v>12</v>
      </c>
      <c r="D233" s="252">
        <v>1</v>
      </c>
      <c r="E233" s="163">
        <f t="shared" si="17"/>
        <v>0</v>
      </c>
      <c r="F233" s="164">
        <f t="shared" si="18"/>
        <v>0</v>
      </c>
      <c r="G233" s="303">
        <f t="shared" si="21"/>
        <v>218</v>
      </c>
      <c r="H233" s="161"/>
      <c r="I233" s="161"/>
      <c r="J233" s="162">
        <f t="shared" si="19"/>
        <v>0</v>
      </c>
      <c r="K233" s="162">
        <f t="shared" si="20"/>
        <v>0</v>
      </c>
    </row>
    <row r="234" spans="1:16" ht="14">
      <c r="A234" s="2"/>
      <c r="B234" s="206"/>
      <c r="C234" s="216"/>
      <c r="D234" s="252"/>
      <c r="E234" s="163" t="str">
        <f t="shared" si="17"/>
        <v/>
      </c>
      <c r="F234" s="164" t="str">
        <f t="shared" si="18"/>
        <v/>
      </c>
      <c r="G234" s="303">
        <f t="shared" si="21"/>
        <v>219</v>
      </c>
      <c r="H234" s="161"/>
      <c r="I234" s="161"/>
      <c r="J234" s="162" t="str">
        <f t="shared" si="19"/>
        <v/>
      </c>
      <c r="K234" s="162" t="str">
        <f t="shared" si="20"/>
        <v/>
      </c>
    </row>
    <row r="235" spans="1:16" ht="14">
      <c r="A235" s="2" t="s">
        <v>387</v>
      </c>
      <c r="B235" s="293" t="s">
        <v>63</v>
      </c>
      <c r="C235" s="216"/>
      <c r="D235" s="252"/>
      <c r="E235" s="163" t="str">
        <f t="shared" si="17"/>
        <v/>
      </c>
      <c r="F235" s="164" t="str">
        <f t="shared" si="18"/>
        <v/>
      </c>
      <c r="G235" s="303">
        <f t="shared" si="21"/>
        <v>220</v>
      </c>
      <c r="H235" s="161"/>
      <c r="I235" s="161"/>
      <c r="J235" s="162" t="str">
        <f t="shared" si="19"/>
        <v/>
      </c>
      <c r="K235" s="162" t="str">
        <f t="shared" si="20"/>
        <v/>
      </c>
      <c r="P235" s="292"/>
    </row>
    <row r="236" spans="1:16" ht="14">
      <c r="A236" s="2"/>
      <c r="B236" s="231"/>
      <c r="C236" s="189"/>
      <c r="D236" s="252"/>
      <c r="E236" s="163" t="str">
        <f t="shared" si="17"/>
        <v/>
      </c>
      <c r="F236" s="164" t="str">
        <f t="shared" si="18"/>
        <v/>
      </c>
      <c r="G236" s="303">
        <f t="shared" si="21"/>
        <v>221</v>
      </c>
      <c r="H236" s="161"/>
      <c r="I236" s="161"/>
      <c r="J236" s="162" t="str">
        <f t="shared" si="19"/>
        <v/>
      </c>
      <c r="K236" s="162" t="str">
        <f t="shared" si="20"/>
        <v/>
      </c>
    </row>
    <row r="237" spans="1:16" ht="25">
      <c r="A237" s="2"/>
      <c r="B237" s="206" t="s">
        <v>181</v>
      </c>
      <c r="C237" s="189" t="s">
        <v>33</v>
      </c>
      <c r="D237" s="252"/>
      <c r="E237" s="163" t="str">
        <f t="shared" si="17"/>
        <v/>
      </c>
      <c r="F237" s="164" t="str">
        <f t="shared" si="18"/>
        <v/>
      </c>
      <c r="G237" s="303">
        <f t="shared" si="21"/>
        <v>222</v>
      </c>
      <c r="H237" s="161"/>
      <c r="I237" s="161"/>
      <c r="J237" s="162" t="str">
        <f t="shared" si="19"/>
        <v/>
      </c>
      <c r="K237" s="162" t="str">
        <f t="shared" si="20"/>
        <v/>
      </c>
    </row>
    <row r="238" spans="1:16" ht="25">
      <c r="A238" s="2"/>
      <c r="B238" s="206" t="s">
        <v>183</v>
      </c>
      <c r="C238" s="216" t="s">
        <v>138</v>
      </c>
      <c r="D238" s="252">
        <f>(8+11)*3</f>
        <v>57</v>
      </c>
      <c r="E238" s="163">
        <f t="shared" si="17"/>
        <v>0</v>
      </c>
      <c r="F238" s="164">
        <f t="shared" si="18"/>
        <v>0</v>
      </c>
      <c r="G238" s="303">
        <f t="shared" si="21"/>
        <v>223</v>
      </c>
      <c r="H238" s="161"/>
      <c r="I238" s="161"/>
      <c r="J238" s="162">
        <f t="shared" si="19"/>
        <v>0</v>
      </c>
      <c r="K238" s="162">
        <f t="shared" si="20"/>
        <v>0</v>
      </c>
    </row>
    <row r="239" spans="1:16" ht="14">
      <c r="A239" s="2"/>
      <c r="B239" s="206"/>
      <c r="C239" s="189"/>
      <c r="D239" s="252"/>
      <c r="E239" s="163" t="str">
        <f t="shared" si="17"/>
        <v/>
      </c>
      <c r="F239" s="164" t="str">
        <f t="shared" si="18"/>
        <v/>
      </c>
      <c r="G239" s="303">
        <f t="shared" si="21"/>
        <v>224</v>
      </c>
      <c r="H239" s="161"/>
      <c r="I239" s="161"/>
      <c r="J239" s="162" t="str">
        <f t="shared" si="19"/>
        <v/>
      </c>
      <c r="K239" s="162" t="str">
        <f t="shared" si="20"/>
        <v/>
      </c>
    </row>
    <row r="240" spans="1:16" ht="14">
      <c r="A240" s="2"/>
      <c r="B240" s="206" t="s">
        <v>333</v>
      </c>
      <c r="C240" s="216" t="s">
        <v>33</v>
      </c>
      <c r="D240" s="252"/>
      <c r="E240" s="163" t="str">
        <f t="shared" si="17"/>
        <v/>
      </c>
      <c r="F240" s="164" t="str">
        <f t="shared" si="18"/>
        <v/>
      </c>
      <c r="G240" s="303">
        <f t="shared" si="21"/>
        <v>225</v>
      </c>
      <c r="H240" s="161"/>
      <c r="I240" s="161"/>
      <c r="J240" s="162" t="str">
        <f t="shared" si="19"/>
        <v/>
      </c>
      <c r="K240" s="162" t="str">
        <f t="shared" si="20"/>
        <v/>
      </c>
    </row>
    <row r="241" spans="1:11" ht="14">
      <c r="A241" s="2"/>
      <c r="B241" s="206" t="s">
        <v>174</v>
      </c>
      <c r="C241" s="189" t="s">
        <v>33</v>
      </c>
      <c r="D241" s="252"/>
      <c r="E241" s="163" t="str">
        <f t="shared" si="17"/>
        <v/>
      </c>
      <c r="F241" s="164" t="str">
        <f t="shared" si="18"/>
        <v/>
      </c>
      <c r="G241" s="303">
        <f t="shared" si="21"/>
        <v>226</v>
      </c>
      <c r="H241" s="161"/>
      <c r="I241" s="161"/>
      <c r="J241" s="162" t="str">
        <f t="shared" si="19"/>
        <v/>
      </c>
      <c r="K241" s="162" t="str">
        <f t="shared" si="20"/>
        <v/>
      </c>
    </row>
    <row r="242" spans="1:11" ht="14">
      <c r="A242" s="2"/>
      <c r="B242" s="206" t="s">
        <v>175</v>
      </c>
      <c r="C242" s="189" t="s">
        <v>13</v>
      </c>
      <c r="D242" s="252">
        <v>1</v>
      </c>
      <c r="E242" s="163">
        <f t="shared" si="17"/>
        <v>0</v>
      </c>
      <c r="F242" s="164">
        <f t="shared" si="18"/>
        <v>0</v>
      </c>
      <c r="G242" s="303">
        <f t="shared" si="21"/>
        <v>227</v>
      </c>
      <c r="H242" s="161"/>
      <c r="I242" s="161"/>
      <c r="J242" s="162">
        <f t="shared" si="19"/>
        <v>0</v>
      </c>
      <c r="K242" s="162">
        <f t="shared" si="20"/>
        <v>0</v>
      </c>
    </row>
    <row r="243" spans="1:11" ht="14">
      <c r="A243" s="2"/>
      <c r="B243" s="206" t="s">
        <v>176</v>
      </c>
      <c r="C243" s="189" t="s">
        <v>138</v>
      </c>
      <c r="D243" s="255"/>
      <c r="E243" s="163" t="str">
        <f t="shared" si="17"/>
        <v/>
      </c>
      <c r="F243" s="164" t="str">
        <f t="shared" si="18"/>
        <v/>
      </c>
      <c r="G243" s="303">
        <f t="shared" si="21"/>
        <v>228</v>
      </c>
      <c r="H243" s="161"/>
      <c r="I243" s="161"/>
      <c r="J243" s="162" t="str">
        <f t="shared" si="19"/>
        <v/>
      </c>
      <c r="K243" s="162" t="str">
        <f t="shared" si="20"/>
        <v/>
      </c>
    </row>
    <row r="244" spans="1:11" ht="14">
      <c r="A244" s="2"/>
      <c r="B244" s="206" t="s">
        <v>177</v>
      </c>
      <c r="C244" s="189" t="s">
        <v>12</v>
      </c>
      <c r="D244" s="255"/>
      <c r="E244" s="163" t="str">
        <f t="shared" si="17"/>
        <v/>
      </c>
      <c r="F244" s="164" t="str">
        <f t="shared" si="18"/>
        <v/>
      </c>
      <c r="G244" s="303">
        <f t="shared" si="21"/>
        <v>229</v>
      </c>
      <c r="H244" s="161"/>
      <c r="I244" s="161"/>
      <c r="J244" s="162" t="str">
        <f t="shared" si="19"/>
        <v/>
      </c>
      <c r="K244" s="162" t="str">
        <f t="shared" si="20"/>
        <v/>
      </c>
    </row>
    <row r="245" spans="1:11" ht="14">
      <c r="A245" s="2"/>
      <c r="B245" s="206"/>
      <c r="C245" s="189"/>
      <c r="D245" s="252"/>
      <c r="E245" s="163" t="str">
        <f t="shared" si="17"/>
        <v/>
      </c>
      <c r="F245" s="164" t="str">
        <f t="shared" si="18"/>
        <v/>
      </c>
      <c r="G245" s="303">
        <f t="shared" si="21"/>
        <v>230</v>
      </c>
      <c r="H245" s="161"/>
      <c r="I245" s="161"/>
      <c r="J245" s="162" t="str">
        <f t="shared" si="19"/>
        <v/>
      </c>
      <c r="K245" s="162" t="str">
        <f t="shared" si="20"/>
        <v/>
      </c>
    </row>
    <row r="246" spans="1:11" ht="50">
      <c r="A246" s="2"/>
      <c r="B246" s="206" t="s">
        <v>336</v>
      </c>
      <c r="C246" s="189" t="s">
        <v>12</v>
      </c>
      <c r="D246" s="252">
        <v>1</v>
      </c>
      <c r="E246" s="163">
        <f t="shared" si="17"/>
        <v>0</v>
      </c>
      <c r="F246" s="164">
        <f t="shared" si="18"/>
        <v>0</v>
      </c>
      <c r="G246" s="303">
        <f t="shared" si="21"/>
        <v>231</v>
      </c>
      <c r="H246" s="161"/>
      <c r="I246" s="161"/>
      <c r="J246" s="162">
        <f t="shared" si="19"/>
        <v>0</v>
      </c>
      <c r="K246" s="162">
        <f t="shared" si="20"/>
        <v>0</v>
      </c>
    </row>
    <row r="247" spans="1:11" ht="14">
      <c r="A247" s="2"/>
      <c r="B247" s="206"/>
      <c r="C247" s="189"/>
      <c r="D247" s="252"/>
      <c r="E247" s="163" t="str">
        <f t="shared" si="17"/>
        <v/>
      </c>
      <c r="F247" s="164" t="str">
        <f t="shared" si="18"/>
        <v/>
      </c>
      <c r="G247" s="303">
        <f t="shared" si="21"/>
        <v>232</v>
      </c>
      <c r="H247" s="161"/>
      <c r="I247" s="161"/>
      <c r="J247" s="162" t="str">
        <f t="shared" si="19"/>
        <v/>
      </c>
      <c r="K247" s="162" t="str">
        <f t="shared" si="20"/>
        <v/>
      </c>
    </row>
    <row r="248" spans="1:11" ht="37.5">
      <c r="A248" s="2"/>
      <c r="B248" s="206" t="s">
        <v>337</v>
      </c>
      <c r="C248" s="189" t="s">
        <v>12</v>
      </c>
      <c r="D248" s="252">
        <v>1</v>
      </c>
      <c r="E248" s="163">
        <f t="shared" si="17"/>
        <v>0</v>
      </c>
      <c r="F248" s="164">
        <f t="shared" si="18"/>
        <v>0</v>
      </c>
      <c r="G248" s="303">
        <f t="shared" si="21"/>
        <v>233</v>
      </c>
      <c r="H248" s="161"/>
      <c r="I248" s="161"/>
      <c r="J248" s="162">
        <f t="shared" si="19"/>
        <v>0</v>
      </c>
      <c r="K248" s="162">
        <f t="shared" si="20"/>
        <v>0</v>
      </c>
    </row>
    <row r="249" spans="1:11" ht="14">
      <c r="A249" s="2"/>
      <c r="B249" s="206"/>
      <c r="C249" s="189"/>
      <c r="D249" s="252"/>
      <c r="E249" s="163" t="str">
        <f t="shared" ref="E249:E311" si="22">IF(D249="","",(((J249*$K$2)+(K249*$I$2*$I$3))*$K$3)/D249)</f>
        <v/>
      </c>
      <c r="F249" s="164" t="str">
        <f t="shared" ref="F249:F311" si="23">IF(D249="","",D249*E249)</f>
        <v/>
      </c>
      <c r="G249" s="303">
        <f t="shared" si="21"/>
        <v>234</v>
      </c>
      <c r="H249" s="161"/>
      <c r="I249" s="161"/>
      <c r="J249" s="162" t="str">
        <f t="shared" ref="J249:J312" si="24">IF(D249="","",H249*D249)</f>
        <v/>
      </c>
      <c r="K249" s="162" t="str">
        <f t="shared" ref="K249:K312" si="25">IF(D249="","",D249*I249)</f>
        <v/>
      </c>
    </row>
    <row r="250" spans="1:11" ht="37.5">
      <c r="A250" s="2"/>
      <c r="B250" s="206" t="s">
        <v>338</v>
      </c>
      <c r="C250" s="189" t="s">
        <v>12</v>
      </c>
      <c r="D250" s="252">
        <v>1</v>
      </c>
      <c r="E250" s="163">
        <f t="shared" si="22"/>
        <v>0</v>
      </c>
      <c r="F250" s="164">
        <f t="shared" si="23"/>
        <v>0</v>
      </c>
      <c r="G250" s="303">
        <f t="shared" si="21"/>
        <v>235</v>
      </c>
      <c r="H250" s="161"/>
      <c r="I250" s="161"/>
      <c r="J250" s="162">
        <f t="shared" si="24"/>
        <v>0</v>
      </c>
      <c r="K250" s="162">
        <f t="shared" si="25"/>
        <v>0</v>
      </c>
    </row>
    <row r="251" spans="1:11" ht="14">
      <c r="A251" s="2"/>
      <c r="B251" s="206"/>
      <c r="C251" s="189"/>
      <c r="D251" s="252"/>
      <c r="E251" s="163" t="str">
        <f t="shared" si="22"/>
        <v/>
      </c>
      <c r="F251" s="164" t="str">
        <f t="shared" si="23"/>
        <v/>
      </c>
      <c r="G251" s="303">
        <f t="shared" si="21"/>
        <v>236</v>
      </c>
      <c r="H251" s="161"/>
      <c r="I251" s="161"/>
      <c r="J251" s="162" t="str">
        <f t="shared" si="24"/>
        <v/>
      </c>
      <c r="K251" s="162" t="str">
        <f t="shared" si="25"/>
        <v/>
      </c>
    </row>
    <row r="252" spans="1:11" ht="14">
      <c r="A252" s="2"/>
      <c r="B252" s="206" t="s">
        <v>339</v>
      </c>
      <c r="C252" s="189" t="s">
        <v>12</v>
      </c>
      <c r="D252" s="252">
        <v>1</v>
      </c>
      <c r="E252" s="163">
        <f t="shared" si="22"/>
        <v>0</v>
      </c>
      <c r="F252" s="164">
        <f t="shared" si="23"/>
        <v>0</v>
      </c>
      <c r="G252" s="303">
        <f t="shared" si="21"/>
        <v>237</v>
      </c>
      <c r="H252" s="161"/>
      <c r="I252" s="161"/>
      <c r="J252" s="162">
        <f t="shared" si="24"/>
        <v>0</v>
      </c>
      <c r="K252" s="162">
        <f t="shared" si="25"/>
        <v>0</v>
      </c>
    </row>
    <row r="253" spans="1:11" ht="14">
      <c r="A253" s="2"/>
      <c r="B253" s="206"/>
      <c r="C253" s="189"/>
      <c r="D253" s="252"/>
      <c r="E253" s="163" t="str">
        <f t="shared" si="22"/>
        <v/>
      </c>
      <c r="F253" s="164" t="str">
        <f t="shared" si="23"/>
        <v/>
      </c>
      <c r="G253" s="303">
        <f t="shared" si="21"/>
        <v>238</v>
      </c>
      <c r="H253" s="161"/>
      <c r="I253" s="161"/>
      <c r="J253" s="162" t="str">
        <f t="shared" si="24"/>
        <v/>
      </c>
      <c r="K253" s="162" t="str">
        <f t="shared" si="25"/>
        <v/>
      </c>
    </row>
    <row r="254" spans="1:11" ht="37.5">
      <c r="A254" s="2"/>
      <c r="B254" s="206" t="s">
        <v>315</v>
      </c>
      <c r="C254" s="189" t="s">
        <v>12</v>
      </c>
      <c r="D254" s="252">
        <v>1</v>
      </c>
      <c r="E254" s="163">
        <f t="shared" si="22"/>
        <v>0</v>
      </c>
      <c r="F254" s="164">
        <f t="shared" si="23"/>
        <v>0</v>
      </c>
      <c r="G254" s="303">
        <f t="shared" si="21"/>
        <v>239</v>
      </c>
      <c r="H254" s="161"/>
      <c r="I254" s="161"/>
      <c r="J254" s="162">
        <f t="shared" si="24"/>
        <v>0</v>
      </c>
      <c r="K254" s="162">
        <f t="shared" si="25"/>
        <v>0</v>
      </c>
    </row>
    <row r="255" spans="1:11" ht="37.5">
      <c r="A255" s="2"/>
      <c r="B255" s="206" t="s">
        <v>188</v>
      </c>
      <c r="C255" s="189" t="s">
        <v>12</v>
      </c>
      <c r="D255" s="252">
        <v>1</v>
      </c>
      <c r="E255" s="163">
        <f t="shared" si="22"/>
        <v>0</v>
      </c>
      <c r="F255" s="164">
        <f t="shared" si="23"/>
        <v>0</v>
      </c>
      <c r="G255" s="303">
        <f t="shared" si="21"/>
        <v>240</v>
      </c>
      <c r="H255" s="161"/>
      <c r="I255" s="161"/>
      <c r="J255" s="162">
        <f t="shared" si="24"/>
        <v>0</v>
      </c>
      <c r="K255" s="162">
        <f t="shared" si="25"/>
        <v>0</v>
      </c>
    </row>
    <row r="256" spans="1:11" ht="14">
      <c r="A256" s="2"/>
      <c r="B256" s="206"/>
      <c r="C256" s="189"/>
      <c r="D256" s="252"/>
      <c r="E256" s="163" t="str">
        <f t="shared" si="22"/>
        <v/>
      </c>
      <c r="F256" s="164" t="str">
        <f t="shared" si="23"/>
        <v/>
      </c>
      <c r="G256" s="303">
        <f t="shared" si="21"/>
        <v>241</v>
      </c>
      <c r="H256" s="161"/>
      <c r="I256" s="161"/>
      <c r="J256" s="162" t="str">
        <f t="shared" si="24"/>
        <v/>
      </c>
      <c r="K256" s="162" t="str">
        <f t="shared" si="25"/>
        <v/>
      </c>
    </row>
    <row r="257" spans="1:17" ht="14">
      <c r="A257" s="2"/>
      <c r="B257" s="206" t="s">
        <v>179</v>
      </c>
      <c r="C257" s="189" t="s">
        <v>12</v>
      </c>
      <c r="D257" s="252">
        <v>1</v>
      </c>
      <c r="E257" s="163">
        <f t="shared" si="22"/>
        <v>0</v>
      </c>
      <c r="F257" s="164">
        <f t="shared" si="23"/>
        <v>0</v>
      </c>
      <c r="G257" s="303">
        <f t="shared" si="21"/>
        <v>242</v>
      </c>
      <c r="H257" s="161"/>
      <c r="I257" s="161"/>
      <c r="J257" s="162">
        <f t="shared" si="24"/>
        <v>0</v>
      </c>
      <c r="K257" s="162">
        <f t="shared" si="25"/>
        <v>0</v>
      </c>
    </row>
    <row r="258" spans="1:17" ht="14">
      <c r="A258" s="2"/>
      <c r="B258" s="206" t="s">
        <v>180</v>
      </c>
      <c r="C258" s="189" t="s">
        <v>12</v>
      </c>
      <c r="D258" s="252">
        <v>1</v>
      </c>
      <c r="E258" s="163">
        <f t="shared" si="22"/>
        <v>0</v>
      </c>
      <c r="F258" s="164">
        <f t="shared" si="23"/>
        <v>0</v>
      </c>
      <c r="G258" s="303">
        <f t="shared" si="21"/>
        <v>243</v>
      </c>
      <c r="H258" s="161"/>
      <c r="I258" s="161"/>
      <c r="J258" s="162">
        <f t="shared" si="24"/>
        <v>0</v>
      </c>
      <c r="K258" s="162">
        <f t="shared" si="25"/>
        <v>0</v>
      </c>
    </row>
    <row r="259" spans="1:17" ht="14">
      <c r="A259" s="2"/>
      <c r="B259" s="233"/>
      <c r="C259" s="189"/>
      <c r="D259" s="252"/>
      <c r="E259" s="163" t="str">
        <f t="shared" si="22"/>
        <v/>
      </c>
      <c r="F259" s="164" t="str">
        <f t="shared" si="23"/>
        <v/>
      </c>
      <c r="G259" s="303">
        <f t="shared" si="21"/>
        <v>244</v>
      </c>
      <c r="H259" s="161"/>
      <c r="I259" s="161"/>
      <c r="J259" s="162" t="str">
        <f t="shared" si="24"/>
        <v/>
      </c>
      <c r="K259" s="162" t="str">
        <f t="shared" si="25"/>
        <v/>
      </c>
    </row>
    <row r="260" spans="1:17" s="218" customFormat="1" ht="14">
      <c r="A260" s="2"/>
      <c r="B260" s="217" t="s">
        <v>191</v>
      </c>
      <c r="C260" s="216"/>
      <c r="D260" s="252"/>
      <c r="E260" s="163" t="str">
        <f t="shared" si="22"/>
        <v/>
      </c>
      <c r="F260" s="164" t="str">
        <f t="shared" si="23"/>
        <v/>
      </c>
      <c r="G260" s="303">
        <f t="shared" si="21"/>
        <v>245</v>
      </c>
      <c r="H260" s="161"/>
      <c r="I260" s="161"/>
      <c r="J260" s="162" t="str">
        <f t="shared" si="24"/>
        <v/>
      </c>
      <c r="K260" s="162" t="str">
        <f t="shared" si="25"/>
        <v/>
      </c>
      <c r="Q260" s="219"/>
    </row>
    <row r="261" spans="1:17" ht="14">
      <c r="A261" s="2"/>
      <c r="B261" s="224"/>
      <c r="C261" s="216"/>
      <c r="D261" s="252"/>
      <c r="E261" s="163" t="str">
        <f t="shared" si="22"/>
        <v/>
      </c>
      <c r="F261" s="164" t="str">
        <f t="shared" si="23"/>
        <v/>
      </c>
      <c r="G261" s="303">
        <f t="shared" si="21"/>
        <v>246</v>
      </c>
      <c r="H261" s="161"/>
      <c r="I261" s="161"/>
      <c r="J261" s="162" t="str">
        <f t="shared" si="24"/>
        <v/>
      </c>
      <c r="K261" s="162" t="str">
        <f t="shared" si="25"/>
        <v/>
      </c>
    </row>
    <row r="262" spans="1:17" ht="14">
      <c r="A262" s="2" t="s">
        <v>84</v>
      </c>
      <c r="B262" s="222" t="s">
        <v>27</v>
      </c>
      <c r="C262" s="216"/>
      <c r="D262" s="252"/>
      <c r="E262" s="163" t="str">
        <f t="shared" si="22"/>
        <v/>
      </c>
      <c r="F262" s="164" t="str">
        <f t="shared" si="23"/>
        <v/>
      </c>
      <c r="G262" s="303">
        <f t="shared" si="21"/>
        <v>247</v>
      </c>
      <c r="H262" s="161"/>
      <c r="I262" s="161"/>
      <c r="J262" s="162" t="str">
        <f t="shared" si="24"/>
        <v/>
      </c>
      <c r="K262" s="162" t="str">
        <f t="shared" si="25"/>
        <v/>
      </c>
      <c r="N262" s="248" t="s">
        <v>557</v>
      </c>
    </row>
    <row r="263" spans="1:17" ht="14">
      <c r="A263" s="2"/>
      <c r="B263" s="224"/>
      <c r="C263" s="216"/>
      <c r="D263" s="252"/>
      <c r="E263" s="163" t="str">
        <f t="shared" si="22"/>
        <v/>
      </c>
      <c r="F263" s="164" t="str">
        <f t="shared" si="23"/>
        <v/>
      </c>
      <c r="G263" s="303">
        <f t="shared" si="21"/>
        <v>248</v>
      </c>
      <c r="H263" s="161"/>
      <c r="I263" s="161"/>
      <c r="J263" s="162" t="str">
        <f t="shared" si="24"/>
        <v/>
      </c>
      <c r="K263" s="162" t="str">
        <f t="shared" si="25"/>
        <v/>
      </c>
    </row>
    <row r="264" spans="1:17" ht="14">
      <c r="A264" s="2"/>
      <c r="B264" s="224" t="s">
        <v>38</v>
      </c>
      <c r="C264" s="216" t="s">
        <v>33</v>
      </c>
      <c r="D264" s="252"/>
      <c r="E264" s="163" t="str">
        <f t="shared" si="22"/>
        <v/>
      </c>
      <c r="F264" s="164" t="str">
        <f t="shared" si="23"/>
        <v/>
      </c>
      <c r="G264" s="303">
        <f t="shared" si="21"/>
        <v>249</v>
      </c>
      <c r="H264" s="161"/>
      <c r="I264" s="161"/>
      <c r="J264" s="162" t="str">
        <f t="shared" si="24"/>
        <v/>
      </c>
      <c r="K264" s="162" t="str">
        <f t="shared" si="25"/>
        <v/>
      </c>
    </row>
    <row r="265" spans="1:17" ht="14">
      <c r="A265" s="2"/>
      <c r="B265" s="224" t="s">
        <v>133</v>
      </c>
      <c r="C265" s="216" t="s">
        <v>12</v>
      </c>
      <c r="D265" s="252">
        <v>1</v>
      </c>
      <c r="E265" s="163">
        <f t="shared" si="22"/>
        <v>0</v>
      </c>
      <c r="F265" s="164">
        <f t="shared" si="23"/>
        <v>0</v>
      </c>
      <c r="G265" s="303">
        <f t="shared" si="21"/>
        <v>250</v>
      </c>
      <c r="H265" s="161"/>
      <c r="I265" s="161"/>
      <c r="J265" s="162">
        <f t="shared" si="24"/>
        <v>0</v>
      </c>
      <c r="K265" s="162">
        <f t="shared" si="25"/>
        <v>0</v>
      </c>
    </row>
    <row r="266" spans="1:17" ht="14">
      <c r="A266" s="2"/>
      <c r="B266" s="224" t="s">
        <v>39</v>
      </c>
      <c r="C266" s="216" t="s">
        <v>12</v>
      </c>
      <c r="D266" s="252">
        <v>1</v>
      </c>
      <c r="E266" s="163">
        <f t="shared" si="22"/>
        <v>0</v>
      </c>
      <c r="F266" s="164">
        <f t="shared" si="23"/>
        <v>0</v>
      </c>
      <c r="G266" s="303">
        <f t="shared" si="21"/>
        <v>251</v>
      </c>
      <c r="H266" s="161"/>
      <c r="I266" s="161"/>
      <c r="J266" s="162">
        <f t="shared" si="24"/>
        <v>0</v>
      </c>
      <c r="K266" s="162">
        <f t="shared" si="25"/>
        <v>0</v>
      </c>
    </row>
    <row r="267" spans="1:17" ht="14">
      <c r="A267" s="2"/>
      <c r="B267" s="224" t="s">
        <v>40</v>
      </c>
      <c r="C267" s="216" t="s">
        <v>12</v>
      </c>
      <c r="D267" s="252">
        <v>1</v>
      </c>
      <c r="E267" s="163">
        <f t="shared" si="22"/>
        <v>0</v>
      </c>
      <c r="F267" s="164">
        <f t="shared" si="23"/>
        <v>0</v>
      </c>
      <c r="G267" s="303">
        <f t="shared" si="21"/>
        <v>252</v>
      </c>
      <c r="H267" s="161"/>
      <c r="I267" s="161"/>
      <c r="J267" s="162">
        <f t="shared" si="24"/>
        <v>0</v>
      </c>
      <c r="K267" s="162">
        <f t="shared" si="25"/>
        <v>0</v>
      </c>
    </row>
    <row r="268" spans="1:17" ht="14">
      <c r="A268" s="2"/>
      <c r="B268" s="224"/>
      <c r="C268" s="216"/>
      <c r="D268" s="252"/>
      <c r="E268" s="163" t="str">
        <f t="shared" si="22"/>
        <v/>
      </c>
      <c r="F268" s="164" t="str">
        <f t="shared" si="23"/>
        <v/>
      </c>
      <c r="G268" s="303">
        <f t="shared" si="21"/>
        <v>253</v>
      </c>
      <c r="H268" s="161"/>
      <c r="I268" s="161"/>
      <c r="J268" s="162" t="str">
        <f t="shared" si="24"/>
        <v/>
      </c>
      <c r="K268" s="162" t="str">
        <f t="shared" si="25"/>
        <v/>
      </c>
    </row>
    <row r="269" spans="1:17" ht="25">
      <c r="A269" s="2"/>
      <c r="B269" s="206" t="s">
        <v>393</v>
      </c>
      <c r="C269" s="216" t="s">
        <v>138</v>
      </c>
      <c r="D269" s="252">
        <f>(8+11)*3</f>
        <v>57</v>
      </c>
      <c r="E269" s="163">
        <f t="shared" si="22"/>
        <v>0</v>
      </c>
      <c r="F269" s="164">
        <f t="shared" si="23"/>
        <v>0</v>
      </c>
      <c r="G269" s="303">
        <f t="shared" si="21"/>
        <v>254</v>
      </c>
      <c r="H269" s="161"/>
      <c r="I269" s="161"/>
      <c r="J269" s="162">
        <f t="shared" si="24"/>
        <v>0</v>
      </c>
      <c r="K269" s="162">
        <f t="shared" si="25"/>
        <v>0</v>
      </c>
    </row>
    <row r="270" spans="1:17" ht="14">
      <c r="A270" s="2"/>
      <c r="B270" s="224" t="s">
        <v>41</v>
      </c>
      <c r="C270" s="216" t="s">
        <v>12</v>
      </c>
      <c r="D270" s="252">
        <v>1</v>
      </c>
      <c r="E270" s="163">
        <f t="shared" si="22"/>
        <v>0</v>
      </c>
      <c r="F270" s="164">
        <f t="shared" si="23"/>
        <v>0</v>
      </c>
      <c r="G270" s="303">
        <f t="shared" si="21"/>
        <v>255</v>
      </c>
      <c r="H270" s="161"/>
      <c r="I270" s="161"/>
      <c r="J270" s="162">
        <f t="shared" si="24"/>
        <v>0</v>
      </c>
      <c r="K270" s="162">
        <f t="shared" si="25"/>
        <v>0</v>
      </c>
    </row>
    <row r="271" spans="1:17" ht="14">
      <c r="A271" s="2"/>
      <c r="B271" s="224"/>
      <c r="C271" s="216"/>
      <c r="D271" s="252"/>
      <c r="E271" s="163" t="str">
        <f t="shared" si="22"/>
        <v/>
      </c>
      <c r="F271" s="164" t="str">
        <f t="shared" si="23"/>
        <v/>
      </c>
      <c r="G271" s="303">
        <f t="shared" si="21"/>
        <v>256</v>
      </c>
      <c r="H271" s="161"/>
      <c r="I271" s="161"/>
      <c r="J271" s="162" t="str">
        <f t="shared" si="24"/>
        <v/>
      </c>
      <c r="K271" s="162" t="str">
        <f t="shared" si="25"/>
        <v/>
      </c>
    </row>
    <row r="272" spans="1:17" s="218" customFormat="1" ht="14">
      <c r="A272" s="2"/>
      <c r="B272" s="217" t="s">
        <v>114</v>
      </c>
      <c r="C272" s="216"/>
      <c r="D272" s="252"/>
      <c r="E272" s="163" t="str">
        <f t="shared" si="22"/>
        <v/>
      </c>
      <c r="F272" s="164" t="str">
        <f t="shared" si="23"/>
        <v/>
      </c>
      <c r="G272" s="303">
        <f t="shared" si="21"/>
        <v>257</v>
      </c>
      <c r="H272" s="161"/>
      <c r="I272" s="161"/>
      <c r="J272" s="162" t="str">
        <f t="shared" si="24"/>
        <v/>
      </c>
      <c r="K272" s="162" t="str">
        <f t="shared" si="25"/>
        <v/>
      </c>
      <c r="Q272" s="219"/>
    </row>
    <row r="273" spans="1:12" ht="14">
      <c r="A273" s="2"/>
      <c r="B273" s="224"/>
      <c r="C273" s="216"/>
      <c r="D273" s="252"/>
      <c r="E273" s="163" t="str">
        <f t="shared" si="22"/>
        <v/>
      </c>
      <c r="F273" s="164" t="str">
        <f t="shared" si="23"/>
        <v/>
      </c>
      <c r="G273" s="303">
        <f t="shared" si="21"/>
        <v>258</v>
      </c>
      <c r="H273" s="161"/>
      <c r="I273" s="161"/>
      <c r="J273" s="162" t="str">
        <f t="shared" si="24"/>
        <v/>
      </c>
      <c r="K273" s="162" t="str">
        <f t="shared" si="25"/>
        <v/>
      </c>
    </row>
    <row r="274" spans="1:12" ht="14">
      <c r="A274" s="2" t="s">
        <v>85</v>
      </c>
      <c r="B274" s="222" t="s">
        <v>192</v>
      </c>
      <c r="C274" s="216"/>
      <c r="D274" s="252"/>
      <c r="E274" s="163" t="str">
        <f t="shared" si="22"/>
        <v/>
      </c>
      <c r="F274" s="164" t="str">
        <f t="shared" si="23"/>
        <v/>
      </c>
      <c r="G274" s="303">
        <f t="shared" ref="G274:G337" si="26">G273+1</f>
        <v>259</v>
      </c>
      <c r="H274" s="161"/>
      <c r="I274" s="161"/>
      <c r="J274" s="162" t="str">
        <f t="shared" si="24"/>
        <v/>
      </c>
      <c r="K274" s="162" t="str">
        <f t="shared" si="25"/>
        <v/>
      </c>
    </row>
    <row r="275" spans="1:12" ht="14">
      <c r="A275" s="179"/>
      <c r="B275" s="224"/>
      <c r="C275" s="216"/>
      <c r="D275" s="252"/>
      <c r="E275" s="163" t="str">
        <f t="shared" si="22"/>
        <v/>
      </c>
      <c r="F275" s="164" t="str">
        <f t="shared" si="23"/>
        <v/>
      </c>
      <c r="G275" s="303">
        <f t="shared" si="26"/>
        <v>260</v>
      </c>
      <c r="H275" s="161"/>
      <c r="I275" s="161"/>
      <c r="J275" s="162" t="str">
        <f t="shared" si="24"/>
        <v/>
      </c>
      <c r="K275" s="162" t="str">
        <f t="shared" si="25"/>
        <v/>
      </c>
    </row>
    <row r="276" spans="1:12" ht="14">
      <c r="A276" s="179"/>
      <c r="B276" s="225" t="s">
        <v>21</v>
      </c>
      <c r="C276" s="216" t="s">
        <v>12</v>
      </c>
      <c r="D276" s="252">
        <v>1</v>
      </c>
      <c r="E276" s="163">
        <f t="shared" si="22"/>
        <v>0</v>
      </c>
      <c r="F276" s="164">
        <f t="shared" si="23"/>
        <v>0</v>
      </c>
      <c r="G276" s="303">
        <f t="shared" si="26"/>
        <v>261</v>
      </c>
      <c r="H276" s="161"/>
      <c r="I276" s="161"/>
      <c r="J276" s="162">
        <f t="shared" si="24"/>
        <v>0</v>
      </c>
      <c r="K276" s="162">
        <f t="shared" si="25"/>
        <v>0</v>
      </c>
    </row>
    <row r="277" spans="1:12" ht="14">
      <c r="A277" s="179"/>
      <c r="B277" s="234" t="s">
        <v>193</v>
      </c>
      <c r="C277" s="216"/>
      <c r="D277" s="252"/>
      <c r="E277" s="163" t="str">
        <f t="shared" si="22"/>
        <v/>
      </c>
      <c r="F277" s="164" t="str">
        <f t="shared" si="23"/>
        <v/>
      </c>
      <c r="G277" s="303">
        <f t="shared" si="26"/>
        <v>262</v>
      </c>
      <c r="H277" s="161"/>
      <c r="I277" s="161"/>
      <c r="J277" s="162" t="str">
        <f t="shared" si="24"/>
        <v/>
      </c>
      <c r="K277" s="162" t="str">
        <f t="shared" si="25"/>
        <v/>
      </c>
    </row>
    <row r="278" spans="1:12" ht="14">
      <c r="A278" s="179"/>
      <c r="B278" s="234" t="s">
        <v>194</v>
      </c>
      <c r="C278" s="216"/>
      <c r="D278" s="252"/>
      <c r="E278" s="163" t="str">
        <f t="shared" si="22"/>
        <v/>
      </c>
      <c r="F278" s="164" t="str">
        <f t="shared" si="23"/>
        <v/>
      </c>
      <c r="G278" s="303">
        <f t="shared" si="26"/>
        <v>263</v>
      </c>
      <c r="H278" s="161"/>
      <c r="I278" s="161"/>
      <c r="J278" s="162" t="str">
        <f t="shared" si="24"/>
        <v/>
      </c>
      <c r="K278" s="162" t="str">
        <f t="shared" si="25"/>
        <v/>
      </c>
    </row>
    <row r="279" spans="1:12" ht="14">
      <c r="A279" s="179"/>
      <c r="B279" s="234" t="s">
        <v>384</v>
      </c>
      <c r="C279" s="216"/>
      <c r="D279" s="252"/>
      <c r="E279" s="163" t="str">
        <f t="shared" si="22"/>
        <v/>
      </c>
      <c r="F279" s="164" t="str">
        <f t="shared" si="23"/>
        <v/>
      </c>
      <c r="G279" s="303">
        <f t="shared" si="26"/>
        <v>264</v>
      </c>
      <c r="H279" s="161"/>
      <c r="I279" s="161"/>
      <c r="J279" s="162" t="str">
        <f t="shared" si="24"/>
        <v/>
      </c>
      <c r="K279" s="162" t="str">
        <f t="shared" si="25"/>
        <v/>
      </c>
    </row>
    <row r="280" spans="1:12" ht="14">
      <c r="A280" s="179"/>
      <c r="B280" s="234" t="s">
        <v>195</v>
      </c>
      <c r="C280" s="216"/>
      <c r="D280" s="252"/>
      <c r="E280" s="163" t="str">
        <f t="shared" si="22"/>
        <v/>
      </c>
      <c r="F280" s="164" t="str">
        <f t="shared" si="23"/>
        <v/>
      </c>
      <c r="G280" s="303">
        <f t="shared" si="26"/>
        <v>265</v>
      </c>
      <c r="H280" s="161"/>
      <c r="I280" s="161"/>
      <c r="J280" s="162" t="str">
        <f t="shared" si="24"/>
        <v/>
      </c>
      <c r="K280" s="162" t="str">
        <f t="shared" si="25"/>
        <v/>
      </c>
      <c r="L280" s="248" t="s">
        <v>528</v>
      </c>
    </row>
    <row r="281" spans="1:12" ht="14">
      <c r="A281" s="179"/>
      <c r="B281" s="234" t="s">
        <v>196</v>
      </c>
      <c r="C281" s="216"/>
      <c r="D281" s="252"/>
      <c r="E281" s="163" t="str">
        <f t="shared" si="22"/>
        <v/>
      </c>
      <c r="F281" s="164" t="str">
        <f t="shared" si="23"/>
        <v/>
      </c>
      <c r="G281" s="303">
        <f t="shared" si="26"/>
        <v>266</v>
      </c>
      <c r="H281" s="161"/>
      <c r="I281" s="161"/>
      <c r="J281" s="162" t="str">
        <f t="shared" si="24"/>
        <v/>
      </c>
      <c r="K281" s="162" t="str">
        <f t="shared" si="25"/>
        <v/>
      </c>
    </row>
    <row r="282" spans="1:12" ht="14">
      <c r="A282" s="179"/>
      <c r="B282" s="225"/>
      <c r="C282" s="216"/>
      <c r="D282" s="252"/>
      <c r="E282" s="163" t="str">
        <f t="shared" si="22"/>
        <v/>
      </c>
      <c r="F282" s="164" t="str">
        <f t="shared" si="23"/>
        <v/>
      </c>
      <c r="G282" s="303">
        <f t="shared" si="26"/>
        <v>267</v>
      </c>
      <c r="H282" s="161"/>
      <c r="I282" s="161"/>
      <c r="J282" s="162" t="str">
        <f t="shared" si="24"/>
        <v/>
      </c>
      <c r="K282" s="162" t="str">
        <f t="shared" si="25"/>
        <v/>
      </c>
    </row>
    <row r="283" spans="1:12" ht="14">
      <c r="A283" s="179"/>
      <c r="B283" s="225" t="s">
        <v>42</v>
      </c>
      <c r="C283" s="216" t="s">
        <v>12</v>
      </c>
      <c r="D283" s="252">
        <v>1</v>
      </c>
      <c r="E283" s="163">
        <f t="shared" si="22"/>
        <v>0</v>
      </c>
      <c r="F283" s="164">
        <f t="shared" si="23"/>
        <v>0</v>
      </c>
      <c r="G283" s="303">
        <f t="shared" si="26"/>
        <v>268</v>
      </c>
      <c r="H283" s="161"/>
      <c r="I283" s="161"/>
      <c r="J283" s="162">
        <f t="shared" si="24"/>
        <v>0</v>
      </c>
      <c r="K283" s="162">
        <f t="shared" si="25"/>
        <v>0</v>
      </c>
    </row>
    <row r="284" spans="1:12" ht="14">
      <c r="A284" s="179"/>
      <c r="B284" s="225" t="s">
        <v>45</v>
      </c>
      <c r="C284" s="216" t="s">
        <v>12</v>
      </c>
      <c r="D284" s="252">
        <v>1</v>
      </c>
      <c r="E284" s="163">
        <f t="shared" si="22"/>
        <v>0</v>
      </c>
      <c r="F284" s="164">
        <f t="shared" si="23"/>
        <v>0</v>
      </c>
      <c r="G284" s="303">
        <f t="shared" si="26"/>
        <v>269</v>
      </c>
      <c r="H284" s="161"/>
      <c r="I284" s="161"/>
      <c r="J284" s="162">
        <f t="shared" si="24"/>
        <v>0</v>
      </c>
      <c r="K284" s="162">
        <f t="shared" si="25"/>
        <v>0</v>
      </c>
    </row>
    <row r="285" spans="1:12" s="198" customFormat="1" ht="25">
      <c r="A285" s="235"/>
      <c r="B285" s="236" t="s">
        <v>22</v>
      </c>
      <c r="C285" s="237" t="s">
        <v>13</v>
      </c>
      <c r="D285" s="252">
        <f>QTE!J198-'BATIMENT SOHO-ELEC 1'!D203</f>
        <v>105</v>
      </c>
      <c r="E285" s="163">
        <f t="shared" si="22"/>
        <v>0</v>
      </c>
      <c r="F285" s="164">
        <f t="shared" si="23"/>
        <v>0</v>
      </c>
      <c r="G285" s="303">
        <f t="shared" si="26"/>
        <v>270</v>
      </c>
      <c r="H285" s="161"/>
      <c r="I285" s="161"/>
      <c r="J285" s="162">
        <f t="shared" si="24"/>
        <v>0</v>
      </c>
      <c r="K285" s="162">
        <f t="shared" si="25"/>
        <v>0</v>
      </c>
    </row>
    <row r="286" spans="1:12" ht="14">
      <c r="A286" s="179"/>
      <c r="B286" s="225"/>
      <c r="C286" s="216"/>
      <c r="D286" s="252"/>
      <c r="E286" s="163" t="str">
        <f t="shared" si="22"/>
        <v/>
      </c>
      <c r="F286" s="164" t="str">
        <f t="shared" si="23"/>
        <v/>
      </c>
      <c r="G286" s="303">
        <f t="shared" si="26"/>
        <v>271</v>
      </c>
      <c r="H286" s="161"/>
      <c r="I286" s="161"/>
      <c r="J286" s="162" t="str">
        <f t="shared" si="24"/>
        <v/>
      </c>
      <c r="K286" s="162" t="str">
        <f t="shared" si="25"/>
        <v/>
      </c>
    </row>
    <row r="287" spans="1:12" ht="14">
      <c r="A287" s="179"/>
      <c r="B287" s="225" t="s">
        <v>198</v>
      </c>
      <c r="C287" s="216" t="s">
        <v>13</v>
      </c>
      <c r="D287" s="252">
        <f>QTE!J203-'BATIMENT SOHO-ELEC 1'!D205</f>
        <v>17</v>
      </c>
      <c r="E287" s="163">
        <f t="shared" si="22"/>
        <v>0</v>
      </c>
      <c r="F287" s="164">
        <f t="shared" si="23"/>
        <v>0</v>
      </c>
      <c r="G287" s="303">
        <f t="shared" si="26"/>
        <v>272</v>
      </c>
      <c r="H287" s="161"/>
      <c r="I287" s="161"/>
      <c r="J287" s="162">
        <f t="shared" si="24"/>
        <v>0</v>
      </c>
      <c r="K287" s="162">
        <f t="shared" si="25"/>
        <v>0</v>
      </c>
    </row>
    <row r="288" spans="1:12" ht="14">
      <c r="A288" s="179"/>
      <c r="B288" s="225" t="s">
        <v>46</v>
      </c>
      <c r="C288" s="216" t="s">
        <v>13</v>
      </c>
      <c r="D288" s="255"/>
      <c r="E288" s="163" t="str">
        <f t="shared" si="22"/>
        <v/>
      </c>
      <c r="F288" s="164" t="str">
        <f t="shared" si="23"/>
        <v/>
      </c>
      <c r="G288" s="303">
        <f t="shared" si="26"/>
        <v>273</v>
      </c>
      <c r="H288" s="161"/>
      <c r="I288" s="161"/>
      <c r="J288" s="162" t="str">
        <f t="shared" si="24"/>
        <v/>
      </c>
      <c r="K288" s="162" t="str">
        <f t="shared" si="25"/>
        <v/>
      </c>
    </row>
    <row r="289" spans="1:17" ht="14">
      <c r="A289" s="179"/>
      <c r="B289" s="225" t="s">
        <v>135</v>
      </c>
      <c r="C289" s="216" t="s">
        <v>13</v>
      </c>
      <c r="D289" s="252">
        <f>QTE!J200-'BATIMENT SOHO-ELEC 1'!D207</f>
        <v>12</v>
      </c>
      <c r="E289" s="163">
        <f t="shared" si="22"/>
        <v>0</v>
      </c>
      <c r="F289" s="164">
        <f t="shared" si="23"/>
        <v>0</v>
      </c>
      <c r="G289" s="303">
        <f t="shared" si="26"/>
        <v>274</v>
      </c>
      <c r="H289" s="161"/>
      <c r="I289" s="161"/>
      <c r="J289" s="162">
        <f t="shared" si="24"/>
        <v>0</v>
      </c>
      <c r="K289" s="162">
        <f t="shared" si="25"/>
        <v>0</v>
      </c>
    </row>
    <row r="290" spans="1:17" ht="14">
      <c r="A290" s="179"/>
      <c r="B290" s="225" t="s">
        <v>68</v>
      </c>
      <c r="C290" s="216" t="s">
        <v>12</v>
      </c>
      <c r="D290" s="252">
        <f>QTE!J204-'BATIMENT SOHO-ELEC 1'!D208</f>
        <v>19</v>
      </c>
      <c r="E290" s="163">
        <f t="shared" si="22"/>
        <v>0</v>
      </c>
      <c r="F290" s="164">
        <f t="shared" si="23"/>
        <v>0</v>
      </c>
      <c r="G290" s="303">
        <f t="shared" si="26"/>
        <v>275</v>
      </c>
      <c r="H290" s="161"/>
      <c r="I290" s="161"/>
      <c r="J290" s="162">
        <f t="shared" si="24"/>
        <v>0</v>
      </c>
      <c r="K290" s="162">
        <f t="shared" si="25"/>
        <v>0</v>
      </c>
      <c r="L290" s="248" t="s">
        <v>528</v>
      </c>
    </row>
    <row r="291" spans="1:17" ht="14">
      <c r="A291" s="179"/>
      <c r="B291" s="225" t="s">
        <v>342</v>
      </c>
      <c r="C291" s="216" t="s">
        <v>33</v>
      </c>
      <c r="D291" s="252"/>
      <c r="E291" s="163" t="str">
        <f t="shared" si="22"/>
        <v/>
      </c>
      <c r="F291" s="164" t="str">
        <f t="shared" si="23"/>
        <v/>
      </c>
      <c r="G291" s="303">
        <f t="shared" si="26"/>
        <v>276</v>
      </c>
      <c r="H291" s="161"/>
      <c r="I291" s="161"/>
      <c r="J291" s="162" t="str">
        <f t="shared" si="24"/>
        <v/>
      </c>
      <c r="K291" s="162" t="str">
        <f t="shared" si="25"/>
        <v/>
      </c>
    </row>
    <row r="292" spans="1:17" ht="14">
      <c r="A292" s="179"/>
      <c r="B292" s="225" t="s">
        <v>341</v>
      </c>
      <c r="C292" s="216" t="s">
        <v>12</v>
      </c>
      <c r="D292" s="252">
        <v>1</v>
      </c>
      <c r="E292" s="163">
        <f t="shared" si="22"/>
        <v>0</v>
      </c>
      <c r="F292" s="164">
        <f t="shared" si="23"/>
        <v>0</v>
      </c>
      <c r="G292" s="303">
        <f t="shared" si="26"/>
        <v>277</v>
      </c>
      <c r="H292" s="161"/>
      <c r="I292" s="161"/>
      <c r="J292" s="162">
        <f t="shared" si="24"/>
        <v>0</v>
      </c>
      <c r="K292" s="162">
        <f t="shared" si="25"/>
        <v>0</v>
      </c>
    </row>
    <row r="293" spans="1:17" ht="14">
      <c r="A293" s="179"/>
      <c r="B293" s="225"/>
      <c r="C293" s="216"/>
      <c r="D293" s="252"/>
      <c r="E293" s="163" t="str">
        <f t="shared" si="22"/>
        <v/>
      </c>
      <c r="F293" s="164" t="str">
        <f t="shared" si="23"/>
        <v/>
      </c>
      <c r="G293" s="303">
        <f t="shared" si="26"/>
        <v>278</v>
      </c>
      <c r="H293" s="161"/>
      <c r="I293" s="161"/>
      <c r="J293" s="162" t="str">
        <f t="shared" si="24"/>
        <v/>
      </c>
      <c r="K293" s="162" t="str">
        <f t="shared" si="25"/>
        <v/>
      </c>
    </row>
    <row r="294" spans="1:17" ht="14">
      <c r="A294" s="179"/>
      <c r="B294" s="225" t="s">
        <v>47</v>
      </c>
      <c r="C294" s="216" t="s">
        <v>13</v>
      </c>
      <c r="D294" s="252">
        <f>(QTE!D269+QTE!J269+QTE!P269+QTE!V269+QTE!D278+QTE!D279+QTE!E269+QTE!K269+QTE!Q269+QTE!W269)*2+(QTE!F269+QTE!L269+QTE!R269+QTE!X269+QTE!F279)*3+(QTE!G269+QTE!M269+QTE!S269+QTE!Y269)*4+(QTE!H269+QTE!N269+QTE!T269+QTE!Z269)*5+15</f>
        <v>362</v>
      </c>
      <c r="E294" s="163">
        <f t="shared" si="22"/>
        <v>0</v>
      </c>
      <c r="F294" s="164">
        <f t="shared" si="23"/>
        <v>0</v>
      </c>
      <c r="G294" s="303">
        <f t="shared" si="26"/>
        <v>279</v>
      </c>
      <c r="H294" s="161"/>
      <c r="I294" s="161"/>
      <c r="J294" s="162">
        <f t="shared" si="24"/>
        <v>0</v>
      </c>
      <c r="K294" s="162">
        <f t="shared" si="25"/>
        <v>0</v>
      </c>
    </row>
    <row r="295" spans="1:17" ht="14">
      <c r="A295" s="179"/>
      <c r="B295" s="225"/>
      <c r="C295" s="216"/>
      <c r="D295" s="252"/>
      <c r="E295" s="163" t="str">
        <f t="shared" si="22"/>
        <v/>
      </c>
      <c r="F295" s="164" t="str">
        <f t="shared" si="23"/>
        <v/>
      </c>
      <c r="G295" s="303">
        <f t="shared" si="26"/>
        <v>280</v>
      </c>
      <c r="H295" s="161"/>
      <c r="I295" s="161"/>
      <c r="J295" s="162" t="str">
        <f t="shared" si="24"/>
        <v/>
      </c>
      <c r="K295" s="162" t="str">
        <f t="shared" si="25"/>
        <v/>
      </c>
    </row>
    <row r="296" spans="1:17" ht="14">
      <c r="A296" s="179"/>
      <c r="B296" s="225" t="s">
        <v>23</v>
      </c>
      <c r="C296" s="216" t="s">
        <v>12</v>
      </c>
      <c r="D296" s="252">
        <v>1</v>
      </c>
      <c r="E296" s="163">
        <f t="shared" si="22"/>
        <v>0</v>
      </c>
      <c r="F296" s="164">
        <f t="shared" si="23"/>
        <v>0</v>
      </c>
      <c r="G296" s="303">
        <f t="shared" si="26"/>
        <v>281</v>
      </c>
      <c r="H296" s="161"/>
      <c r="I296" s="161"/>
      <c r="J296" s="162">
        <f t="shared" si="24"/>
        <v>0</v>
      </c>
      <c r="K296" s="162">
        <f t="shared" si="25"/>
        <v>0</v>
      </c>
    </row>
    <row r="297" spans="1:17" ht="14">
      <c r="A297" s="179"/>
      <c r="B297" s="225" t="s">
        <v>24</v>
      </c>
      <c r="C297" s="216" t="s">
        <v>12</v>
      </c>
      <c r="D297" s="252">
        <v>1</v>
      </c>
      <c r="E297" s="163">
        <f t="shared" si="22"/>
        <v>0</v>
      </c>
      <c r="F297" s="164">
        <f t="shared" si="23"/>
        <v>0</v>
      </c>
      <c r="G297" s="303">
        <f t="shared" si="26"/>
        <v>282</v>
      </c>
      <c r="H297" s="161"/>
      <c r="I297" s="161"/>
      <c r="J297" s="162">
        <f t="shared" si="24"/>
        <v>0</v>
      </c>
      <c r="K297" s="162">
        <f t="shared" si="25"/>
        <v>0</v>
      </c>
    </row>
    <row r="298" spans="1:17" ht="14">
      <c r="A298" s="2"/>
      <c r="B298" s="194"/>
      <c r="C298" s="216"/>
      <c r="D298" s="252"/>
      <c r="E298" s="163" t="str">
        <f t="shared" si="22"/>
        <v/>
      </c>
      <c r="F298" s="164" t="str">
        <f t="shared" si="23"/>
        <v/>
      </c>
      <c r="G298" s="303">
        <f t="shared" si="26"/>
        <v>283</v>
      </c>
      <c r="H298" s="161"/>
      <c r="I298" s="161"/>
      <c r="J298" s="162" t="str">
        <f t="shared" si="24"/>
        <v/>
      </c>
      <c r="K298" s="162" t="str">
        <f t="shared" si="25"/>
        <v/>
      </c>
    </row>
    <row r="299" spans="1:17" s="218" customFormat="1" ht="14">
      <c r="A299" s="2"/>
      <c r="B299" s="217" t="s">
        <v>115</v>
      </c>
      <c r="C299" s="216"/>
      <c r="D299" s="252"/>
      <c r="E299" s="163" t="str">
        <f t="shared" si="22"/>
        <v/>
      </c>
      <c r="F299" s="164" t="str">
        <f t="shared" si="23"/>
        <v/>
      </c>
      <c r="G299" s="303">
        <f t="shared" si="26"/>
        <v>284</v>
      </c>
      <c r="H299" s="161"/>
      <c r="I299" s="161"/>
      <c r="J299" s="162" t="str">
        <f t="shared" si="24"/>
        <v/>
      </c>
      <c r="K299" s="162" t="str">
        <f t="shared" si="25"/>
        <v/>
      </c>
      <c r="Q299" s="219"/>
    </row>
    <row r="300" spans="1:17" ht="14">
      <c r="A300" s="2" t="s">
        <v>86</v>
      </c>
      <c r="B300" s="188" t="s">
        <v>456</v>
      </c>
      <c r="C300" s="189"/>
      <c r="D300" s="252"/>
      <c r="E300" s="163" t="str">
        <f t="shared" si="22"/>
        <v/>
      </c>
      <c r="F300" s="164" t="str">
        <f t="shared" si="23"/>
        <v/>
      </c>
      <c r="G300" s="303">
        <f t="shared" si="26"/>
        <v>285</v>
      </c>
      <c r="H300" s="161"/>
      <c r="I300" s="161"/>
      <c r="J300" s="162" t="str">
        <f t="shared" si="24"/>
        <v/>
      </c>
      <c r="K300" s="162" t="str">
        <f t="shared" si="25"/>
        <v/>
      </c>
    </row>
    <row r="301" spans="1:17" ht="14">
      <c r="A301" s="2"/>
      <c r="B301" s="206"/>
      <c r="C301" s="189"/>
      <c r="D301" s="252"/>
      <c r="E301" s="163" t="str">
        <f t="shared" si="22"/>
        <v/>
      </c>
      <c r="F301" s="164" t="str">
        <f t="shared" si="23"/>
        <v/>
      </c>
      <c r="G301" s="303">
        <f t="shared" si="26"/>
        <v>286</v>
      </c>
      <c r="H301" s="161"/>
      <c r="I301" s="161"/>
      <c r="J301" s="162" t="str">
        <f t="shared" si="24"/>
        <v/>
      </c>
      <c r="K301" s="162" t="str">
        <f t="shared" si="25"/>
        <v/>
      </c>
    </row>
    <row r="302" spans="1:17" ht="14">
      <c r="A302" s="2"/>
      <c r="B302" s="206" t="s">
        <v>52</v>
      </c>
      <c r="C302" s="189" t="s">
        <v>13</v>
      </c>
      <c r="D302" s="252"/>
      <c r="E302" s="163" t="str">
        <f t="shared" si="22"/>
        <v/>
      </c>
      <c r="F302" s="164" t="str">
        <f t="shared" si="23"/>
        <v/>
      </c>
      <c r="G302" s="303">
        <f t="shared" si="26"/>
        <v>287</v>
      </c>
      <c r="H302" s="161"/>
      <c r="I302" s="161"/>
      <c r="J302" s="162" t="str">
        <f t="shared" si="24"/>
        <v/>
      </c>
      <c r="K302" s="162" t="str">
        <f t="shared" si="25"/>
        <v/>
      </c>
    </row>
    <row r="303" spans="1:17" ht="14">
      <c r="A303" s="2"/>
      <c r="B303" s="206" t="s">
        <v>344</v>
      </c>
      <c r="C303" s="189" t="s">
        <v>13</v>
      </c>
      <c r="D303" s="252">
        <f>QTE!J132-D313</f>
        <v>20</v>
      </c>
      <c r="E303" s="163">
        <f t="shared" si="22"/>
        <v>0</v>
      </c>
      <c r="F303" s="164">
        <f t="shared" si="23"/>
        <v>0</v>
      </c>
      <c r="G303" s="303">
        <f t="shared" si="26"/>
        <v>288</v>
      </c>
      <c r="H303" s="161"/>
      <c r="I303" s="161"/>
      <c r="J303" s="162">
        <f t="shared" si="24"/>
        <v>0</v>
      </c>
      <c r="K303" s="162">
        <f t="shared" si="25"/>
        <v>0</v>
      </c>
    </row>
    <row r="304" spans="1:17" ht="14">
      <c r="A304" s="2"/>
      <c r="B304" s="206" t="s">
        <v>199</v>
      </c>
      <c r="C304" s="189" t="s">
        <v>13</v>
      </c>
      <c r="D304" s="252"/>
      <c r="E304" s="163" t="str">
        <f t="shared" si="22"/>
        <v/>
      </c>
      <c r="F304" s="164" t="str">
        <f t="shared" si="23"/>
        <v/>
      </c>
      <c r="G304" s="303">
        <f t="shared" si="26"/>
        <v>289</v>
      </c>
      <c r="H304" s="161"/>
      <c r="I304" s="161"/>
      <c r="J304" s="162" t="str">
        <f t="shared" si="24"/>
        <v/>
      </c>
      <c r="K304" s="162" t="str">
        <f t="shared" si="25"/>
        <v/>
      </c>
    </row>
    <row r="305" spans="1:11" ht="14">
      <c r="A305" s="2"/>
      <c r="B305" s="206" t="s">
        <v>345</v>
      </c>
      <c r="C305" s="189" t="s">
        <v>13</v>
      </c>
      <c r="D305" s="252">
        <f>QTE!J135-D315</f>
        <v>142</v>
      </c>
      <c r="E305" s="163">
        <f t="shared" si="22"/>
        <v>0</v>
      </c>
      <c r="F305" s="164">
        <f t="shared" si="23"/>
        <v>0</v>
      </c>
      <c r="G305" s="303">
        <f t="shared" si="26"/>
        <v>290</v>
      </c>
      <c r="H305" s="161"/>
      <c r="I305" s="161"/>
      <c r="J305" s="162">
        <f t="shared" si="24"/>
        <v>0</v>
      </c>
      <c r="K305" s="162">
        <f t="shared" si="25"/>
        <v>0</v>
      </c>
    </row>
    <row r="306" spans="1:11" ht="14">
      <c r="A306" s="2"/>
      <c r="B306" s="206"/>
      <c r="C306" s="189"/>
      <c r="D306" s="252"/>
      <c r="E306" s="163" t="str">
        <f t="shared" si="22"/>
        <v/>
      </c>
      <c r="F306" s="164" t="str">
        <f t="shared" si="23"/>
        <v/>
      </c>
      <c r="G306" s="303">
        <f t="shared" si="26"/>
        <v>291</v>
      </c>
      <c r="H306" s="161"/>
      <c r="I306" s="161"/>
      <c r="J306" s="162" t="str">
        <f t="shared" si="24"/>
        <v/>
      </c>
      <c r="K306" s="162" t="str">
        <f t="shared" si="25"/>
        <v/>
      </c>
    </row>
    <row r="307" spans="1:11" ht="14">
      <c r="A307" s="2"/>
      <c r="B307" s="206" t="s">
        <v>205</v>
      </c>
      <c r="C307" s="189" t="s">
        <v>13</v>
      </c>
      <c r="D307" s="252">
        <f>QTE!J151-D317</f>
        <v>53</v>
      </c>
      <c r="E307" s="163">
        <f t="shared" si="22"/>
        <v>0</v>
      </c>
      <c r="F307" s="164">
        <f t="shared" si="23"/>
        <v>0</v>
      </c>
      <c r="G307" s="303">
        <f t="shared" si="26"/>
        <v>292</v>
      </c>
      <c r="H307" s="161"/>
      <c r="I307" s="161"/>
      <c r="J307" s="162">
        <f t="shared" si="24"/>
        <v>0</v>
      </c>
      <c r="K307" s="162">
        <f t="shared" si="25"/>
        <v>0</v>
      </c>
    </row>
    <row r="308" spans="1:11" ht="14">
      <c r="A308" s="2"/>
      <c r="B308" s="206" t="s">
        <v>206</v>
      </c>
      <c r="C308" s="189" t="s">
        <v>13</v>
      </c>
      <c r="D308" s="252"/>
      <c r="E308" s="163" t="str">
        <f t="shared" si="22"/>
        <v/>
      </c>
      <c r="F308" s="164" t="str">
        <f t="shared" si="23"/>
        <v/>
      </c>
      <c r="G308" s="303">
        <f t="shared" si="26"/>
        <v>293</v>
      </c>
      <c r="H308" s="161"/>
      <c r="I308" s="161"/>
      <c r="J308" s="162" t="str">
        <f t="shared" si="24"/>
        <v/>
      </c>
      <c r="K308" s="162" t="str">
        <f t="shared" si="25"/>
        <v/>
      </c>
    </row>
    <row r="309" spans="1:11" ht="14">
      <c r="A309" s="2"/>
      <c r="B309" s="206" t="s">
        <v>207</v>
      </c>
      <c r="C309" s="189" t="s">
        <v>13</v>
      </c>
      <c r="D309" s="252">
        <f>QTE!J157</f>
        <v>36</v>
      </c>
      <c r="E309" s="163">
        <f t="shared" si="22"/>
        <v>0</v>
      </c>
      <c r="F309" s="164">
        <f t="shared" si="23"/>
        <v>0</v>
      </c>
      <c r="G309" s="303">
        <f t="shared" si="26"/>
        <v>294</v>
      </c>
      <c r="H309" s="161"/>
      <c r="I309" s="161"/>
      <c r="J309" s="162">
        <f t="shared" si="24"/>
        <v>0</v>
      </c>
      <c r="K309" s="162">
        <f t="shared" si="25"/>
        <v>0</v>
      </c>
    </row>
    <row r="310" spans="1:11" ht="14">
      <c r="A310" s="2"/>
      <c r="B310" s="206"/>
      <c r="C310" s="189"/>
      <c r="D310" s="252"/>
      <c r="E310" s="163" t="str">
        <f t="shared" si="22"/>
        <v/>
      </c>
      <c r="F310" s="164" t="str">
        <f t="shared" si="23"/>
        <v/>
      </c>
      <c r="G310" s="303">
        <f t="shared" si="26"/>
        <v>295</v>
      </c>
      <c r="H310" s="161"/>
      <c r="I310" s="161"/>
      <c r="J310" s="162" t="str">
        <f t="shared" si="24"/>
        <v/>
      </c>
      <c r="K310" s="162" t="str">
        <f t="shared" si="25"/>
        <v/>
      </c>
    </row>
    <row r="311" spans="1:11" ht="14">
      <c r="A311" s="2"/>
      <c r="B311" s="238" t="s">
        <v>458</v>
      </c>
      <c r="C311" s="189"/>
      <c r="D311" s="252"/>
      <c r="E311" s="163" t="str">
        <f t="shared" si="22"/>
        <v/>
      </c>
      <c r="F311" s="164" t="str">
        <f t="shared" si="23"/>
        <v/>
      </c>
      <c r="G311" s="303">
        <f t="shared" si="26"/>
        <v>296</v>
      </c>
      <c r="H311" s="161"/>
      <c r="I311" s="161"/>
      <c r="J311" s="162" t="str">
        <f t="shared" si="24"/>
        <v/>
      </c>
      <c r="K311" s="162" t="str">
        <f t="shared" si="25"/>
        <v/>
      </c>
    </row>
    <row r="312" spans="1:11" ht="14">
      <c r="A312" s="2"/>
      <c r="B312" s="206" t="s">
        <v>52</v>
      </c>
      <c r="C312" s="189" t="s">
        <v>13</v>
      </c>
      <c r="D312" s="247">
        <v>1</v>
      </c>
      <c r="E312" s="163"/>
      <c r="F312" s="164"/>
      <c r="G312" s="303">
        <f t="shared" si="26"/>
        <v>297</v>
      </c>
      <c r="H312" s="161"/>
      <c r="I312" s="161"/>
      <c r="J312" s="162">
        <f t="shared" si="24"/>
        <v>0</v>
      </c>
      <c r="K312" s="162">
        <f t="shared" si="25"/>
        <v>0</v>
      </c>
    </row>
    <row r="313" spans="1:11" ht="14">
      <c r="A313" s="2"/>
      <c r="B313" s="206" t="s">
        <v>344</v>
      </c>
      <c r="C313" s="189" t="s">
        <v>13</v>
      </c>
      <c r="D313" s="252"/>
      <c r="E313" s="163" t="str">
        <f t="shared" ref="E313:E358" si="27">IF(D313="","",(((J313*$K$2)+(K313*$I$2*$I$3))*$K$3)/D313)</f>
        <v/>
      </c>
      <c r="F313" s="164" t="str">
        <f t="shared" ref="F313:F358" si="28">IF(D313="","",D313*E313)</f>
        <v/>
      </c>
      <c r="G313" s="303">
        <f t="shared" si="26"/>
        <v>298</v>
      </c>
      <c r="H313" s="161"/>
      <c r="I313" s="161"/>
      <c r="J313" s="162" t="str">
        <f t="shared" ref="J313:J358" si="29">IF(D313="","",H313*D313)</f>
        <v/>
      </c>
      <c r="K313" s="162" t="str">
        <f t="shared" ref="K313:K358" si="30">IF(D313="","",D313*I313)</f>
        <v/>
      </c>
    </row>
    <row r="314" spans="1:11" ht="14">
      <c r="A314" s="2"/>
      <c r="B314" s="206" t="s">
        <v>199</v>
      </c>
      <c r="C314" s="189" t="s">
        <v>13</v>
      </c>
      <c r="D314" s="252"/>
      <c r="E314" s="163" t="str">
        <f t="shared" si="27"/>
        <v/>
      </c>
      <c r="F314" s="164" t="str">
        <f t="shared" si="28"/>
        <v/>
      </c>
      <c r="G314" s="303">
        <f t="shared" si="26"/>
        <v>299</v>
      </c>
      <c r="H314" s="161"/>
      <c r="I314" s="161"/>
      <c r="J314" s="162" t="str">
        <f t="shared" si="29"/>
        <v/>
      </c>
      <c r="K314" s="162" t="str">
        <f t="shared" si="30"/>
        <v/>
      </c>
    </row>
    <row r="315" spans="1:11" ht="14">
      <c r="A315" s="2"/>
      <c r="B315" s="206" t="s">
        <v>345</v>
      </c>
      <c r="C315" s="189" t="s">
        <v>13</v>
      </c>
      <c r="D315" s="252"/>
      <c r="E315" s="163" t="str">
        <f t="shared" si="27"/>
        <v/>
      </c>
      <c r="F315" s="164" t="str">
        <f t="shared" si="28"/>
        <v/>
      </c>
      <c r="G315" s="303">
        <f t="shared" si="26"/>
        <v>300</v>
      </c>
      <c r="H315" s="161"/>
      <c r="I315" s="161"/>
      <c r="J315" s="162" t="str">
        <f t="shared" si="29"/>
        <v/>
      </c>
      <c r="K315" s="162" t="str">
        <f t="shared" si="30"/>
        <v/>
      </c>
    </row>
    <row r="316" spans="1:11" ht="14">
      <c r="A316" s="2"/>
      <c r="B316" s="206"/>
      <c r="C316" s="189"/>
      <c r="D316" s="252"/>
      <c r="E316" s="163" t="str">
        <f t="shared" si="27"/>
        <v/>
      </c>
      <c r="F316" s="164" t="str">
        <f t="shared" si="28"/>
        <v/>
      </c>
      <c r="G316" s="303">
        <f t="shared" si="26"/>
        <v>301</v>
      </c>
      <c r="H316" s="161"/>
      <c r="I316" s="161"/>
      <c r="J316" s="162" t="str">
        <f t="shared" si="29"/>
        <v/>
      </c>
      <c r="K316" s="162" t="str">
        <f t="shared" si="30"/>
        <v/>
      </c>
    </row>
    <row r="317" spans="1:11" ht="14">
      <c r="A317" s="2"/>
      <c r="B317" s="206" t="s">
        <v>205</v>
      </c>
      <c r="C317" s="189" t="s">
        <v>13</v>
      </c>
      <c r="D317" s="252">
        <f>2</f>
        <v>2</v>
      </c>
      <c r="E317" s="163">
        <f t="shared" si="27"/>
        <v>0</v>
      </c>
      <c r="F317" s="164">
        <f t="shared" si="28"/>
        <v>0</v>
      </c>
      <c r="G317" s="303">
        <f t="shared" si="26"/>
        <v>302</v>
      </c>
      <c r="H317" s="161"/>
      <c r="I317" s="161"/>
      <c r="J317" s="162">
        <f t="shared" si="29"/>
        <v>0</v>
      </c>
      <c r="K317" s="162">
        <f t="shared" si="30"/>
        <v>0</v>
      </c>
    </row>
    <row r="318" spans="1:11" ht="14">
      <c r="A318" s="2"/>
      <c r="B318" s="206" t="s">
        <v>206</v>
      </c>
      <c r="C318" s="189" t="s">
        <v>13</v>
      </c>
      <c r="D318" s="252"/>
      <c r="E318" s="163" t="str">
        <f t="shared" si="27"/>
        <v/>
      </c>
      <c r="F318" s="164" t="str">
        <f t="shared" si="28"/>
        <v/>
      </c>
      <c r="G318" s="303">
        <f t="shared" si="26"/>
        <v>303</v>
      </c>
      <c r="H318" s="161"/>
      <c r="I318" s="161"/>
      <c r="J318" s="162" t="str">
        <f t="shared" si="29"/>
        <v/>
      </c>
      <c r="K318" s="162" t="str">
        <f t="shared" si="30"/>
        <v/>
      </c>
    </row>
    <row r="319" spans="1:11" ht="14">
      <c r="A319" s="2"/>
      <c r="B319" s="206" t="s">
        <v>207</v>
      </c>
      <c r="C319" s="189" t="s">
        <v>13</v>
      </c>
      <c r="D319" s="252"/>
      <c r="E319" s="163" t="str">
        <f t="shared" si="27"/>
        <v/>
      </c>
      <c r="F319" s="164" t="str">
        <f t="shared" si="28"/>
        <v/>
      </c>
      <c r="G319" s="303">
        <f t="shared" si="26"/>
        <v>304</v>
      </c>
      <c r="H319" s="161"/>
      <c r="I319" s="161"/>
      <c r="J319" s="162" t="str">
        <f t="shared" si="29"/>
        <v/>
      </c>
      <c r="K319" s="162" t="str">
        <f t="shared" si="30"/>
        <v/>
      </c>
    </row>
    <row r="320" spans="1:11" ht="14">
      <c r="A320" s="2"/>
      <c r="B320" s="206"/>
      <c r="C320" s="189"/>
      <c r="D320" s="252"/>
      <c r="E320" s="163" t="str">
        <f t="shared" si="27"/>
        <v/>
      </c>
      <c r="F320" s="164" t="str">
        <f t="shared" si="28"/>
        <v/>
      </c>
      <c r="G320" s="303">
        <f t="shared" si="26"/>
        <v>305</v>
      </c>
      <c r="H320" s="161"/>
      <c r="I320" s="161"/>
      <c r="J320" s="162" t="str">
        <f t="shared" si="29"/>
        <v/>
      </c>
      <c r="K320" s="162" t="str">
        <f t="shared" si="30"/>
        <v/>
      </c>
    </row>
    <row r="321" spans="1:17" ht="14">
      <c r="A321" s="2"/>
      <c r="B321" s="206"/>
      <c r="C321" s="189"/>
      <c r="D321" s="252"/>
      <c r="E321" s="163" t="str">
        <f t="shared" si="27"/>
        <v/>
      </c>
      <c r="F321" s="164" t="str">
        <f t="shared" si="28"/>
        <v/>
      </c>
      <c r="G321" s="303">
        <f t="shared" si="26"/>
        <v>306</v>
      </c>
      <c r="H321" s="161"/>
      <c r="I321" s="161"/>
      <c r="J321" s="162" t="str">
        <f t="shared" si="29"/>
        <v/>
      </c>
      <c r="K321" s="162" t="str">
        <f t="shared" si="30"/>
        <v/>
      </c>
    </row>
    <row r="322" spans="1:17" ht="14">
      <c r="A322" s="2"/>
      <c r="B322" s="206" t="s">
        <v>98</v>
      </c>
      <c r="C322" s="189" t="s">
        <v>13</v>
      </c>
      <c r="D322" s="252">
        <f>QTE!J140</f>
        <v>23</v>
      </c>
      <c r="E322" s="163">
        <f t="shared" si="27"/>
        <v>0</v>
      </c>
      <c r="F322" s="164">
        <f t="shared" si="28"/>
        <v>0</v>
      </c>
      <c r="G322" s="303">
        <f t="shared" si="26"/>
        <v>307</v>
      </c>
      <c r="H322" s="161"/>
      <c r="I322" s="161"/>
      <c r="J322" s="162">
        <f t="shared" si="29"/>
        <v>0</v>
      </c>
      <c r="K322" s="162">
        <f t="shared" si="30"/>
        <v>0</v>
      </c>
    </row>
    <row r="323" spans="1:17" ht="14">
      <c r="A323" s="2"/>
      <c r="B323" s="206" t="s">
        <v>201</v>
      </c>
      <c r="C323" s="189" t="s">
        <v>13</v>
      </c>
      <c r="D323" s="252">
        <f>QTE!J138-'BATIMENT SOHO-ELEC 2'!D215</f>
        <v>21</v>
      </c>
      <c r="E323" s="163">
        <f t="shared" si="27"/>
        <v>0</v>
      </c>
      <c r="F323" s="164">
        <f t="shared" si="28"/>
        <v>0</v>
      </c>
      <c r="G323" s="303">
        <f t="shared" si="26"/>
        <v>308</v>
      </c>
      <c r="H323" s="161"/>
      <c r="I323" s="161"/>
      <c r="J323" s="162">
        <f t="shared" si="29"/>
        <v>0</v>
      </c>
      <c r="K323" s="162">
        <f t="shared" si="30"/>
        <v>0</v>
      </c>
    </row>
    <row r="324" spans="1:17" ht="14">
      <c r="A324" s="2"/>
      <c r="B324" s="206" t="s">
        <v>346</v>
      </c>
      <c r="C324" s="189" t="s">
        <v>13</v>
      </c>
      <c r="D324" s="252">
        <f>QTE!J137</f>
        <v>1</v>
      </c>
      <c r="E324" s="163">
        <f t="shared" si="27"/>
        <v>0</v>
      </c>
      <c r="F324" s="164">
        <f t="shared" si="28"/>
        <v>0</v>
      </c>
      <c r="G324" s="303">
        <f t="shared" si="26"/>
        <v>309</v>
      </c>
      <c r="H324" s="161"/>
      <c r="I324" s="161"/>
      <c r="J324" s="162">
        <f t="shared" si="29"/>
        <v>0</v>
      </c>
      <c r="K324" s="162">
        <f t="shared" si="30"/>
        <v>0</v>
      </c>
    </row>
    <row r="325" spans="1:17" ht="14">
      <c r="A325" s="2"/>
      <c r="B325" s="206" t="s">
        <v>203</v>
      </c>
      <c r="C325" s="189" t="s">
        <v>13</v>
      </c>
      <c r="D325" s="252">
        <f>QTE!J141-'BATIMENT SOHO-ELEC 1'!D227+QTE!J139</f>
        <v>89</v>
      </c>
      <c r="E325" s="163">
        <f t="shared" si="27"/>
        <v>0</v>
      </c>
      <c r="F325" s="164">
        <f t="shared" si="28"/>
        <v>0</v>
      </c>
      <c r="G325" s="303">
        <f t="shared" si="26"/>
        <v>310</v>
      </c>
      <c r="H325" s="161"/>
      <c r="I325" s="161"/>
      <c r="J325" s="162">
        <f t="shared" si="29"/>
        <v>0</v>
      </c>
      <c r="K325" s="162">
        <f t="shared" si="30"/>
        <v>0</v>
      </c>
    </row>
    <row r="326" spans="1:17" ht="14">
      <c r="A326" s="2"/>
      <c r="B326" s="206" t="s">
        <v>202</v>
      </c>
      <c r="C326" s="189" t="s">
        <v>13</v>
      </c>
      <c r="D326" s="252">
        <f>QTE!J142</f>
        <v>76</v>
      </c>
      <c r="E326" s="163">
        <f t="shared" si="27"/>
        <v>0</v>
      </c>
      <c r="F326" s="164">
        <f t="shared" si="28"/>
        <v>0</v>
      </c>
      <c r="G326" s="303">
        <f t="shared" si="26"/>
        <v>311</v>
      </c>
      <c r="H326" s="161"/>
      <c r="I326" s="161"/>
      <c r="J326" s="162">
        <f t="shared" si="29"/>
        <v>0</v>
      </c>
      <c r="K326" s="162">
        <f t="shared" si="30"/>
        <v>0</v>
      </c>
    </row>
    <row r="327" spans="1:17" ht="14">
      <c r="A327" s="2"/>
      <c r="B327" s="206"/>
      <c r="C327" s="189" t="s">
        <v>13</v>
      </c>
      <c r="D327" s="252"/>
      <c r="E327" s="163" t="str">
        <f t="shared" si="27"/>
        <v/>
      </c>
      <c r="F327" s="164" t="str">
        <f t="shared" si="28"/>
        <v/>
      </c>
      <c r="G327" s="303">
        <f t="shared" si="26"/>
        <v>312</v>
      </c>
      <c r="H327" s="161"/>
      <c r="I327" s="161"/>
      <c r="J327" s="162" t="str">
        <f t="shared" si="29"/>
        <v/>
      </c>
      <c r="K327" s="162" t="str">
        <f t="shared" si="30"/>
        <v/>
      </c>
    </row>
    <row r="328" spans="1:17" ht="14">
      <c r="A328" s="2"/>
      <c r="B328" s="206" t="s">
        <v>204</v>
      </c>
      <c r="C328" s="189" t="s">
        <v>12</v>
      </c>
      <c r="D328" s="252"/>
      <c r="E328" s="163" t="str">
        <f t="shared" si="27"/>
        <v/>
      </c>
      <c r="F328" s="164" t="str">
        <f t="shared" si="28"/>
        <v/>
      </c>
      <c r="G328" s="303">
        <f t="shared" si="26"/>
        <v>313</v>
      </c>
      <c r="H328" s="161"/>
      <c r="I328" s="161"/>
      <c r="J328" s="162" t="str">
        <f t="shared" si="29"/>
        <v/>
      </c>
      <c r="K328" s="162" t="str">
        <f t="shared" si="30"/>
        <v/>
      </c>
    </row>
    <row r="329" spans="1:17" ht="14">
      <c r="A329" s="2"/>
      <c r="B329" s="206"/>
      <c r="C329" s="189"/>
      <c r="D329" s="252"/>
      <c r="E329" s="163" t="str">
        <f t="shared" si="27"/>
        <v/>
      </c>
      <c r="F329" s="164" t="str">
        <f t="shared" si="28"/>
        <v/>
      </c>
      <c r="G329" s="303">
        <f t="shared" si="26"/>
        <v>314</v>
      </c>
      <c r="H329" s="161"/>
      <c r="I329" s="161"/>
      <c r="J329" s="162" t="str">
        <f t="shared" si="29"/>
        <v/>
      </c>
      <c r="K329" s="162" t="str">
        <f t="shared" si="30"/>
        <v/>
      </c>
    </row>
    <row r="330" spans="1:17" ht="14">
      <c r="A330" s="2"/>
      <c r="B330" s="206"/>
      <c r="C330" s="189"/>
      <c r="D330" s="252"/>
      <c r="E330" s="163" t="str">
        <f t="shared" si="27"/>
        <v/>
      </c>
      <c r="F330" s="164" t="str">
        <f t="shared" si="28"/>
        <v/>
      </c>
      <c r="G330" s="303">
        <f t="shared" si="26"/>
        <v>315</v>
      </c>
      <c r="H330" s="161"/>
      <c r="I330" s="161"/>
      <c r="J330" s="162" t="str">
        <f t="shared" si="29"/>
        <v/>
      </c>
      <c r="K330" s="162" t="str">
        <f t="shared" si="30"/>
        <v/>
      </c>
    </row>
    <row r="331" spans="1:17" ht="14">
      <c r="A331" s="2"/>
      <c r="B331" s="194"/>
      <c r="C331" s="216"/>
      <c r="D331" s="252"/>
      <c r="E331" s="163" t="str">
        <f t="shared" si="27"/>
        <v/>
      </c>
      <c r="F331" s="164" t="str">
        <f t="shared" si="28"/>
        <v/>
      </c>
      <c r="G331" s="303">
        <f t="shared" si="26"/>
        <v>316</v>
      </c>
      <c r="H331" s="161"/>
      <c r="I331" s="161"/>
      <c r="J331" s="162" t="str">
        <f t="shared" si="29"/>
        <v/>
      </c>
      <c r="K331" s="162" t="str">
        <f t="shared" si="30"/>
        <v/>
      </c>
    </row>
    <row r="332" spans="1:17" s="218" customFormat="1" ht="14">
      <c r="A332" s="2"/>
      <c r="B332" s="217" t="s">
        <v>116</v>
      </c>
      <c r="C332" s="216"/>
      <c r="D332" s="252"/>
      <c r="E332" s="163" t="str">
        <f t="shared" si="27"/>
        <v/>
      </c>
      <c r="F332" s="164" t="str">
        <f t="shared" si="28"/>
        <v/>
      </c>
      <c r="G332" s="303">
        <f t="shared" si="26"/>
        <v>317</v>
      </c>
      <c r="H332" s="161"/>
      <c r="I332" s="161"/>
      <c r="J332" s="162" t="str">
        <f t="shared" si="29"/>
        <v/>
      </c>
      <c r="K332" s="162" t="str">
        <f t="shared" si="30"/>
        <v/>
      </c>
      <c r="Q332" s="219"/>
    </row>
    <row r="333" spans="1:17" ht="14">
      <c r="A333" s="2"/>
      <c r="B333" s="224"/>
      <c r="C333" s="216"/>
      <c r="D333" s="252"/>
      <c r="E333" s="163" t="str">
        <f t="shared" si="27"/>
        <v/>
      </c>
      <c r="F333" s="164" t="str">
        <f t="shared" si="28"/>
        <v/>
      </c>
      <c r="G333" s="303">
        <f t="shared" si="26"/>
        <v>318</v>
      </c>
      <c r="H333" s="161"/>
      <c r="I333" s="161"/>
      <c r="J333" s="162" t="str">
        <f t="shared" si="29"/>
        <v/>
      </c>
      <c r="K333" s="162" t="str">
        <f t="shared" si="30"/>
        <v/>
      </c>
    </row>
    <row r="334" spans="1:17" ht="14">
      <c r="A334" s="2" t="s">
        <v>89</v>
      </c>
      <c r="B334" s="222" t="s">
        <v>457</v>
      </c>
      <c r="C334" s="189"/>
      <c r="D334" s="252"/>
      <c r="E334" s="163" t="str">
        <f t="shared" si="27"/>
        <v/>
      </c>
      <c r="F334" s="164" t="str">
        <f t="shared" si="28"/>
        <v/>
      </c>
      <c r="G334" s="303">
        <f t="shared" si="26"/>
        <v>319</v>
      </c>
      <c r="H334" s="161"/>
      <c r="I334" s="161"/>
      <c r="J334" s="162" t="str">
        <f t="shared" si="29"/>
        <v/>
      </c>
      <c r="K334" s="162" t="str">
        <f t="shared" si="30"/>
        <v/>
      </c>
    </row>
    <row r="335" spans="1:17" ht="14">
      <c r="A335" s="2"/>
      <c r="B335" s="224"/>
      <c r="C335" s="189"/>
      <c r="D335" s="252"/>
      <c r="E335" s="163" t="str">
        <f t="shared" si="27"/>
        <v/>
      </c>
      <c r="F335" s="164" t="str">
        <f t="shared" si="28"/>
        <v/>
      </c>
      <c r="G335" s="303">
        <f t="shared" si="26"/>
        <v>320</v>
      </c>
      <c r="H335" s="161"/>
      <c r="I335" s="161"/>
      <c r="J335" s="162" t="str">
        <f t="shared" si="29"/>
        <v/>
      </c>
      <c r="K335" s="162" t="str">
        <f t="shared" si="30"/>
        <v/>
      </c>
    </row>
    <row r="336" spans="1:17" ht="14">
      <c r="A336" s="2"/>
      <c r="B336" s="224" t="s">
        <v>100</v>
      </c>
      <c r="C336" s="189" t="s">
        <v>138</v>
      </c>
      <c r="D336" s="252"/>
      <c r="E336" s="163" t="str">
        <f t="shared" si="27"/>
        <v/>
      </c>
      <c r="F336" s="164" t="str">
        <f t="shared" si="28"/>
        <v/>
      </c>
      <c r="G336" s="303">
        <f t="shared" si="26"/>
        <v>321</v>
      </c>
      <c r="H336" s="161"/>
      <c r="I336" s="161"/>
      <c r="J336" s="162" t="str">
        <f t="shared" si="29"/>
        <v/>
      </c>
      <c r="K336" s="162" t="str">
        <f t="shared" si="30"/>
        <v/>
      </c>
    </row>
    <row r="337" spans="1:17" ht="14">
      <c r="A337" s="2"/>
      <c r="B337" s="224" t="s">
        <v>99</v>
      </c>
      <c r="C337" s="189" t="s">
        <v>13</v>
      </c>
      <c r="D337" s="252">
        <f>QTE!J56</f>
        <v>351</v>
      </c>
      <c r="E337" s="163">
        <f t="shared" si="27"/>
        <v>0</v>
      </c>
      <c r="F337" s="164">
        <f t="shared" si="28"/>
        <v>0</v>
      </c>
      <c r="G337" s="303">
        <f t="shared" si="26"/>
        <v>322</v>
      </c>
      <c r="H337" s="161"/>
      <c r="I337" s="161"/>
      <c r="J337" s="162">
        <f t="shared" si="29"/>
        <v>0</v>
      </c>
      <c r="K337" s="162">
        <f t="shared" si="30"/>
        <v>0</v>
      </c>
    </row>
    <row r="338" spans="1:17" ht="14">
      <c r="A338" s="2"/>
      <c r="B338" s="224" t="s">
        <v>70</v>
      </c>
      <c r="C338" s="189" t="s">
        <v>13</v>
      </c>
      <c r="D338" s="252">
        <f>1+2+2</f>
        <v>5</v>
      </c>
      <c r="E338" s="163">
        <f t="shared" si="27"/>
        <v>0</v>
      </c>
      <c r="F338" s="164">
        <f t="shared" si="28"/>
        <v>0</v>
      </c>
      <c r="G338" s="303">
        <f t="shared" ref="G338:G359" si="31">G337+1</f>
        <v>323</v>
      </c>
      <c r="H338" s="161"/>
      <c r="I338" s="161"/>
      <c r="J338" s="162">
        <f t="shared" si="29"/>
        <v>0</v>
      </c>
      <c r="K338" s="162">
        <f t="shared" si="30"/>
        <v>0</v>
      </c>
    </row>
    <row r="339" spans="1:17" ht="14">
      <c r="A339" s="2"/>
      <c r="B339" s="224" t="s">
        <v>71</v>
      </c>
      <c r="C339" s="189" t="s">
        <v>13</v>
      </c>
      <c r="D339" s="252">
        <f>QTE!J94+QTE!J95-'BATIMENT SOHO-ELEC 1'!D246</f>
        <v>63</v>
      </c>
      <c r="E339" s="163">
        <f t="shared" si="27"/>
        <v>0</v>
      </c>
      <c r="F339" s="164">
        <f t="shared" si="28"/>
        <v>0</v>
      </c>
      <c r="G339" s="303">
        <f t="shared" si="31"/>
        <v>324</v>
      </c>
      <c r="H339" s="161"/>
      <c r="I339" s="161"/>
      <c r="J339" s="162">
        <f t="shared" si="29"/>
        <v>0</v>
      </c>
      <c r="K339" s="162">
        <f t="shared" si="30"/>
        <v>0</v>
      </c>
    </row>
    <row r="340" spans="1:17" ht="14">
      <c r="A340" s="2"/>
      <c r="B340" s="224" t="s">
        <v>210</v>
      </c>
      <c r="C340" s="189" t="s">
        <v>13</v>
      </c>
      <c r="D340" s="252">
        <f>QTE!J104</f>
        <v>160</v>
      </c>
      <c r="E340" s="163">
        <f t="shared" si="27"/>
        <v>0</v>
      </c>
      <c r="F340" s="164">
        <f t="shared" si="28"/>
        <v>0</v>
      </c>
      <c r="G340" s="303">
        <f t="shared" si="31"/>
        <v>325</v>
      </c>
      <c r="H340" s="161"/>
      <c r="I340" s="161"/>
      <c r="J340" s="162">
        <f t="shared" si="29"/>
        <v>0</v>
      </c>
      <c r="K340" s="162">
        <f t="shared" si="30"/>
        <v>0</v>
      </c>
    </row>
    <row r="341" spans="1:17" ht="14">
      <c r="A341" s="2"/>
      <c r="B341" s="224"/>
      <c r="C341" s="189"/>
      <c r="D341" s="252"/>
      <c r="E341" s="163" t="str">
        <f t="shared" si="27"/>
        <v/>
      </c>
      <c r="F341" s="164" t="str">
        <f t="shared" si="28"/>
        <v/>
      </c>
      <c r="G341" s="303">
        <f t="shared" si="31"/>
        <v>326</v>
      </c>
      <c r="H341" s="161"/>
      <c r="I341" s="161"/>
      <c r="J341" s="162" t="str">
        <f t="shared" si="29"/>
        <v/>
      </c>
      <c r="K341" s="162" t="str">
        <f t="shared" si="30"/>
        <v/>
      </c>
    </row>
    <row r="342" spans="1:17" ht="14">
      <c r="A342" s="2"/>
      <c r="B342" s="224" t="s">
        <v>17</v>
      </c>
      <c r="C342" s="189" t="s">
        <v>12</v>
      </c>
      <c r="D342" s="252">
        <v>1</v>
      </c>
      <c r="E342" s="163">
        <f t="shared" si="27"/>
        <v>0</v>
      </c>
      <c r="F342" s="164">
        <f t="shared" si="28"/>
        <v>0</v>
      </c>
      <c r="G342" s="303">
        <f t="shared" si="31"/>
        <v>327</v>
      </c>
      <c r="H342" s="161"/>
      <c r="I342" s="161"/>
      <c r="J342" s="162">
        <f t="shared" si="29"/>
        <v>0</v>
      </c>
      <c r="K342" s="162">
        <f t="shared" si="30"/>
        <v>0</v>
      </c>
    </row>
    <row r="343" spans="1:17" ht="14">
      <c r="A343" s="2"/>
      <c r="B343" s="224" t="s">
        <v>18</v>
      </c>
      <c r="C343" s="189" t="s">
        <v>12</v>
      </c>
      <c r="D343" s="252"/>
      <c r="E343" s="163" t="str">
        <f t="shared" si="27"/>
        <v/>
      </c>
      <c r="F343" s="164" t="str">
        <f t="shared" si="28"/>
        <v/>
      </c>
      <c r="G343" s="303">
        <f t="shared" si="31"/>
        <v>328</v>
      </c>
      <c r="H343" s="161"/>
      <c r="I343" s="161"/>
      <c r="J343" s="162" t="str">
        <f t="shared" si="29"/>
        <v/>
      </c>
      <c r="K343" s="162" t="str">
        <f t="shared" si="30"/>
        <v/>
      </c>
    </row>
    <row r="344" spans="1:17" ht="14">
      <c r="A344" s="2"/>
      <c r="B344" s="224" t="s">
        <v>19</v>
      </c>
      <c r="C344" s="189" t="s">
        <v>12</v>
      </c>
      <c r="D344" s="252">
        <v>1</v>
      </c>
      <c r="E344" s="163">
        <f t="shared" si="27"/>
        <v>0</v>
      </c>
      <c r="F344" s="164">
        <f t="shared" si="28"/>
        <v>0</v>
      </c>
      <c r="G344" s="303">
        <f t="shared" si="31"/>
        <v>329</v>
      </c>
      <c r="H344" s="161"/>
      <c r="I344" s="161"/>
      <c r="J344" s="162">
        <f t="shared" si="29"/>
        <v>0</v>
      </c>
      <c r="K344" s="162">
        <f t="shared" si="30"/>
        <v>0</v>
      </c>
    </row>
    <row r="345" spans="1:17" ht="14">
      <c r="A345" s="2"/>
      <c r="B345" s="194"/>
      <c r="C345" s="216"/>
      <c r="D345" s="252"/>
      <c r="E345" s="163" t="str">
        <f t="shared" si="27"/>
        <v/>
      </c>
      <c r="F345" s="164" t="str">
        <f t="shared" si="28"/>
        <v/>
      </c>
      <c r="G345" s="303">
        <f t="shared" si="31"/>
        <v>330</v>
      </c>
      <c r="H345" s="161"/>
      <c r="I345" s="161"/>
      <c r="J345" s="162" t="str">
        <f t="shared" si="29"/>
        <v/>
      </c>
      <c r="K345" s="162" t="str">
        <f t="shared" si="30"/>
        <v/>
      </c>
    </row>
    <row r="346" spans="1:17" s="218" customFormat="1" ht="14">
      <c r="A346" s="2"/>
      <c r="B346" s="217" t="s">
        <v>117</v>
      </c>
      <c r="C346" s="216"/>
      <c r="D346" s="252"/>
      <c r="E346" s="163" t="str">
        <f t="shared" si="27"/>
        <v/>
      </c>
      <c r="F346" s="164" t="str">
        <f t="shared" si="28"/>
        <v/>
      </c>
      <c r="G346" s="303">
        <f t="shared" si="31"/>
        <v>331</v>
      </c>
      <c r="H346" s="161"/>
      <c r="I346" s="161"/>
      <c r="J346" s="162" t="str">
        <f t="shared" si="29"/>
        <v/>
      </c>
      <c r="K346" s="162" t="str">
        <f t="shared" si="30"/>
        <v/>
      </c>
      <c r="Q346" s="219"/>
    </row>
    <row r="347" spans="1:17" ht="14">
      <c r="A347" s="2"/>
      <c r="B347" s="224"/>
      <c r="C347" s="216"/>
      <c r="D347" s="252"/>
      <c r="E347" s="163" t="str">
        <f t="shared" si="27"/>
        <v/>
      </c>
      <c r="F347" s="164" t="str">
        <f t="shared" si="28"/>
        <v/>
      </c>
      <c r="G347" s="303">
        <f t="shared" si="31"/>
        <v>332</v>
      </c>
      <c r="H347" s="161"/>
      <c r="I347" s="161"/>
      <c r="J347" s="162" t="str">
        <f t="shared" si="29"/>
        <v/>
      </c>
      <c r="K347" s="162" t="str">
        <f t="shared" si="30"/>
        <v/>
      </c>
    </row>
    <row r="348" spans="1:17" s="218" customFormat="1" ht="14">
      <c r="A348" s="2" t="s">
        <v>91</v>
      </c>
      <c r="B348" s="222" t="s">
        <v>211</v>
      </c>
      <c r="C348" s="216"/>
      <c r="D348" s="252"/>
      <c r="E348" s="163" t="str">
        <f t="shared" si="27"/>
        <v/>
      </c>
      <c r="F348" s="164" t="str">
        <f t="shared" si="28"/>
        <v/>
      </c>
      <c r="G348" s="303">
        <f t="shared" si="31"/>
        <v>333</v>
      </c>
      <c r="H348" s="161"/>
      <c r="I348" s="161"/>
      <c r="J348" s="162" t="str">
        <f t="shared" si="29"/>
        <v/>
      </c>
      <c r="K348" s="162" t="str">
        <f t="shared" si="30"/>
        <v/>
      </c>
      <c r="Q348" s="219"/>
    </row>
    <row r="349" spans="1:17" ht="14">
      <c r="A349" s="179"/>
      <c r="B349" s="225"/>
      <c r="C349" s="216"/>
      <c r="D349" s="252"/>
      <c r="E349" s="163" t="str">
        <f t="shared" si="27"/>
        <v/>
      </c>
      <c r="F349" s="164" t="str">
        <f t="shared" si="28"/>
        <v/>
      </c>
      <c r="G349" s="303">
        <f t="shared" si="31"/>
        <v>334</v>
      </c>
      <c r="H349" s="161"/>
      <c r="I349" s="161"/>
      <c r="J349" s="162" t="str">
        <f t="shared" si="29"/>
        <v/>
      </c>
      <c r="K349" s="162" t="str">
        <f t="shared" si="30"/>
        <v/>
      </c>
    </row>
    <row r="350" spans="1:17" ht="14">
      <c r="A350" s="179"/>
      <c r="B350" s="225" t="s">
        <v>65</v>
      </c>
      <c r="C350" s="239" t="s">
        <v>347</v>
      </c>
      <c r="D350" s="252"/>
      <c r="E350" s="163" t="str">
        <f t="shared" si="27"/>
        <v/>
      </c>
      <c r="F350" s="164" t="str">
        <f t="shared" si="28"/>
        <v/>
      </c>
      <c r="G350" s="303">
        <f t="shared" si="31"/>
        <v>335</v>
      </c>
      <c r="H350" s="161"/>
      <c r="I350" s="161"/>
      <c r="J350" s="162" t="str">
        <f t="shared" si="29"/>
        <v/>
      </c>
      <c r="K350" s="162" t="str">
        <f t="shared" si="30"/>
        <v/>
      </c>
    </row>
    <row r="351" spans="1:17" ht="14">
      <c r="A351" s="179"/>
      <c r="B351" s="225"/>
      <c r="C351" s="216"/>
      <c r="D351" s="252"/>
      <c r="E351" s="163" t="str">
        <f t="shared" si="27"/>
        <v/>
      </c>
      <c r="F351" s="164" t="str">
        <f t="shared" si="28"/>
        <v/>
      </c>
      <c r="G351" s="303">
        <f t="shared" si="31"/>
        <v>336</v>
      </c>
      <c r="H351" s="161"/>
      <c r="I351" s="161"/>
      <c r="J351" s="162" t="str">
        <f t="shared" si="29"/>
        <v/>
      </c>
      <c r="K351" s="162" t="str">
        <f t="shared" si="30"/>
        <v/>
      </c>
    </row>
    <row r="352" spans="1:17" s="218" customFormat="1" ht="14">
      <c r="A352" s="2"/>
      <c r="B352" s="217" t="s">
        <v>118</v>
      </c>
      <c r="C352" s="216"/>
      <c r="D352" s="252"/>
      <c r="E352" s="163" t="str">
        <f t="shared" si="27"/>
        <v/>
      </c>
      <c r="F352" s="164" t="str">
        <f t="shared" si="28"/>
        <v/>
      </c>
      <c r="G352" s="303">
        <f t="shared" si="31"/>
        <v>337</v>
      </c>
      <c r="H352" s="161"/>
      <c r="I352" s="161"/>
      <c r="J352" s="162" t="str">
        <f t="shared" si="29"/>
        <v/>
      </c>
      <c r="K352" s="162" t="str">
        <f t="shared" si="30"/>
        <v/>
      </c>
      <c r="Q352" s="219"/>
    </row>
    <row r="353" spans="1:17" ht="14">
      <c r="A353" s="2"/>
      <c r="B353" s="224"/>
      <c r="C353" s="216"/>
      <c r="D353" s="252"/>
      <c r="E353" s="163" t="str">
        <f t="shared" si="27"/>
        <v/>
      </c>
      <c r="F353" s="164" t="str">
        <f t="shared" si="28"/>
        <v/>
      </c>
      <c r="G353" s="303">
        <f t="shared" si="31"/>
        <v>338</v>
      </c>
      <c r="H353" s="161"/>
      <c r="I353" s="161"/>
      <c r="J353" s="162" t="str">
        <f t="shared" si="29"/>
        <v/>
      </c>
      <c r="K353" s="162" t="str">
        <f t="shared" si="30"/>
        <v/>
      </c>
    </row>
    <row r="354" spans="1:17" ht="14">
      <c r="A354" s="2" t="s">
        <v>97</v>
      </c>
      <c r="B354" s="222" t="s">
        <v>58</v>
      </c>
      <c r="C354" s="216"/>
      <c r="D354" s="252"/>
      <c r="E354" s="163" t="str">
        <f t="shared" si="27"/>
        <v/>
      </c>
      <c r="F354" s="164" t="str">
        <f t="shared" si="28"/>
        <v/>
      </c>
      <c r="G354" s="303">
        <f t="shared" si="31"/>
        <v>339</v>
      </c>
      <c r="H354" s="161"/>
      <c r="I354" s="161"/>
      <c r="J354" s="162" t="str">
        <f t="shared" si="29"/>
        <v/>
      </c>
      <c r="K354" s="162" t="str">
        <f t="shared" si="30"/>
        <v/>
      </c>
    </row>
    <row r="355" spans="1:17" ht="14">
      <c r="A355" s="2"/>
      <c r="B355" s="224"/>
      <c r="C355" s="216"/>
      <c r="D355" s="252"/>
      <c r="E355" s="163" t="str">
        <f t="shared" si="27"/>
        <v/>
      </c>
      <c r="F355" s="164" t="str">
        <f t="shared" si="28"/>
        <v/>
      </c>
      <c r="G355" s="303">
        <f t="shared" si="31"/>
        <v>340</v>
      </c>
      <c r="H355" s="161"/>
      <c r="I355" s="161"/>
      <c r="J355" s="162" t="str">
        <f t="shared" si="29"/>
        <v/>
      </c>
      <c r="K355" s="162" t="str">
        <f t="shared" si="30"/>
        <v/>
      </c>
    </row>
    <row r="356" spans="1:17" ht="14">
      <c r="A356" s="179"/>
      <c r="B356" s="225" t="s">
        <v>48</v>
      </c>
      <c r="C356" s="216" t="s">
        <v>12</v>
      </c>
      <c r="D356" s="252">
        <v>1</v>
      </c>
      <c r="E356" s="163">
        <f t="shared" si="27"/>
        <v>0</v>
      </c>
      <c r="F356" s="164">
        <f t="shared" si="28"/>
        <v>0</v>
      </c>
      <c r="G356" s="303">
        <f t="shared" si="31"/>
        <v>341</v>
      </c>
      <c r="H356" s="161"/>
      <c r="I356" s="161"/>
      <c r="J356" s="162">
        <f t="shared" si="29"/>
        <v>0</v>
      </c>
      <c r="K356" s="162">
        <f t="shared" si="30"/>
        <v>0</v>
      </c>
    </row>
    <row r="357" spans="1:17" ht="14">
      <c r="A357" s="179"/>
      <c r="B357" s="225" t="s">
        <v>49</v>
      </c>
      <c r="C357" s="216" t="s">
        <v>12</v>
      </c>
      <c r="D357" s="252">
        <v>1</v>
      </c>
      <c r="E357" s="163">
        <f t="shared" si="27"/>
        <v>0</v>
      </c>
      <c r="F357" s="164">
        <f t="shared" si="28"/>
        <v>0</v>
      </c>
      <c r="G357" s="303">
        <f t="shared" si="31"/>
        <v>342</v>
      </c>
      <c r="H357" s="161"/>
      <c r="I357" s="161"/>
      <c r="J357" s="162">
        <f t="shared" si="29"/>
        <v>0</v>
      </c>
      <c r="K357" s="162">
        <f t="shared" si="30"/>
        <v>0</v>
      </c>
    </row>
    <row r="358" spans="1:17" ht="14.5" thickBot="1">
      <c r="A358" s="2"/>
      <c r="B358" s="194"/>
      <c r="C358" s="216"/>
      <c r="D358" s="252"/>
      <c r="E358" s="163" t="str">
        <f t="shared" si="27"/>
        <v/>
      </c>
      <c r="F358" s="164" t="str">
        <f t="shared" si="28"/>
        <v/>
      </c>
      <c r="G358" s="303">
        <f t="shared" si="31"/>
        <v>343</v>
      </c>
      <c r="H358" s="161"/>
      <c r="I358" s="161"/>
      <c r="J358" s="162" t="str">
        <f t="shared" si="29"/>
        <v/>
      </c>
      <c r="K358" s="162" t="str">
        <f t="shared" si="30"/>
        <v/>
      </c>
    </row>
    <row r="359" spans="1:17" s="218" customFormat="1" ht="14.5" thickBot="1">
      <c r="A359" s="65"/>
      <c r="B359" s="240" t="s">
        <v>119</v>
      </c>
      <c r="C359" s="241"/>
      <c r="D359" s="256"/>
      <c r="E359" s="68"/>
      <c r="F359" s="112"/>
      <c r="G359" s="303">
        <f t="shared" si="31"/>
        <v>344</v>
      </c>
      <c r="Q359" s="219"/>
    </row>
    <row r="360" spans="1:17" s="218" customFormat="1" ht="14.5" thickBot="1">
      <c r="A360" s="62"/>
      <c r="B360" s="242"/>
      <c r="C360" s="243"/>
      <c r="D360" s="257"/>
      <c r="E360" s="13"/>
      <c r="F360" s="58"/>
      <c r="G360" s="58"/>
      <c r="Q360" s="219"/>
    </row>
    <row r="361" spans="1:17" ht="13.5" thickBot="1">
      <c r="A361" s="326" t="s">
        <v>130</v>
      </c>
      <c r="B361" s="326"/>
      <c r="C361" s="326"/>
      <c r="D361" s="326"/>
      <c r="E361" s="333"/>
      <c r="F361" s="112"/>
      <c r="G361" s="58"/>
    </row>
    <row r="362" spans="1:17" ht="13">
      <c r="A362" s="141"/>
      <c r="B362" s="141"/>
      <c r="C362" s="141"/>
      <c r="D362" s="258"/>
      <c r="E362" s="141"/>
      <c r="F362" s="58"/>
      <c r="G362" s="58"/>
    </row>
    <row r="363" spans="1:17" ht="13">
      <c r="A363" s="326" t="s">
        <v>131</v>
      </c>
      <c r="B363" s="326"/>
      <c r="C363" s="326"/>
      <c r="D363" s="326"/>
      <c r="E363" s="326"/>
      <c r="F363" s="118"/>
      <c r="G363" s="184"/>
    </row>
    <row r="364" spans="1:17" ht="13">
      <c r="A364" s="60"/>
      <c r="B364" s="244"/>
      <c r="C364" s="245"/>
      <c r="D364" s="259"/>
      <c r="E364" s="13"/>
      <c r="F364" s="58"/>
      <c r="G364" s="58"/>
    </row>
    <row r="365" spans="1:17" ht="13">
      <c r="A365" s="326" t="s">
        <v>212</v>
      </c>
      <c r="B365" s="326"/>
      <c r="C365" s="326"/>
      <c r="D365" s="326"/>
      <c r="E365" s="326"/>
      <c r="F365" s="118"/>
      <c r="G365" s="184"/>
    </row>
    <row r="366" spans="1:17">
      <c r="A366" s="175"/>
      <c r="B366" s="178"/>
      <c r="C366" s="175"/>
      <c r="D366" s="251"/>
      <c r="E366" s="176"/>
      <c r="F366" s="176"/>
      <c r="G366" s="176"/>
    </row>
    <row r="369" spans="1:12" ht="14">
      <c r="A369" s="2"/>
      <c r="B369" s="286" t="s">
        <v>549</v>
      </c>
      <c r="C369" s="189" t="s">
        <v>1</v>
      </c>
      <c r="D369" s="252">
        <v>115</v>
      </c>
      <c r="E369" s="289">
        <f t="shared" ref="E369:E370" si="32">IF(D369="","",(((J369*$K$2)+(K369*$I$2*$I$3))*$K$3)/D369)</f>
        <v>0</v>
      </c>
      <c r="F369" s="164">
        <f t="shared" ref="F369:F370" si="33">IF(D369="","",D369*E369)</f>
        <v>0</v>
      </c>
      <c r="G369" s="302"/>
      <c r="H369" s="161"/>
      <c r="I369" s="161"/>
      <c r="J369" s="162">
        <f t="shared" ref="J369:J370" si="34">IF(D369="","",H369*D369)</f>
        <v>0</v>
      </c>
      <c r="K369" s="162">
        <f t="shared" ref="K369:K370" si="35">IF(D369="","",D369*I369)</f>
        <v>0</v>
      </c>
    </row>
    <row r="370" spans="1:12" ht="14">
      <c r="A370" s="2"/>
      <c r="B370" s="285" t="s">
        <v>550</v>
      </c>
      <c r="C370" s="193" t="s">
        <v>12</v>
      </c>
      <c r="D370" s="252">
        <f>QTE!J161</f>
        <v>2</v>
      </c>
      <c r="E370" s="289">
        <f t="shared" si="32"/>
        <v>0</v>
      </c>
      <c r="F370" s="164">
        <f t="shared" si="33"/>
        <v>0</v>
      </c>
      <c r="G370" s="302"/>
      <c r="H370" s="161"/>
      <c r="I370" s="161"/>
      <c r="J370" s="162">
        <f t="shared" si="34"/>
        <v>0</v>
      </c>
      <c r="K370" s="162">
        <f t="shared" si="35"/>
        <v>0</v>
      </c>
      <c r="L370" s="248" t="s">
        <v>526</v>
      </c>
    </row>
    <row r="376" spans="1:12" ht="14">
      <c r="A376" s="2" t="s">
        <v>560</v>
      </c>
      <c r="B376" s="286" t="s">
        <v>559</v>
      </c>
      <c r="C376" s="189" t="s">
        <v>12</v>
      </c>
      <c r="D376" s="252">
        <v>4</v>
      </c>
      <c r="E376" s="289">
        <f t="shared" ref="E376" si="36">IF(D376="","",(((J376*$K$2)+(K376*$I$2*$I$3))*$K$3)/D376)</f>
        <v>0</v>
      </c>
      <c r="F376" s="164">
        <f t="shared" ref="F376" si="37">IF(D376="","",D376*E376)</f>
        <v>0</v>
      </c>
      <c r="G376" s="302"/>
      <c r="H376" s="161"/>
      <c r="I376" s="161"/>
      <c r="J376" s="162">
        <f t="shared" ref="J376" si="38">IF(D376="","",H376*D376)</f>
        <v>0</v>
      </c>
      <c r="K376" s="162">
        <f t="shared" ref="K376" si="39">IF(D376="","",D376*I376)</f>
        <v>0</v>
      </c>
    </row>
  </sheetData>
  <mergeCells count="9">
    <mergeCell ref="F14:F15"/>
    <mergeCell ref="B14:B15"/>
    <mergeCell ref="A14:A15"/>
    <mergeCell ref="A365:E365"/>
    <mergeCell ref="A363:E363"/>
    <mergeCell ref="C14:C15"/>
    <mergeCell ref="E14:E15"/>
    <mergeCell ref="D14:D15"/>
    <mergeCell ref="A361:E361"/>
  </mergeCells>
  <conditionalFormatting sqref="H4 J4:K4 I1:K1 H2:K3">
    <cfRule type="cellIs" dxfId="5"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5" manualBreakCount="5">
    <brk id="72" max="16383" man="1"/>
    <brk id="109" max="5" man="1"/>
    <brk id="151" max="5" man="1"/>
    <brk id="187" max="16383" man="1"/>
    <brk id="26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2"/>
  <sheetViews>
    <sheetView showZeros="0" view="pageBreakPreview" zoomScaleNormal="100" zoomScaleSheetLayoutView="100" zoomScalePageLayoutView="130" workbookViewId="0">
      <pane ySplit="15" topLeftCell="A16" activePane="bottomLeft" state="frozen"/>
      <selection pane="bottomLeft" activeCell="G16" sqref="G16"/>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260" customWidth="1"/>
    <col min="5" max="5" width="9.453125" style="3" bestFit="1" customWidth="1"/>
    <col min="6" max="6" width="10.26953125" style="3" customWidth="1"/>
    <col min="7" max="7" width="10.26953125" style="306" customWidth="1"/>
    <col min="8" max="8" width="9.453125" style="1" bestFit="1" customWidth="1"/>
    <col min="9" max="9" width="9.54296875" style="1" customWidth="1"/>
    <col min="10" max="10" width="11.26953125" style="1" bestFit="1" customWidth="1"/>
    <col min="11" max="11" width="11.54296875" style="1" bestFit="1" customWidth="1"/>
    <col min="12" max="12" width="31.26953125" style="269" customWidth="1"/>
    <col min="13" max="13" width="18.7265625" style="1" customWidth="1"/>
    <col min="14" max="16384" width="11.453125" style="1"/>
  </cols>
  <sheetData>
    <row r="1" spans="1:12" ht="13">
      <c r="H1" s="142"/>
      <c r="I1" s="143"/>
      <c r="J1" s="144"/>
      <c r="K1" s="145"/>
    </row>
    <row r="2" spans="1:12" ht="13">
      <c r="H2" s="146" t="s">
        <v>470</v>
      </c>
      <c r="I2" s="147">
        <v>26</v>
      </c>
      <c r="J2" s="148" t="s">
        <v>471</v>
      </c>
      <c r="K2" s="147">
        <v>1.25</v>
      </c>
    </row>
    <row r="3" spans="1:12" ht="13">
      <c r="H3" s="146" t="s">
        <v>472</v>
      </c>
      <c r="I3" s="149">
        <v>1.3</v>
      </c>
      <c r="J3" s="150" t="s">
        <v>473</v>
      </c>
      <c r="K3" s="149">
        <v>1</v>
      </c>
    </row>
    <row r="4" spans="1:12" ht="14">
      <c r="H4" s="146"/>
      <c r="I4" s="151" t="s">
        <v>474</v>
      </c>
      <c r="J4" s="151"/>
      <c r="K4" s="151">
        <f>SUM(J14:J268)</f>
        <v>0</v>
      </c>
    </row>
    <row r="5" spans="1:12" ht="14">
      <c r="H5" s="151"/>
      <c r="I5" s="151" t="s">
        <v>475</v>
      </c>
      <c r="J5" s="151"/>
      <c r="K5" s="151">
        <f>SUM(K14:K268)</f>
        <v>0</v>
      </c>
    </row>
    <row r="6" spans="1:12" ht="14">
      <c r="H6" s="151"/>
      <c r="I6" s="151" t="s">
        <v>476</v>
      </c>
      <c r="J6" s="151"/>
      <c r="K6" s="151">
        <f>K4+K5*$I$2</f>
        <v>0</v>
      </c>
    </row>
    <row r="7" spans="1:12" ht="14">
      <c r="H7" s="151"/>
      <c r="I7" s="151" t="s">
        <v>477</v>
      </c>
      <c r="J7" s="151"/>
      <c r="K7" s="151" t="e">
        <f>#REF!</f>
        <v>#REF!</v>
      </c>
    </row>
    <row r="8" spans="1:12" ht="14">
      <c r="H8" s="151"/>
      <c r="I8" s="151"/>
      <c r="J8" s="151"/>
      <c r="K8" s="151"/>
    </row>
    <row r="9" spans="1:12">
      <c r="H9" s="142"/>
      <c r="I9" s="142"/>
      <c r="J9" s="142"/>
      <c r="K9" s="142"/>
    </row>
    <row r="10" spans="1:12" ht="13" thickBot="1">
      <c r="H10" s="142"/>
      <c r="I10" s="142"/>
      <c r="J10" s="142"/>
      <c r="K10" s="142"/>
    </row>
    <row r="11" spans="1:12" ht="15.5">
      <c r="A11" s="49" t="s">
        <v>127</v>
      </c>
      <c r="B11" s="50"/>
      <c r="C11" s="7"/>
      <c r="D11" s="261"/>
      <c r="E11" s="51"/>
      <c r="F11" s="51"/>
      <c r="G11" s="307"/>
      <c r="H11" s="152"/>
      <c r="I11" s="152"/>
      <c r="J11" s="153"/>
      <c r="K11" s="154"/>
    </row>
    <row r="12" spans="1:12" ht="15.5">
      <c r="A12" s="77" t="s">
        <v>455</v>
      </c>
      <c r="B12" s="50"/>
      <c r="C12" s="7"/>
      <c r="D12" s="261"/>
      <c r="E12" s="51"/>
      <c r="F12" s="51"/>
      <c r="G12" s="307"/>
      <c r="H12" s="155" t="s">
        <v>478</v>
      </c>
      <c r="I12" s="155" t="s">
        <v>479</v>
      </c>
      <c r="J12" s="156" t="s">
        <v>480</v>
      </c>
      <c r="K12" s="157" t="s">
        <v>481</v>
      </c>
    </row>
    <row r="13" spans="1:12" ht="16" thickBot="1">
      <c r="A13" s="49"/>
      <c r="B13" s="49"/>
      <c r="E13" s="4"/>
      <c r="F13" s="4"/>
      <c r="G13" s="308"/>
      <c r="H13" s="158"/>
      <c r="I13" s="158"/>
      <c r="J13" s="159"/>
      <c r="K13" s="160"/>
    </row>
    <row r="14" spans="1:12" s="6" customFormat="1" ht="12.75" customHeight="1">
      <c r="A14" s="324" t="s">
        <v>104</v>
      </c>
      <c r="B14" s="322" t="s">
        <v>105</v>
      </c>
      <c r="C14" s="327" t="s">
        <v>0</v>
      </c>
      <c r="D14" s="335" t="s">
        <v>153</v>
      </c>
      <c r="E14" s="329" t="s">
        <v>128</v>
      </c>
      <c r="F14" s="320" t="s">
        <v>129</v>
      </c>
      <c r="G14" s="309"/>
      <c r="H14" s="161"/>
      <c r="I14" s="161"/>
      <c r="J14" s="162"/>
      <c r="K14" s="162"/>
      <c r="L14" s="270"/>
    </row>
    <row r="15" spans="1:12" s="6" customFormat="1" ht="25.5" customHeight="1">
      <c r="A15" s="325"/>
      <c r="B15" s="323"/>
      <c r="C15" s="328"/>
      <c r="D15" s="336"/>
      <c r="E15" s="330"/>
      <c r="F15" s="321"/>
      <c r="G15" s="309" t="s">
        <v>569</v>
      </c>
      <c r="H15" s="161"/>
      <c r="I15" s="161"/>
      <c r="J15" s="162"/>
      <c r="K15" s="162"/>
      <c r="L15" s="270"/>
    </row>
    <row r="16" spans="1:12" ht="14">
      <c r="A16" s="17"/>
      <c r="B16" s="52" t="s">
        <v>2</v>
      </c>
      <c r="C16" s="18"/>
      <c r="D16" s="262"/>
      <c r="E16" s="18"/>
      <c r="F16" s="119"/>
      <c r="G16" s="310">
        <f>'BATIMENT G1,G2&amp;PKINGS-ELEC 1'!G359+1</f>
        <v>345</v>
      </c>
      <c r="H16" s="161"/>
      <c r="I16" s="161"/>
      <c r="J16" s="162"/>
      <c r="K16" s="162"/>
    </row>
    <row r="17" spans="1:12" ht="14">
      <c r="A17" s="17"/>
      <c r="B17" s="52"/>
      <c r="C17" s="18"/>
      <c r="D17" s="262"/>
      <c r="E17" s="18"/>
      <c r="F17" s="119"/>
      <c r="G17" s="310">
        <f>G16+1</f>
        <v>346</v>
      </c>
      <c r="H17" s="161"/>
      <c r="I17" s="161"/>
      <c r="J17" s="162"/>
      <c r="K17" s="162"/>
    </row>
    <row r="18" spans="1:12" ht="14">
      <c r="A18" s="19"/>
      <c r="B18" s="139" t="s">
        <v>343</v>
      </c>
      <c r="C18" s="21"/>
      <c r="D18" s="263"/>
      <c r="E18" s="21"/>
      <c r="F18" s="115"/>
      <c r="G18" s="310">
        <f t="shared" ref="G18:G81" si="0">G17+1</f>
        <v>347</v>
      </c>
      <c r="H18" s="161"/>
      <c r="I18" s="161"/>
      <c r="J18" s="162"/>
      <c r="K18" s="162"/>
    </row>
    <row r="19" spans="1:12" s="137" customFormat="1" ht="14">
      <c r="A19" s="19"/>
      <c r="B19" s="136"/>
      <c r="C19" s="21"/>
      <c r="D19" s="263"/>
      <c r="E19" s="21"/>
      <c r="F19" s="115"/>
      <c r="G19" s="310">
        <f t="shared" si="0"/>
        <v>348</v>
      </c>
      <c r="H19" s="161"/>
      <c r="I19" s="161"/>
      <c r="J19" s="162"/>
      <c r="K19" s="162"/>
      <c r="L19" s="271"/>
    </row>
    <row r="20" spans="1:12" ht="14">
      <c r="A20" s="19">
        <v>2</v>
      </c>
      <c r="B20" s="23" t="s">
        <v>59</v>
      </c>
      <c r="C20" s="24"/>
      <c r="D20" s="263"/>
      <c r="E20" s="24"/>
      <c r="F20" s="116"/>
      <c r="G20" s="310">
        <f t="shared" si="0"/>
        <v>349</v>
      </c>
      <c r="H20" s="161"/>
      <c r="I20" s="161"/>
      <c r="J20" s="162"/>
      <c r="K20" s="162"/>
    </row>
    <row r="21" spans="1:12" ht="14">
      <c r="A21" s="19"/>
      <c r="B21" s="24"/>
      <c r="C21" s="24"/>
      <c r="D21" s="263"/>
      <c r="E21" s="24"/>
      <c r="F21" s="116"/>
      <c r="G21" s="310">
        <f t="shared" si="0"/>
        <v>350</v>
      </c>
      <c r="H21" s="161"/>
      <c r="I21" s="161"/>
      <c r="J21" s="162"/>
      <c r="K21" s="162"/>
    </row>
    <row r="22" spans="1:12" ht="14">
      <c r="A22" s="19" t="s">
        <v>76</v>
      </c>
      <c r="B22" s="37" t="s">
        <v>50</v>
      </c>
      <c r="C22" s="25"/>
      <c r="D22" s="262">
        <f>SUM(D24:D29)</f>
        <v>105</v>
      </c>
      <c r="E22" s="25"/>
      <c r="F22" s="117"/>
      <c r="G22" s="310">
        <f t="shared" si="0"/>
        <v>351</v>
      </c>
      <c r="H22" s="161"/>
      <c r="I22" s="161"/>
      <c r="J22" s="162"/>
      <c r="K22" s="162"/>
    </row>
    <row r="23" spans="1:12" ht="14">
      <c r="A23" s="19"/>
      <c r="B23" s="37"/>
      <c r="C23" s="25"/>
      <c r="D23" s="262"/>
      <c r="E23" s="25"/>
      <c r="F23" s="117"/>
      <c r="G23" s="310">
        <f t="shared" si="0"/>
        <v>352</v>
      </c>
      <c r="H23" s="161"/>
      <c r="I23" s="161"/>
      <c r="J23" s="162" t="str">
        <f t="shared" ref="J23" si="1">IF(B23="","",H23*B23)</f>
        <v/>
      </c>
      <c r="K23" s="162" t="str">
        <f t="shared" ref="K23" si="2">IF(B23="","",B23*I23)</f>
        <v/>
      </c>
    </row>
    <row r="24" spans="1:12" ht="14">
      <c r="A24" s="19"/>
      <c r="B24" s="114" t="s">
        <v>227</v>
      </c>
      <c r="C24" s="25" t="s">
        <v>13</v>
      </c>
      <c r="D24" s="264">
        <f>QTE!D269+QTE!J269+QTE!P269+QTE!V269</f>
        <v>25</v>
      </c>
      <c r="E24" s="163">
        <f>IF(D24="","",(((J24*$K$2)+(K24*$I$2*$I$3))*$K$3)/D24)</f>
        <v>0</v>
      </c>
      <c r="F24" s="164">
        <f>IF(D24="","",D24*E24)</f>
        <v>0</v>
      </c>
      <c r="G24" s="310">
        <f t="shared" si="0"/>
        <v>353</v>
      </c>
      <c r="H24" s="161"/>
      <c r="I24" s="161"/>
      <c r="J24" s="162">
        <f>IF(D24="","",H24*D24)</f>
        <v>0</v>
      </c>
      <c r="K24" s="162">
        <f>IF(D24="","",D24*I24)</f>
        <v>0</v>
      </c>
    </row>
    <row r="25" spans="1:12" s="34" customFormat="1" ht="14">
      <c r="A25" s="45"/>
      <c r="B25" s="114" t="s">
        <v>228</v>
      </c>
      <c r="C25" s="48" t="s">
        <v>13</v>
      </c>
      <c r="D25" s="262">
        <f>QTE!E269+QTE!K269+QTE!Q269+QTE!W269</f>
        <v>14</v>
      </c>
      <c r="E25" s="163">
        <f t="shared" ref="E25:E88" si="3">IF(D25="","",(((J25*$K$2)+(K25*$I$2*$I$3))*$K$3)/D25)</f>
        <v>0</v>
      </c>
      <c r="F25" s="164">
        <f t="shared" ref="F25:F88" si="4">IF(D25="","",D25*E25)</f>
        <v>0</v>
      </c>
      <c r="G25" s="310">
        <f t="shared" si="0"/>
        <v>354</v>
      </c>
      <c r="H25" s="161"/>
      <c r="I25" s="161"/>
      <c r="J25" s="162">
        <f t="shared" ref="J25:J88" si="5">IF(D25="","",H25*D25)</f>
        <v>0</v>
      </c>
      <c r="K25" s="162">
        <f t="shared" ref="K25:K88" si="6">IF(D25="","",D25*I25)</f>
        <v>0</v>
      </c>
      <c r="L25" s="272"/>
    </row>
    <row r="26" spans="1:12" s="34" customFormat="1" ht="14">
      <c r="A26" s="45"/>
      <c r="B26" s="114" t="s">
        <v>229</v>
      </c>
      <c r="C26" s="48" t="s">
        <v>13</v>
      </c>
      <c r="D26" s="262">
        <f>QTE!F269+QTE!L269+QTE!R269+QTE!X269</f>
        <v>29</v>
      </c>
      <c r="E26" s="163">
        <f t="shared" si="3"/>
        <v>0</v>
      </c>
      <c r="F26" s="164">
        <f t="shared" si="4"/>
        <v>0</v>
      </c>
      <c r="G26" s="310">
        <f t="shared" si="0"/>
        <v>355</v>
      </c>
      <c r="H26" s="161"/>
      <c r="I26" s="161"/>
      <c r="J26" s="162">
        <f t="shared" si="5"/>
        <v>0</v>
      </c>
      <c r="K26" s="162">
        <f t="shared" si="6"/>
        <v>0</v>
      </c>
      <c r="L26" s="272"/>
    </row>
    <row r="27" spans="1:12" s="34" customFormat="1" ht="14">
      <c r="A27" s="45"/>
      <c r="B27" s="114" t="s">
        <v>230</v>
      </c>
      <c r="C27" s="48" t="s">
        <v>13</v>
      </c>
      <c r="D27" s="262">
        <f>QTE!G269+QTE!M269+QTE!S269+QTE!Y269</f>
        <v>21</v>
      </c>
      <c r="E27" s="163">
        <f t="shared" si="3"/>
        <v>0</v>
      </c>
      <c r="F27" s="164">
        <f t="shared" si="4"/>
        <v>0</v>
      </c>
      <c r="G27" s="310">
        <f t="shared" si="0"/>
        <v>356</v>
      </c>
      <c r="H27" s="161"/>
      <c r="I27" s="161"/>
      <c r="J27" s="162">
        <f t="shared" si="5"/>
        <v>0</v>
      </c>
      <c r="K27" s="162">
        <f t="shared" si="6"/>
        <v>0</v>
      </c>
      <c r="L27" s="272"/>
    </row>
    <row r="28" spans="1:12" s="34" customFormat="1" ht="14">
      <c r="A28" s="45"/>
      <c r="B28" s="114" t="s">
        <v>231</v>
      </c>
      <c r="C28" s="48" t="s">
        <v>13</v>
      </c>
      <c r="D28" s="262">
        <f>QTE!H269+QTE!N269+QTE!T269+QTE!Z269-'BATIMENT G1,G2&amp;PKINGS-ELEC 2'!D29</f>
        <v>10</v>
      </c>
      <c r="E28" s="163">
        <f t="shared" si="3"/>
        <v>0</v>
      </c>
      <c r="F28" s="164">
        <f t="shared" si="4"/>
        <v>0</v>
      </c>
      <c r="G28" s="310">
        <f t="shared" si="0"/>
        <v>357</v>
      </c>
      <c r="H28" s="161"/>
      <c r="I28" s="161"/>
      <c r="J28" s="162">
        <f t="shared" si="5"/>
        <v>0</v>
      </c>
      <c r="K28" s="162">
        <f t="shared" si="6"/>
        <v>0</v>
      </c>
      <c r="L28" s="272"/>
    </row>
    <row r="29" spans="1:12" s="34" customFormat="1" ht="14">
      <c r="A29" s="45"/>
      <c r="B29" s="114" t="s">
        <v>267</v>
      </c>
      <c r="C29" s="48" t="s">
        <v>13</v>
      </c>
      <c r="D29" s="262">
        <v>6</v>
      </c>
      <c r="E29" s="163">
        <f t="shared" si="3"/>
        <v>0</v>
      </c>
      <c r="F29" s="164">
        <f t="shared" si="4"/>
        <v>0</v>
      </c>
      <c r="G29" s="310">
        <f t="shared" si="0"/>
        <v>358</v>
      </c>
      <c r="H29" s="161"/>
      <c r="I29" s="161"/>
      <c r="J29" s="162">
        <f t="shared" si="5"/>
        <v>0</v>
      </c>
      <c r="K29" s="162">
        <f t="shared" si="6"/>
        <v>0</v>
      </c>
      <c r="L29" s="272"/>
    </row>
    <row r="30" spans="1:12" s="34" customFormat="1" ht="14">
      <c r="A30" s="45"/>
      <c r="B30" s="130"/>
      <c r="C30" s="48"/>
      <c r="D30" s="262"/>
      <c r="E30" s="163" t="str">
        <f t="shared" si="3"/>
        <v/>
      </c>
      <c r="F30" s="164" t="str">
        <f t="shared" si="4"/>
        <v/>
      </c>
      <c r="G30" s="310">
        <f t="shared" si="0"/>
        <v>359</v>
      </c>
      <c r="H30" s="161"/>
      <c r="I30" s="161"/>
      <c r="J30" s="162" t="str">
        <f t="shared" si="5"/>
        <v/>
      </c>
      <c r="K30" s="162" t="str">
        <f t="shared" si="6"/>
        <v/>
      </c>
      <c r="L30" s="272"/>
    </row>
    <row r="31" spans="1:12" s="34" customFormat="1" ht="25">
      <c r="A31" s="45" t="s">
        <v>312</v>
      </c>
      <c r="B31" s="114" t="s">
        <v>310</v>
      </c>
      <c r="C31" s="48"/>
      <c r="D31" s="262"/>
      <c r="E31" s="163" t="str">
        <f t="shared" si="3"/>
        <v/>
      </c>
      <c r="F31" s="164" t="str">
        <f t="shared" si="4"/>
        <v/>
      </c>
      <c r="G31" s="310">
        <f t="shared" si="0"/>
        <v>360</v>
      </c>
      <c r="H31" s="161"/>
      <c r="I31" s="161"/>
      <c r="J31" s="162" t="str">
        <f t="shared" si="5"/>
        <v/>
      </c>
      <c r="K31" s="162" t="str">
        <f t="shared" si="6"/>
        <v/>
      </c>
      <c r="L31" s="272"/>
    </row>
    <row r="32" spans="1:12" s="34" customFormat="1" ht="14">
      <c r="A32" s="45"/>
      <c r="B32" s="134" t="s">
        <v>309</v>
      </c>
      <c r="C32" s="48" t="s">
        <v>13</v>
      </c>
      <c r="D32" s="262">
        <f>D22</f>
        <v>105</v>
      </c>
      <c r="E32" s="163">
        <f t="shared" si="3"/>
        <v>0</v>
      </c>
      <c r="F32" s="164">
        <f t="shared" si="4"/>
        <v>0</v>
      </c>
      <c r="G32" s="310">
        <f t="shared" si="0"/>
        <v>361</v>
      </c>
      <c r="H32" s="161"/>
      <c r="I32" s="161"/>
      <c r="J32" s="162">
        <f t="shared" si="5"/>
        <v>0</v>
      </c>
      <c r="K32" s="162">
        <f t="shared" si="6"/>
        <v>0</v>
      </c>
      <c r="L32" s="272"/>
    </row>
    <row r="33" spans="1:24" s="34" customFormat="1" ht="14">
      <c r="A33" s="45"/>
      <c r="B33" s="134" t="s">
        <v>311</v>
      </c>
      <c r="C33" s="48" t="s">
        <v>13</v>
      </c>
      <c r="D33" s="262">
        <f>D22</f>
        <v>105</v>
      </c>
      <c r="E33" s="163">
        <f t="shared" si="3"/>
        <v>0</v>
      </c>
      <c r="F33" s="164">
        <f t="shared" si="4"/>
        <v>0</v>
      </c>
      <c r="G33" s="310">
        <f t="shared" si="0"/>
        <v>362</v>
      </c>
      <c r="H33" s="161"/>
      <c r="I33" s="161"/>
      <c r="J33" s="162">
        <f t="shared" si="5"/>
        <v>0</v>
      </c>
      <c r="K33" s="162">
        <f t="shared" si="6"/>
        <v>0</v>
      </c>
      <c r="L33" s="272"/>
    </row>
    <row r="34" spans="1:24" s="34" customFormat="1" ht="14">
      <c r="A34" s="45"/>
      <c r="B34" s="135" t="s">
        <v>260</v>
      </c>
      <c r="C34" s="48" t="s">
        <v>12</v>
      </c>
      <c r="D34" s="262">
        <v>1</v>
      </c>
      <c r="E34" s="163">
        <f t="shared" si="3"/>
        <v>0</v>
      </c>
      <c r="F34" s="164">
        <f t="shared" si="4"/>
        <v>0</v>
      </c>
      <c r="G34" s="310">
        <f t="shared" si="0"/>
        <v>363</v>
      </c>
      <c r="H34" s="161"/>
      <c r="I34" s="161"/>
      <c r="J34" s="162">
        <f t="shared" si="5"/>
        <v>0</v>
      </c>
      <c r="K34" s="162">
        <f t="shared" si="6"/>
        <v>0</v>
      </c>
      <c r="L34" s="272"/>
    </row>
    <row r="35" spans="1:24" ht="14">
      <c r="A35" s="19"/>
      <c r="B35" s="38"/>
      <c r="C35" s="9"/>
      <c r="D35" s="262"/>
      <c r="E35" s="163" t="str">
        <f t="shared" si="3"/>
        <v/>
      </c>
      <c r="F35" s="164" t="str">
        <f t="shared" si="4"/>
        <v/>
      </c>
      <c r="G35" s="310">
        <f t="shared" si="0"/>
        <v>364</v>
      </c>
      <c r="H35" s="161"/>
      <c r="I35" s="161"/>
      <c r="J35" s="162" t="str">
        <f t="shared" si="5"/>
        <v/>
      </c>
      <c r="K35" s="162" t="str">
        <f t="shared" si="6"/>
        <v/>
      </c>
      <c r="X35" s="32"/>
    </row>
    <row r="36" spans="1:24" s="5" customFormat="1" ht="14">
      <c r="A36" s="2"/>
      <c r="B36" s="35" t="s">
        <v>110</v>
      </c>
      <c r="C36" s="9"/>
      <c r="D36" s="262"/>
      <c r="E36" s="163" t="str">
        <f t="shared" si="3"/>
        <v/>
      </c>
      <c r="F36" s="164" t="str">
        <f t="shared" si="4"/>
        <v/>
      </c>
      <c r="G36" s="310">
        <f t="shared" si="0"/>
        <v>365</v>
      </c>
      <c r="H36" s="161"/>
      <c r="I36" s="161"/>
      <c r="J36" s="162" t="str">
        <f t="shared" si="5"/>
        <v/>
      </c>
      <c r="K36" s="162" t="str">
        <f t="shared" si="6"/>
        <v/>
      </c>
      <c r="L36" s="273"/>
      <c r="X36" s="36"/>
    </row>
    <row r="37" spans="1:24" ht="11.25" customHeight="1">
      <c r="A37" s="19"/>
      <c r="B37" s="26"/>
      <c r="C37" s="25"/>
      <c r="D37" s="262"/>
      <c r="E37" s="163" t="str">
        <f t="shared" si="3"/>
        <v/>
      </c>
      <c r="F37" s="164" t="str">
        <f t="shared" si="4"/>
        <v/>
      </c>
      <c r="G37" s="310">
        <f t="shared" si="0"/>
        <v>366</v>
      </c>
      <c r="H37" s="161"/>
      <c r="I37" s="161"/>
      <c r="J37" s="162" t="str">
        <f t="shared" si="5"/>
        <v/>
      </c>
      <c r="K37" s="162" t="str">
        <f t="shared" si="6"/>
        <v/>
      </c>
    </row>
    <row r="38" spans="1:24" ht="14">
      <c r="A38" s="19" t="s">
        <v>77</v>
      </c>
      <c r="B38" s="37" t="s">
        <v>51</v>
      </c>
      <c r="C38" s="25"/>
      <c r="D38" s="262"/>
      <c r="E38" s="163" t="str">
        <f t="shared" si="3"/>
        <v/>
      </c>
      <c r="F38" s="164" t="str">
        <f t="shared" si="4"/>
        <v/>
      </c>
      <c r="G38" s="310">
        <f t="shared" si="0"/>
        <v>367</v>
      </c>
      <c r="H38" s="161"/>
      <c r="I38" s="161"/>
      <c r="J38" s="162" t="str">
        <f t="shared" si="5"/>
        <v/>
      </c>
      <c r="K38" s="162" t="str">
        <f t="shared" si="6"/>
        <v/>
      </c>
      <c r="L38" s="274"/>
    </row>
    <row r="39" spans="1:24" ht="14">
      <c r="A39" s="2"/>
      <c r="B39" s="40"/>
      <c r="C39" s="9"/>
      <c r="D39" s="262"/>
      <c r="E39" s="163" t="str">
        <f t="shared" si="3"/>
        <v/>
      </c>
      <c r="F39" s="164" t="str">
        <f t="shared" si="4"/>
        <v/>
      </c>
      <c r="G39" s="310">
        <f t="shared" si="0"/>
        <v>368</v>
      </c>
      <c r="H39" s="161"/>
      <c r="I39" s="161"/>
      <c r="J39" s="162" t="str">
        <f t="shared" si="5"/>
        <v/>
      </c>
      <c r="K39" s="162" t="str">
        <f t="shared" si="6"/>
        <v/>
      </c>
    </row>
    <row r="40" spans="1:24" ht="14">
      <c r="A40" s="2" t="s">
        <v>261</v>
      </c>
      <c r="B40" s="39" t="s">
        <v>232</v>
      </c>
      <c r="C40" s="9"/>
      <c r="D40" s="262"/>
      <c r="E40" s="163" t="str">
        <f t="shared" si="3"/>
        <v/>
      </c>
      <c r="F40" s="164" t="str">
        <f t="shared" si="4"/>
        <v/>
      </c>
      <c r="G40" s="310">
        <f t="shared" si="0"/>
        <v>369</v>
      </c>
      <c r="H40" s="161"/>
      <c r="I40" s="161"/>
      <c r="J40" s="162" t="str">
        <f t="shared" si="5"/>
        <v/>
      </c>
      <c r="K40" s="162" t="str">
        <f t="shared" si="6"/>
        <v/>
      </c>
      <c r="M40" s="167"/>
    </row>
    <row r="41" spans="1:24" ht="14">
      <c r="A41" s="2"/>
      <c r="B41" s="40"/>
      <c r="C41" s="9"/>
      <c r="D41" s="262"/>
      <c r="E41" s="163" t="str">
        <f t="shared" si="3"/>
        <v/>
      </c>
      <c r="F41" s="164" t="str">
        <f t="shared" si="4"/>
        <v/>
      </c>
      <c r="G41" s="310">
        <f t="shared" si="0"/>
        <v>370</v>
      </c>
      <c r="H41" s="161"/>
      <c r="I41" s="161"/>
      <c r="J41" s="162" t="str">
        <f t="shared" si="5"/>
        <v/>
      </c>
      <c r="K41" s="162" t="str">
        <f t="shared" si="6"/>
        <v/>
      </c>
    </row>
    <row r="42" spans="1:24" ht="14">
      <c r="A42" s="2"/>
      <c r="B42" s="131" t="s">
        <v>262</v>
      </c>
      <c r="C42" s="9"/>
      <c r="D42" s="262"/>
      <c r="E42" s="163" t="str">
        <f t="shared" si="3"/>
        <v/>
      </c>
      <c r="F42" s="164" t="str">
        <f t="shared" si="4"/>
        <v/>
      </c>
      <c r="G42" s="310">
        <f t="shared" si="0"/>
        <v>371</v>
      </c>
      <c r="H42" s="161"/>
      <c r="I42" s="161"/>
      <c r="J42" s="162" t="str">
        <f t="shared" si="5"/>
        <v/>
      </c>
      <c r="K42" s="162" t="str">
        <f t="shared" si="6"/>
        <v/>
      </c>
    </row>
    <row r="43" spans="1:24" ht="14">
      <c r="A43" s="43"/>
      <c r="B43" s="44" t="s">
        <v>52</v>
      </c>
      <c r="C43" s="9" t="s">
        <v>13</v>
      </c>
      <c r="D43" s="300">
        <f>1-N36</f>
        <v>1</v>
      </c>
      <c r="E43" s="163">
        <f t="shared" si="3"/>
        <v>0</v>
      </c>
      <c r="F43" s="164">
        <f t="shared" si="4"/>
        <v>0</v>
      </c>
      <c r="G43" s="310">
        <f t="shared" si="0"/>
        <v>372</v>
      </c>
      <c r="H43" s="161"/>
      <c r="I43" s="161"/>
      <c r="J43" s="162">
        <f t="shared" si="5"/>
        <v>0</v>
      </c>
      <c r="K43" s="162">
        <f t="shared" si="6"/>
        <v>0</v>
      </c>
      <c r="M43" s="260"/>
    </row>
    <row r="44" spans="1:24" ht="14">
      <c r="A44" s="43"/>
      <c r="B44" s="132" t="s">
        <v>269</v>
      </c>
      <c r="C44" s="9" t="s">
        <v>13</v>
      </c>
      <c r="D44" s="262"/>
      <c r="E44" s="163" t="str">
        <f t="shared" si="3"/>
        <v/>
      </c>
      <c r="F44" s="164" t="str">
        <f t="shared" si="4"/>
        <v/>
      </c>
      <c r="G44" s="310">
        <f t="shared" si="0"/>
        <v>373</v>
      </c>
      <c r="H44" s="161"/>
      <c r="I44" s="161"/>
      <c r="J44" s="162" t="str">
        <f t="shared" si="5"/>
        <v/>
      </c>
      <c r="K44" s="162" t="str">
        <f t="shared" si="6"/>
        <v/>
      </c>
      <c r="M44" s="260"/>
    </row>
    <row r="45" spans="1:24" ht="14">
      <c r="A45" s="43"/>
      <c r="B45" s="44" t="s">
        <v>53</v>
      </c>
      <c r="C45" s="9" t="s">
        <v>13</v>
      </c>
      <c r="D45" s="262">
        <v>2.9523809523809521</v>
      </c>
      <c r="E45" s="163">
        <f t="shared" si="3"/>
        <v>0</v>
      </c>
      <c r="F45" s="164">
        <f t="shared" si="4"/>
        <v>0</v>
      </c>
      <c r="G45" s="310">
        <f t="shared" si="0"/>
        <v>374</v>
      </c>
      <c r="H45" s="161"/>
      <c r="I45" s="161"/>
      <c r="J45" s="162">
        <f t="shared" si="5"/>
        <v>0</v>
      </c>
      <c r="K45" s="162">
        <f t="shared" si="6"/>
        <v>0</v>
      </c>
      <c r="M45" s="260"/>
    </row>
    <row r="46" spans="1:24" ht="14">
      <c r="A46" s="43"/>
      <c r="B46" s="44" t="s">
        <v>72</v>
      </c>
      <c r="C46" s="9" t="s">
        <v>13</v>
      </c>
      <c r="D46" s="262">
        <v>1.5</v>
      </c>
      <c r="E46" s="163">
        <f t="shared" si="3"/>
        <v>0</v>
      </c>
      <c r="F46" s="164">
        <f t="shared" si="4"/>
        <v>0</v>
      </c>
      <c r="G46" s="310">
        <f t="shared" si="0"/>
        <v>375</v>
      </c>
      <c r="H46" s="161"/>
      <c r="I46" s="161"/>
      <c r="J46" s="162">
        <f t="shared" si="5"/>
        <v>0</v>
      </c>
      <c r="K46" s="162">
        <f t="shared" si="6"/>
        <v>0</v>
      </c>
      <c r="M46" s="260"/>
    </row>
    <row r="47" spans="1:24" ht="14">
      <c r="A47" s="43"/>
      <c r="B47" s="44" t="s">
        <v>447</v>
      </c>
      <c r="C47" s="9" t="s">
        <v>13</v>
      </c>
      <c r="D47" s="262">
        <v>1</v>
      </c>
      <c r="E47" s="163">
        <f t="shared" si="3"/>
        <v>0</v>
      </c>
      <c r="F47" s="164">
        <f t="shared" si="4"/>
        <v>0</v>
      </c>
      <c r="G47" s="310">
        <f t="shared" si="0"/>
        <v>376</v>
      </c>
      <c r="H47" s="161"/>
      <c r="I47" s="161"/>
      <c r="J47" s="162">
        <f t="shared" si="5"/>
        <v>0</v>
      </c>
      <c r="K47" s="162">
        <f t="shared" si="6"/>
        <v>0</v>
      </c>
      <c r="M47" s="260"/>
    </row>
    <row r="48" spans="1:24" ht="14">
      <c r="A48" s="43"/>
      <c r="B48" s="44"/>
      <c r="C48" s="9"/>
      <c r="D48" s="262"/>
      <c r="E48" s="163" t="str">
        <f t="shared" si="3"/>
        <v/>
      </c>
      <c r="F48" s="164" t="str">
        <f t="shared" si="4"/>
        <v/>
      </c>
      <c r="G48" s="310">
        <f t="shared" si="0"/>
        <v>377</v>
      </c>
      <c r="H48" s="161"/>
      <c r="I48" s="161"/>
      <c r="J48" s="162" t="str">
        <f t="shared" si="5"/>
        <v/>
      </c>
      <c r="K48" s="162" t="str">
        <f t="shared" si="6"/>
        <v/>
      </c>
      <c r="M48" s="260"/>
    </row>
    <row r="49" spans="1:13" ht="14">
      <c r="A49" s="43"/>
      <c r="B49" s="44" t="s">
        <v>54</v>
      </c>
      <c r="C49" s="9" t="s">
        <v>13</v>
      </c>
      <c r="D49" s="262">
        <f>7+4+1-1</f>
        <v>11</v>
      </c>
      <c r="E49" s="163">
        <f t="shared" si="3"/>
        <v>0</v>
      </c>
      <c r="F49" s="164">
        <f t="shared" si="4"/>
        <v>0</v>
      </c>
      <c r="G49" s="310">
        <f t="shared" si="0"/>
        <v>378</v>
      </c>
      <c r="H49" s="161"/>
      <c r="I49" s="161"/>
      <c r="J49" s="162">
        <f t="shared" si="5"/>
        <v>0</v>
      </c>
      <c r="K49" s="162">
        <f t="shared" si="6"/>
        <v>0</v>
      </c>
      <c r="M49" s="260"/>
    </row>
    <row r="50" spans="1:13" ht="14">
      <c r="A50" s="43"/>
      <c r="B50" s="44" t="s">
        <v>55</v>
      </c>
      <c r="C50" s="9" t="s">
        <v>13</v>
      </c>
      <c r="D50" s="262">
        <v>3</v>
      </c>
      <c r="E50" s="163">
        <f t="shared" si="3"/>
        <v>0</v>
      </c>
      <c r="F50" s="164">
        <f t="shared" si="4"/>
        <v>0</v>
      </c>
      <c r="G50" s="310">
        <f t="shared" si="0"/>
        <v>379</v>
      </c>
      <c r="H50" s="161"/>
      <c r="I50" s="161"/>
      <c r="J50" s="162">
        <f t="shared" si="5"/>
        <v>0</v>
      </c>
      <c r="K50" s="162">
        <f t="shared" si="6"/>
        <v>0</v>
      </c>
      <c r="M50" s="260"/>
    </row>
    <row r="51" spans="1:13" ht="14">
      <c r="A51" s="43"/>
      <c r="B51" s="44" t="s">
        <v>268</v>
      </c>
      <c r="C51" s="9" t="s">
        <v>13</v>
      </c>
      <c r="D51" s="262">
        <v>1</v>
      </c>
      <c r="E51" s="163">
        <f t="shared" si="3"/>
        <v>0</v>
      </c>
      <c r="F51" s="164">
        <f t="shared" si="4"/>
        <v>0</v>
      </c>
      <c r="G51" s="310">
        <f t="shared" si="0"/>
        <v>380</v>
      </c>
      <c r="H51" s="161"/>
      <c r="I51" s="161"/>
      <c r="J51" s="162">
        <f t="shared" si="5"/>
        <v>0</v>
      </c>
      <c r="K51" s="162">
        <f t="shared" si="6"/>
        <v>0</v>
      </c>
      <c r="M51" s="260"/>
    </row>
    <row r="52" spans="1:13" ht="14">
      <c r="A52" s="43"/>
      <c r="B52" s="44" t="s">
        <v>126</v>
      </c>
      <c r="C52" s="9" t="s">
        <v>13</v>
      </c>
      <c r="D52" s="262">
        <v>1</v>
      </c>
      <c r="E52" s="163">
        <f t="shared" si="3"/>
        <v>0</v>
      </c>
      <c r="F52" s="164">
        <f t="shared" si="4"/>
        <v>0</v>
      </c>
      <c r="G52" s="310">
        <f t="shared" si="0"/>
        <v>381</v>
      </c>
      <c r="H52" s="161"/>
      <c r="I52" s="161"/>
      <c r="J52" s="162">
        <f t="shared" si="5"/>
        <v>0</v>
      </c>
      <c r="K52" s="162">
        <f t="shared" si="6"/>
        <v>0</v>
      </c>
      <c r="M52" s="260"/>
    </row>
    <row r="53" spans="1:13" ht="14">
      <c r="A53" s="43"/>
      <c r="B53" s="44" t="s">
        <v>161</v>
      </c>
      <c r="C53" s="9" t="s">
        <v>13</v>
      </c>
      <c r="D53" s="262">
        <v>1</v>
      </c>
      <c r="E53" s="163">
        <f t="shared" si="3"/>
        <v>0</v>
      </c>
      <c r="F53" s="164">
        <f t="shared" si="4"/>
        <v>0</v>
      </c>
      <c r="G53" s="310">
        <f t="shared" si="0"/>
        <v>382</v>
      </c>
      <c r="H53" s="161"/>
      <c r="I53" s="161"/>
      <c r="J53" s="162">
        <f t="shared" si="5"/>
        <v>0</v>
      </c>
      <c r="K53" s="162">
        <f t="shared" si="6"/>
        <v>0</v>
      </c>
      <c r="M53" s="260"/>
    </row>
    <row r="54" spans="1:13" ht="14">
      <c r="A54" s="43"/>
      <c r="B54" s="44" t="s">
        <v>101</v>
      </c>
      <c r="C54" s="9" t="s">
        <v>13</v>
      </c>
      <c r="D54" s="262">
        <v>1</v>
      </c>
      <c r="E54" s="163">
        <f t="shared" si="3"/>
        <v>0</v>
      </c>
      <c r="F54" s="164">
        <f t="shared" si="4"/>
        <v>0</v>
      </c>
      <c r="G54" s="310">
        <f t="shared" si="0"/>
        <v>383</v>
      </c>
      <c r="H54" s="161"/>
      <c r="I54" s="161"/>
      <c r="J54" s="162">
        <f t="shared" si="5"/>
        <v>0</v>
      </c>
      <c r="K54" s="162">
        <f t="shared" si="6"/>
        <v>0</v>
      </c>
      <c r="M54" s="260"/>
    </row>
    <row r="55" spans="1:13" ht="14">
      <c r="A55" s="43"/>
      <c r="B55" s="44" t="s">
        <v>266</v>
      </c>
      <c r="C55" s="9" t="s">
        <v>13</v>
      </c>
      <c r="D55" s="262">
        <v>1</v>
      </c>
      <c r="E55" s="163">
        <f t="shared" si="3"/>
        <v>0</v>
      </c>
      <c r="F55" s="164">
        <f t="shared" si="4"/>
        <v>0</v>
      </c>
      <c r="G55" s="310">
        <f t="shared" si="0"/>
        <v>384</v>
      </c>
      <c r="H55" s="161"/>
      <c r="I55" s="161"/>
      <c r="J55" s="162">
        <f t="shared" si="5"/>
        <v>0</v>
      </c>
      <c r="K55" s="162">
        <f t="shared" si="6"/>
        <v>0</v>
      </c>
      <c r="M55" s="260"/>
    </row>
    <row r="56" spans="1:13" ht="14">
      <c r="A56" s="43"/>
      <c r="B56" s="44" t="s">
        <v>276</v>
      </c>
      <c r="C56" s="9" t="s">
        <v>13</v>
      </c>
      <c r="D56" s="262">
        <v>1</v>
      </c>
      <c r="E56" s="163">
        <f t="shared" si="3"/>
        <v>0</v>
      </c>
      <c r="F56" s="164">
        <f t="shared" si="4"/>
        <v>0</v>
      </c>
      <c r="G56" s="310">
        <f t="shared" si="0"/>
        <v>385</v>
      </c>
      <c r="H56" s="161"/>
      <c r="I56" s="161"/>
      <c r="J56" s="162">
        <f t="shared" si="5"/>
        <v>0</v>
      </c>
      <c r="K56" s="162">
        <f t="shared" si="6"/>
        <v>0</v>
      </c>
      <c r="M56" s="260"/>
    </row>
    <row r="57" spans="1:13" ht="14">
      <c r="A57" s="43"/>
      <c r="B57" s="44" t="s">
        <v>277</v>
      </c>
      <c r="C57" s="9" t="s">
        <v>13</v>
      </c>
      <c r="D57" s="262">
        <v>1</v>
      </c>
      <c r="E57" s="163">
        <f t="shared" si="3"/>
        <v>0</v>
      </c>
      <c r="F57" s="164">
        <f t="shared" si="4"/>
        <v>0</v>
      </c>
      <c r="G57" s="310">
        <f t="shared" si="0"/>
        <v>386</v>
      </c>
      <c r="H57" s="161"/>
      <c r="I57" s="161"/>
      <c r="J57" s="162">
        <f t="shared" si="5"/>
        <v>0</v>
      </c>
      <c r="K57" s="162">
        <f t="shared" si="6"/>
        <v>0</v>
      </c>
      <c r="M57" s="260"/>
    </row>
    <row r="58" spans="1:13" ht="14">
      <c r="A58" s="43"/>
      <c r="B58" s="128"/>
      <c r="C58" s="9"/>
      <c r="D58" s="262"/>
      <c r="E58" s="163" t="str">
        <f t="shared" si="3"/>
        <v/>
      </c>
      <c r="F58" s="164" t="str">
        <f t="shared" si="4"/>
        <v/>
      </c>
      <c r="G58" s="310">
        <f t="shared" si="0"/>
        <v>387</v>
      </c>
      <c r="H58" s="161"/>
      <c r="I58" s="161"/>
      <c r="J58" s="162" t="str">
        <f t="shared" si="5"/>
        <v/>
      </c>
      <c r="K58" s="162" t="str">
        <f t="shared" si="6"/>
        <v/>
      </c>
      <c r="M58" s="260"/>
    </row>
    <row r="59" spans="1:13" ht="14">
      <c r="A59" s="43"/>
      <c r="B59" s="131" t="s">
        <v>263</v>
      </c>
      <c r="C59" s="9"/>
      <c r="D59" s="262"/>
      <c r="E59" s="163" t="str">
        <f t="shared" si="3"/>
        <v/>
      </c>
      <c r="F59" s="164" t="str">
        <f t="shared" si="4"/>
        <v/>
      </c>
      <c r="G59" s="310">
        <f t="shared" si="0"/>
        <v>388</v>
      </c>
      <c r="H59" s="161"/>
      <c r="I59" s="161"/>
      <c r="J59" s="162" t="str">
        <f t="shared" si="5"/>
        <v/>
      </c>
      <c r="K59" s="162" t="str">
        <f t="shared" si="6"/>
        <v/>
      </c>
      <c r="M59" s="260"/>
    </row>
    <row r="60" spans="1:13" ht="14">
      <c r="A60" s="43"/>
      <c r="B60" s="44" t="s">
        <v>52</v>
      </c>
      <c r="C60" s="9" t="s">
        <v>13</v>
      </c>
      <c r="D60" s="262"/>
      <c r="E60" s="163" t="str">
        <f t="shared" si="3"/>
        <v/>
      </c>
      <c r="F60" s="164" t="str">
        <f t="shared" si="4"/>
        <v/>
      </c>
      <c r="G60" s="310">
        <f t="shared" si="0"/>
        <v>389</v>
      </c>
      <c r="H60" s="161"/>
      <c r="I60" s="161"/>
      <c r="J60" s="162" t="str">
        <f t="shared" si="5"/>
        <v/>
      </c>
      <c r="K60" s="162" t="str">
        <f t="shared" si="6"/>
        <v/>
      </c>
      <c r="M60" s="260"/>
    </row>
    <row r="61" spans="1:13" ht="14">
      <c r="A61" s="43"/>
      <c r="B61" s="132" t="s">
        <v>269</v>
      </c>
      <c r="C61" s="9" t="s">
        <v>13</v>
      </c>
      <c r="D61" s="262"/>
      <c r="E61" s="163" t="str">
        <f t="shared" si="3"/>
        <v/>
      </c>
      <c r="F61" s="164" t="str">
        <f t="shared" si="4"/>
        <v/>
      </c>
      <c r="G61" s="310">
        <f t="shared" si="0"/>
        <v>390</v>
      </c>
      <c r="H61" s="161"/>
      <c r="I61" s="161"/>
      <c r="J61" s="162" t="str">
        <f t="shared" si="5"/>
        <v/>
      </c>
      <c r="K61" s="162" t="str">
        <f t="shared" si="6"/>
        <v/>
      </c>
      <c r="M61" s="260"/>
    </row>
    <row r="62" spans="1:13" ht="14">
      <c r="A62" s="43"/>
      <c r="B62" s="44" t="s">
        <v>53</v>
      </c>
      <c r="C62" s="9" t="s">
        <v>13</v>
      </c>
      <c r="D62" s="262"/>
      <c r="E62" s="163" t="str">
        <f t="shared" si="3"/>
        <v/>
      </c>
      <c r="F62" s="164" t="str">
        <f t="shared" si="4"/>
        <v/>
      </c>
      <c r="G62" s="310">
        <f t="shared" si="0"/>
        <v>391</v>
      </c>
      <c r="H62" s="161"/>
      <c r="I62" s="161"/>
      <c r="J62" s="162" t="str">
        <f t="shared" si="5"/>
        <v/>
      </c>
      <c r="K62" s="162" t="str">
        <f t="shared" si="6"/>
        <v/>
      </c>
      <c r="M62" s="260"/>
    </row>
    <row r="63" spans="1:13" ht="14">
      <c r="A63" s="43"/>
      <c r="B63" s="44" t="s">
        <v>72</v>
      </c>
      <c r="C63" s="9" t="s">
        <v>13</v>
      </c>
      <c r="D63" s="262"/>
      <c r="E63" s="163" t="str">
        <f t="shared" si="3"/>
        <v/>
      </c>
      <c r="F63" s="164" t="str">
        <f t="shared" si="4"/>
        <v/>
      </c>
      <c r="G63" s="310">
        <f t="shared" si="0"/>
        <v>392</v>
      </c>
      <c r="H63" s="161"/>
      <c r="I63" s="161"/>
      <c r="J63" s="162" t="str">
        <f t="shared" si="5"/>
        <v/>
      </c>
      <c r="K63" s="162" t="str">
        <f t="shared" si="6"/>
        <v/>
      </c>
      <c r="M63" s="260"/>
    </row>
    <row r="64" spans="1:13" ht="14">
      <c r="A64" s="43"/>
      <c r="B64" s="44" t="s">
        <v>447</v>
      </c>
      <c r="C64" s="9" t="s">
        <v>13</v>
      </c>
      <c r="D64" s="262"/>
      <c r="E64" s="163" t="str">
        <f t="shared" si="3"/>
        <v/>
      </c>
      <c r="F64" s="164" t="str">
        <f t="shared" si="4"/>
        <v/>
      </c>
      <c r="G64" s="310">
        <f t="shared" si="0"/>
        <v>393</v>
      </c>
      <c r="H64" s="161"/>
      <c r="I64" s="161"/>
      <c r="J64" s="162" t="str">
        <f t="shared" si="5"/>
        <v/>
      </c>
      <c r="K64" s="162" t="str">
        <f t="shared" si="6"/>
        <v/>
      </c>
      <c r="M64" s="260"/>
    </row>
    <row r="65" spans="1:13" ht="14">
      <c r="A65" s="43"/>
      <c r="B65" s="44"/>
      <c r="C65" s="9"/>
      <c r="D65" s="262"/>
      <c r="E65" s="163" t="str">
        <f t="shared" si="3"/>
        <v/>
      </c>
      <c r="F65" s="164" t="str">
        <f t="shared" si="4"/>
        <v/>
      </c>
      <c r="G65" s="310">
        <f t="shared" si="0"/>
        <v>394</v>
      </c>
      <c r="H65" s="161"/>
      <c r="I65" s="161"/>
      <c r="J65" s="162" t="str">
        <f t="shared" si="5"/>
        <v/>
      </c>
      <c r="K65" s="162" t="str">
        <f t="shared" si="6"/>
        <v/>
      </c>
      <c r="M65" s="260"/>
    </row>
    <row r="66" spans="1:13" ht="14">
      <c r="A66" s="43"/>
      <c r="B66" s="44" t="s">
        <v>54</v>
      </c>
      <c r="C66" s="9" t="s">
        <v>13</v>
      </c>
      <c r="D66" s="262"/>
      <c r="E66" s="163" t="str">
        <f t="shared" si="3"/>
        <v/>
      </c>
      <c r="F66" s="164" t="str">
        <f t="shared" si="4"/>
        <v/>
      </c>
      <c r="G66" s="310">
        <f t="shared" si="0"/>
        <v>395</v>
      </c>
      <c r="H66" s="161"/>
      <c r="I66" s="161"/>
      <c r="J66" s="162" t="str">
        <f t="shared" si="5"/>
        <v/>
      </c>
      <c r="K66" s="162" t="str">
        <f t="shared" si="6"/>
        <v/>
      </c>
      <c r="M66" s="260"/>
    </row>
    <row r="67" spans="1:13" ht="14">
      <c r="A67" s="43"/>
      <c r="B67" s="44" t="s">
        <v>55</v>
      </c>
      <c r="C67" s="9" t="s">
        <v>13</v>
      </c>
      <c r="D67" s="262"/>
      <c r="E67" s="163" t="str">
        <f t="shared" si="3"/>
        <v/>
      </c>
      <c r="F67" s="164" t="str">
        <f t="shared" si="4"/>
        <v/>
      </c>
      <c r="G67" s="310">
        <f t="shared" si="0"/>
        <v>396</v>
      </c>
      <c r="H67" s="161"/>
      <c r="I67" s="161"/>
      <c r="J67" s="162" t="str">
        <f t="shared" si="5"/>
        <v/>
      </c>
      <c r="K67" s="162" t="str">
        <f t="shared" si="6"/>
        <v/>
      </c>
      <c r="M67" s="260"/>
    </row>
    <row r="68" spans="1:13" ht="14">
      <c r="A68" s="43"/>
      <c r="B68" s="44" t="s">
        <v>268</v>
      </c>
      <c r="C68" s="9" t="s">
        <v>13</v>
      </c>
      <c r="D68" s="262"/>
      <c r="E68" s="163" t="str">
        <f t="shared" si="3"/>
        <v/>
      </c>
      <c r="F68" s="164" t="str">
        <f t="shared" si="4"/>
        <v/>
      </c>
      <c r="G68" s="310">
        <f t="shared" si="0"/>
        <v>397</v>
      </c>
      <c r="H68" s="161"/>
      <c r="I68" s="161"/>
      <c r="J68" s="162" t="str">
        <f t="shared" si="5"/>
        <v/>
      </c>
      <c r="K68" s="162" t="str">
        <f t="shared" si="6"/>
        <v/>
      </c>
      <c r="M68" s="260"/>
    </row>
    <row r="69" spans="1:13" ht="14">
      <c r="A69" s="43"/>
      <c r="B69" s="44" t="s">
        <v>126</v>
      </c>
      <c r="C69" s="9" t="s">
        <v>13</v>
      </c>
      <c r="D69" s="262"/>
      <c r="E69" s="163" t="str">
        <f t="shared" si="3"/>
        <v/>
      </c>
      <c r="F69" s="164" t="str">
        <f t="shared" si="4"/>
        <v/>
      </c>
      <c r="G69" s="310">
        <f t="shared" si="0"/>
        <v>398</v>
      </c>
      <c r="H69" s="161"/>
      <c r="I69" s="161"/>
      <c r="J69" s="162" t="str">
        <f t="shared" si="5"/>
        <v/>
      </c>
      <c r="K69" s="162" t="str">
        <f t="shared" si="6"/>
        <v/>
      </c>
      <c r="M69" s="260"/>
    </row>
    <row r="70" spans="1:13" ht="14">
      <c r="A70" s="43"/>
      <c r="B70" s="44" t="s">
        <v>101</v>
      </c>
      <c r="C70" s="9" t="s">
        <v>13</v>
      </c>
      <c r="D70" s="262"/>
      <c r="E70" s="163" t="str">
        <f t="shared" si="3"/>
        <v/>
      </c>
      <c r="F70" s="164" t="str">
        <f t="shared" si="4"/>
        <v/>
      </c>
      <c r="G70" s="310">
        <f t="shared" si="0"/>
        <v>399</v>
      </c>
      <c r="H70" s="161"/>
      <c r="I70" s="161"/>
      <c r="J70" s="162" t="str">
        <f t="shared" si="5"/>
        <v/>
      </c>
      <c r="K70" s="162" t="str">
        <f t="shared" si="6"/>
        <v/>
      </c>
      <c r="M70" s="260"/>
    </row>
    <row r="71" spans="1:13" ht="14">
      <c r="A71" s="43"/>
      <c r="B71" s="44" t="s">
        <v>266</v>
      </c>
      <c r="C71" s="9" t="s">
        <v>13</v>
      </c>
      <c r="D71" s="262"/>
      <c r="E71" s="163" t="str">
        <f t="shared" si="3"/>
        <v/>
      </c>
      <c r="F71" s="164" t="str">
        <f t="shared" si="4"/>
        <v/>
      </c>
      <c r="G71" s="310">
        <f t="shared" si="0"/>
        <v>400</v>
      </c>
      <c r="H71" s="161"/>
      <c r="I71" s="161"/>
      <c r="J71" s="162" t="str">
        <f t="shared" si="5"/>
        <v/>
      </c>
      <c r="K71" s="162" t="str">
        <f t="shared" si="6"/>
        <v/>
      </c>
      <c r="M71" s="260"/>
    </row>
    <row r="72" spans="1:13" ht="14">
      <c r="A72" s="43"/>
      <c r="B72" s="44" t="s">
        <v>276</v>
      </c>
      <c r="C72" s="9" t="s">
        <v>13</v>
      </c>
      <c r="D72" s="262"/>
      <c r="E72" s="163" t="str">
        <f t="shared" si="3"/>
        <v/>
      </c>
      <c r="F72" s="164" t="str">
        <f t="shared" si="4"/>
        <v/>
      </c>
      <c r="G72" s="310">
        <f t="shared" si="0"/>
        <v>401</v>
      </c>
      <c r="H72" s="161"/>
      <c r="I72" s="161"/>
      <c r="J72" s="162" t="str">
        <f t="shared" si="5"/>
        <v/>
      </c>
      <c r="K72" s="162" t="str">
        <f t="shared" si="6"/>
        <v/>
      </c>
      <c r="M72" s="260"/>
    </row>
    <row r="73" spans="1:13" ht="14">
      <c r="A73" s="43"/>
      <c r="B73" s="44" t="s">
        <v>277</v>
      </c>
      <c r="C73" s="9" t="s">
        <v>13</v>
      </c>
      <c r="D73" s="262"/>
      <c r="E73" s="163" t="str">
        <f t="shared" si="3"/>
        <v/>
      </c>
      <c r="F73" s="164" t="str">
        <f t="shared" si="4"/>
        <v/>
      </c>
      <c r="G73" s="310">
        <f t="shared" si="0"/>
        <v>402</v>
      </c>
      <c r="H73" s="161"/>
      <c r="I73" s="161"/>
      <c r="J73" s="162" t="str">
        <f t="shared" si="5"/>
        <v/>
      </c>
      <c r="K73" s="162" t="str">
        <f t="shared" si="6"/>
        <v/>
      </c>
      <c r="M73" s="260"/>
    </row>
    <row r="74" spans="1:13" ht="14">
      <c r="A74" s="43"/>
      <c r="B74" s="128"/>
      <c r="C74" s="9"/>
      <c r="D74" s="262"/>
      <c r="E74" s="163" t="str">
        <f t="shared" si="3"/>
        <v/>
      </c>
      <c r="F74" s="164" t="str">
        <f t="shared" si="4"/>
        <v/>
      </c>
      <c r="G74" s="310">
        <f t="shared" si="0"/>
        <v>403</v>
      </c>
      <c r="H74" s="161"/>
      <c r="I74" s="161"/>
      <c r="J74" s="162" t="str">
        <f t="shared" si="5"/>
        <v/>
      </c>
      <c r="K74" s="162" t="str">
        <f t="shared" si="6"/>
        <v/>
      </c>
      <c r="M74" s="260"/>
    </row>
    <row r="75" spans="1:13" ht="14">
      <c r="A75" s="43"/>
      <c r="B75" s="44" t="s">
        <v>446</v>
      </c>
      <c r="C75" s="9" t="s">
        <v>1</v>
      </c>
      <c r="D75" s="262"/>
      <c r="E75" s="163" t="str">
        <f t="shared" si="3"/>
        <v/>
      </c>
      <c r="F75" s="164" t="str">
        <f t="shared" si="4"/>
        <v/>
      </c>
      <c r="G75" s="310">
        <f t="shared" si="0"/>
        <v>404</v>
      </c>
      <c r="H75" s="161"/>
      <c r="I75" s="161"/>
      <c r="J75" s="162" t="str">
        <f t="shared" si="5"/>
        <v/>
      </c>
      <c r="K75" s="162" t="str">
        <f t="shared" si="6"/>
        <v/>
      </c>
      <c r="M75" s="260"/>
    </row>
    <row r="76" spans="1:13" ht="14">
      <c r="A76" s="43"/>
      <c r="B76" s="44" t="s">
        <v>167</v>
      </c>
      <c r="C76" s="9" t="s">
        <v>13</v>
      </c>
      <c r="D76" s="262">
        <v>1</v>
      </c>
      <c r="E76" s="163">
        <f t="shared" si="3"/>
        <v>0</v>
      </c>
      <c r="F76" s="164">
        <f t="shared" si="4"/>
        <v>0</v>
      </c>
      <c r="G76" s="310">
        <f t="shared" si="0"/>
        <v>405</v>
      </c>
      <c r="H76" s="161"/>
      <c r="I76" s="161"/>
      <c r="J76" s="162">
        <f t="shared" si="5"/>
        <v>0</v>
      </c>
      <c r="K76" s="162">
        <f t="shared" si="6"/>
        <v>0</v>
      </c>
      <c r="M76" s="260"/>
    </row>
    <row r="77" spans="1:13" ht="14">
      <c r="A77" s="43"/>
      <c r="B77" s="44"/>
      <c r="C77" s="9"/>
      <c r="D77" s="262"/>
      <c r="E77" s="163" t="str">
        <f t="shared" si="3"/>
        <v/>
      </c>
      <c r="F77" s="164" t="str">
        <f t="shared" si="4"/>
        <v/>
      </c>
      <c r="G77" s="310">
        <f t="shared" si="0"/>
        <v>406</v>
      </c>
      <c r="H77" s="161"/>
      <c r="I77" s="161"/>
      <c r="J77" s="162" t="str">
        <f t="shared" si="5"/>
        <v/>
      </c>
      <c r="K77" s="162" t="str">
        <f t="shared" si="6"/>
        <v/>
      </c>
      <c r="M77" s="260"/>
    </row>
    <row r="78" spans="1:13" ht="14">
      <c r="A78" s="2"/>
      <c r="B78" s="132" t="s">
        <v>444</v>
      </c>
      <c r="C78" s="9" t="s">
        <v>13</v>
      </c>
      <c r="D78" s="262"/>
      <c r="E78" s="163" t="str">
        <f t="shared" si="3"/>
        <v/>
      </c>
      <c r="F78" s="164" t="str">
        <f t="shared" si="4"/>
        <v/>
      </c>
      <c r="G78" s="310">
        <f t="shared" si="0"/>
        <v>407</v>
      </c>
      <c r="H78" s="161"/>
      <c r="I78" s="161"/>
      <c r="J78" s="162" t="str">
        <f t="shared" si="5"/>
        <v/>
      </c>
      <c r="K78" s="162" t="str">
        <f t="shared" si="6"/>
        <v/>
      </c>
      <c r="M78" s="260"/>
    </row>
    <row r="79" spans="1:13" ht="14">
      <c r="A79" s="2"/>
      <c r="B79" s="132" t="s">
        <v>445</v>
      </c>
      <c r="C79" s="9" t="s">
        <v>13</v>
      </c>
      <c r="D79" s="262"/>
      <c r="E79" s="163" t="str">
        <f t="shared" si="3"/>
        <v/>
      </c>
      <c r="F79" s="164" t="str">
        <f t="shared" si="4"/>
        <v/>
      </c>
      <c r="G79" s="310">
        <f t="shared" si="0"/>
        <v>408</v>
      </c>
      <c r="H79" s="161"/>
      <c r="I79" s="161"/>
      <c r="J79" s="162" t="str">
        <f t="shared" si="5"/>
        <v/>
      </c>
      <c r="K79" s="162" t="str">
        <f t="shared" si="6"/>
        <v/>
      </c>
      <c r="M79" s="260"/>
    </row>
    <row r="80" spans="1:13" ht="14">
      <c r="A80" s="2"/>
      <c r="B80" s="132" t="s">
        <v>443</v>
      </c>
      <c r="C80" s="9" t="s">
        <v>13</v>
      </c>
      <c r="D80" s="262"/>
      <c r="E80" s="163" t="str">
        <f t="shared" si="3"/>
        <v/>
      </c>
      <c r="F80" s="164" t="str">
        <f t="shared" si="4"/>
        <v/>
      </c>
      <c r="G80" s="310">
        <f t="shared" si="0"/>
        <v>409</v>
      </c>
      <c r="H80" s="161"/>
      <c r="I80" s="161"/>
      <c r="J80" s="162" t="str">
        <f t="shared" si="5"/>
        <v/>
      </c>
      <c r="K80" s="162" t="str">
        <f t="shared" si="6"/>
        <v/>
      </c>
      <c r="M80" s="260"/>
    </row>
    <row r="81" spans="1:24" ht="14">
      <c r="A81" s="2"/>
      <c r="B81" s="132" t="s">
        <v>264</v>
      </c>
      <c r="C81" s="9" t="s">
        <v>13</v>
      </c>
      <c r="D81" s="262">
        <v>5</v>
      </c>
      <c r="E81" s="163">
        <f t="shared" si="3"/>
        <v>0</v>
      </c>
      <c r="F81" s="164">
        <f t="shared" si="4"/>
        <v>0</v>
      </c>
      <c r="G81" s="310">
        <f t="shared" si="0"/>
        <v>410</v>
      </c>
      <c r="H81" s="161"/>
      <c r="I81" s="161"/>
      <c r="J81" s="162">
        <f t="shared" si="5"/>
        <v>0</v>
      </c>
      <c r="K81" s="162">
        <f t="shared" si="6"/>
        <v>0</v>
      </c>
      <c r="M81" s="260"/>
    </row>
    <row r="82" spans="1:24" ht="14">
      <c r="A82" s="2"/>
      <c r="B82" s="132" t="s">
        <v>265</v>
      </c>
      <c r="C82" s="9" t="s">
        <v>13</v>
      </c>
      <c r="D82" s="262">
        <v>5</v>
      </c>
      <c r="E82" s="163">
        <f t="shared" si="3"/>
        <v>0</v>
      </c>
      <c r="F82" s="164">
        <f t="shared" si="4"/>
        <v>0</v>
      </c>
      <c r="G82" s="310">
        <f t="shared" ref="G82:G145" si="7">G81+1</f>
        <v>411</v>
      </c>
      <c r="H82" s="161"/>
      <c r="I82" s="161"/>
      <c r="J82" s="162">
        <f t="shared" si="5"/>
        <v>0</v>
      </c>
      <c r="K82" s="162">
        <f t="shared" si="6"/>
        <v>0</v>
      </c>
      <c r="M82" s="260"/>
    </row>
    <row r="83" spans="1:24" ht="14">
      <c r="A83" s="2"/>
      <c r="B83" s="44"/>
      <c r="C83" s="9"/>
      <c r="D83" s="262"/>
      <c r="E83" s="163" t="str">
        <f t="shared" si="3"/>
        <v/>
      </c>
      <c r="F83" s="164" t="str">
        <f t="shared" si="4"/>
        <v/>
      </c>
      <c r="G83" s="310">
        <f t="shared" si="7"/>
        <v>412</v>
      </c>
      <c r="H83" s="161"/>
      <c r="I83" s="161"/>
      <c r="J83" s="162" t="str">
        <f t="shared" si="5"/>
        <v/>
      </c>
      <c r="K83" s="162" t="str">
        <f t="shared" si="6"/>
        <v/>
      </c>
      <c r="M83" s="260"/>
    </row>
    <row r="84" spans="1:24" ht="14">
      <c r="A84" s="2"/>
      <c r="B84" s="44" t="s">
        <v>166</v>
      </c>
      <c r="C84" s="9" t="s">
        <v>13</v>
      </c>
      <c r="D84" s="262">
        <v>1</v>
      </c>
      <c r="E84" s="163">
        <f t="shared" si="3"/>
        <v>0</v>
      </c>
      <c r="F84" s="164">
        <f t="shared" si="4"/>
        <v>0</v>
      </c>
      <c r="G84" s="310">
        <f t="shared" si="7"/>
        <v>413</v>
      </c>
      <c r="H84" s="161"/>
      <c r="I84" s="161"/>
      <c r="J84" s="162">
        <f t="shared" si="5"/>
        <v>0</v>
      </c>
      <c r="K84" s="162">
        <f t="shared" si="6"/>
        <v>0</v>
      </c>
      <c r="M84" s="260"/>
    </row>
    <row r="85" spans="1:24" ht="14">
      <c r="A85" s="2"/>
      <c r="B85" s="40"/>
      <c r="C85" s="9"/>
      <c r="D85" s="262"/>
      <c r="E85" s="163" t="str">
        <f t="shared" si="3"/>
        <v/>
      </c>
      <c r="F85" s="164" t="str">
        <f t="shared" si="4"/>
        <v/>
      </c>
      <c r="G85" s="310">
        <f t="shared" si="7"/>
        <v>414</v>
      </c>
      <c r="H85" s="161"/>
      <c r="I85" s="161"/>
      <c r="J85" s="162" t="str">
        <f t="shared" si="5"/>
        <v/>
      </c>
      <c r="K85" s="162" t="str">
        <f t="shared" si="6"/>
        <v/>
      </c>
    </row>
    <row r="86" spans="1:24" ht="14">
      <c r="A86" s="2"/>
      <c r="B86" s="39" t="s">
        <v>233</v>
      </c>
      <c r="C86" s="27"/>
      <c r="D86" s="262"/>
      <c r="E86" s="163" t="str">
        <f t="shared" si="3"/>
        <v/>
      </c>
      <c r="F86" s="164" t="str">
        <f t="shared" si="4"/>
        <v/>
      </c>
      <c r="G86" s="310">
        <f t="shared" si="7"/>
        <v>415</v>
      </c>
      <c r="H86" s="161"/>
      <c r="I86" s="161"/>
      <c r="J86" s="162" t="str">
        <f t="shared" si="5"/>
        <v/>
      </c>
      <c r="K86" s="162" t="str">
        <f t="shared" si="6"/>
        <v/>
      </c>
    </row>
    <row r="87" spans="1:24" ht="14">
      <c r="A87" s="2"/>
      <c r="B87" s="39" t="s">
        <v>234</v>
      </c>
      <c r="C87" s="27" t="s">
        <v>12</v>
      </c>
      <c r="D87" s="262">
        <f>D24</f>
        <v>25</v>
      </c>
      <c r="E87" s="163">
        <f t="shared" si="3"/>
        <v>0</v>
      </c>
      <c r="F87" s="164">
        <f t="shared" si="4"/>
        <v>0</v>
      </c>
      <c r="G87" s="310">
        <f t="shared" si="7"/>
        <v>416</v>
      </c>
      <c r="H87" s="161"/>
      <c r="I87" s="161"/>
      <c r="J87" s="162">
        <f t="shared" si="5"/>
        <v>0</v>
      </c>
      <c r="K87" s="162">
        <f t="shared" si="6"/>
        <v>0</v>
      </c>
    </row>
    <row r="88" spans="1:24" ht="14">
      <c r="A88" s="19"/>
      <c r="B88" s="38"/>
      <c r="C88" s="9"/>
      <c r="D88" s="262"/>
      <c r="E88" s="163" t="str">
        <f t="shared" si="3"/>
        <v/>
      </c>
      <c r="F88" s="164" t="str">
        <f t="shared" si="4"/>
        <v/>
      </c>
      <c r="G88" s="310">
        <f t="shared" si="7"/>
        <v>417</v>
      </c>
      <c r="H88" s="161"/>
      <c r="I88" s="161"/>
      <c r="J88" s="162" t="str">
        <f t="shared" si="5"/>
        <v/>
      </c>
      <c r="K88" s="162" t="str">
        <f t="shared" si="6"/>
        <v/>
      </c>
      <c r="X88" s="32"/>
    </row>
    <row r="89" spans="1:24" s="5" customFormat="1" ht="14">
      <c r="A89" s="2"/>
      <c r="B89" s="73" t="s">
        <v>270</v>
      </c>
      <c r="C89" s="72"/>
      <c r="D89" s="262"/>
      <c r="E89" s="163" t="str">
        <f t="shared" ref="E89:E152" si="8">IF(D89="","",(((J89*$K$2)+(K89*$I$2*$I$3))*$K$3)/D89)</f>
        <v/>
      </c>
      <c r="F89" s="164" t="str">
        <f t="shared" ref="F89:F152" si="9">IF(D89="","",D89*E89)</f>
        <v/>
      </c>
      <c r="G89" s="310">
        <f t="shared" si="7"/>
        <v>418</v>
      </c>
      <c r="H89" s="161"/>
      <c r="I89" s="161"/>
      <c r="J89" s="162" t="str">
        <f t="shared" ref="J89:J152" si="10">IF(D89="","",H89*D89)</f>
        <v/>
      </c>
      <c r="K89" s="162" t="str">
        <f t="shared" ref="K89:K152" si="11">IF(D89="","",D89*I89)</f>
        <v/>
      </c>
      <c r="L89" s="269"/>
      <c r="X89" s="36"/>
    </row>
    <row r="90" spans="1:24" ht="14">
      <c r="A90" s="2"/>
      <c r="B90" s="10"/>
      <c r="C90" s="9"/>
      <c r="D90" s="262"/>
      <c r="E90" s="163" t="str">
        <f t="shared" si="8"/>
        <v/>
      </c>
      <c r="F90" s="164" t="str">
        <f t="shared" si="9"/>
        <v/>
      </c>
      <c r="G90" s="310">
        <f t="shared" si="7"/>
        <v>419</v>
      </c>
      <c r="H90" s="161"/>
      <c r="I90" s="161"/>
      <c r="J90" s="162" t="str">
        <f t="shared" si="10"/>
        <v/>
      </c>
      <c r="K90" s="162" t="str">
        <f t="shared" si="11"/>
        <v/>
      </c>
    </row>
    <row r="91" spans="1:24" ht="14">
      <c r="A91" s="2" t="s">
        <v>261</v>
      </c>
      <c r="B91" s="39" t="s">
        <v>163</v>
      </c>
      <c r="C91" s="9"/>
      <c r="D91" s="262"/>
      <c r="E91" s="163" t="str">
        <f t="shared" si="8"/>
        <v/>
      </c>
      <c r="F91" s="164" t="str">
        <f t="shared" si="9"/>
        <v/>
      </c>
      <c r="G91" s="310">
        <f t="shared" si="7"/>
        <v>420</v>
      </c>
      <c r="H91" s="161"/>
      <c r="I91" s="161"/>
      <c r="J91" s="162" t="str">
        <f t="shared" si="10"/>
        <v/>
      </c>
      <c r="K91" s="162" t="str">
        <f t="shared" si="11"/>
        <v/>
      </c>
    </row>
    <row r="92" spans="1:24" ht="14">
      <c r="A92" s="2"/>
      <c r="B92" s="40"/>
      <c r="C92" s="9"/>
      <c r="D92" s="262"/>
      <c r="E92" s="163" t="str">
        <f t="shared" si="8"/>
        <v/>
      </c>
      <c r="F92" s="164" t="str">
        <f t="shared" si="9"/>
        <v/>
      </c>
      <c r="G92" s="310">
        <f t="shared" si="7"/>
        <v>421</v>
      </c>
      <c r="H92" s="161"/>
      <c r="I92" s="161"/>
      <c r="J92" s="162" t="str">
        <f t="shared" si="10"/>
        <v/>
      </c>
      <c r="K92" s="162" t="str">
        <f t="shared" si="11"/>
        <v/>
      </c>
    </row>
    <row r="93" spans="1:24" ht="14">
      <c r="A93" s="2"/>
      <c r="B93" s="131" t="s">
        <v>262</v>
      </c>
      <c r="C93" s="9"/>
      <c r="D93" s="262"/>
      <c r="E93" s="163" t="str">
        <f t="shared" si="8"/>
        <v/>
      </c>
      <c r="F93" s="164" t="str">
        <f t="shared" si="9"/>
        <v/>
      </c>
      <c r="G93" s="310">
        <f t="shared" si="7"/>
        <v>422</v>
      </c>
      <c r="H93" s="161"/>
      <c r="I93" s="161"/>
      <c r="J93" s="162" t="str">
        <f t="shared" si="10"/>
        <v/>
      </c>
      <c r="K93" s="162" t="str">
        <f t="shared" si="11"/>
        <v/>
      </c>
    </row>
    <row r="94" spans="1:24" ht="14">
      <c r="A94" s="43"/>
      <c r="B94" s="44" t="s">
        <v>52</v>
      </c>
      <c r="C94" s="9" t="s">
        <v>13</v>
      </c>
      <c r="D94">
        <f>4-K87</f>
        <v>4</v>
      </c>
      <c r="E94" s="163">
        <f t="shared" si="8"/>
        <v>0</v>
      </c>
      <c r="F94" s="164">
        <f t="shared" si="9"/>
        <v>0</v>
      </c>
      <c r="G94" s="310">
        <f t="shared" si="7"/>
        <v>423</v>
      </c>
      <c r="H94" s="161"/>
      <c r="I94" s="161"/>
      <c r="J94" s="162">
        <f t="shared" si="10"/>
        <v>0</v>
      </c>
      <c r="K94" s="162">
        <f t="shared" si="11"/>
        <v>0</v>
      </c>
    </row>
    <row r="95" spans="1:24" ht="14">
      <c r="A95" s="43"/>
      <c r="B95" s="132" t="s">
        <v>269</v>
      </c>
      <c r="C95" s="9" t="s">
        <v>13</v>
      </c>
      <c r="D95" s="262"/>
      <c r="E95" s="163" t="str">
        <f t="shared" si="8"/>
        <v/>
      </c>
      <c r="F95" s="164" t="str">
        <f t="shared" si="9"/>
        <v/>
      </c>
      <c r="G95" s="310">
        <f t="shared" si="7"/>
        <v>424</v>
      </c>
      <c r="H95" s="161"/>
      <c r="I95" s="161"/>
      <c r="J95" s="162" t="str">
        <f t="shared" si="10"/>
        <v/>
      </c>
      <c r="K95" s="162" t="str">
        <f t="shared" si="11"/>
        <v/>
      </c>
    </row>
    <row r="96" spans="1:24" ht="14">
      <c r="A96" s="43"/>
      <c r="B96" s="44" t="s">
        <v>53</v>
      </c>
      <c r="C96" s="9" t="s">
        <v>13</v>
      </c>
      <c r="D96" s="262">
        <v>0.952380952380952</v>
      </c>
      <c r="E96" s="163">
        <f t="shared" si="8"/>
        <v>0</v>
      </c>
      <c r="F96" s="164">
        <f t="shared" si="9"/>
        <v>0</v>
      </c>
      <c r="G96" s="310">
        <f t="shared" si="7"/>
        <v>425</v>
      </c>
      <c r="H96" s="161"/>
      <c r="I96" s="161"/>
      <c r="J96" s="162">
        <f t="shared" si="10"/>
        <v>0</v>
      </c>
      <c r="K96" s="162">
        <f t="shared" si="11"/>
        <v>0</v>
      </c>
    </row>
    <row r="97" spans="1:11" ht="14">
      <c r="A97" s="43"/>
      <c r="B97" s="44" t="s">
        <v>72</v>
      </c>
      <c r="C97" s="9" t="s">
        <v>13</v>
      </c>
      <c r="D97" s="262">
        <v>3</v>
      </c>
      <c r="E97" s="163">
        <f t="shared" si="8"/>
        <v>0</v>
      </c>
      <c r="F97" s="164">
        <f t="shared" si="9"/>
        <v>0</v>
      </c>
      <c r="G97" s="310">
        <f t="shared" si="7"/>
        <v>426</v>
      </c>
      <c r="H97" s="161"/>
      <c r="I97" s="161"/>
      <c r="J97" s="162">
        <f t="shared" si="10"/>
        <v>0</v>
      </c>
      <c r="K97" s="162">
        <f t="shared" si="11"/>
        <v>0</v>
      </c>
    </row>
    <row r="98" spans="1:11" ht="14">
      <c r="A98" s="43"/>
      <c r="B98" s="44" t="s">
        <v>447</v>
      </c>
      <c r="C98" s="9" t="s">
        <v>13</v>
      </c>
      <c r="D98" s="262">
        <v>1</v>
      </c>
      <c r="E98" s="163">
        <f t="shared" si="8"/>
        <v>0</v>
      </c>
      <c r="F98" s="164">
        <f t="shared" si="9"/>
        <v>0</v>
      </c>
      <c r="G98" s="310">
        <f t="shared" si="7"/>
        <v>427</v>
      </c>
      <c r="H98" s="161"/>
      <c r="I98" s="161"/>
      <c r="J98" s="162">
        <f t="shared" si="10"/>
        <v>0</v>
      </c>
      <c r="K98" s="162">
        <f t="shared" si="11"/>
        <v>0</v>
      </c>
    </row>
    <row r="99" spans="1:11" ht="14">
      <c r="A99" s="43"/>
      <c r="B99" s="44"/>
      <c r="C99" s="9"/>
      <c r="D99" s="262"/>
      <c r="E99" s="163" t="str">
        <f t="shared" si="8"/>
        <v/>
      </c>
      <c r="F99" s="164" t="str">
        <f t="shared" si="9"/>
        <v/>
      </c>
      <c r="G99" s="310">
        <f t="shared" si="7"/>
        <v>428</v>
      </c>
      <c r="H99" s="161"/>
      <c r="I99" s="161"/>
      <c r="J99" s="162" t="str">
        <f t="shared" si="10"/>
        <v/>
      </c>
      <c r="K99" s="162" t="str">
        <f t="shared" si="11"/>
        <v/>
      </c>
    </row>
    <row r="100" spans="1:11" ht="14">
      <c r="A100" s="43"/>
      <c r="B100" s="44" t="s">
        <v>54</v>
      </c>
      <c r="C100" s="9" t="s">
        <v>13</v>
      </c>
      <c r="D100" s="262">
        <f>9+5+1-1</f>
        <v>14</v>
      </c>
      <c r="E100" s="163">
        <f t="shared" si="8"/>
        <v>0</v>
      </c>
      <c r="F100" s="164">
        <f t="shared" si="9"/>
        <v>0</v>
      </c>
      <c r="G100" s="310">
        <f t="shared" si="7"/>
        <v>429</v>
      </c>
      <c r="H100" s="161"/>
      <c r="I100" s="161"/>
      <c r="J100" s="162">
        <f t="shared" si="10"/>
        <v>0</v>
      </c>
      <c r="K100" s="162">
        <f t="shared" si="11"/>
        <v>0</v>
      </c>
    </row>
    <row r="101" spans="1:11" ht="14">
      <c r="A101" s="43"/>
      <c r="B101" s="44" t="s">
        <v>55</v>
      </c>
      <c r="C101" s="9" t="s">
        <v>13</v>
      </c>
      <c r="D101" s="262">
        <f>4</f>
        <v>4</v>
      </c>
      <c r="E101" s="163">
        <f t="shared" si="8"/>
        <v>0</v>
      </c>
      <c r="F101" s="164">
        <f t="shared" si="9"/>
        <v>0</v>
      </c>
      <c r="G101" s="310">
        <f t="shared" si="7"/>
        <v>430</v>
      </c>
      <c r="H101" s="161"/>
      <c r="I101" s="161"/>
      <c r="J101" s="162">
        <f t="shared" si="10"/>
        <v>0</v>
      </c>
      <c r="K101" s="162">
        <f t="shared" si="11"/>
        <v>0</v>
      </c>
    </row>
    <row r="102" spans="1:11" ht="14">
      <c r="A102" s="43"/>
      <c r="B102" s="44" t="s">
        <v>268</v>
      </c>
      <c r="C102" s="9" t="s">
        <v>13</v>
      </c>
      <c r="D102" s="262">
        <v>1</v>
      </c>
      <c r="E102" s="163">
        <f t="shared" si="8"/>
        <v>0</v>
      </c>
      <c r="F102" s="164">
        <f t="shared" si="9"/>
        <v>0</v>
      </c>
      <c r="G102" s="310">
        <f t="shared" si="7"/>
        <v>431</v>
      </c>
      <c r="H102" s="161"/>
      <c r="I102" s="161"/>
      <c r="J102" s="162">
        <f t="shared" si="10"/>
        <v>0</v>
      </c>
      <c r="K102" s="162">
        <f t="shared" si="11"/>
        <v>0</v>
      </c>
    </row>
    <row r="103" spans="1:11" ht="14">
      <c r="A103" s="43"/>
      <c r="B103" s="44" t="s">
        <v>271</v>
      </c>
      <c r="C103" s="9" t="s">
        <v>13</v>
      </c>
      <c r="D103" s="262">
        <v>1</v>
      </c>
      <c r="E103" s="163">
        <f t="shared" si="8"/>
        <v>0</v>
      </c>
      <c r="F103" s="164">
        <f t="shared" si="9"/>
        <v>0</v>
      </c>
      <c r="G103" s="310">
        <f t="shared" si="7"/>
        <v>432</v>
      </c>
      <c r="H103" s="161"/>
      <c r="I103" s="161"/>
      <c r="J103" s="162">
        <f t="shared" si="10"/>
        <v>0</v>
      </c>
      <c r="K103" s="162">
        <f t="shared" si="11"/>
        <v>0</v>
      </c>
    </row>
    <row r="104" spans="1:11" ht="14">
      <c r="A104" s="2"/>
      <c r="B104" s="44" t="s">
        <v>272</v>
      </c>
      <c r="C104" s="9" t="s">
        <v>13</v>
      </c>
      <c r="D104" s="262">
        <v>1</v>
      </c>
      <c r="E104" s="163">
        <f t="shared" si="8"/>
        <v>0</v>
      </c>
      <c r="F104" s="164">
        <f t="shared" si="9"/>
        <v>0</v>
      </c>
      <c r="G104" s="310">
        <f t="shared" si="7"/>
        <v>433</v>
      </c>
      <c r="H104" s="161"/>
      <c r="I104" s="161"/>
      <c r="J104" s="162">
        <f t="shared" si="10"/>
        <v>0</v>
      </c>
      <c r="K104" s="162">
        <f t="shared" si="11"/>
        <v>0</v>
      </c>
    </row>
    <row r="105" spans="1:11" ht="14">
      <c r="A105" s="43"/>
      <c r="B105" s="44" t="s">
        <v>126</v>
      </c>
      <c r="C105" s="9" t="s">
        <v>13</v>
      </c>
      <c r="D105" s="262">
        <v>1</v>
      </c>
      <c r="E105" s="163">
        <f t="shared" si="8"/>
        <v>0</v>
      </c>
      <c r="F105" s="164">
        <f t="shared" si="9"/>
        <v>0</v>
      </c>
      <c r="G105" s="310">
        <f t="shared" si="7"/>
        <v>434</v>
      </c>
      <c r="H105" s="161"/>
      <c r="I105" s="161"/>
      <c r="J105" s="162">
        <f t="shared" si="10"/>
        <v>0</v>
      </c>
      <c r="K105" s="162">
        <f t="shared" si="11"/>
        <v>0</v>
      </c>
    </row>
    <row r="106" spans="1:11" ht="14">
      <c r="A106" s="43"/>
      <c r="B106" s="44" t="s">
        <v>101</v>
      </c>
      <c r="C106" s="9" t="s">
        <v>13</v>
      </c>
      <c r="D106" s="262">
        <v>1</v>
      </c>
      <c r="E106" s="163">
        <f t="shared" si="8"/>
        <v>0</v>
      </c>
      <c r="F106" s="164">
        <f t="shared" si="9"/>
        <v>0</v>
      </c>
      <c r="G106" s="310">
        <f t="shared" si="7"/>
        <v>435</v>
      </c>
      <c r="H106" s="161"/>
      <c r="I106" s="161"/>
      <c r="J106" s="162">
        <f t="shared" si="10"/>
        <v>0</v>
      </c>
      <c r="K106" s="162">
        <f t="shared" si="11"/>
        <v>0</v>
      </c>
    </row>
    <row r="107" spans="1:11" ht="14">
      <c r="A107" s="43"/>
      <c r="B107" s="44" t="s">
        <v>266</v>
      </c>
      <c r="C107" s="9" t="s">
        <v>13</v>
      </c>
      <c r="D107" s="262">
        <v>2</v>
      </c>
      <c r="E107" s="163">
        <f t="shared" si="8"/>
        <v>0</v>
      </c>
      <c r="F107" s="164">
        <f t="shared" si="9"/>
        <v>0</v>
      </c>
      <c r="G107" s="310">
        <f t="shared" si="7"/>
        <v>436</v>
      </c>
      <c r="H107" s="161"/>
      <c r="I107" s="161"/>
      <c r="J107" s="162">
        <f t="shared" si="10"/>
        <v>0</v>
      </c>
      <c r="K107" s="162">
        <f t="shared" si="11"/>
        <v>0</v>
      </c>
    </row>
    <row r="108" spans="1:11" ht="14">
      <c r="A108" s="43"/>
      <c r="B108" s="44" t="s">
        <v>276</v>
      </c>
      <c r="C108" s="9" t="s">
        <v>13</v>
      </c>
      <c r="D108" s="262">
        <v>1</v>
      </c>
      <c r="E108" s="163">
        <f t="shared" si="8"/>
        <v>0</v>
      </c>
      <c r="F108" s="164">
        <f t="shared" si="9"/>
        <v>0</v>
      </c>
      <c r="G108" s="310">
        <f t="shared" si="7"/>
        <v>437</v>
      </c>
      <c r="H108" s="161"/>
      <c r="I108" s="161"/>
      <c r="J108" s="162">
        <f t="shared" si="10"/>
        <v>0</v>
      </c>
      <c r="K108" s="162">
        <f t="shared" si="11"/>
        <v>0</v>
      </c>
    </row>
    <row r="109" spans="1:11" ht="14">
      <c r="A109" s="43"/>
      <c r="B109" s="44" t="s">
        <v>277</v>
      </c>
      <c r="C109" s="9" t="s">
        <v>13</v>
      </c>
      <c r="D109" s="262">
        <v>1</v>
      </c>
      <c r="E109" s="163">
        <f t="shared" si="8"/>
        <v>0</v>
      </c>
      <c r="F109" s="164">
        <f t="shared" si="9"/>
        <v>0</v>
      </c>
      <c r="G109" s="310">
        <f t="shared" si="7"/>
        <v>438</v>
      </c>
      <c r="H109" s="161"/>
      <c r="I109" s="161"/>
      <c r="J109" s="162">
        <f t="shared" si="10"/>
        <v>0</v>
      </c>
      <c r="K109" s="162">
        <f t="shared" si="11"/>
        <v>0</v>
      </c>
    </row>
    <row r="110" spans="1:11" ht="14">
      <c r="A110" s="43"/>
      <c r="B110" s="44"/>
      <c r="C110" s="9"/>
      <c r="D110" s="262"/>
      <c r="E110" s="163" t="str">
        <f t="shared" si="8"/>
        <v/>
      </c>
      <c r="F110" s="164" t="str">
        <f t="shared" si="9"/>
        <v/>
      </c>
      <c r="G110" s="310">
        <f t="shared" si="7"/>
        <v>439</v>
      </c>
      <c r="H110" s="161"/>
      <c r="I110" s="161"/>
      <c r="J110" s="162" t="str">
        <f t="shared" si="10"/>
        <v/>
      </c>
      <c r="K110" s="162" t="str">
        <f t="shared" si="11"/>
        <v/>
      </c>
    </row>
    <row r="111" spans="1:11" ht="14">
      <c r="A111" s="43"/>
      <c r="B111" s="131" t="s">
        <v>263</v>
      </c>
      <c r="C111" s="9"/>
      <c r="D111" s="262"/>
      <c r="E111" s="163" t="str">
        <f t="shared" si="8"/>
        <v/>
      </c>
      <c r="F111" s="164" t="str">
        <f t="shared" si="9"/>
        <v/>
      </c>
      <c r="G111" s="310">
        <f t="shared" si="7"/>
        <v>440</v>
      </c>
      <c r="H111" s="161"/>
      <c r="I111" s="161"/>
      <c r="J111" s="162" t="str">
        <f t="shared" si="10"/>
        <v/>
      </c>
      <c r="K111" s="162" t="str">
        <f t="shared" si="11"/>
        <v/>
      </c>
    </row>
    <row r="112" spans="1:11" ht="14">
      <c r="A112" s="43"/>
      <c r="B112" s="44" t="s">
        <v>52</v>
      </c>
      <c r="C112" s="9" t="s">
        <v>13</v>
      </c>
      <c r="D112" s="262"/>
      <c r="E112" s="163" t="str">
        <f t="shared" si="8"/>
        <v/>
      </c>
      <c r="F112" s="164" t="str">
        <f t="shared" si="9"/>
        <v/>
      </c>
      <c r="G112" s="310">
        <f t="shared" si="7"/>
        <v>441</v>
      </c>
      <c r="H112" s="161"/>
      <c r="I112" s="161"/>
      <c r="J112" s="162" t="str">
        <f t="shared" si="10"/>
        <v/>
      </c>
      <c r="K112" s="162" t="str">
        <f t="shared" si="11"/>
        <v/>
      </c>
    </row>
    <row r="113" spans="1:11" ht="14">
      <c r="A113" s="43"/>
      <c r="B113" s="132" t="s">
        <v>162</v>
      </c>
      <c r="C113" s="9" t="s">
        <v>13</v>
      </c>
      <c r="D113" s="262"/>
      <c r="E113" s="163" t="str">
        <f t="shared" si="8"/>
        <v/>
      </c>
      <c r="F113" s="164" t="str">
        <f t="shared" si="9"/>
        <v/>
      </c>
      <c r="G113" s="310">
        <f t="shared" si="7"/>
        <v>442</v>
      </c>
      <c r="H113" s="161"/>
      <c r="I113" s="161"/>
      <c r="J113" s="162" t="str">
        <f t="shared" si="10"/>
        <v/>
      </c>
      <c r="K113" s="162" t="str">
        <f t="shared" si="11"/>
        <v/>
      </c>
    </row>
    <row r="114" spans="1:11" ht="14">
      <c r="A114" s="43"/>
      <c r="B114" s="44" t="s">
        <v>53</v>
      </c>
      <c r="C114" s="9" t="s">
        <v>13</v>
      </c>
      <c r="D114" s="262"/>
      <c r="E114" s="163" t="str">
        <f t="shared" si="8"/>
        <v/>
      </c>
      <c r="F114" s="164" t="str">
        <f t="shared" si="9"/>
        <v/>
      </c>
      <c r="G114" s="310">
        <f t="shared" si="7"/>
        <v>443</v>
      </c>
      <c r="H114" s="161"/>
      <c r="I114" s="161"/>
      <c r="J114" s="162" t="str">
        <f t="shared" si="10"/>
        <v/>
      </c>
      <c r="K114" s="162" t="str">
        <f t="shared" si="11"/>
        <v/>
      </c>
    </row>
    <row r="115" spans="1:11" ht="14">
      <c r="A115" s="43"/>
      <c r="B115" s="44" t="s">
        <v>72</v>
      </c>
      <c r="C115" s="9" t="s">
        <v>13</v>
      </c>
      <c r="D115" s="262"/>
      <c r="E115" s="163" t="str">
        <f t="shared" si="8"/>
        <v/>
      </c>
      <c r="F115" s="164" t="str">
        <f t="shared" si="9"/>
        <v/>
      </c>
      <c r="G115" s="310">
        <f t="shared" si="7"/>
        <v>444</v>
      </c>
      <c r="H115" s="161"/>
      <c r="I115" s="161"/>
      <c r="J115" s="162" t="str">
        <f t="shared" si="10"/>
        <v/>
      </c>
      <c r="K115" s="162" t="str">
        <f t="shared" si="11"/>
        <v/>
      </c>
    </row>
    <row r="116" spans="1:11" ht="14">
      <c r="A116" s="43"/>
      <c r="B116" s="44" t="s">
        <v>447</v>
      </c>
      <c r="C116" s="9" t="s">
        <v>13</v>
      </c>
      <c r="D116" s="262"/>
      <c r="E116" s="163" t="str">
        <f t="shared" si="8"/>
        <v/>
      </c>
      <c r="F116" s="164" t="str">
        <f t="shared" si="9"/>
        <v/>
      </c>
      <c r="G116" s="310">
        <f t="shared" si="7"/>
        <v>445</v>
      </c>
      <c r="H116" s="161"/>
      <c r="I116" s="161"/>
      <c r="J116" s="162" t="str">
        <f t="shared" si="10"/>
        <v/>
      </c>
      <c r="K116" s="162" t="str">
        <f t="shared" si="11"/>
        <v/>
      </c>
    </row>
    <row r="117" spans="1:11" ht="14">
      <c r="A117" s="43"/>
      <c r="B117" s="44"/>
      <c r="C117" s="9"/>
      <c r="D117" s="262"/>
      <c r="E117" s="163" t="str">
        <f t="shared" si="8"/>
        <v/>
      </c>
      <c r="F117" s="164" t="str">
        <f t="shared" si="9"/>
        <v/>
      </c>
      <c r="G117" s="310">
        <f t="shared" si="7"/>
        <v>446</v>
      </c>
      <c r="H117" s="161"/>
      <c r="I117" s="161"/>
      <c r="J117" s="162" t="str">
        <f t="shared" si="10"/>
        <v/>
      </c>
      <c r="K117" s="162" t="str">
        <f t="shared" si="11"/>
        <v/>
      </c>
    </row>
    <row r="118" spans="1:11" ht="14">
      <c r="A118" s="43"/>
      <c r="B118" s="44" t="s">
        <v>54</v>
      </c>
      <c r="C118" s="9" t="s">
        <v>13</v>
      </c>
      <c r="D118" s="262"/>
      <c r="E118" s="163" t="str">
        <f t="shared" si="8"/>
        <v/>
      </c>
      <c r="F118" s="164" t="str">
        <f t="shared" si="9"/>
        <v/>
      </c>
      <c r="G118" s="310">
        <f t="shared" si="7"/>
        <v>447</v>
      </c>
      <c r="H118" s="161"/>
      <c r="I118" s="161"/>
      <c r="J118" s="162" t="str">
        <f t="shared" si="10"/>
        <v/>
      </c>
      <c r="K118" s="162" t="str">
        <f t="shared" si="11"/>
        <v/>
      </c>
    </row>
    <row r="119" spans="1:11" ht="14">
      <c r="A119" s="43"/>
      <c r="B119" s="44" t="s">
        <v>55</v>
      </c>
      <c r="C119" s="9" t="s">
        <v>13</v>
      </c>
      <c r="D119" s="262"/>
      <c r="E119" s="163" t="str">
        <f t="shared" si="8"/>
        <v/>
      </c>
      <c r="F119" s="164" t="str">
        <f t="shared" si="9"/>
        <v/>
      </c>
      <c r="G119" s="310">
        <f t="shared" si="7"/>
        <v>448</v>
      </c>
      <c r="H119" s="161"/>
      <c r="I119" s="161"/>
      <c r="J119" s="162" t="str">
        <f t="shared" si="10"/>
        <v/>
      </c>
      <c r="K119" s="162" t="str">
        <f t="shared" si="11"/>
        <v/>
      </c>
    </row>
    <row r="120" spans="1:11" ht="14">
      <c r="A120" s="43"/>
      <c r="B120" s="44" t="s">
        <v>268</v>
      </c>
      <c r="C120" s="9" t="s">
        <v>13</v>
      </c>
      <c r="D120" s="262"/>
      <c r="E120" s="163" t="str">
        <f t="shared" si="8"/>
        <v/>
      </c>
      <c r="F120" s="164" t="str">
        <f t="shared" si="9"/>
        <v/>
      </c>
      <c r="G120" s="310">
        <f t="shared" si="7"/>
        <v>449</v>
      </c>
      <c r="H120" s="161"/>
      <c r="I120" s="161"/>
      <c r="J120" s="162" t="str">
        <f t="shared" si="10"/>
        <v/>
      </c>
      <c r="K120" s="162" t="str">
        <f t="shared" si="11"/>
        <v/>
      </c>
    </row>
    <row r="121" spans="1:11" ht="14">
      <c r="A121" s="43"/>
      <c r="B121" s="44" t="s">
        <v>271</v>
      </c>
      <c r="C121" s="9" t="s">
        <v>13</v>
      </c>
      <c r="D121" s="262"/>
      <c r="E121" s="163" t="str">
        <f t="shared" si="8"/>
        <v/>
      </c>
      <c r="F121" s="164" t="str">
        <f t="shared" si="9"/>
        <v/>
      </c>
      <c r="G121" s="310">
        <f t="shared" si="7"/>
        <v>450</v>
      </c>
      <c r="H121" s="161"/>
      <c r="I121" s="161"/>
      <c r="J121" s="162" t="str">
        <f t="shared" si="10"/>
        <v/>
      </c>
      <c r="K121" s="162" t="str">
        <f t="shared" si="11"/>
        <v/>
      </c>
    </row>
    <row r="122" spans="1:11" ht="14">
      <c r="A122" s="43"/>
      <c r="B122" s="44" t="s">
        <v>272</v>
      </c>
      <c r="C122" s="9" t="s">
        <v>13</v>
      </c>
      <c r="D122" s="262"/>
      <c r="E122" s="163" t="str">
        <f t="shared" si="8"/>
        <v/>
      </c>
      <c r="F122" s="164" t="str">
        <f t="shared" si="9"/>
        <v/>
      </c>
      <c r="G122" s="310">
        <f t="shared" si="7"/>
        <v>451</v>
      </c>
      <c r="H122" s="161"/>
      <c r="I122" s="161"/>
      <c r="J122" s="162" t="str">
        <f t="shared" si="10"/>
        <v/>
      </c>
      <c r="K122" s="162" t="str">
        <f t="shared" si="11"/>
        <v/>
      </c>
    </row>
    <row r="123" spans="1:11" ht="14">
      <c r="A123" s="43"/>
      <c r="B123" s="44" t="s">
        <v>126</v>
      </c>
      <c r="C123" s="9" t="s">
        <v>13</v>
      </c>
      <c r="D123" s="262"/>
      <c r="E123" s="163" t="str">
        <f t="shared" si="8"/>
        <v/>
      </c>
      <c r="F123" s="164" t="str">
        <f t="shared" si="9"/>
        <v/>
      </c>
      <c r="G123" s="310">
        <f t="shared" si="7"/>
        <v>452</v>
      </c>
      <c r="H123" s="161"/>
      <c r="I123" s="161"/>
      <c r="J123" s="162" t="str">
        <f t="shared" si="10"/>
        <v/>
      </c>
      <c r="K123" s="162" t="str">
        <f t="shared" si="11"/>
        <v/>
      </c>
    </row>
    <row r="124" spans="1:11" ht="14">
      <c r="A124" s="43"/>
      <c r="B124" s="44" t="s">
        <v>101</v>
      </c>
      <c r="C124" s="9" t="s">
        <v>13</v>
      </c>
      <c r="D124" s="262"/>
      <c r="E124" s="163" t="str">
        <f t="shared" si="8"/>
        <v/>
      </c>
      <c r="F124" s="164" t="str">
        <f t="shared" si="9"/>
        <v/>
      </c>
      <c r="G124" s="310">
        <f t="shared" si="7"/>
        <v>453</v>
      </c>
      <c r="H124" s="161"/>
      <c r="I124" s="161"/>
      <c r="J124" s="162" t="str">
        <f t="shared" si="10"/>
        <v/>
      </c>
      <c r="K124" s="162" t="str">
        <f t="shared" si="11"/>
        <v/>
      </c>
    </row>
    <row r="125" spans="1:11" ht="14">
      <c r="A125" s="43"/>
      <c r="B125" s="44" t="s">
        <v>266</v>
      </c>
      <c r="C125" s="9" t="s">
        <v>13</v>
      </c>
      <c r="D125" s="262"/>
      <c r="E125" s="163" t="str">
        <f t="shared" si="8"/>
        <v/>
      </c>
      <c r="F125" s="164" t="str">
        <f t="shared" si="9"/>
        <v/>
      </c>
      <c r="G125" s="310">
        <f t="shared" si="7"/>
        <v>454</v>
      </c>
      <c r="H125" s="161"/>
      <c r="I125" s="161"/>
      <c r="J125" s="162" t="str">
        <f t="shared" si="10"/>
        <v/>
      </c>
      <c r="K125" s="162" t="str">
        <f t="shared" si="11"/>
        <v/>
      </c>
    </row>
    <row r="126" spans="1:11" ht="14">
      <c r="A126" s="43"/>
      <c r="B126" s="44" t="s">
        <v>276</v>
      </c>
      <c r="C126" s="9" t="s">
        <v>13</v>
      </c>
      <c r="D126" s="262"/>
      <c r="E126" s="163" t="str">
        <f t="shared" si="8"/>
        <v/>
      </c>
      <c r="F126" s="164" t="str">
        <f t="shared" si="9"/>
        <v/>
      </c>
      <c r="G126" s="310">
        <f t="shared" si="7"/>
        <v>455</v>
      </c>
      <c r="H126" s="161"/>
      <c r="I126" s="161"/>
      <c r="J126" s="162" t="str">
        <f t="shared" si="10"/>
        <v/>
      </c>
      <c r="K126" s="162" t="str">
        <f t="shared" si="11"/>
        <v/>
      </c>
    </row>
    <row r="127" spans="1:11" ht="14">
      <c r="A127" s="43"/>
      <c r="B127" s="44" t="s">
        <v>277</v>
      </c>
      <c r="C127" s="9" t="s">
        <v>13</v>
      </c>
      <c r="D127" s="262"/>
      <c r="E127" s="163" t="str">
        <f t="shared" si="8"/>
        <v/>
      </c>
      <c r="F127" s="164" t="str">
        <f t="shared" si="9"/>
        <v/>
      </c>
      <c r="G127" s="310">
        <f t="shared" si="7"/>
        <v>456</v>
      </c>
      <c r="H127" s="161"/>
      <c r="I127" s="161"/>
      <c r="J127" s="162" t="str">
        <f t="shared" si="10"/>
        <v/>
      </c>
      <c r="K127" s="162" t="str">
        <f t="shared" si="11"/>
        <v/>
      </c>
    </row>
    <row r="128" spans="1:11" ht="14">
      <c r="A128" s="43"/>
      <c r="B128" s="44"/>
      <c r="C128" s="9"/>
      <c r="D128" s="262"/>
      <c r="E128" s="163" t="str">
        <f t="shared" si="8"/>
        <v/>
      </c>
      <c r="F128" s="164" t="str">
        <f t="shared" si="9"/>
        <v/>
      </c>
      <c r="G128" s="310">
        <f t="shared" si="7"/>
        <v>457</v>
      </c>
      <c r="H128" s="161"/>
      <c r="I128" s="161"/>
      <c r="J128" s="162" t="str">
        <f t="shared" si="10"/>
        <v/>
      </c>
      <c r="K128" s="162" t="str">
        <f t="shared" si="11"/>
        <v/>
      </c>
    </row>
    <row r="129" spans="1:24" ht="14">
      <c r="A129" s="43"/>
      <c r="B129" s="44" t="s">
        <v>446</v>
      </c>
      <c r="C129" s="9" t="s">
        <v>1</v>
      </c>
      <c r="D129" s="262"/>
      <c r="E129" s="163" t="str">
        <f t="shared" si="8"/>
        <v/>
      </c>
      <c r="F129" s="164" t="str">
        <f t="shared" si="9"/>
        <v/>
      </c>
      <c r="G129" s="310">
        <f t="shared" si="7"/>
        <v>458</v>
      </c>
      <c r="H129" s="161"/>
      <c r="I129" s="161"/>
      <c r="J129" s="162" t="str">
        <f t="shared" si="10"/>
        <v/>
      </c>
      <c r="K129" s="162" t="str">
        <f t="shared" si="11"/>
        <v/>
      </c>
    </row>
    <row r="130" spans="1:24" ht="14">
      <c r="A130" s="43"/>
      <c r="B130" s="44" t="s">
        <v>167</v>
      </c>
      <c r="C130" s="9" t="s">
        <v>13</v>
      </c>
      <c r="D130" s="262">
        <v>1</v>
      </c>
      <c r="E130" s="163">
        <f t="shared" si="8"/>
        <v>0</v>
      </c>
      <c r="F130" s="164">
        <f t="shared" si="9"/>
        <v>0</v>
      </c>
      <c r="G130" s="310">
        <f t="shared" si="7"/>
        <v>459</v>
      </c>
      <c r="H130" s="161"/>
      <c r="I130" s="161"/>
      <c r="J130" s="162">
        <f t="shared" si="10"/>
        <v>0</v>
      </c>
      <c r="K130" s="162">
        <f t="shared" si="11"/>
        <v>0</v>
      </c>
    </row>
    <row r="131" spans="1:24" ht="14">
      <c r="A131" s="43"/>
      <c r="B131" s="44"/>
      <c r="C131" s="9"/>
      <c r="D131" s="262"/>
      <c r="E131" s="163" t="str">
        <f t="shared" si="8"/>
        <v/>
      </c>
      <c r="F131" s="164" t="str">
        <f t="shared" si="9"/>
        <v/>
      </c>
      <c r="G131" s="310">
        <f t="shared" si="7"/>
        <v>460</v>
      </c>
      <c r="H131" s="161"/>
      <c r="I131" s="161"/>
      <c r="J131" s="162" t="str">
        <f t="shared" si="10"/>
        <v/>
      </c>
      <c r="K131" s="162" t="str">
        <f t="shared" si="11"/>
        <v/>
      </c>
    </row>
    <row r="132" spans="1:24" ht="14">
      <c r="A132" s="2"/>
      <c r="B132" s="132" t="s">
        <v>444</v>
      </c>
      <c r="C132" s="9" t="s">
        <v>13</v>
      </c>
      <c r="D132" s="262"/>
      <c r="E132" s="163" t="str">
        <f t="shared" si="8"/>
        <v/>
      </c>
      <c r="F132" s="164" t="str">
        <f t="shared" si="9"/>
        <v/>
      </c>
      <c r="G132" s="310">
        <f t="shared" si="7"/>
        <v>461</v>
      </c>
      <c r="H132" s="161"/>
      <c r="I132" s="161"/>
      <c r="J132" s="162" t="str">
        <f t="shared" si="10"/>
        <v/>
      </c>
      <c r="K132" s="162" t="str">
        <f t="shared" si="11"/>
        <v/>
      </c>
    </row>
    <row r="133" spans="1:24" ht="14">
      <c r="A133" s="2"/>
      <c r="B133" s="132" t="s">
        <v>445</v>
      </c>
      <c r="C133" s="9" t="s">
        <v>13</v>
      </c>
      <c r="D133" s="262"/>
      <c r="E133" s="163" t="str">
        <f t="shared" si="8"/>
        <v/>
      </c>
      <c r="F133" s="164" t="str">
        <f t="shared" si="9"/>
        <v/>
      </c>
      <c r="G133" s="310">
        <f t="shared" si="7"/>
        <v>462</v>
      </c>
      <c r="H133" s="161"/>
      <c r="I133" s="161"/>
      <c r="J133" s="162" t="str">
        <f t="shared" si="10"/>
        <v/>
      </c>
      <c r="K133" s="162" t="str">
        <f t="shared" si="11"/>
        <v/>
      </c>
    </row>
    <row r="134" spans="1:24" ht="14">
      <c r="A134" s="2"/>
      <c r="B134" s="132" t="s">
        <v>443</v>
      </c>
      <c r="C134" s="9" t="s">
        <v>13</v>
      </c>
      <c r="D134" s="262"/>
      <c r="E134" s="163" t="str">
        <f t="shared" si="8"/>
        <v/>
      </c>
      <c r="F134" s="164" t="str">
        <f t="shared" si="9"/>
        <v/>
      </c>
      <c r="G134" s="310">
        <f t="shared" si="7"/>
        <v>463</v>
      </c>
      <c r="H134" s="161"/>
      <c r="I134" s="161"/>
      <c r="J134" s="162" t="str">
        <f t="shared" si="10"/>
        <v/>
      </c>
      <c r="K134" s="162" t="str">
        <f t="shared" si="11"/>
        <v/>
      </c>
    </row>
    <row r="135" spans="1:24" ht="14">
      <c r="A135" s="2"/>
      <c r="B135" s="132" t="s">
        <v>264</v>
      </c>
      <c r="C135" s="9" t="s">
        <v>13</v>
      </c>
      <c r="D135" s="262">
        <v>6</v>
      </c>
      <c r="E135" s="163">
        <f t="shared" si="8"/>
        <v>0</v>
      </c>
      <c r="F135" s="164">
        <f t="shared" si="9"/>
        <v>0</v>
      </c>
      <c r="G135" s="310">
        <f t="shared" si="7"/>
        <v>464</v>
      </c>
      <c r="H135" s="161"/>
      <c r="I135" s="161"/>
      <c r="J135" s="162">
        <f t="shared" si="10"/>
        <v>0</v>
      </c>
      <c r="K135" s="162">
        <f t="shared" si="11"/>
        <v>0</v>
      </c>
    </row>
    <row r="136" spans="1:24" ht="14">
      <c r="A136" s="2"/>
      <c r="B136" s="132" t="s">
        <v>265</v>
      </c>
      <c r="C136" s="9" t="s">
        <v>13</v>
      </c>
      <c r="D136" s="262">
        <v>6</v>
      </c>
      <c r="E136" s="163">
        <f t="shared" si="8"/>
        <v>0</v>
      </c>
      <c r="F136" s="164">
        <f t="shared" si="9"/>
        <v>0</v>
      </c>
      <c r="G136" s="310">
        <f t="shared" si="7"/>
        <v>465</v>
      </c>
      <c r="H136" s="161"/>
      <c r="I136" s="161"/>
      <c r="J136" s="162">
        <f t="shared" si="10"/>
        <v>0</v>
      </c>
      <c r="K136" s="162">
        <f t="shared" si="11"/>
        <v>0</v>
      </c>
    </row>
    <row r="137" spans="1:24" ht="14">
      <c r="A137" s="2"/>
      <c r="B137" s="44"/>
      <c r="C137" s="9"/>
      <c r="D137" s="262"/>
      <c r="E137" s="163" t="str">
        <f t="shared" si="8"/>
        <v/>
      </c>
      <c r="F137" s="164" t="str">
        <f t="shared" si="9"/>
        <v/>
      </c>
      <c r="G137" s="310">
        <f t="shared" si="7"/>
        <v>466</v>
      </c>
      <c r="H137" s="161"/>
      <c r="I137" s="161"/>
      <c r="J137" s="162" t="str">
        <f t="shared" si="10"/>
        <v/>
      </c>
      <c r="K137" s="162" t="str">
        <f t="shared" si="11"/>
        <v/>
      </c>
    </row>
    <row r="138" spans="1:24" ht="14">
      <c r="A138" s="2"/>
      <c r="B138" s="44" t="s">
        <v>166</v>
      </c>
      <c r="C138" s="9" t="s">
        <v>13</v>
      </c>
      <c r="D138" s="262">
        <v>1</v>
      </c>
      <c r="E138" s="163">
        <f t="shared" si="8"/>
        <v>0</v>
      </c>
      <c r="F138" s="164">
        <f t="shared" si="9"/>
        <v>0</v>
      </c>
      <c r="G138" s="310">
        <f t="shared" si="7"/>
        <v>467</v>
      </c>
      <c r="H138" s="161"/>
      <c r="I138" s="161"/>
      <c r="J138" s="162">
        <f t="shared" si="10"/>
        <v>0</v>
      </c>
      <c r="K138" s="162">
        <f t="shared" si="11"/>
        <v>0</v>
      </c>
    </row>
    <row r="139" spans="1:24" ht="14">
      <c r="A139" s="2"/>
      <c r="B139" s="44"/>
      <c r="C139" s="9"/>
      <c r="D139" s="262"/>
      <c r="E139" s="163" t="str">
        <f t="shared" si="8"/>
        <v/>
      </c>
      <c r="F139" s="164" t="str">
        <f t="shared" si="9"/>
        <v/>
      </c>
      <c r="G139" s="310">
        <f t="shared" si="7"/>
        <v>468</v>
      </c>
      <c r="H139" s="161"/>
      <c r="I139" s="161"/>
      <c r="J139" s="162" t="str">
        <f t="shared" si="10"/>
        <v/>
      </c>
      <c r="K139" s="162" t="str">
        <f t="shared" si="11"/>
        <v/>
      </c>
    </row>
    <row r="140" spans="1:24" ht="14">
      <c r="A140" s="2"/>
      <c r="B140" s="39" t="s">
        <v>164</v>
      </c>
      <c r="C140" s="9"/>
      <c r="D140" s="262"/>
      <c r="E140" s="163" t="str">
        <f t="shared" si="8"/>
        <v/>
      </c>
      <c r="F140" s="164" t="str">
        <f t="shared" si="9"/>
        <v/>
      </c>
      <c r="G140" s="310">
        <f t="shared" si="7"/>
        <v>469</v>
      </c>
      <c r="H140" s="161"/>
      <c r="I140" s="161"/>
      <c r="J140" s="162" t="str">
        <f t="shared" si="10"/>
        <v/>
      </c>
      <c r="K140" s="162" t="str">
        <f t="shared" si="11"/>
        <v/>
      </c>
    </row>
    <row r="141" spans="1:24" ht="14">
      <c r="A141" s="2"/>
      <c r="B141" s="39" t="s">
        <v>165</v>
      </c>
      <c r="C141" s="27" t="s">
        <v>12</v>
      </c>
      <c r="D141" s="262">
        <f>D25</f>
        <v>14</v>
      </c>
      <c r="E141" s="163">
        <f t="shared" si="8"/>
        <v>0</v>
      </c>
      <c r="F141" s="164">
        <f t="shared" si="9"/>
        <v>0</v>
      </c>
      <c r="G141" s="310">
        <f t="shared" si="7"/>
        <v>470</v>
      </c>
      <c r="H141" s="161"/>
      <c r="I141" s="161"/>
      <c r="J141" s="162">
        <f t="shared" si="10"/>
        <v>0</v>
      </c>
      <c r="K141" s="162">
        <f t="shared" si="11"/>
        <v>0</v>
      </c>
    </row>
    <row r="142" spans="1:24" ht="14">
      <c r="A142" s="19"/>
      <c r="B142" s="38"/>
      <c r="C142" s="9"/>
      <c r="D142" s="262"/>
      <c r="E142" s="163" t="str">
        <f t="shared" si="8"/>
        <v/>
      </c>
      <c r="F142" s="164" t="str">
        <f t="shared" si="9"/>
        <v/>
      </c>
      <c r="G142" s="310">
        <f t="shared" si="7"/>
        <v>471</v>
      </c>
      <c r="H142" s="161"/>
      <c r="I142" s="161"/>
      <c r="J142" s="162" t="str">
        <f t="shared" si="10"/>
        <v/>
      </c>
      <c r="K142" s="162" t="str">
        <f t="shared" si="11"/>
        <v/>
      </c>
      <c r="X142" s="32"/>
    </row>
    <row r="143" spans="1:24" s="5" customFormat="1" ht="14">
      <c r="A143" s="2"/>
      <c r="B143" s="73" t="s">
        <v>274</v>
      </c>
      <c r="C143" s="72"/>
      <c r="D143" s="262"/>
      <c r="E143" s="163" t="str">
        <f t="shared" si="8"/>
        <v/>
      </c>
      <c r="F143" s="164" t="str">
        <f t="shared" si="9"/>
        <v/>
      </c>
      <c r="G143" s="310">
        <f t="shared" si="7"/>
        <v>472</v>
      </c>
      <c r="H143" s="161"/>
      <c r="I143" s="161"/>
      <c r="J143" s="162" t="str">
        <f t="shared" si="10"/>
        <v/>
      </c>
      <c r="K143" s="162" t="str">
        <f t="shared" si="11"/>
        <v/>
      </c>
      <c r="L143" s="269"/>
      <c r="X143" s="36"/>
    </row>
    <row r="144" spans="1:24" s="5" customFormat="1" ht="14">
      <c r="A144" s="2"/>
      <c r="B144" s="127"/>
      <c r="C144" s="9"/>
      <c r="D144" s="262"/>
      <c r="E144" s="163" t="str">
        <f t="shared" si="8"/>
        <v/>
      </c>
      <c r="F144" s="164" t="str">
        <f t="shared" si="9"/>
        <v/>
      </c>
      <c r="G144" s="310">
        <f t="shared" si="7"/>
        <v>473</v>
      </c>
      <c r="H144" s="161"/>
      <c r="I144" s="161"/>
      <c r="J144" s="162" t="str">
        <f t="shared" si="10"/>
        <v/>
      </c>
      <c r="K144" s="162" t="str">
        <f t="shared" si="11"/>
        <v/>
      </c>
      <c r="L144" s="269"/>
      <c r="X144" s="36"/>
    </row>
    <row r="145" spans="1:24" s="5" customFormat="1" ht="14">
      <c r="A145" s="2" t="s">
        <v>261</v>
      </c>
      <c r="B145" s="39" t="s">
        <v>235</v>
      </c>
      <c r="C145" s="9"/>
      <c r="D145" s="262"/>
      <c r="E145" s="163" t="str">
        <f t="shared" si="8"/>
        <v/>
      </c>
      <c r="F145" s="164" t="str">
        <f t="shared" si="9"/>
        <v/>
      </c>
      <c r="G145" s="310">
        <f t="shared" si="7"/>
        <v>474</v>
      </c>
      <c r="H145" s="161"/>
      <c r="I145" s="161"/>
      <c r="J145" s="162" t="str">
        <f t="shared" si="10"/>
        <v/>
      </c>
      <c r="K145" s="162" t="str">
        <f t="shared" si="11"/>
        <v/>
      </c>
      <c r="L145" s="269"/>
      <c r="X145" s="36"/>
    </row>
    <row r="146" spans="1:24" s="5" customFormat="1" ht="14">
      <c r="A146" s="2"/>
      <c r="B146" s="40"/>
      <c r="C146" s="9"/>
      <c r="D146" s="262"/>
      <c r="E146" s="163" t="str">
        <f t="shared" si="8"/>
        <v/>
      </c>
      <c r="F146" s="164" t="str">
        <f t="shared" si="9"/>
        <v/>
      </c>
      <c r="G146" s="310">
        <f t="shared" ref="G146:G209" si="12">G145+1</f>
        <v>475</v>
      </c>
      <c r="H146" s="161"/>
      <c r="I146" s="161"/>
      <c r="J146" s="162" t="str">
        <f t="shared" si="10"/>
        <v/>
      </c>
      <c r="K146" s="162" t="str">
        <f t="shared" si="11"/>
        <v/>
      </c>
      <c r="L146" s="269"/>
      <c r="X146" s="36"/>
    </row>
    <row r="147" spans="1:24" s="5" customFormat="1" ht="14">
      <c r="A147" s="2"/>
      <c r="B147" s="131" t="s">
        <v>262</v>
      </c>
      <c r="C147" s="9"/>
      <c r="D147" s="262"/>
      <c r="E147" s="163" t="str">
        <f t="shared" si="8"/>
        <v/>
      </c>
      <c r="F147" s="164" t="str">
        <f t="shared" si="9"/>
        <v/>
      </c>
      <c r="G147" s="310">
        <f t="shared" si="12"/>
        <v>476</v>
      </c>
      <c r="H147" s="161"/>
      <c r="I147" s="161"/>
      <c r="J147" s="162" t="str">
        <f t="shared" si="10"/>
        <v/>
      </c>
      <c r="K147" s="162" t="str">
        <f t="shared" si="11"/>
        <v/>
      </c>
      <c r="L147" s="269"/>
      <c r="X147" s="36"/>
    </row>
    <row r="148" spans="1:24" s="5" customFormat="1" ht="14">
      <c r="A148" s="43"/>
      <c r="B148" s="44" t="s">
        <v>52</v>
      </c>
      <c r="C148" s="9" t="s">
        <v>13</v>
      </c>
      <c r="D148" s="275">
        <v>6.1338582677165352</v>
      </c>
      <c r="E148" s="163">
        <f t="shared" si="8"/>
        <v>0</v>
      </c>
      <c r="F148" s="164">
        <f t="shared" si="9"/>
        <v>0</v>
      </c>
      <c r="G148" s="310">
        <f t="shared" si="12"/>
        <v>477</v>
      </c>
      <c r="H148" s="161"/>
      <c r="I148" s="161"/>
      <c r="J148" s="162">
        <f t="shared" si="10"/>
        <v>0</v>
      </c>
      <c r="K148" s="162">
        <f t="shared" si="11"/>
        <v>0</v>
      </c>
      <c r="L148" s="269"/>
      <c r="X148" s="36"/>
    </row>
    <row r="149" spans="1:24" s="5" customFormat="1" ht="14">
      <c r="A149" s="43"/>
      <c r="B149" s="44" t="s">
        <v>269</v>
      </c>
      <c r="C149" s="9" t="s">
        <v>13</v>
      </c>
      <c r="D149" s="262">
        <v>0.9</v>
      </c>
      <c r="E149" s="163">
        <f t="shared" si="8"/>
        <v>0</v>
      </c>
      <c r="F149" s="164">
        <f t="shared" si="9"/>
        <v>0</v>
      </c>
      <c r="G149" s="310">
        <f t="shared" si="12"/>
        <v>478</v>
      </c>
      <c r="H149" s="161"/>
      <c r="I149" s="161"/>
      <c r="J149" s="162">
        <f t="shared" si="10"/>
        <v>0</v>
      </c>
      <c r="K149" s="162">
        <f t="shared" si="11"/>
        <v>0</v>
      </c>
      <c r="L149" s="269"/>
      <c r="X149" s="36"/>
    </row>
    <row r="150" spans="1:24" s="5" customFormat="1" ht="14">
      <c r="A150" s="43"/>
      <c r="B150" s="44" t="s">
        <v>53</v>
      </c>
      <c r="C150" s="9" t="s">
        <v>13</v>
      </c>
      <c r="D150" s="275">
        <v>0.952380952380952</v>
      </c>
      <c r="E150" s="163">
        <f t="shared" si="8"/>
        <v>0</v>
      </c>
      <c r="F150" s="164">
        <f t="shared" si="9"/>
        <v>0</v>
      </c>
      <c r="G150" s="310">
        <f t="shared" si="12"/>
        <v>479</v>
      </c>
      <c r="H150" s="161"/>
      <c r="I150" s="161"/>
      <c r="J150" s="162">
        <f t="shared" si="10"/>
        <v>0</v>
      </c>
      <c r="K150" s="162">
        <f t="shared" si="11"/>
        <v>0</v>
      </c>
      <c r="L150" s="269"/>
      <c r="X150" s="36"/>
    </row>
    <row r="151" spans="1:24" s="5" customFormat="1" ht="14">
      <c r="A151" s="2"/>
      <c r="B151" s="44" t="s">
        <v>72</v>
      </c>
      <c r="C151" s="9" t="s">
        <v>13</v>
      </c>
      <c r="D151" s="262">
        <v>1</v>
      </c>
      <c r="E151" s="163">
        <f t="shared" si="8"/>
        <v>0</v>
      </c>
      <c r="F151" s="164">
        <f t="shared" si="9"/>
        <v>0</v>
      </c>
      <c r="G151" s="310">
        <f t="shared" si="12"/>
        <v>480</v>
      </c>
      <c r="H151" s="161"/>
      <c r="I151" s="161"/>
      <c r="J151" s="162">
        <f t="shared" si="10"/>
        <v>0</v>
      </c>
      <c r="K151" s="162">
        <f t="shared" si="11"/>
        <v>0</v>
      </c>
      <c r="L151" s="269"/>
      <c r="X151" s="36"/>
    </row>
    <row r="152" spans="1:24" s="5" customFormat="1" ht="14">
      <c r="A152" s="2"/>
      <c r="B152" s="44" t="s">
        <v>275</v>
      </c>
      <c r="C152" s="9" t="s">
        <v>13</v>
      </c>
      <c r="D152" s="262">
        <v>2</v>
      </c>
      <c r="E152" s="163">
        <f t="shared" si="8"/>
        <v>0</v>
      </c>
      <c r="F152" s="164">
        <f t="shared" si="9"/>
        <v>0</v>
      </c>
      <c r="G152" s="310">
        <f t="shared" si="12"/>
        <v>481</v>
      </c>
      <c r="H152" s="161"/>
      <c r="I152" s="161"/>
      <c r="J152" s="162">
        <f t="shared" si="10"/>
        <v>0</v>
      </c>
      <c r="K152" s="162">
        <f t="shared" si="11"/>
        <v>0</v>
      </c>
      <c r="L152" s="269"/>
      <c r="X152" s="36"/>
    </row>
    <row r="153" spans="1:24" s="5" customFormat="1" ht="14">
      <c r="A153" s="43"/>
      <c r="B153" s="44" t="s">
        <v>447</v>
      </c>
      <c r="C153" s="9" t="s">
        <v>13</v>
      </c>
      <c r="D153" s="262">
        <v>1</v>
      </c>
      <c r="E153" s="163">
        <f t="shared" ref="E153:E183" si="13">IF(D153="","",(((J153*$K$2)+(K153*$I$2*$I$3))*$K$3)/D153)</f>
        <v>0</v>
      </c>
      <c r="F153" s="164">
        <f t="shared" ref="F153:F183" si="14">IF(D153="","",D153*E153)</f>
        <v>0</v>
      </c>
      <c r="G153" s="310">
        <f t="shared" si="12"/>
        <v>482</v>
      </c>
      <c r="H153" s="161"/>
      <c r="I153" s="161"/>
      <c r="J153" s="162">
        <f t="shared" ref="J153:J183" si="15">IF(D153="","",H153*D153)</f>
        <v>0</v>
      </c>
      <c r="K153" s="162">
        <f t="shared" ref="K153:K183" si="16">IF(D153="","",D153*I153)</f>
        <v>0</v>
      </c>
      <c r="L153" s="269"/>
      <c r="X153" s="36"/>
    </row>
    <row r="154" spans="1:24" s="5" customFormat="1" ht="14">
      <c r="A154" s="43"/>
      <c r="B154" s="44"/>
      <c r="C154" s="9"/>
      <c r="D154" s="262"/>
      <c r="E154" s="163" t="str">
        <f t="shared" si="13"/>
        <v/>
      </c>
      <c r="F154" s="164" t="str">
        <f t="shared" si="14"/>
        <v/>
      </c>
      <c r="G154" s="310">
        <f t="shared" si="12"/>
        <v>483</v>
      </c>
      <c r="H154" s="161"/>
      <c r="I154" s="161"/>
      <c r="J154" s="162" t="str">
        <f t="shared" si="15"/>
        <v/>
      </c>
      <c r="K154" s="162" t="str">
        <f t="shared" si="16"/>
        <v/>
      </c>
      <c r="L154" s="269"/>
      <c r="X154" s="36"/>
    </row>
    <row r="155" spans="1:24" s="5" customFormat="1" ht="14">
      <c r="A155" s="43"/>
      <c r="B155" s="44" t="s">
        <v>54</v>
      </c>
      <c r="C155" s="9" t="s">
        <v>13</v>
      </c>
      <c r="D155" s="262">
        <f>12+5+1-2</f>
        <v>16</v>
      </c>
      <c r="E155" s="163">
        <f t="shared" si="13"/>
        <v>0</v>
      </c>
      <c r="F155" s="164">
        <f t="shared" si="14"/>
        <v>0</v>
      </c>
      <c r="G155" s="310">
        <f t="shared" si="12"/>
        <v>484</v>
      </c>
      <c r="H155" s="161"/>
      <c r="I155" s="161"/>
      <c r="J155" s="162">
        <f t="shared" si="15"/>
        <v>0</v>
      </c>
      <c r="K155" s="162">
        <f t="shared" si="16"/>
        <v>0</v>
      </c>
      <c r="L155" s="269"/>
      <c r="X155" s="36"/>
    </row>
    <row r="156" spans="1:24" s="5" customFormat="1" ht="14">
      <c r="A156" s="43"/>
      <c r="B156" s="44" t="s">
        <v>55</v>
      </c>
      <c r="C156" s="9" t="s">
        <v>13</v>
      </c>
      <c r="D156" s="262">
        <v>6</v>
      </c>
      <c r="E156" s="163">
        <f t="shared" si="13"/>
        <v>0</v>
      </c>
      <c r="F156" s="164">
        <f t="shared" si="14"/>
        <v>0</v>
      </c>
      <c r="G156" s="310">
        <f t="shared" si="12"/>
        <v>485</v>
      </c>
      <c r="H156" s="161"/>
      <c r="I156" s="161"/>
      <c r="J156" s="162">
        <f t="shared" si="15"/>
        <v>0</v>
      </c>
      <c r="K156" s="162">
        <f t="shared" si="16"/>
        <v>0</v>
      </c>
      <c r="L156" s="269"/>
      <c r="X156" s="36"/>
    </row>
    <row r="157" spans="1:24" s="5" customFormat="1" ht="14">
      <c r="A157" s="43"/>
      <c r="B157" s="44" t="s">
        <v>268</v>
      </c>
      <c r="C157" s="9" t="s">
        <v>13</v>
      </c>
      <c r="D157" s="262">
        <v>1</v>
      </c>
      <c r="E157" s="163">
        <f t="shared" si="13"/>
        <v>0</v>
      </c>
      <c r="F157" s="164">
        <f t="shared" si="14"/>
        <v>0</v>
      </c>
      <c r="G157" s="310">
        <f t="shared" si="12"/>
        <v>486</v>
      </c>
      <c r="H157" s="161"/>
      <c r="I157" s="161"/>
      <c r="J157" s="162">
        <f t="shared" si="15"/>
        <v>0</v>
      </c>
      <c r="K157" s="162">
        <f t="shared" si="16"/>
        <v>0</v>
      </c>
      <c r="L157" s="269"/>
      <c r="X157" s="36"/>
    </row>
    <row r="158" spans="1:24" s="5" customFormat="1" ht="14">
      <c r="A158" s="43"/>
      <c r="B158" s="44" t="s">
        <v>271</v>
      </c>
      <c r="C158" s="9" t="s">
        <v>13</v>
      </c>
      <c r="D158" s="262">
        <v>1</v>
      </c>
      <c r="E158" s="163">
        <f t="shared" si="13"/>
        <v>0</v>
      </c>
      <c r="F158" s="164">
        <f t="shared" si="14"/>
        <v>0</v>
      </c>
      <c r="G158" s="310">
        <f t="shared" si="12"/>
        <v>487</v>
      </c>
      <c r="H158" s="161"/>
      <c r="I158" s="161"/>
      <c r="J158" s="162">
        <f t="shared" si="15"/>
        <v>0</v>
      </c>
      <c r="K158" s="162">
        <f t="shared" si="16"/>
        <v>0</v>
      </c>
      <c r="L158" s="269"/>
      <c r="X158" s="36"/>
    </row>
    <row r="159" spans="1:24" s="5" customFormat="1" ht="14">
      <c r="A159" s="43"/>
      <c r="B159" s="44" t="s">
        <v>272</v>
      </c>
      <c r="C159" s="9" t="s">
        <v>13</v>
      </c>
      <c r="D159" s="262">
        <v>1</v>
      </c>
      <c r="E159" s="163">
        <f t="shared" si="13"/>
        <v>0</v>
      </c>
      <c r="F159" s="164">
        <f t="shared" si="14"/>
        <v>0</v>
      </c>
      <c r="G159" s="310">
        <f t="shared" si="12"/>
        <v>488</v>
      </c>
      <c r="H159" s="161"/>
      <c r="I159" s="161"/>
      <c r="J159" s="162">
        <f t="shared" si="15"/>
        <v>0</v>
      </c>
      <c r="K159" s="162">
        <f t="shared" si="16"/>
        <v>0</v>
      </c>
      <c r="L159" s="269"/>
      <c r="X159" s="36"/>
    </row>
    <row r="160" spans="1:24" s="5" customFormat="1" ht="14">
      <c r="A160" s="43"/>
      <c r="B160" s="44" t="s">
        <v>126</v>
      </c>
      <c r="C160" s="9" t="s">
        <v>13</v>
      </c>
      <c r="D160" s="262">
        <v>1</v>
      </c>
      <c r="E160" s="163">
        <f t="shared" si="13"/>
        <v>0</v>
      </c>
      <c r="F160" s="164">
        <f t="shared" si="14"/>
        <v>0</v>
      </c>
      <c r="G160" s="310">
        <f t="shared" si="12"/>
        <v>489</v>
      </c>
      <c r="H160" s="161"/>
      <c r="I160" s="161"/>
      <c r="J160" s="162">
        <f t="shared" si="15"/>
        <v>0</v>
      </c>
      <c r="K160" s="162">
        <f t="shared" si="16"/>
        <v>0</v>
      </c>
      <c r="L160" s="269"/>
      <c r="X160" s="36"/>
    </row>
    <row r="161" spans="1:24" s="5" customFormat="1" ht="14">
      <c r="A161" s="43"/>
      <c r="B161" s="44" t="s">
        <v>101</v>
      </c>
      <c r="C161" s="9" t="s">
        <v>13</v>
      </c>
      <c r="D161" s="262">
        <v>1</v>
      </c>
      <c r="E161" s="163">
        <f t="shared" si="13"/>
        <v>0</v>
      </c>
      <c r="F161" s="164">
        <f t="shared" si="14"/>
        <v>0</v>
      </c>
      <c r="G161" s="310">
        <f t="shared" si="12"/>
        <v>490</v>
      </c>
      <c r="H161" s="161"/>
      <c r="I161" s="161"/>
      <c r="J161" s="162">
        <f t="shared" si="15"/>
        <v>0</v>
      </c>
      <c r="K161" s="162">
        <f t="shared" si="16"/>
        <v>0</v>
      </c>
      <c r="L161" s="269"/>
      <c r="X161" s="36"/>
    </row>
    <row r="162" spans="1:24" s="5" customFormat="1" ht="14">
      <c r="A162" s="43"/>
      <c r="B162" s="44" t="s">
        <v>266</v>
      </c>
      <c r="C162" s="9" t="s">
        <v>13</v>
      </c>
      <c r="D162" s="262">
        <v>5</v>
      </c>
      <c r="E162" s="163">
        <f t="shared" si="13"/>
        <v>0</v>
      </c>
      <c r="F162" s="164">
        <f t="shared" si="14"/>
        <v>0</v>
      </c>
      <c r="G162" s="310">
        <f t="shared" si="12"/>
        <v>491</v>
      </c>
      <c r="H162" s="161"/>
      <c r="I162" s="161"/>
      <c r="J162" s="162">
        <f t="shared" si="15"/>
        <v>0</v>
      </c>
      <c r="K162" s="162">
        <f t="shared" si="16"/>
        <v>0</v>
      </c>
      <c r="L162" s="269"/>
      <c r="X162" s="36"/>
    </row>
    <row r="163" spans="1:24" s="5" customFormat="1" ht="14">
      <c r="A163" s="43"/>
      <c r="B163" s="44" t="s">
        <v>276</v>
      </c>
      <c r="C163" s="9" t="s">
        <v>13</v>
      </c>
      <c r="D163" s="262">
        <v>1</v>
      </c>
      <c r="E163" s="163">
        <f t="shared" si="13"/>
        <v>0</v>
      </c>
      <c r="F163" s="164">
        <f t="shared" si="14"/>
        <v>0</v>
      </c>
      <c r="G163" s="310">
        <f t="shared" si="12"/>
        <v>492</v>
      </c>
      <c r="H163" s="161"/>
      <c r="I163" s="161"/>
      <c r="J163" s="162">
        <f t="shared" si="15"/>
        <v>0</v>
      </c>
      <c r="K163" s="162">
        <f t="shared" si="16"/>
        <v>0</v>
      </c>
      <c r="L163" s="269"/>
      <c r="X163" s="36"/>
    </row>
    <row r="164" spans="1:24" s="5" customFormat="1" ht="14">
      <c r="A164" s="43"/>
      <c r="B164" s="44" t="s">
        <v>277</v>
      </c>
      <c r="C164" s="9" t="s">
        <v>13</v>
      </c>
      <c r="D164" s="262">
        <v>1</v>
      </c>
      <c r="E164" s="163">
        <f t="shared" si="13"/>
        <v>0</v>
      </c>
      <c r="F164" s="164">
        <f t="shared" si="14"/>
        <v>0</v>
      </c>
      <c r="G164" s="310">
        <f t="shared" si="12"/>
        <v>493</v>
      </c>
      <c r="H164" s="161"/>
      <c r="I164" s="161"/>
      <c r="J164" s="162">
        <f t="shared" si="15"/>
        <v>0</v>
      </c>
      <c r="K164" s="162">
        <f t="shared" si="16"/>
        <v>0</v>
      </c>
      <c r="L164" s="269"/>
      <c r="X164" s="36"/>
    </row>
    <row r="165" spans="1:24" s="5" customFormat="1" ht="14">
      <c r="A165" s="43"/>
      <c r="B165" s="44"/>
      <c r="C165" s="9"/>
      <c r="D165" s="262"/>
      <c r="E165" s="163" t="str">
        <f t="shared" si="13"/>
        <v/>
      </c>
      <c r="F165" s="164" t="str">
        <f t="shared" si="14"/>
        <v/>
      </c>
      <c r="G165" s="310">
        <f t="shared" si="12"/>
        <v>494</v>
      </c>
      <c r="H165" s="161"/>
      <c r="I165" s="161"/>
      <c r="J165" s="162" t="str">
        <f t="shared" si="15"/>
        <v/>
      </c>
      <c r="K165" s="162" t="str">
        <f t="shared" si="16"/>
        <v/>
      </c>
      <c r="L165" s="269"/>
      <c r="X165" s="36"/>
    </row>
    <row r="166" spans="1:24" s="5" customFormat="1" ht="14">
      <c r="A166" s="43"/>
      <c r="B166" s="131" t="s">
        <v>263</v>
      </c>
      <c r="C166" s="9"/>
      <c r="D166" s="262"/>
      <c r="E166" s="163" t="str">
        <f t="shared" si="13"/>
        <v/>
      </c>
      <c r="F166" s="164" t="str">
        <f t="shared" si="14"/>
        <v/>
      </c>
      <c r="G166" s="310">
        <f t="shared" si="12"/>
        <v>495</v>
      </c>
      <c r="H166" s="161"/>
      <c r="I166" s="161"/>
      <c r="J166" s="162" t="str">
        <f t="shared" si="15"/>
        <v/>
      </c>
      <c r="K166" s="162" t="str">
        <f t="shared" si="16"/>
        <v/>
      </c>
      <c r="L166" s="269"/>
      <c r="X166" s="36"/>
    </row>
    <row r="167" spans="1:24" s="5" customFormat="1" ht="14">
      <c r="A167" s="43"/>
      <c r="B167" s="44" t="s">
        <v>52</v>
      </c>
      <c r="C167" s="9" t="s">
        <v>13</v>
      </c>
      <c r="D167" s="262"/>
      <c r="E167" s="163" t="str">
        <f t="shared" si="13"/>
        <v/>
      </c>
      <c r="F167" s="164" t="str">
        <f t="shared" si="14"/>
        <v/>
      </c>
      <c r="G167" s="310">
        <f t="shared" si="12"/>
        <v>496</v>
      </c>
      <c r="H167" s="161"/>
      <c r="I167" s="161"/>
      <c r="J167" s="162" t="str">
        <f t="shared" si="15"/>
        <v/>
      </c>
      <c r="K167" s="162" t="str">
        <f t="shared" si="16"/>
        <v/>
      </c>
      <c r="L167" s="269"/>
      <c r="X167" s="36"/>
    </row>
    <row r="168" spans="1:24" s="5" customFormat="1" ht="14">
      <c r="A168" s="43"/>
      <c r="B168" s="44" t="s">
        <v>269</v>
      </c>
      <c r="C168" s="9" t="s">
        <v>13</v>
      </c>
      <c r="D168" s="262"/>
      <c r="E168" s="163" t="str">
        <f t="shared" si="13"/>
        <v/>
      </c>
      <c r="F168" s="164" t="str">
        <f t="shared" si="14"/>
        <v/>
      </c>
      <c r="G168" s="310">
        <f t="shared" si="12"/>
        <v>497</v>
      </c>
      <c r="H168" s="161"/>
      <c r="I168" s="161"/>
      <c r="J168" s="162" t="str">
        <f t="shared" si="15"/>
        <v/>
      </c>
      <c r="K168" s="162" t="str">
        <f t="shared" si="16"/>
        <v/>
      </c>
      <c r="L168" s="269"/>
      <c r="X168" s="36"/>
    </row>
    <row r="169" spans="1:24" s="5" customFormat="1" ht="14">
      <c r="A169" s="43"/>
      <c r="B169" s="44" t="s">
        <v>53</v>
      </c>
      <c r="C169" s="9" t="s">
        <v>13</v>
      </c>
      <c r="D169" s="262"/>
      <c r="E169" s="163" t="str">
        <f t="shared" si="13"/>
        <v/>
      </c>
      <c r="F169" s="164" t="str">
        <f t="shared" si="14"/>
        <v/>
      </c>
      <c r="G169" s="310">
        <f t="shared" si="12"/>
        <v>498</v>
      </c>
      <c r="H169" s="161"/>
      <c r="I169" s="161"/>
      <c r="J169" s="162" t="str">
        <f t="shared" si="15"/>
        <v/>
      </c>
      <c r="K169" s="162" t="str">
        <f t="shared" si="16"/>
        <v/>
      </c>
      <c r="L169" s="269"/>
      <c r="X169" s="36"/>
    </row>
    <row r="170" spans="1:24" s="5" customFormat="1" ht="14">
      <c r="A170" s="43"/>
      <c r="B170" s="44" t="s">
        <v>72</v>
      </c>
      <c r="C170" s="9" t="s">
        <v>13</v>
      </c>
      <c r="D170" s="262"/>
      <c r="E170" s="163" t="str">
        <f t="shared" si="13"/>
        <v/>
      </c>
      <c r="F170" s="164" t="str">
        <f t="shared" si="14"/>
        <v/>
      </c>
      <c r="G170" s="310">
        <f t="shared" si="12"/>
        <v>499</v>
      </c>
      <c r="H170" s="161"/>
      <c r="I170" s="161"/>
      <c r="J170" s="162" t="str">
        <f t="shared" si="15"/>
        <v/>
      </c>
      <c r="K170" s="162" t="str">
        <f t="shared" si="16"/>
        <v/>
      </c>
      <c r="L170" s="269"/>
      <c r="X170" s="36"/>
    </row>
    <row r="171" spans="1:24" s="5" customFormat="1" ht="14">
      <c r="A171" s="43"/>
      <c r="B171" s="44" t="s">
        <v>275</v>
      </c>
      <c r="C171" s="9" t="s">
        <v>13</v>
      </c>
      <c r="D171" s="262"/>
      <c r="E171" s="163" t="str">
        <f t="shared" si="13"/>
        <v/>
      </c>
      <c r="F171" s="164" t="str">
        <f t="shared" si="14"/>
        <v/>
      </c>
      <c r="G171" s="310">
        <f t="shared" si="12"/>
        <v>500</v>
      </c>
      <c r="H171" s="161"/>
      <c r="I171" s="161"/>
      <c r="J171" s="162" t="str">
        <f t="shared" si="15"/>
        <v/>
      </c>
      <c r="K171" s="162" t="str">
        <f t="shared" si="16"/>
        <v/>
      </c>
      <c r="L171" s="269"/>
      <c r="X171" s="36"/>
    </row>
    <row r="172" spans="1:24" s="5" customFormat="1" ht="14">
      <c r="A172" s="43"/>
      <c r="B172" s="44" t="s">
        <v>447</v>
      </c>
      <c r="C172" s="9" t="s">
        <v>13</v>
      </c>
      <c r="D172" s="262"/>
      <c r="E172" s="163" t="str">
        <f t="shared" si="13"/>
        <v/>
      </c>
      <c r="F172" s="164" t="str">
        <f t="shared" si="14"/>
        <v/>
      </c>
      <c r="G172" s="310">
        <f t="shared" si="12"/>
        <v>501</v>
      </c>
      <c r="H172" s="161"/>
      <c r="I172" s="161"/>
      <c r="J172" s="162" t="str">
        <f t="shared" si="15"/>
        <v/>
      </c>
      <c r="K172" s="162" t="str">
        <f t="shared" si="16"/>
        <v/>
      </c>
      <c r="L172" s="269"/>
      <c r="X172" s="36"/>
    </row>
    <row r="173" spans="1:24" s="5" customFormat="1" ht="14">
      <c r="A173" s="43"/>
      <c r="B173" s="44"/>
      <c r="C173" s="9"/>
      <c r="D173" s="262"/>
      <c r="E173" s="163" t="str">
        <f t="shared" si="13"/>
        <v/>
      </c>
      <c r="F173" s="164" t="str">
        <f t="shared" si="14"/>
        <v/>
      </c>
      <c r="G173" s="310">
        <f t="shared" si="12"/>
        <v>502</v>
      </c>
      <c r="H173" s="161"/>
      <c r="I173" s="161"/>
      <c r="J173" s="162" t="str">
        <f t="shared" si="15"/>
        <v/>
      </c>
      <c r="K173" s="162" t="str">
        <f t="shared" si="16"/>
        <v/>
      </c>
      <c r="L173" s="269"/>
      <c r="X173" s="36"/>
    </row>
    <row r="174" spans="1:24" s="5" customFormat="1" ht="14">
      <c r="A174" s="43"/>
      <c r="B174" s="44" t="s">
        <v>54</v>
      </c>
      <c r="C174" s="9" t="s">
        <v>13</v>
      </c>
      <c r="D174" s="262"/>
      <c r="E174" s="163" t="str">
        <f t="shared" si="13"/>
        <v/>
      </c>
      <c r="F174" s="164" t="str">
        <f t="shared" si="14"/>
        <v/>
      </c>
      <c r="G174" s="310">
        <f t="shared" si="12"/>
        <v>503</v>
      </c>
      <c r="H174" s="161"/>
      <c r="I174" s="161"/>
      <c r="J174" s="162" t="str">
        <f t="shared" si="15"/>
        <v/>
      </c>
      <c r="K174" s="162" t="str">
        <f t="shared" si="16"/>
        <v/>
      </c>
      <c r="L174" s="269"/>
      <c r="X174" s="36"/>
    </row>
    <row r="175" spans="1:24" s="5" customFormat="1" ht="14">
      <c r="A175" s="43"/>
      <c r="B175" s="44" t="s">
        <v>55</v>
      </c>
      <c r="C175" s="9" t="s">
        <v>13</v>
      </c>
      <c r="D175" s="262"/>
      <c r="E175" s="163" t="str">
        <f t="shared" si="13"/>
        <v/>
      </c>
      <c r="F175" s="164" t="str">
        <f t="shared" si="14"/>
        <v/>
      </c>
      <c r="G175" s="310">
        <f t="shared" si="12"/>
        <v>504</v>
      </c>
      <c r="H175" s="161"/>
      <c r="I175" s="161"/>
      <c r="J175" s="162" t="str">
        <f t="shared" si="15"/>
        <v/>
      </c>
      <c r="K175" s="162" t="str">
        <f t="shared" si="16"/>
        <v/>
      </c>
      <c r="L175" s="269"/>
      <c r="X175" s="36"/>
    </row>
    <row r="176" spans="1:24" s="5" customFormat="1" ht="14">
      <c r="A176" s="43"/>
      <c r="B176" s="44" t="s">
        <v>268</v>
      </c>
      <c r="C176" s="9" t="s">
        <v>13</v>
      </c>
      <c r="D176" s="262"/>
      <c r="E176" s="163" t="str">
        <f t="shared" si="13"/>
        <v/>
      </c>
      <c r="F176" s="164" t="str">
        <f t="shared" si="14"/>
        <v/>
      </c>
      <c r="G176" s="310">
        <f t="shared" si="12"/>
        <v>505</v>
      </c>
      <c r="H176" s="161"/>
      <c r="I176" s="161"/>
      <c r="J176" s="162" t="str">
        <f t="shared" si="15"/>
        <v/>
      </c>
      <c r="K176" s="162" t="str">
        <f t="shared" si="16"/>
        <v/>
      </c>
      <c r="L176" s="269"/>
      <c r="X176" s="36"/>
    </row>
    <row r="177" spans="1:24" s="5" customFormat="1" ht="14">
      <c r="A177" s="43"/>
      <c r="B177" s="44" t="s">
        <v>271</v>
      </c>
      <c r="C177" s="9" t="s">
        <v>13</v>
      </c>
      <c r="D177" s="262"/>
      <c r="E177" s="163" t="str">
        <f t="shared" si="13"/>
        <v/>
      </c>
      <c r="F177" s="164" t="str">
        <f t="shared" si="14"/>
        <v/>
      </c>
      <c r="G177" s="310">
        <f t="shared" si="12"/>
        <v>506</v>
      </c>
      <c r="H177" s="161"/>
      <c r="I177" s="161"/>
      <c r="J177" s="162" t="str">
        <f t="shared" si="15"/>
        <v/>
      </c>
      <c r="K177" s="162" t="str">
        <f t="shared" si="16"/>
        <v/>
      </c>
      <c r="L177" s="269"/>
      <c r="X177" s="36"/>
    </row>
    <row r="178" spans="1:24" s="5" customFormat="1" ht="14">
      <c r="A178" s="43"/>
      <c r="B178" s="44" t="s">
        <v>272</v>
      </c>
      <c r="C178" s="9" t="s">
        <v>13</v>
      </c>
      <c r="D178" s="262"/>
      <c r="E178" s="163" t="str">
        <f t="shared" si="13"/>
        <v/>
      </c>
      <c r="F178" s="164" t="str">
        <f t="shared" si="14"/>
        <v/>
      </c>
      <c r="G178" s="310">
        <f t="shared" si="12"/>
        <v>507</v>
      </c>
      <c r="H178" s="161"/>
      <c r="I178" s="161"/>
      <c r="J178" s="162" t="str">
        <f t="shared" si="15"/>
        <v/>
      </c>
      <c r="K178" s="162" t="str">
        <f t="shared" si="16"/>
        <v/>
      </c>
      <c r="L178" s="269"/>
      <c r="X178" s="36"/>
    </row>
    <row r="179" spans="1:24" s="5" customFormat="1" ht="14">
      <c r="A179" s="43"/>
      <c r="B179" s="44" t="s">
        <v>126</v>
      </c>
      <c r="C179" s="9" t="s">
        <v>13</v>
      </c>
      <c r="D179" s="262"/>
      <c r="E179" s="163" t="str">
        <f t="shared" si="13"/>
        <v/>
      </c>
      <c r="F179" s="164" t="str">
        <f t="shared" si="14"/>
        <v/>
      </c>
      <c r="G179" s="310">
        <f t="shared" si="12"/>
        <v>508</v>
      </c>
      <c r="H179" s="161"/>
      <c r="I179" s="161"/>
      <c r="J179" s="162" t="str">
        <f t="shared" si="15"/>
        <v/>
      </c>
      <c r="K179" s="162" t="str">
        <f t="shared" si="16"/>
        <v/>
      </c>
      <c r="L179" s="269"/>
      <c r="X179" s="36"/>
    </row>
    <row r="180" spans="1:24" s="5" customFormat="1" ht="14">
      <c r="A180" s="43"/>
      <c r="B180" s="44" t="s">
        <v>101</v>
      </c>
      <c r="C180" s="9" t="s">
        <v>13</v>
      </c>
      <c r="D180" s="262"/>
      <c r="E180" s="163" t="str">
        <f t="shared" si="13"/>
        <v/>
      </c>
      <c r="F180" s="164" t="str">
        <f t="shared" si="14"/>
        <v/>
      </c>
      <c r="G180" s="310">
        <f t="shared" si="12"/>
        <v>509</v>
      </c>
      <c r="H180" s="161"/>
      <c r="I180" s="161"/>
      <c r="J180" s="162" t="str">
        <f t="shared" si="15"/>
        <v/>
      </c>
      <c r="K180" s="162" t="str">
        <f t="shared" si="16"/>
        <v/>
      </c>
      <c r="L180" s="269"/>
      <c r="X180" s="36"/>
    </row>
    <row r="181" spans="1:24" s="5" customFormat="1" ht="14">
      <c r="A181" s="2"/>
      <c r="B181" s="44" t="s">
        <v>266</v>
      </c>
      <c r="C181" s="9" t="s">
        <v>13</v>
      </c>
      <c r="D181" s="262"/>
      <c r="E181" s="163" t="str">
        <f t="shared" si="13"/>
        <v/>
      </c>
      <c r="F181" s="164" t="str">
        <f t="shared" si="14"/>
        <v/>
      </c>
      <c r="G181" s="310">
        <f t="shared" si="12"/>
        <v>510</v>
      </c>
      <c r="H181" s="161"/>
      <c r="I181" s="161"/>
      <c r="J181" s="162" t="str">
        <f t="shared" si="15"/>
        <v/>
      </c>
      <c r="K181" s="162" t="str">
        <f t="shared" si="16"/>
        <v/>
      </c>
      <c r="L181" s="269"/>
      <c r="X181" s="36"/>
    </row>
    <row r="182" spans="1:24" s="5" customFormat="1" ht="14">
      <c r="A182" s="2"/>
      <c r="B182" s="44" t="s">
        <v>276</v>
      </c>
      <c r="C182" s="9" t="s">
        <v>13</v>
      </c>
      <c r="D182" s="262"/>
      <c r="E182" s="163" t="str">
        <f t="shared" si="13"/>
        <v/>
      </c>
      <c r="F182" s="164" t="str">
        <f t="shared" si="14"/>
        <v/>
      </c>
      <c r="G182" s="310">
        <f t="shared" si="12"/>
        <v>511</v>
      </c>
      <c r="H182" s="161"/>
      <c r="I182" s="161"/>
      <c r="J182" s="162" t="str">
        <f t="shared" si="15"/>
        <v/>
      </c>
      <c r="K182" s="162" t="str">
        <f t="shared" si="16"/>
        <v/>
      </c>
      <c r="L182" s="269"/>
      <c r="X182" s="36"/>
    </row>
    <row r="183" spans="1:24" s="5" customFormat="1" ht="14">
      <c r="A183" s="2"/>
      <c r="B183" s="44" t="s">
        <v>277</v>
      </c>
      <c r="C183" s="9" t="s">
        <v>13</v>
      </c>
      <c r="D183" s="262"/>
      <c r="E183" s="163" t="str">
        <f t="shared" si="13"/>
        <v/>
      </c>
      <c r="F183" s="164" t="str">
        <f t="shared" si="14"/>
        <v/>
      </c>
      <c r="G183" s="310">
        <f t="shared" si="12"/>
        <v>512</v>
      </c>
      <c r="H183" s="161"/>
      <c r="I183" s="161"/>
      <c r="J183" s="162" t="str">
        <f t="shared" si="15"/>
        <v/>
      </c>
      <c r="K183" s="162" t="str">
        <f t="shared" si="16"/>
        <v/>
      </c>
      <c r="L183" s="269"/>
      <c r="X183" s="36"/>
    </row>
    <row r="184" spans="1:24" s="5" customFormat="1" ht="14">
      <c r="A184" s="2"/>
      <c r="B184" s="44"/>
      <c r="C184" s="9"/>
      <c r="D184" s="262"/>
      <c r="E184" s="163" t="str">
        <f t="shared" ref="E184:E247" si="17">IF(D184="","",(((J184*$K$2)+(K184*$I$2*$I$3))*$K$3)/D184)</f>
        <v/>
      </c>
      <c r="F184" s="164" t="str">
        <f t="shared" ref="F184:F247" si="18">IF(D184="","",D184*E184)</f>
        <v/>
      </c>
      <c r="G184" s="310">
        <f t="shared" si="12"/>
        <v>513</v>
      </c>
      <c r="H184" s="161"/>
      <c r="I184" s="161"/>
      <c r="J184" s="162" t="str">
        <f t="shared" ref="J184:J247" si="19">IF(D184="","",H184*D184)</f>
        <v/>
      </c>
      <c r="K184" s="162" t="str">
        <f t="shared" ref="K184:K247" si="20">IF(D184="","",D184*I184)</f>
        <v/>
      </c>
      <c r="L184" s="269"/>
      <c r="X184" s="36"/>
    </row>
    <row r="185" spans="1:24" s="5" customFormat="1" ht="14">
      <c r="A185" s="2"/>
      <c r="B185" s="44" t="s">
        <v>446</v>
      </c>
      <c r="C185" s="9" t="s">
        <v>1</v>
      </c>
      <c r="D185" s="262"/>
      <c r="E185" s="163" t="str">
        <f t="shared" si="17"/>
        <v/>
      </c>
      <c r="F185" s="164" t="str">
        <f t="shared" si="18"/>
        <v/>
      </c>
      <c r="G185" s="310">
        <f t="shared" si="12"/>
        <v>514</v>
      </c>
      <c r="H185" s="161"/>
      <c r="I185" s="161"/>
      <c r="J185" s="162" t="str">
        <f t="shared" si="19"/>
        <v/>
      </c>
      <c r="K185" s="162" t="str">
        <f t="shared" si="20"/>
        <v/>
      </c>
      <c r="L185" s="269"/>
      <c r="X185" s="36"/>
    </row>
    <row r="186" spans="1:24" s="5" customFormat="1" ht="14">
      <c r="A186" s="2"/>
      <c r="B186" s="44" t="s">
        <v>167</v>
      </c>
      <c r="C186" s="9" t="s">
        <v>13</v>
      </c>
      <c r="D186" s="262">
        <v>1</v>
      </c>
      <c r="E186" s="163">
        <f t="shared" si="17"/>
        <v>0</v>
      </c>
      <c r="F186" s="164">
        <f t="shared" si="18"/>
        <v>0</v>
      </c>
      <c r="G186" s="310">
        <f t="shared" si="12"/>
        <v>515</v>
      </c>
      <c r="H186" s="161"/>
      <c r="I186" s="161"/>
      <c r="J186" s="162">
        <f t="shared" si="19"/>
        <v>0</v>
      </c>
      <c r="K186" s="162">
        <f t="shared" si="20"/>
        <v>0</v>
      </c>
      <c r="L186" s="269"/>
      <c r="X186" s="36"/>
    </row>
    <row r="187" spans="1:24" s="5" customFormat="1" ht="14">
      <c r="A187" s="2"/>
      <c r="B187" s="44"/>
      <c r="C187" s="9"/>
      <c r="D187" s="262"/>
      <c r="E187" s="163" t="str">
        <f t="shared" si="17"/>
        <v/>
      </c>
      <c r="F187" s="164" t="str">
        <f t="shared" si="18"/>
        <v/>
      </c>
      <c r="G187" s="310">
        <f t="shared" si="12"/>
        <v>516</v>
      </c>
      <c r="H187" s="161"/>
      <c r="I187" s="161"/>
      <c r="J187" s="162" t="str">
        <f t="shared" si="19"/>
        <v/>
      </c>
      <c r="K187" s="162" t="str">
        <f t="shared" si="20"/>
        <v/>
      </c>
      <c r="L187" s="269"/>
      <c r="X187" s="36"/>
    </row>
    <row r="188" spans="1:24" s="5" customFormat="1" ht="14">
      <c r="A188" s="2"/>
      <c r="B188" s="132" t="s">
        <v>444</v>
      </c>
      <c r="C188" s="9" t="s">
        <v>13</v>
      </c>
      <c r="D188" s="262">
        <v>0.94</v>
      </c>
      <c r="E188" s="163">
        <f t="shared" si="17"/>
        <v>0</v>
      </c>
      <c r="F188" s="164">
        <f t="shared" si="18"/>
        <v>0</v>
      </c>
      <c r="G188" s="310">
        <f t="shared" si="12"/>
        <v>517</v>
      </c>
      <c r="H188" s="161"/>
      <c r="I188" s="161"/>
      <c r="J188" s="162">
        <f t="shared" si="19"/>
        <v>0</v>
      </c>
      <c r="K188" s="162">
        <f t="shared" si="20"/>
        <v>0</v>
      </c>
      <c r="L188" s="269"/>
      <c r="X188" s="36"/>
    </row>
    <row r="189" spans="1:24" s="5" customFormat="1" ht="14">
      <c r="A189" s="2"/>
      <c r="B189" s="132" t="s">
        <v>445</v>
      </c>
      <c r="C189" s="9" t="s">
        <v>13</v>
      </c>
      <c r="D189" s="262"/>
      <c r="E189" s="163" t="str">
        <f t="shared" si="17"/>
        <v/>
      </c>
      <c r="F189" s="164" t="str">
        <f t="shared" si="18"/>
        <v/>
      </c>
      <c r="G189" s="310">
        <f t="shared" si="12"/>
        <v>518</v>
      </c>
      <c r="H189" s="161"/>
      <c r="I189" s="161"/>
      <c r="J189" s="162" t="str">
        <f t="shared" si="19"/>
        <v/>
      </c>
      <c r="K189" s="162" t="str">
        <f t="shared" si="20"/>
        <v/>
      </c>
      <c r="L189" s="269"/>
      <c r="X189" s="36"/>
    </row>
    <row r="190" spans="1:24" s="5" customFormat="1" ht="14">
      <c r="A190" s="2"/>
      <c r="B190" s="132" t="s">
        <v>443</v>
      </c>
      <c r="C190" s="9" t="s">
        <v>13</v>
      </c>
      <c r="D190" s="262">
        <f>19/29</f>
        <v>0.65517241379310343</v>
      </c>
      <c r="E190" s="163">
        <f t="shared" si="17"/>
        <v>0</v>
      </c>
      <c r="F190" s="164">
        <f t="shared" si="18"/>
        <v>0</v>
      </c>
      <c r="G190" s="310">
        <f t="shared" si="12"/>
        <v>519</v>
      </c>
      <c r="H190" s="161"/>
      <c r="I190" s="161"/>
      <c r="J190" s="162">
        <f t="shared" si="19"/>
        <v>0</v>
      </c>
      <c r="K190" s="162">
        <f t="shared" si="20"/>
        <v>0</v>
      </c>
      <c r="L190" s="269"/>
      <c r="X190" s="36"/>
    </row>
    <row r="191" spans="1:24" s="5" customFormat="1" ht="14">
      <c r="A191" s="2"/>
      <c r="B191" s="132" t="s">
        <v>264</v>
      </c>
      <c r="C191" s="9" t="s">
        <v>13</v>
      </c>
      <c r="D191" s="262">
        <v>10</v>
      </c>
      <c r="E191" s="163">
        <f t="shared" si="17"/>
        <v>0</v>
      </c>
      <c r="F191" s="164">
        <f t="shared" si="18"/>
        <v>0</v>
      </c>
      <c r="G191" s="310">
        <f t="shared" si="12"/>
        <v>520</v>
      </c>
      <c r="H191" s="161"/>
      <c r="I191" s="161"/>
      <c r="J191" s="162">
        <f t="shared" si="19"/>
        <v>0</v>
      </c>
      <c r="K191" s="162">
        <f t="shared" si="20"/>
        <v>0</v>
      </c>
      <c r="L191" s="269"/>
      <c r="X191" s="36"/>
    </row>
    <row r="192" spans="1:24" s="5" customFormat="1" ht="14">
      <c r="A192" s="2"/>
      <c r="B192" s="132" t="s">
        <v>265</v>
      </c>
      <c r="C192" s="9" t="s">
        <v>13</v>
      </c>
      <c r="D192" s="262">
        <v>10</v>
      </c>
      <c r="E192" s="163">
        <f t="shared" si="17"/>
        <v>0</v>
      </c>
      <c r="F192" s="164">
        <f t="shared" si="18"/>
        <v>0</v>
      </c>
      <c r="G192" s="310">
        <f t="shared" si="12"/>
        <v>521</v>
      </c>
      <c r="H192" s="161"/>
      <c r="I192" s="161"/>
      <c r="J192" s="162">
        <f t="shared" si="19"/>
        <v>0</v>
      </c>
      <c r="K192" s="162">
        <f t="shared" si="20"/>
        <v>0</v>
      </c>
      <c r="L192" s="269"/>
      <c r="X192" s="36"/>
    </row>
    <row r="193" spans="1:24" s="5" customFormat="1" ht="14">
      <c r="A193" s="2"/>
      <c r="B193" s="44"/>
      <c r="C193" s="9"/>
      <c r="D193" s="262"/>
      <c r="E193" s="163" t="str">
        <f t="shared" si="17"/>
        <v/>
      </c>
      <c r="F193" s="164" t="str">
        <f t="shared" si="18"/>
        <v/>
      </c>
      <c r="G193" s="310">
        <f t="shared" si="12"/>
        <v>522</v>
      </c>
      <c r="H193" s="161"/>
      <c r="I193" s="161"/>
      <c r="J193" s="162" t="str">
        <f t="shared" si="19"/>
        <v/>
      </c>
      <c r="K193" s="162" t="str">
        <f t="shared" si="20"/>
        <v/>
      </c>
      <c r="L193" s="269"/>
      <c r="X193" s="36"/>
    </row>
    <row r="194" spans="1:24" s="5" customFormat="1" ht="14">
      <c r="A194" s="2"/>
      <c r="B194" s="44" t="s">
        <v>166</v>
      </c>
      <c r="C194" s="9" t="s">
        <v>13</v>
      </c>
      <c r="D194" s="262"/>
      <c r="E194" s="163" t="str">
        <f t="shared" si="17"/>
        <v/>
      </c>
      <c r="F194" s="164" t="str">
        <f t="shared" si="18"/>
        <v/>
      </c>
      <c r="G194" s="310">
        <f t="shared" si="12"/>
        <v>523</v>
      </c>
      <c r="H194" s="161"/>
      <c r="I194" s="161"/>
      <c r="J194" s="162" t="str">
        <f t="shared" si="19"/>
        <v/>
      </c>
      <c r="K194" s="162" t="str">
        <f t="shared" si="20"/>
        <v/>
      </c>
      <c r="L194" s="269"/>
      <c r="X194" s="36"/>
    </row>
    <row r="195" spans="1:24" s="5" customFormat="1" ht="14">
      <c r="A195" s="2"/>
      <c r="B195" s="132"/>
      <c r="C195" s="9"/>
      <c r="D195" s="262"/>
      <c r="E195" s="163" t="str">
        <f t="shared" si="17"/>
        <v/>
      </c>
      <c r="F195" s="164" t="str">
        <f t="shared" si="18"/>
        <v/>
      </c>
      <c r="G195" s="310">
        <f t="shared" si="12"/>
        <v>524</v>
      </c>
      <c r="H195" s="161"/>
      <c r="I195" s="161"/>
      <c r="J195" s="162" t="str">
        <f t="shared" si="19"/>
        <v/>
      </c>
      <c r="K195" s="162" t="str">
        <f t="shared" si="20"/>
        <v/>
      </c>
      <c r="L195" s="269"/>
      <c r="X195" s="36"/>
    </row>
    <row r="196" spans="1:24" s="5" customFormat="1" ht="14">
      <c r="A196" s="2"/>
      <c r="B196" s="39" t="s">
        <v>236</v>
      </c>
      <c r="C196" s="9"/>
      <c r="D196" s="262"/>
      <c r="E196" s="163" t="str">
        <f t="shared" si="17"/>
        <v/>
      </c>
      <c r="F196" s="164" t="str">
        <f t="shared" si="18"/>
        <v/>
      </c>
      <c r="G196" s="310">
        <f t="shared" si="12"/>
        <v>525</v>
      </c>
      <c r="H196" s="161"/>
      <c r="I196" s="161"/>
      <c r="J196" s="162" t="str">
        <f t="shared" si="19"/>
        <v/>
      </c>
      <c r="K196" s="162" t="str">
        <f t="shared" si="20"/>
        <v/>
      </c>
      <c r="L196" s="269"/>
      <c r="X196" s="36"/>
    </row>
    <row r="197" spans="1:24" s="5" customFormat="1" ht="14">
      <c r="A197" s="2"/>
      <c r="B197" s="39" t="s">
        <v>237</v>
      </c>
      <c r="C197" s="27" t="s">
        <v>12</v>
      </c>
      <c r="D197" s="262">
        <f>D26</f>
        <v>29</v>
      </c>
      <c r="E197" s="163">
        <f t="shared" si="17"/>
        <v>0</v>
      </c>
      <c r="F197" s="164">
        <f t="shared" si="18"/>
        <v>0</v>
      </c>
      <c r="G197" s="310">
        <f t="shared" si="12"/>
        <v>526</v>
      </c>
      <c r="H197" s="161"/>
      <c r="I197" s="161"/>
      <c r="J197" s="162">
        <f t="shared" si="19"/>
        <v>0</v>
      </c>
      <c r="K197" s="162">
        <f t="shared" si="20"/>
        <v>0</v>
      </c>
      <c r="L197" s="269"/>
      <c r="X197" s="36"/>
    </row>
    <row r="198" spans="1:24" s="5" customFormat="1" ht="14">
      <c r="A198" s="19"/>
      <c r="B198" s="38"/>
      <c r="C198" s="9"/>
      <c r="D198" s="262"/>
      <c r="E198" s="163" t="str">
        <f t="shared" si="17"/>
        <v/>
      </c>
      <c r="F198" s="164" t="str">
        <f t="shared" si="18"/>
        <v/>
      </c>
      <c r="G198" s="310">
        <f t="shared" si="12"/>
        <v>527</v>
      </c>
      <c r="H198" s="161"/>
      <c r="I198" s="161"/>
      <c r="J198" s="162" t="str">
        <f t="shared" si="19"/>
        <v/>
      </c>
      <c r="K198" s="162" t="str">
        <f t="shared" si="20"/>
        <v/>
      </c>
      <c r="L198" s="269"/>
      <c r="X198" s="36"/>
    </row>
    <row r="199" spans="1:24" s="5" customFormat="1" ht="14">
      <c r="A199" s="2"/>
      <c r="B199" s="73" t="s">
        <v>273</v>
      </c>
      <c r="C199" s="72"/>
      <c r="D199" s="262"/>
      <c r="E199" s="163" t="str">
        <f t="shared" si="17"/>
        <v/>
      </c>
      <c r="F199" s="164" t="str">
        <f t="shared" si="18"/>
        <v/>
      </c>
      <c r="G199" s="310">
        <f t="shared" si="12"/>
        <v>528</v>
      </c>
      <c r="H199" s="161"/>
      <c r="I199" s="161"/>
      <c r="J199" s="162" t="str">
        <f t="shared" si="19"/>
        <v/>
      </c>
      <c r="K199" s="162" t="str">
        <f t="shared" si="20"/>
        <v/>
      </c>
      <c r="L199" s="269"/>
      <c r="X199" s="36"/>
    </row>
    <row r="200" spans="1:24" s="5" customFormat="1" ht="14">
      <c r="A200" s="2"/>
      <c r="B200" s="127"/>
      <c r="C200" s="9"/>
      <c r="D200" s="262"/>
      <c r="E200" s="163" t="str">
        <f t="shared" si="17"/>
        <v/>
      </c>
      <c r="F200" s="164" t="str">
        <f t="shared" si="18"/>
        <v/>
      </c>
      <c r="G200" s="310">
        <f t="shared" si="12"/>
        <v>529</v>
      </c>
      <c r="H200" s="161"/>
      <c r="I200" s="161"/>
      <c r="J200" s="162" t="str">
        <f t="shared" si="19"/>
        <v/>
      </c>
      <c r="K200" s="162" t="str">
        <f t="shared" si="20"/>
        <v/>
      </c>
      <c r="L200" s="269"/>
      <c r="X200" s="36"/>
    </row>
    <row r="201" spans="1:24" s="5" customFormat="1" ht="14">
      <c r="A201" s="2" t="s">
        <v>261</v>
      </c>
      <c r="B201" s="39" t="s">
        <v>238</v>
      </c>
      <c r="C201" s="9"/>
      <c r="D201" s="262"/>
      <c r="E201" s="163" t="str">
        <f t="shared" si="17"/>
        <v/>
      </c>
      <c r="F201" s="164" t="str">
        <f t="shared" si="18"/>
        <v/>
      </c>
      <c r="G201" s="310">
        <f t="shared" si="12"/>
        <v>530</v>
      </c>
      <c r="H201" s="161"/>
      <c r="I201" s="161"/>
      <c r="J201" s="162" t="str">
        <f t="shared" si="19"/>
        <v/>
      </c>
      <c r="K201" s="162" t="str">
        <f t="shared" si="20"/>
        <v/>
      </c>
      <c r="L201" s="269"/>
      <c r="X201" s="36"/>
    </row>
    <row r="202" spans="1:24" s="5" customFormat="1" ht="14">
      <c r="A202" s="2"/>
      <c r="B202" s="40"/>
      <c r="C202" s="9"/>
      <c r="D202" s="262"/>
      <c r="E202" s="163" t="str">
        <f t="shared" si="17"/>
        <v/>
      </c>
      <c r="F202" s="164" t="str">
        <f t="shared" si="18"/>
        <v/>
      </c>
      <c r="G202" s="310">
        <f t="shared" si="12"/>
        <v>531</v>
      </c>
      <c r="H202" s="161"/>
      <c r="I202" s="161"/>
      <c r="J202" s="162" t="str">
        <f t="shared" si="19"/>
        <v/>
      </c>
      <c r="K202" s="162" t="str">
        <f t="shared" si="20"/>
        <v/>
      </c>
      <c r="L202" s="269"/>
      <c r="X202" s="36"/>
    </row>
    <row r="203" spans="1:24" s="5" customFormat="1" ht="14">
      <c r="A203" s="43"/>
      <c r="B203" s="131" t="s">
        <v>262</v>
      </c>
      <c r="C203" s="9"/>
      <c r="D203" s="262"/>
      <c r="E203" s="163" t="str">
        <f t="shared" si="17"/>
        <v/>
      </c>
      <c r="F203" s="164" t="str">
        <f t="shared" si="18"/>
        <v/>
      </c>
      <c r="G203" s="310">
        <f t="shared" si="12"/>
        <v>532</v>
      </c>
      <c r="H203" s="161"/>
      <c r="I203" s="161"/>
      <c r="J203" s="162" t="str">
        <f t="shared" si="19"/>
        <v/>
      </c>
      <c r="K203" s="162" t="str">
        <f t="shared" si="20"/>
        <v/>
      </c>
      <c r="L203" s="269"/>
      <c r="X203" s="36"/>
    </row>
    <row r="204" spans="1:24" s="5" customFormat="1" ht="14">
      <c r="A204" s="43"/>
      <c r="B204" s="44" t="s">
        <v>52</v>
      </c>
      <c r="C204" s="9" t="s">
        <v>13</v>
      </c>
      <c r="D204" s="262">
        <v>7.1338582677165352</v>
      </c>
      <c r="E204" s="163">
        <f t="shared" si="17"/>
        <v>0</v>
      </c>
      <c r="F204" s="164">
        <f t="shared" si="18"/>
        <v>0</v>
      </c>
      <c r="G204" s="310">
        <f t="shared" si="12"/>
        <v>533</v>
      </c>
      <c r="H204" s="161"/>
      <c r="I204" s="161"/>
      <c r="J204" s="162">
        <f t="shared" si="19"/>
        <v>0</v>
      </c>
      <c r="K204" s="162">
        <f t="shared" si="20"/>
        <v>0</v>
      </c>
      <c r="L204" s="269"/>
      <c r="X204" s="36"/>
    </row>
    <row r="205" spans="1:24" s="5" customFormat="1" ht="14">
      <c r="A205" s="43"/>
      <c r="B205" s="44" t="s">
        <v>269</v>
      </c>
      <c r="C205" s="9" t="s">
        <v>13</v>
      </c>
      <c r="D205" s="262">
        <v>0.9</v>
      </c>
      <c r="E205" s="163">
        <f t="shared" si="17"/>
        <v>0</v>
      </c>
      <c r="F205" s="164">
        <f t="shared" si="18"/>
        <v>0</v>
      </c>
      <c r="G205" s="310">
        <f t="shared" si="12"/>
        <v>534</v>
      </c>
      <c r="H205" s="161"/>
      <c r="I205" s="161"/>
      <c r="J205" s="162">
        <f t="shared" si="19"/>
        <v>0</v>
      </c>
      <c r="K205" s="162">
        <f t="shared" si="20"/>
        <v>0</v>
      </c>
      <c r="L205" s="269"/>
      <c r="X205" s="36"/>
    </row>
    <row r="206" spans="1:24" s="5" customFormat="1" ht="14">
      <c r="A206" s="43"/>
      <c r="B206" s="44" t="s">
        <v>53</v>
      </c>
      <c r="C206" s="9" t="s">
        <v>13</v>
      </c>
      <c r="D206" s="275">
        <v>0.952380952380952</v>
      </c>
      <c r="E206" s="163">
        <f t="shared" si="17"/>
        <v>0</v>
      </c>
      <c r="F206" s="164">
        <f t="shared" si="18"/>
        <v>0</v>
      </c>
      <c r="G206" s="310">
        <f t="shared" si="12"/>
        <v>535</v>
      </c>
      <c r="H206" s="161"/>
      <c r="I206" s="161"/>
      <c r="J206" s="162">
        <f t="shared" si="19"/>
        <v>0</v>
      </c>
      <c r="K206" s="162">
        <f t="shared" si="20"/>
        <v>0</v>
      </c>
      <c r="L206" s="269"/>
      <c r="X206" s="36"/>
    </row>
    <row r="207" spans="1:24" s="5" customFormat="1" ht="14">
      <c r="A207" s="43"/>
      <c r="B207" s="44" t="s">
        <v>72</v>
      </c>
      <c r="C207" s="9" t="s">
        <v>13</v>
      </c>
      <c r="D207" s="262">
        <v>1</v>
      </c>
      <c r="E207" s="163">
        <f t="shared" si="17"/>
        <v>0</v>
      </c>
      <c r="F207" s="164">
        <f t="shared" si="18"/>
        <v>0</v>
      </c>
      <c r="G207" s="310">
        <f t="shared" si="12"/>
        <v>536</v>
      </c>
      <c r="H207" s="161"/>
      <c r="I207" s="161"/>
      <c r="J207" s="162">
        <f t="shared" si="19"/>
        <v>0</v>
      </c>
      <c r="K207" s="162">
        <f t="shared" si="20"/>
        <v>0</v>
      </c>
      <c r="L207" s="269"/>
      <c r="X207" s="36"/>
    </row>
    <row r="208" spans="1:24" s="5" customFormat="1" ht="14">
      <c r="A208" s="43"/>
      <c r="B208" s="44" t="s">
        <v>275</v>
      </c>
      <c r="C208" s="9" t="s">
        <v>13</v>
      </c>
      <c r="D208" s="262">
        <v>3</v>
      </c>
      <c r="E208" s="163">
        <f t="shared" si="17"/>
        <v>0</v>
      </c>
      <c r="F208" s="164">
        <f t="shared" si="18"/>
        <v>0</v>
      </c>
      <c r="G208" s="310">
        <f t="shared" si="12"/>
        <v>537</v>
      </c>
      <c r="H208" s="161"/>
      <c r="I208" s="161"/>
      <c r="J208" s="162">
        <f t="shared" si="19"/>
        <v>0</v>
      </c>
      <c r="K208" s="162">
        <f t="shared" si="20"/>
        <v>0</v>
      </c>
      <c r="L208" s="269"/>
      <c r="X208" s="36"/>
    </row>
    <row r="209" spans="1:24" s="5" customFormat="1" ht="14">
      <c r="A209" s="43"/>
      <c r="B209" s="44" t="s">
        <v>447</v>
      </c>
      <c r="C209" s="9" t="s">
        <v>13</v>
      </c>
      <c r="D209" s="262">
        <v>1</v>
      </c>
      <c r="E209" s="163">
        <f t="shared" si="17"/>
        <v>0</v>
      </c>
      <c r="F209" s="164">
        <f t="shared" si="18"/>
        <v>0</v>
      </c>
      <c r="G209" s="310">
        <f t="shared" si="12"/>
        <v>538</v>
      </c>
      <c r="H209" s="161"/>
      <c r="I209" s="161"/>
      <c r="J209" s="162">
        <f t="shared" si="19"/>
        <v>0</v>
      </c>
      <c r="K209" s="162">
        <f t="shared" si="20"/>
        <v>0</v>
      </c>
      <c r="L209" s="269"/>
      <c r="X209" s="36"/>
    </row>
    <row r="210" spans="1:24" s="5" customFormat="1" ht="14">
      <c r="A210" s="43"/>
      <c r="B210" s="44"/>
      <c r="C210" s="9"/>
      <c r="D210" s="262"/>
      <c r="E210" s="163" t="str">
        <f t="shared" si="17"/>
        <v/>
      </c>
      <c r="F210" s="164" t="str">
        <f t="shared" si="18"/>
        <v/>
      </c>
      <c r="G210" s="310">
        <f t="shared" ref="G210:G273" si="21">G209+1</f>
        <v>539</v>
      </c>
      <c r="H210" s="161"/>
      <c r="I210" s="161"/>
      <c r="J210" s="162" t="str">
        <f t="shared" si="19"/>
        <v/>
      </c>
      <c r="K210" s="162" t="str">
        <f t="shared" si="20"/>
        <v/>
      </c>
      <c r="L210" s="269"/>
      <c r="X210" s="36"/>
    </row>
    <row r="211" spans="1:24" s="5" customFormat="1" ht="14">
      <c r="A211" s="43"/>
      <c r="B211" s="44" t="s">
        <v>54</v>
      </c>
      <c r="C211" s="9" t="s">
        <v>13</v>
      </c>
      <c r="D211" s="262">
        <f>16+4+1-2</f>
        <v>19</v>
      </c>
      <c r="E211" s="163">
        <f t="shared" si="17"/>
        <v>0</v>
      </c>
      <c r="F211" s="164">
        <f t="shared" si="18"/>
        <v>0</v>
      </c>
      <c r="G211" s="310">
        <f t="shared" si="21"/>
        <v>540</v>
      </c>
      <c r="H211" s="161"/>
      <c r="I211" s="161"/>
      <c r="J211" s="162">
        <f t="shared" si="19"/>
        <v>0</v>
      </c>
      <c r="K211" s="162">
        <f t="shared" si="20"/>
        <v>0</v>
      </c>
      <c r="L211" s="269"/>
      <c r="X211" s="36"/>
    </row>
    <row r="212" spans="1:24" s="5" customFormat="1" ht="14">
      <c r="A212" s="43"/>
      <c r="B212" s="44" t="s">
        <v>55</v>
      </c>
      <c r="C212" s="9" t="s">
        <v>13</v>
      </c>
      <c r="D212" s="262">
        <v>6</v>
      </c>
      <c r="E212" s="163">
        <f t="shared" si="17"/>
        <v>0</v>
      </c>
      <c r="F212" s="164">
        <f t="shared" si="18"/>
        <v>0</v>
      </c>
      <c r="G212" s="310">
        <f t="shared" si="21"/>
        <v>541</v>
      </c>
      <c r="H212" s="161"/>
      <c r="I212" s="161"/>
      <c r="J212" s="162">
        <f t="shared" si="19"/>
        <v>0</v>
      </c>
      <c r="K212" s="162">
        <f t="shared" si="20"/>
        <v>0</v>
      </c>
      <c r="L212" s="269"/>
      <c r="X212" s="36"/>
    </row>
    <row r="213" spans="1:24" s="5" customFormat="1" ht="14">
      <c r="A213" s="43"/>
      <c r="B213" s="44" t="s">
        <v>268</v>
      </c>
      <c r="C213" s="9" t="s">
        <v>13</v>
      </c>
      <c r="D213" s="262">
        <v>1</v>
      </c>
      <c r="E213" s="163">
        <f t="shared" si="17"/>
        <v>0</v>
      </c>
      <c r="F213" s="164">
        <f t="shared" si="18"/>
        <v>0</v>
      </c>
      <c r="G213" s="310">
        <f t="shared" si="21"/>
        <v>542</v>
      </c>
      <c r="H213" s="161"/>
      <c r="I213" s="161"/>
      <c r="J213" s="162">
        <f t="shared" si="19"/>
        <v>0</v>
      </c>
      <c r="K213" s="162">
        <f t="shared" si="20"/>
        <v>0</v>
      </c>
      <c r="L213" s="269"/>
      <c r="X213" s="36"/>
    </row>
    <row r="214" spans="1:24" s="5" customFormat="1" ht="14">
      <c r="A214" s="43"/>
      <c r="B214" s="44" t="s">
        <v>271</v>
      </c>
      <c r="C214" s="9" t="s">
        <v>13</v>
      </c>
      <c r="D214" s="262">
        <v>1</v>
      </c>
      <c r="E214" s="163">
        <f t="shared" si="17"/>
        <v>0</v>
      </c>
      <c r="F214" s="164">
        <f t="shared" si="18"/>
        <v>0</v>
      </c>
      <c r="G214" s="310">
        <f t="shared" si="21"/>
        <v>543</v>
      </c>
      <c r="H214" s="161"/>
      <c r="I214" s="161"/>
      <c r="J214" s="162">
        <f t="shared" si="19"/>
        <v>0</v>
      </c>
      <c r="K214" s="162">
        <f t="shared" si="20"/>
        <v>0</v>
      </c>
      <c r="L214" s="269"/>
      <c r="X214" s="36"/>
    </row>
    <row r="215" spans="1:24" s="5" customFormat="1" ht="14">
      <c r="A215" s="43"/>
      <c r="B215" s="44" t="s">
        <v>272</v>
      </c>
      <c r="C215" s="9" t="s">
        <v>13</v>
      </c>
      <c r="D215" s="262">
        <v>1</v>
      </c>
      <c r="E215" s="163">
        <f t="shared" si="17"/>
        <v>0</v>
      </c>
      <c r="F215" s="164">
        <f t="shared" si="18"/>
        <v>0</v>
      </c>
      <c r="G215" s="310">
        <f t="shared" si="21"/>
        <v>544</v>
      </c>
      <c r="H215" s="161"/>
      <c r="I215" s="161"/>
      <c r="J215" s="162">
        <f t="shared" si="19"/>
        <v>0</v>
      </c>
      <c r="K215" s="162">
        <f t="shared" si="20"/>
        <v>0</v>
      </c>
      <c r="L215" s="269"/>
      <c r="X215" s="36"/>
    </row>
    <row r="216" spans="1:24" s="5" customFormat="1" ht="14">
      <c r="A216" s="43"/>
      <c r="B216" s="44" t="s">
        <v>126</v>
      </c>
      <c r="C216" s="9" t="s">
        <v>13</v>
      </c>
      <c r="D216" s="262">
        <v>1</v>
      </c>
      <c r="E216" s="163">
        <f t="shared" si="17"/>
        <v>0</v>
      </c>
      <c r="F216" s="164">
        <f t="shared" si="18"/>
        <v>0</v>
      </c>
      <c r="G216" s="310">
        <f t="shared" si="21"/>
        <v>545</v>
      </c>
      <c r="H216" s="161"/>
      <c r="I216" s="161"/>
      <c r="J216" s="162">
        <f t="shared" si="19"/>
        <v>0</v>
      </c>
      <c r="K216" s="162">
        <f t="shared" si="20"/>
        <v>0</v>
      </c>
      <c r="L216" s="269"/>
      <c r="X216" s="36"/>
    </row>
    <row r="217" spans="1:24" s="5" customFormat="1" ht="14">
      <c r="A217" s="43"/>
      <c r="B217" s="44" t="s">
        <v>101</v>
      </c>
      <c r="C217" s="9" t="s">
        <v>13</v>
      </c>
      <c r="D217" s="262">
        <v>1</v>
      </c>
      <c r="E217" s="163">
        <f t="shared" si="17"/>
        <v>0</v>
      </c>
      <c r="F217" s="164">
        <f t="shared" si="18"/>
        <v>0</v>
      </c>
      <c r="G217" s="310">
        <f t="shared" si="21"/>
        <v>546</v>
      </c>
      <c r="H217" s="161"/>
      <c r="I217" s="161"/>
      <c r="J217" s="162">
        <f t="shared" si="19"/>
        <v>0</v>
      </c>
      <c r="K217" s="162">
        <f t="shared" si="20"/>
        <v>0</v>
      </c>
      <c r="L217" s="269"/>
      <c r="X217" s="36"/>
    </row>
    <row r="218" spans="1:24" s="5" customFormat="1" ht="14">
      <c r="A218" s="43"/>
      <c r="B218" s="44" t="s">
        <v>266</v>
      </c>
      <c r="C218" s="9" t="s">
        <v>13</v>
      </c>
      <c r="D218" s="262">
        <v>7</v>
      </c>
      <c r="E218" s="163">
        <f t="shared" si="17"/>
        <v>0</v>
      </c>
      <c r="F218" s="164">
        <f t="shared" si="18"/>
        <v>0</v>
      </c>
      <c r="G218" s="310">
        <f t="shared" si="21"/>
        <v>547</v>
      </c>
      <c r="H218" s="161"/>
      <c r="I218" s="161"/>
      <c r="J218" s="162">
        <f t="shared" si="19"/>
        <v>0</v>
      </c>
      <c r="K218" s="162">
        <f t="shared" si="20"/>
        <v>0</v>
      </c>
      <c r="L218" s="269"/>
      <c r="X218" s="36"/>
    </row>
    <row r="219" spans="1:24" s="5" customFormat="1" ht="14">
      <c r="A219" s="43"/>
      <c r="B219" s="44" t="s">
        <v>276</v>
      </c>
      <c r="C219" s="9" t="s">
        <v>13</v>
      </c>
      <c r="D219" s="262">
        <v>1</v>
      </c>
      <c r="E219" s="163">
        <f t="shared" si="17"/>
        <v>0</v>
      </c>
      <c r="F219" s="164">
        <f t="shared" si="18"/>
        <v>0</v>
      </c>
      <c r="G219" s="310">
        <f t="shared" si="21"/>
        <v>548</v>
      </c>
      <c r="H219" s="161"/>
      <c r="I219" s="161"/>
      <c r="J219" s="162">
        <f t="shared" si="19"/>
        <v>0</v>
      </c>
      <c r="K219" s="162">
        <f t="shared" si="20"/>
        <v>0</v>
      </c>
      <c r="L219" s="269"/>
      <c r="X219" s="36"/>
    </row>
    <row r="220" spans="1:24" s="5" customFormat="1" ht="14">
      <c r="A220" s="43"/>
      <c r="B220" s="44" t="s">
        <v>277</v>
      </c>
      <c r="C220" s="9" t="s">
        <v>13</v>
      </c>
      <c r="D220" s="262">
        <v>1</v>
      </c>
      <c r="E220" s="163">
        <f t="shared" si="17"/>
        <v>0</v>
      </c>
      <c r="F220" s="164">
        <f t="shared" si="18"/>
        <v>0</v>
      </c>
      <c r="G220" s="310">
        <f t="shared" si="21"/>
        <v>549</v>
      </c>
      <c r="H220" s="161"/>
      <c r="I220" s="161"/>
      <c r="J220" s="162">
        <f t="shared" si="19"/>
        <v>0</v>
      </c>
      <c r="K220" s="162">
        <f t="shared" si="20"/>
        <v>0</v>
      </c>
      <c r="L220" s="269"/>
      <c r="X220" s="36"/>
    </row>
    <row r="221" spans="1:24" s="5" customFormat="1" ht="14">
      <c r="A221" s="43"/>
      <c r="B221" s="44"/>
      <c r="C221" s="9"/>
      <c r="D221" s="262"/>
      <c r="E221" s="163" t="str">
        <f t="shared" si="17"/>
        <v/>
      </c>
      <c r="F221" s="164" t="str">
        <f t="shared" si="18"/>
        <v/>
      </c>
      <c r="G221" s="310">
        <f t="shared" si="21"/>
        <v>550</v>
      </c>
      <c r="H221" s="161"/>
      <c r="I221" s="161"/>
      <c r="J221" s="162" t="str">
        <f t="shared" si="19"/>
        <v/>
      </c>
      <c r="K221" s="162" t="str">
        <f t="shared" si="20"/>
        <v/>
      </c>
      <c r="L221" s="269"/>
      <c r="X221" s="36"/>
    </row>
    <row r="222" spans="1:24" s="5" customFormat="1" ht="14">
      <c r="A222" s="43"/>
      <c r="B222" s="131" t="s">
        <v>263</v>
      </c>
      <c r="C222" s="9"/>
      <c r="D222" s="262"/>
      <c r="E222" s="163" t="str">
        <f t="shared" si="17"/>
        <v/>
      </c>
      <c r="F222" s="164" t="str">
        <f t="shared" si="18"/>
        <v/>
      </c>
      <c r="G222" s="310">
        <f t="shared" si="21"/>
        <v>551</v>
      </c>
      <c r="H222" s="161"/>
      <c r="I222" s="161"/>
      <c r="J222" s="162" t="str">
        <f t="shared" si="19"/>
        <v/>
      </c>
      <c r="K222" s="162" t="str">
        <f t="shared" si="20"/>
        <v/>
      </c>
      <c r="L222" s="269"/>
      <c r="X222" s="36"/>
    </row>
    <row r="223" spans="1:24" s="5" customFormat="1" ht="14">
      <c r="A223" s="43"/>
      <c r="B223" s="44" t="s">
        <v>52</v>
      </c>
      <c r="C223" s="9" t="s">
        <v>13</v>
      </c>
      <c r="D223" s="262"/>
      <c r="E223" s="163" t="str">
        <f t="shared" si="17"/>
        <v/>
      </c>
      <c r="F223" s="164" t="str">
        <f t="shared" si="18"/>
        <v/>
      </c>
      <c r="G223" s="310">
        <f t="shared" si="21"/>
        <v>552</v>
      </c>
      <c r="H223" s="161"/>
      <c r="I223" s="161"/>
      <c r="J223" s="162" t="str">
        <f t="shared" si="19"/>
        <v/>
      </c>
      <c r="K223" s="162" t="str">
        <f t="shared" si="20"/>
        <v/>
      </c>
      <c r="L223" s="269"/>
      <c r="X223" s="36"/>
    </row>
    <row r="224" spans="1:24" s="5" customFormat="1" ht="14">
      <c r="A224" s="43"/>
      <c r="B224" s="44" t="s">
        <v>269</v>
      </c>
      <c r="C224" s="9" t="s">
        <v>13</v>
      </c>
      <c r="D224" s="262"/>
      <c r="E224" s="163" t="str">
        <f t="shared" si="17"/>
        <v/>
      </c>
      <c r="F224" s="164" t="str">
        <f t="shared" si="18"/>
        <v/>
      </c>
      <c r="G224" s="310">
        <f t="shared" si="21"/>
        <v>553</v>
      </c>
      <c r="H224" s="161"/>
      <c r="I224" s="161"/>
      <c r="J224" s="162" t="str">
        <f t="shared" si="19"/>
        <v/>
      </c>
      <c r="K224" s="162" t="str">
        <f t="shared" si="20"/>
        <v/>
      </c>
      <c r="L224" s="269"/>
      <c r="X224" s="36"/>
    </row>
    <row r="225" spans="1:24" s="5" customFormat="1" ht="14">
      <c r="A225" s="43"/>
      <c r="B225" s="44" t="s">
        <v>53</v>
      </c>
      <c r="C225" s="9" t="s">
        <v>13</v>
      </c>
      <c r="D225" s="262"/>
      <c r="E225" s="163" t="str">
        <f t="shared" si="17"/>
        <v/>
      </c>
      <c r="F225" s="164" t="str">
        <f t="shared" si="18"/>
        <v/>
      </c>
      <c r="G225" s="310">
        <f t="shared" si="21"/>
        <v>554</v>
      </c>
      <c r="H225" s="161"/>
      <c r="I225" s="161"/>
      <c r="J225" s="162" t="str">
        <f t="shared" si="19"/>
        <v/>
      </c>
      <c r="K225" s="162" t="str">
        <f t="shared" si="20"/>
        <v/>
      </c>
      <c r="L225" s="269"/>
      <c r="X225" s="36"/>
    </row>
    <row r="226" spans="1:24" s="5" customFormat="1" ht="14">
      <c r="A226" s="43"/>
      <c r="B226" s="44" t="s">
        <v>72</v>
      </c>
      <c r="C226" s="9" t="s">
        <v>13</v>
      </c>
      <c r="D226" s="262"/>
      <c r="E226" s="163" t="str">
        <f t="shared" si="17"/>
        <v/>
      </c>
      <c r="F226" s="164" t="str">
        <f t="shared" si="18"/>
        <v/>
      </c>
      <c r="G226" s="310">
        <f t="shared" si="21"/>
        <v>555</v>
      </c>
      <c r="H226" s="161"/>
      <c r="I226" s="161"/>
      <c r="J226" s="162" t="str">
        <f t="shared" si="19"/>
        <v/>
      </c>
      <c r="K226" s="162" t="str">
        <f t="shared" si="20"/>
        <v/>
      </c>
      <c r="L226" s="269"/>
      <c r="X226" s="36"/>
    </row>
    <row r="227" spans="1:24" s="5" customFormat="1" ht="14">
      <c r="A227" s="43"/>
      <c r="B227" s="44" t="s">
        <v>275</v>
      </c>
      <c r="C227" s="9" t="s">
        <v>13</v>
      </c>
      <c r="D227" s="262"/>
      <c r="E227" s="163" t="str">
        <f t="shared" si="17"/>
        <v/>
      </c>
      <c r="F227" s="164" t="str">
        <f t="shared" si="18"/>
        <v/>
      </c>
      <c r="G227" s="310">
        <f t="shared" si="21"/>
        <v>556</v>
      </c>
      <c r="H227" s="161"/>
      <c r="I227" s="161"/>
      <c r="J227" s="162" t="str">
        <f t="shared" si="19"/>
        <v/>
      </c>
      <c r="K227" s="162" t="str">
        <f t="shared" si="20"/>
        <v/>
      </c>
      <c r="L227" s="269"/>
      <c r="X227" s="36"/>
    </row>
    <row r="228" spans="1:24" s="5" customFormat="1" ht="14">
      <c r="A228" s="43"/>
      <c r="B228" s="44" t="s">
        <v>447</v>
      </c>
      <c r="C228" s="9" t="s">
        <v>13</v>
      </c>
      <c r="D228" s="262"/>
      <c r="E228" s="163" t="str">
        <f t="shared" si="17"/>
        <v/>
      </c>
      <c r="F228" s="164" t="str">
        <f t="shared" si="18"/>
        <v/>
      </c>
      <c r="G228" s="310">
        <f t="shared" si="21"/>
        <v>557</v>
      </c>
      <c r="H228" s="161"/>
      <c r="I228" s="161"/>
      <c r="J228" s="162" t="str">
        <f t="shared" si="19"/>
        <v/>
      </c>
      <c r="K228" s="162" t="str">
        <f t="shared" si="20"/>
        <v/>
      </c>
      <c r="L228" s="269"/>
      <c r="X228" s="36"/>
    </row>
    <row r="229" spans="1:24" s="5" customFormat="1" ht="14">
      <c r="A229" s="43"/>
      <c r="B229" s="44"/>
      <c r="C229" s="9"/>
      <c r="D229" s="262"/>
      <c r="E229" s="163" t="str">
        <f t="shared" si="17"/>
        <v/>
      </c>
      <c r="F229" s="164" t="str">
        <f t="shared" si="18"/>
        <v/>
      </c>
      <c r="G229" s="310">
        <f t="shared" si="21"/>
        <v>558</v>
      </c>
      <c r="H229" s="161"/>
      <c r="I229" s="161"/>
      <c r="J229" s="162" t="str">
        <f t="shared" si="19"/>
        <v/>
      </c>
      <c r="K229" s="162" t="str">
        <f t="shared" si="20"/>
        <v/>
      </c>
      <c r="L229" s="269"/>
      <c r="X229" s="36"/>
    </row>
    <row r="230" spans="1:24" s="5" customFormat="1" ht="14">
      <c r="A230" s="43"/>
      <c r="B230" s="44" t="s">
        <v>54</v>
      </c>
      <c r="C230" s="9" t="s">
        <v>13</v>
      </c>
      <c r="D230" s="262"/>
      <c r="E230" s="163" t="str">
        <f t="shared" si="17"/>
        <v/>
      </c>
      <c r="F230" s="164" t="str">
        <f t="shared" si="18"/>
        <v/>
      </c>
      <c r="G230" s="310">
        <f t="shared" si="21"/>
        <v>559</v>
      </c>
      <c r="H230" s="161"/>
      <c r="I230" s="161"/>
      <c r="J230" s="162" t="str">
        <f t="shared" si="19"/>
        <v/>
      </c>
      <c r="K230" s="162" t="str">
        <f t="shared" si="20"/>
        <v/>
      </c>
      <c r="L230" s="269"/>
      <c r="X230" s="36"/>
    </row>
    <row r="231" spans="1:24" s="5" customFormat="1" ht="14">
      <c r="A231" s="43"/>
      <c r="B231" s="44" t="s">
        <v>55</v>
      </c>
      <c r="C231" s="9" t="s">
        <v>13</v>
      </c>
      <c r="D231" s="262"/>
      <c r="E231" s="163" t="str">
        <f t="shared" si="17"/>
        <v/>
      </c>
      <c r="F231" s="164" t="str">
        <f t="shared" si="18"/>
        <v/>
      </c>
      <c r="G231" s="310">
        <f t="shared" si="21"/>
        <v>560</v>
      </c>
      <c r="H231" s="161"/>
      <c r="I231" s="161"/>
      <c r="J231" s="162" t="str">
        <f t="shared" si="19"/>
        <v/>
      </c>
      <c r="K231" s="162" t="str">
        <f t="shared" si="20"/>
        <v/>
      </c>
      <c r="L231" s="269"/>
      <c r="X231" s="36"/>
    </row>
    <row r="232" spans="1:24" s="5" customFormat="1" ht="14">
      <c r="A232" s="43"/>
      <c r="B232" s="44" t="s">
        <v>268</v>
      </c>
      <c r="C232" s="9" t="s">
        <v>13</v>
      </c>
      <c r="D232" s="262"/>
      <c r="E232" s="163" t="str">
        <f t="shared" si="17"/>
        <v/>
      </c>
      <c r="F232" s="164" t="str">
        <f t="shared" si="18"/>
        <v/>
      </c>
      <c r="G232" s="310">
        <f t="shared" si="21"/>
        <v>561</v>
      </c>
      <c r="H232" s="161"/>
      <c r="I232" s="161"/>
      <c r="J232" s="162" t="str">
        <f t="shared" si="19"/>
        <v/>
      </c>
      <c r="K232" s="162" t="str">
        <f t="shared" si="20"/>
        <v/>
      </c>
      <c r="L232" s="269"/>
      <c r="X232" s="36"/>
    </row>
    <row r="233" spans="1:24" s="5" customFormat="1" ht="14">
      <c r="A233" s="43"/>
      <c r="B233" s="44" t="s">
        <v>271</v>
      </c>
      <c r="C233" s="9" t="s">
        <v>13</v>
      </c>
      <c r="D233" s="262"/>
      <c r="E233" s="163" t="str">
        <f t="shared" si="17"/>
        <v/>
      </c>
      <c r="F233" s="164" t="str">
        <f t="shared" si="18"/>
        <v/>
      </c>
      <c r="G233" s="310">
        <f t="shared" si="21"/>
        <v>562</v>
      </c>
      <c r="H233" s="161"/>
      <c r="I233" s="161"/>
      <c r="J233" s="162" t="str">
        <f t="shared" si="19"/>
        <v/>
      </c>
      <c r="K233" s="162" t="str">
        <f t="shared" si="20"/>
        <v/>
      </c>
      <c r="L233" s="269"/>
      <c r="X233" s="36"/>
    </row>
    <row r="234" spans="1:24" s="5" customFormat="1" ht="14">
      <c r="A234" s="43"/>
      <c r="B234" s="44" t="s">
        <v>272</v>
      </c>
      <c r="C234" s="9" t="s">
        <v>13</v>
      </c>
      <c r="D234" s="262"/>
      <c r="E234" s="163" t="str">
        <f t="shared" si="17"/>
        <v/>
      </c>
      <c r="F234" s="164" t="str">
        <f t="shared" si="18"/>
        <v/>
      </c>
      <c r="G234" s="310">
        <f t="shared" si="21"/>
        <v>563</v>
      </c>
      <c r="H234" s="161"/>
      <c r="I234" s="161"/>
      <c r="J234" s="162" t="str">
        <f t="shared" si="19"/>
        <v/>
      </c>
      <c r="K234" s="162" t="str">
        <f t="shared" si="20"/>
        <v/>
      </c>
      <c r="L234" s="269"/>
      <c r="X234" s="36"/>
    </row>
    <row r="235" spans="1:24" s="5" customFormat="1" ht="14">
      <c r="A235" s="43"/>
      <c r="B235" s="44" t="s">
        <v>126</v>
      </c>
      <c r="C235" s="9" t="s">
        <v>13</v>
      </c>
      <c r="D235" s="262"/>
      <c r="E235" s="163" t="str">
        <f t="shared" si="17"/>
        <v/>
      </c>
      <c r="F235" s="164" t="str">
        <f t="shared" si="18"/>
        <v/>
      </c>
      <c r="G235" s="310">
        <f t="shared" si="21"/>
        <v>564</v>
      </c>
      <c r="H235" s="161"/>
      <c r="I235" s="161"/>
      <c r="J235" s="162" t="str">
        <f t="shared" si="19"/>
        <v/>
      </c>
      <c r="K235" s="162" t="str">
        <f t="shared" si="20"/>
        <v/>
      </c>
      <c r="L235" s="269"/>
      <c r="X235" s="36"/>
    </row>
    <row r="236" spans="1:24" s="5" customFormat="1" ht="14">
      <c r="A236" s="43"/>
      <c r="B236" s="44" t="s">
        <v>101</v>
      </c>
      <c r="C236" s="9" t="s">
        <v>13</v>
      </c>
      <c r="D236" s="262"/>
      <c r="E236" s="163" t="str">
        <f t="shared" si="17"/>
        <v/>
      </c>
      <c r="F236" s="164" t="str">
        <f t="shared" si="18"/>
        <v/>
      </c>
      <c r="G236" s="310">
        <f t="shared" si="21"/>
        <v>565</v>
      </c>
      <c r="H236" s="161"/>
      <c r="I236" s="161"/>
      <c r="J236" s="162" t="str">
        <f t="shared" si="19"/>
        <v/>
      </c>
      <c r="K236" s="162" t="str">
        <f t="shared" si="20"/>
        <v/>
      </c>
      <c r="L236" s="269"/>
      <c r="X236" s="36"/>
    </row>
    <row r="237" spans="1:24" s="5" customFormat="1" ht="14">
      <c r="A237" s="43"/>
      <c r="B237" s="44" t="s">
        <v>266</v>
      </c>
      <c r="C237" s="9" t="s">
        <v>13</v>
      </c>
      <c r="D237" s="262"/>
      <c r="E237" s="163" t="str">
        <f t="shared" si="17"/>
        <v/>
      </c>
      <c r="F237" s="164" t="str">
        <f t="shared" si="18"/>
        <v/>
      </c>
      <c r="G237" s="310">
        <f t="shared" si="21"/>
        <v>566</v>
      </c>
      <c r="H237" s="161"/>
      <c r="I237" s="161"/>
      <c r="J237" s="162" t="str">
        <f t="shared" si="19"/>
        <v/>
      </c>
      <c r="K237" s="162" t="str">
        <f t="shared" si="20"/>
        <v/>
      </c>
      <c r="L237" s="269"/>
      <c r="X237" s="36"/>
    </row>
    <row r="238" spans="1:24" s="5" customFormat="1" ht="14">
      <c r="A238" s="43"/>
      <c r="B238" s="44" t="s">
        <v>276</v>
      </c>
      <c r="C238" s="9" t="s">
        <v>13</v>
      </c>
      <c r="D238" s="262"/>
      <c r="E238" s="163" t="str">
        <f t="shared" si="17"/>
        <v/>
      </c>
      <c r="F238" s="164" t="str">
        <f t="shared" si="18"/>
        <v/>
      </c>
      <c r="G238" s="310">
        <f t="shared" si="21"/>
        <v>567</v>
      </c>
      <c r="H238" s="161"/>
      <c r="I238" s="161"/>
      <c r="J238" s="162" t="str">
        <f t="shared" si="19"/>
        <v/>
      </c>
      <c r="K238" s="162" t="str">
        <f t="shared" si="20"/>
        <v/>
      </c>
      <c r="L238" s="269"/>
      <c r="X238" s="36"/>
    </row>
    <row r="239" spans="1:24" s="5" customFormat="1" ht="14">
      <c r="A239" s="43"/>
      <c r="B239" s="44" t="s">
        <v>277</v>
      </c>
      <c r="C239" s="9" t="s">
        <v>13</v>
      </c>
      <c r="D239" s="262"/>
      <c r="E239" s="163" t="str">
        <f t="shared" si="17"/>
        <v/>
      </c>
      <c r="F239" s="164" t="str">
        <f t="shared" si="18"/>
        <v/>
      </c>
      <c r="G239" s="310">
        <f t="shared" si="21"/>
        <v>568</v>
      </c>
      <c r="H239" s="161"/>
      <c r="I239" s="161"/>
      <c r="J239" s="162" t="str">
        <f t="shared" si="19"/>
        <v/>
      </c>
      <c r="K239" s="162" t="str">
        <f t="shared" si="20"/>
        <v/>
      </c>
      <c r="L239" s="269"/>
      <c r="X239" s="36"/>
    </row>
    <row r="240" spans="1:24" s="5" customFormat="1" ht="14">
      <c r="A240" s="43"/>
      <c r="B240" s="44"/>
      <c r="C240" s="9"/>
      <c r="D240" s="262"/>
      <c r="E240" s="163" t="str">
        <f t="shared" si="17"/>
        <v/>
      </c>
      <c r="F240" s="164" t="str">
        <f t="shared" si="18"/>
        <v/>
      </c>
      <c r="G240" s="310">
        <f t="shared" si="21"/>
        <v>569</v>
      </c>
      <c r="H240" s="161"/>
      <c r="I240" s="161"/>
      <c r="J240" s="162" t="str">
        <f t="shared" si="19"/>
        <v/>
      </c>
      <c r="K240" s="162" t="str">
        <f t="shared" si="20"/>
        <v/>
      </c>
      <c r="L240" s="269"/>
      <c r="X240" s="36"/>
    </row>
    <row r="241" spans="1:24" s="5" customFormat="1" ht="14">
      <c r="A241" s="43"/>
      <c r="B241" s="44" t="s">
        <v>446</v>
      </c>
      <c r="C241" s="9" t="s">
        <v>1</v>
      </c>
      <c r="D241" s="262"/>
      <c r="E241" s="163" t="str">
        <f t="shared" si="17"/>
        <v/>
      </c>
      <c r="F241" s="164" t="str">
        <f t="shared" si="18"/>
        <v/>
      </c>
      <c r="G241" s="310">
        <f t="shared" si="21"/>
        <v>570</v>
      </c>
      <c r="H241" s="161"/>
      <c r="I241" s="161"/>
      <c r="J241" s="162" t="str">
        <f t="shared" si="19"/>
        <v/>
      </c>
      <c r="K241" s="162" t="str">
        <f t="shared" si="20"/>
        <v/>
      </c>
      <c r="L241" s="269"/>
      <c r="X241" s="36"/>
    </row>
    <row r="242" spans="1:24" s="5" customFormat="1" ht="14">
      <c r="A242" s="43"/>
      <c r="B242" s="44" t="s">
        <v>167</v>
      </c>
      <c r="C242" s="9" t="s">
        <v>13</v>
      </c>
      <c r="D242" s="262">
        <v>1</v>
      </c>
      <c r="E242" s="163">
        <f t="shared" si="17"/>
        <v>0</v>
      </c>
      <c r="F242" s="164">
        <f t="shared" si="18"/>
        <v>0</v>
      </c>
      <c r="G242" s="310">
        <f t="shared" si="21"/>
        <v>571</v>
      </c>
      <c r="H242" s="161"/>
      <c r="I242" s="161"/>
      <c r="J242" s="162">
        <f t="shared" si="19"/>
        <v>0</v>
      </c>
      <c r="K242" s="162">
        <f t="shared" si="20"/>
        <v>0</v>
      </c>
      <c r="L242" s="269"/>
      <c r="X242" s="36"/>
    </row>
    <row r="243" spans="1:24" s="5" customFormat="1" ht="14">
      <c r="A243" s="43"/>
      <c r="B243" s="44"/>
      <c r="C243" s="9"/>
      <c r="D243" s="262"/>
      <c r="E243" s="163" t="str">
        <f t="shared" si="17"/>
        <v/>
      </c>
      <c r="F243" s="164" t="str">
        <f t="shared" si="18"/>
        <v/>
      </c>
      <c r="G243" s="310">
        <f t="shared" si="21"/>
        <v>572</v>
      </c>
      <c r="H243" s="161"/>
      <c r="I243" s="161"/>
      <c r="J243" s="162" t="str">
        <f t="shared" si="19"/>
        <v/>
      </c>
      <c r="K243" s="162" t="str">
        <f t="shared" si="20"/>
        <v/>
      </c>
      <c r="L243" s="269"/>
      <c r="X243" s="36"/>
    </row>
    <row r="244" spans="1:24" s="5" customFormat="1" ht="14">
      <c r="A244" s="43"/>
      <c r="B244" s="132" t="s">
        <v>444</v>
      </c>
      <c r="C244" s="9" t="s">
        <v>13</v>
      </c>
      <c r="D244" s="262">
        <v>0.94</v>
      </c>
      <c r="E244" s="163">
        <f t="shared" si="17"/>
        <v>0</v>
      </c>
      <c r="F244" s="164">
        <f t="shared" si="18"/>
        <v>0</v>
      </c>
      <c r="G244" s="310">
        <f t="shared" si="21"/>
        <v>573</v>
      </c>
      <c r="H244" s="161"/>
      <c r="I244" s="161"/>
      <c r="J244" s="162">
        <f t="shared" si="19"/>
        <v>0</v>
      </c>
      <c r="K244" s="162">
        <f t="shared" si="20"/>
        <v>0</v>
      </c>
      <c r="L244" s="269"/>
      <c r="X244" s="36"/>
    </row>
    <row r="245" spans="1:24" s="5" customFormat="1" ht="14">
      <c r="A245" s="43"/>
      <c r="B245" s="132" t="s">
        <v>445</v>
      </c>
      <c r="C245" s="9" t="s">
        <v>13</v>
      </c>
      <c r="D245" s="262"/>
      <c r="E245" s="163" t="str">
        <f t="shared" si="17"/>
        <v/>
      </c>
      <c r="F245" s="164" t="str">
        <f t="shared" si="18"/>
        <v/>
      </c>
      <c r="G245" s="310">
        <f t="shared" si="21"/>
        <v>574</v>
      </c>
      <c r="H245" s="161"/>
      <c r="I245" s="161"/>
      <c r="J245" s="162" t="str">
        <f t="shared" si="19"/>
        <v/>
      </c>
      <c r="K245" s="162" t="str">
        <f t="shared" si="20"/>
        <v/>
      </c>
      <c r="L245" s="269"/>
      <c r="X245" s="36"/>
    </row>
    <row r="246" spans="1:24" s="5" customFormat="1" ht="14">
      <c r="A246" s="43"/>
      <c r="B246" s="132" t="s">
        <v>443</v>
      </c>
      <c r="C246" s="9" t="s">
        <v>13</v>
      </c>
      <c r="D246" s="262"/>
      <c r="E246" s="163" t="str">
        <f t="shared" si="17"/>
        <v/>
      </c>
      <c r="F246" s="164" t="str">
        <f t="shared" si="18"/>
        <v/>
      </c>
      <c r="G246" s="310">
        <f t="shared" si="21"/>
        <v>575</v>
      </c>
      <c r="H246" s="161"/>
      <c r="I246" s="161"/>
      <c r="J246" s="162" t="str">
        <f t="shared" si="19"/>
        <v/>
      </c>
      <c r="K246" s="162" t="str">
        <f t="shared" si="20"/>
        <v/>
      </c>
      <c r="L246" s="269"/>
      <c r="X246" s="36"/>
    </row>
    <row r="247" spans="1:24" s="5" customFormat="1" ht="14">
      <c r="A247" s="2"/>
      <c r="B247" s="132" t="s">
        <v>264</v>
      </c>
      <c r="C247" s="9" t="s">
        <v>13</v>
      </c>
      <c r="D247" s="262">
        <v>8</v>
      </c>
      <c r="E247" s="163">
        <f t="shared" si="17"/>
        <v>0</v>
      </c>
      <c r="F247" s="164">
        <f t="shared" si="18"/>
        <v>0</v>
      </c>
      <c r="G247" s="310">
        <f t="shared" si="21"/>
        <v>576</v>
      </c>
      <c r="H247" s="161"/>
      <c r="I247" s="161"/>
      <c r="J247" s="162">
        <f t="shared" si="19"/>
        <v>0</v>
      </c>
      <c r="K247" s="162">
        <f t="shared" si="20"/>
        <v>0</v>
      </c>
      <c r="L247" s="269"/>
      <c r="X247" s="36"/>
    </row>
    <row r="248" spans="1:24" s="5" customFormat="1" ht="14">
      <c r="A248" s="43"/>
      <c r="B248" s="132" t="s">
        <v>265</v>
      </c>
      <c r="C248" s="9" t="s">
        <v>13</v>
      </c>
      <c r="D248" s="262">
        <v>8</v>
      </c>
      <c r="E248" s="163">
        <f t="shared" ref="E248:E311" si="22">IF(D248="","",(((J248*$K$2)+(K248*$I$2*$I$3))*$K$3)/D248)</f>
        <v>0</v>
      </c>
      <c r="F248" s="164">
        <f t="shared" ref="F248:F311" si="23">IF(D248="","",D248*E248)</f>
        <v>0</v>
      </c>
      <c r="G248" s="310">
        <f t="shared" si="21"/>
        <v>577</v>
      </c>
      <c r="H248" s="161"/>
      <c r="I248" s="161"/>
      <c r="J248" s="162">
        <f t="shared" ref="J248:J311" si="24">IF(D248="","",H248*D248)</f>
        <v>0</v>
      </c>
      <c r="K248" s="162">
        <f t="shared" ref="K248:K311" si="25">IF(D248="","",D248*I248)</f>
        <v>0</v>
      </c>
      <c r="L248" s="269"/>
      <c r="X248" s="36"/>
    </row>
    <row r="249" spans="1:24" s="5" customFormat="1" ht="14">
      <c r="A249" s="43"/>
      <c r="B249" s="44"/>
      <c r="C249" s="9"/>
      <c r="D249" s="262"/>
      <c r="E249" s="163" t="str">
        <f t="shared" si="22"/>
        <v/>
      </c>
      <c r="F249" s="164" t="str">
        <f t="shared" si="23"/>
        <v/>
      </c>
      <c r="G249" s="310">
        <f t="shared" si="21"/>
        <v>578</v>
      </c>
      <c r="H249" s="161"/>
      <c r="I249" s="161"/>
      <c r="J249" s="162" t="str">
        <f t="shared" si="24"/>
        <v/>
      </c>
      <c r="K249" s="162" t="str">
        <f t="shared" si="25"/>
        <v/>
      </c>
      <c r="L249" s="269"/>
      <c r="X249" s="36"/>
    </row>
    <row r="250" spans="1:24" s="5" customFormat="1" ht="14">
      <c r="A250" s="43"/>
      <c r="B250" s="44" t="s">
        <v>166</v>
      </c>
      <c r="C250" s="9" t="s">
        <v>13</v>
      </c>
      <c r="D250" s="262">
        <v>1</v>
      </c>
      <c r="E250" s="163">
        <f t="shared" si="22"/>
        <v>0</v>
      </c>
      <c r="F250" s="164">
        <f t="shared" si="23"/>
        <v>0</v>
      </c>
      <c r="G250" s="310">
        <f t="shared" si="21"/>
        <v>579</v>
      </c>
      <c r="H250" s="161"/>
      <c r="I250" s="161"/>
      <c r="J250" s="162">
        <f t="shared" si="24"/>
        <v>0</v>
      </c>
      <c r="K250" s="162">
        <f t="shared" si="25"/>
        <v>0</v>
      </c>
      <c r="L250" s="269"/>
      <c r="X250" s="36"/>
    </row>
    <row r="251" spans="1:24" s="5" customFormat="1" ht="14">
      <c r="A251" s="43"/>
      <c r="B251" s="132"/>
      <c r="C251" s="8"/>
      <c r="D251" s="262"/>
      <c r="E251" s="163" t="str">
        <f t="shared" si="22"/>
        <v/>
      </c>
      <c r="F251" s="164" t="str">
        <f t="shared" si="23"/>
        <v/>
      </c>
      <c r="G251" s="310">
        <f t="shared" si="21"/>
        <v>580</v>
      </c>
      <c r="H251" s="161"/>
      <c r="I251" s="161"/>
      <c r="J251" s="162" t="str">
        <f t="shared" si="24"/>
        <v/>
      </c>
      <c r="K251" s="162" t="str">
        <f t="shared" si="25"/>
        <v/>
      </c>
      <c r="L251" s="269"/>
      <c r="X251" s="36"/>
    </row>
    <row r="252" spans="1:24" s="5" customFormat="1" ht="14">
      <c r="A252" s="43"/>
      <c r="B252" s="39" t="s">
        <v>239</v>
      </c>
      <c r="C252" s="9"/>
      <c r="D252" s="262"/>
      <c r="E252" s="163" t="str">
        <f t="shared" si="22"/>
        <v/>
      </c>
      <c r="F252" s="164" t="str">
        <f t="shared" si="23"/>
        <v/>
      </c>
      <c r="G252" s="310">
        <f t="shared" si="21"/>
        <v>581</v>
      </c>
      <c r="H252" s="161"/>
      <c r="I252" s="161"/>
      <c r="J252" s="162" t="str">
        <f t="shared" si="24"/>
        <v/>
      </c>
      <c r="K252" s="162" t="str">
        <f t="shared" si="25"/>
        <v/>
      </c>
      <c r="L252" s="269"/>
      <c r="X252" s="36"/>
    </row>
    <row r="253" spans="1:24" s="5" customFormat="1" ht="14">
      <c r="A253" s="43"/>
      <c r="B253" s="39" t="s">
        <v>240</v>
      </c>
      <c r="C253" s="27" t="s">
        <v>12</v>
      </c>
      <c r="D253" s="262">
        <f>D27</f>
        <v>21</v>
      </c>
      <c r="E253" s="163">
        <f t="shared" si="22"/>
        <v>0</v>
      </c>
      <c r="F253" s="164">
        <f t="shared" si="23"/>
        <v>0</v>
      </c>
      <c r="G253" s="310">
        <f t="shared" si="21"/>
        <v>582</v>
      </c>
      <c r="H253" s="161"/>
      <c r="I253" s="161"/>
      <c r="J253" s="162">
        <f t="shared" si="24"/>
        <v>0</v>
      </c>
      <c r="K253" s="162">
        <f t="shared" si="25"/>
        <v>0</v>
      </c>
      <c r="L253" s="269"/>
      <c r="X253" s="36"/>
    </row>
    <row r="254" spans="1:24" s="5" customFormat="1" ht="14">
      <c r="A254" s="43"/>
      <c r="B254" s="38"/>
      <c r="C254" s="9"/>
      <c r="D254" s="262"/>
      <c r="E254" s="163" t="str">
        <f t="shared" si="22"/>
        <v/>
      </c>
      <c r="F254" s="164" t="str">
        <f t="shared" si="23"/>
        <v/>
      </c>
      <c r="G254" s="310">
        <f t="shared" si="21"/>
        <v>583</v>
      </c>
      <c r="H254" s="161"/>
      <c r="I254" s="161"/>
      <c r="J254" s="162" t="str">
        <f t="shared" si="24"/>
        <v/>
      </c>
      <c r="K254" s="162" t="str">
        <f t="shared" si="25"/>
        <v/>
      </c>
      <c r="L254" s="269"/>
      <c r="X254" s="36"/>
    </row>
    <row r="255" spans="1:24" s="5" customFormat="1" ht="14">
      <c r="A255" s="43"/>
      <c r="B255" s="73" t="s">
        <v>278</v>
      </c>
      <c r="C255" s="72"/>
      <c r="D255" s="262"/>
      <c r="E255" s="163" t="str">
        <f t="shared" si="22"/>
        <v/>
      </c>
      <c r="F255" s="164" t="str">
        <f t="shared" si="23"/>
        <v/>
      </c>
      <c r="G255" s="310">
        <f t="shared" si="21"/>
        <v>584</v>
      </c>
      <c r="H255" s="161"/>
      <c r="I255" s="161"/>
      <c r="J255" s="162" t="str">
        <f t="shared" si="24"/>
        <v/>
      </c>
      <c r="K255" s="162" t="str">
        <f t="shared" si="25"/>
        <v/>
      </c>
      <c r="L255" s="269"/>
      <c r="X255" s="36"/>
    </row>
    <row r="256" spans="1:24" s="5" customFormat="1" ht="14">
      <c r="A256" s="43"/>
      <c r="B256" s="133"/>
      <c r="C256" s="8"/>
      <c r="D256" s="262"/>
      <c r="E256" s="163" t="str">
        <f t="shared" si="22"/>
        <v/>
      </c>
      <c r="F256" s="164" t="str">
        <f t="shared" si="23"/>
        <v/>
      </c>
      <c r="G256" s="310">
        <f t="shared" si="21"/>
        <v>585</v>
      </c>
      <c r="H256" s="161"/>
      <c r="I256" s="161"/>
      <c r="J256" s="162" t="str">
        <f t="shared" si="24"/>
        <v/>
      </c>
      <c r="K256" s="162" t="str">
        <f t="shared" si="25"/>
        <v/>
      </c>
      <c r="L256" s="269"/>
      <c r="X256" s="36"/>
    </row>
    <row r="257" spans="1:24" s="5" customFormat="1" ht="14">
      <c r="A257" s="2" t="s">
        <v>261</v>
      </c>
      <c r="B257" s="39" t="s">
        <v>279</v>
      </c>
      <c r="C257" s="9"/>
      <c r="D257" s="262"/>
      <c r="E257" s="163" t="str">
        <f t="shared" si="22"/>
        <v/>
      </c>
      <c r="F257" s="164" t="str">
        <f t="shared" si="23"/>
        <v/>
      </c>
      <c r="G257" s="310">
        <f t="shared" si="21"/>
        <v>586</v>
      </c>
      <c r="H257" s="161"/>
      <c r="I257" s="161"/>
      <c r="J257" s="162" t="str">
        <f t="shared" si="24"/>
        <v/>
      </c>
      <c r="K257" s="162" t="str">
        <f t="shared" si="25"/>
        <v/>
      </c>
      <c r="L257" s="269"/>
      <c r="X257" s="36"/>
    </row>
    <row r="258" spans="1:24" s="5" customFormat="1" ht="14">
      <c r="A258" s="2"/>
      <c r="B258" s="40"/>
      <c r="C258" s="9"/>
      <c r="D258" s="262"/>
      <c r="E258" s="163" t="str">
        <f t="shared" si="22"/>
        <v/>
      </c>
      <c r="F258" s="164" t="str">
        <f t="shared" si="23"/>
        <v/>
      </c>
      <c r="G258" s="310">
        <f t="shared" si="21"/>
        <v>587</v>
      </c>
      <c r="H258" s="161"/>
      <c r="I258" s="161"/>
      <c r="J258" s="162" t="str">
        <f t="shared" si="24"/>
        <v/>
      </c>
      <c r="K258" s="162" t="str">
        <f t="shared" si="25"/>
        <v/>
      </c>
      <c r="L258" s="269"/>
      <c r="X258" s="36"/>
    </row>
    <row r="259" spans="1:24" s="5" customFormat="1" ht="14">
      <c r="A259" s="43"/>
      <c r="B259" s="131" t="s">
        <v>262</v>
      </c>
      <c r="C259" s="9"/>
      <c r="D259" s="262"/>
      <c r="E259" s="163" t="str">
        <f t="shared" si="22"/>
        <v/>
      </c>
      <c r="F259" s="164" t="str">
        <f t="shared" si="23"/>
        <v/>
      </c>
      <c r="G259" s="310">
        <f t="shared" si="21"/>
        <v>588</v>
      </c>
      <c r="H259" s="161"/>
      <c r="I259" s="161"/>
      <c r="J259" s="162" t="str">
        <f t="shared" si="24"/>
        <v/>
      </c>
      <c r="K259" s="162" t="str">
        <f t="shared" si="25"/>
        <v/>
      </c>
      <c r="L259" s="269"/>
      <c r="X259" s="36"/>
    </row>
    <row r="260" spans="1:24" s="5" customFormat="1" ht="14">
      <c r="A260" s="43"/>
      <c r="B260" s="44" t="s">
        <v>52</v>
      </c>
      <c r="C260" s="9" t="s">
        <v>13</v>
      </c>
      <c r="D260" s="262">
        <v>5.1338582677165352</v>
      </c>
      <c r="E260" s="163">
        <f t="shared" si="22"/>
        <v>0</v>
      </c>
      <c r="F260" s="164">
        <f t="shared" si="23"/>
        <v>0</v>
      </c>
      <c r="G260" s="310">
        <f t="shared" si="21"/>
        <v>589</v>
      </c>
      <c r="H260" s="161"/>
      <c r="I260" s="161"/>
      <c r="J260" s="162">
        <f t="shared" si="24"/>
        <v>0</v>
      </c>
      <c r="K260" s="162">
        <f t="shared" si="25"/>
        <v>0</v>
      </c>
      <c r="L260" s="269"/>
      <c r="X260" s="36"/>
    </row>
    <row r="261" spans="1:24" s="5" customFormat="1" ht="14">
      <c r="A261" s="43"/>
      <c r="B261" s="44" t="s">
        <v>269</v>
      </c>
      <c r="C261" s="9" t="s">
        <v>13</v>
      </c>
      <c r="D261" s="262"/>
      <c r="E261" s="163" t="str">
        <f t="shared" si="22"/>
        <v/>
      </c>
      <c r="F261" s="164" t="str">
        <f t="shared" si="23"/>
        <v/>
      </c>
      <c r="G261" s="310">
        <f t="shared" si="21"/>
        <v>590</v>
      </c>
      <c r="H261" s="161"/>
      <c r="I261" s="161"/>
      <c r="J261" s="162" t="str">
        <f t="shared" si="24"/>
        <v/>
      </c>
      <c r="K261" s="162" t="str">
        <f t="shared" si="25"/>
        <v/>
      </c>
      <c r="L261" s="269"/>
      <c r="X261" s="36"/>
    </row>
    <row r="262" spans="1:24" s="5" customFormat="1" ht="14">
      <c r="A262" s="43"/>
      <c r="B262" s="44" t="s">
        <v>53</v>
      </c>
      <c r="C262" s="9" t="s">
        <v>13</v>
      </c>
      <c r="D262" s="262">
        <v>5.9523809523809526</v>
      </c>
      <c r="E262" s="163">
        <f t="shared" si="22"/>
        <v>0</v>
      </c>
      <c r="F262" s="164">
        <f t="shared" si="23"/>
        <v>0</v>
      </c>
      <c r="G262" s="310">
        <f t="shared" si="21"/>
        <v>591</v>
      </c>
      <c r="H262" s="161"/>
      <c r="I262" s="161"/>
      <c r="J262" s="162">
        <f t="shared" si="24"/>
        <v>0</v>
      </c>
      <c r="K262" s="162">
        <f t="shared" si="25"/>
        <v>0</v>
      </c>
      <c r="L262" s="269"/>
      <c r="X262" s="36"/>
    </row>
    <row r="263" spans="1:24" s="5" customFormat="1" ht="14">
      <c r="A263" s="43"/>
      <c r="B263" s="44" t="s">
        <v>72</v>
      </c>
      <c r="C263" s="9" t="s">
        <v>13</v>
      </c>
      <c r="D263" s="262"/>
      <c r="E263" s="163" t="str">
        <f t="shared" si="22"/>
        <v/>
      </c>
      <c r="F263" s="164" t="str">
        <f t="shared" si="23"/>
        <v/>
      </c>
      <c r="G263" s="310">
        <f t="shared" si="21"/>
        <v>592</v>
      </c>
      <c r="H263" s="161"/>
      <c r="I263" s="161"/>
      <c r="J263" s="162" t="str">
        <f t="shared" si="24"/>
        <v/>
      </c>
      <c r="K263" s="162" t="str">
        <f t="shared" si="25"/>
        <v/>
      </c>
      <c r="L263" s="269"/>
      <c r="X263" s="36"/>
    </row>
    <row r="264" spans="1:24" s="5" customFormat="1" ht="14">
      <c r="A264" s="43"/>
      <c r="B264" s="44" t="s">
        <v>275</v>
      </c>
      <c r="C264" s="9" t="s">
        <v>13</v>
      </c>
      <c r="D264" s="262">
        <v>2</v>
      </c>
      <c r="E264" s="163">
        <f t="shared" si="22"/>
        <v>0</v>
      </c>
      <c r="F264" s="164">
        <f t="shared" si="23"/>
        <v>0</v>
      </c>
      <c r="G264" s="310">
        <f t="shared" si="21"/>
        <v>593</v>
      </c>
      <c r="H264" s="161"/>
      <c r="I264" s="161"/>
      <c r="J264" s="162">
        <f t="shared" si="24"/>
        <v>0</v>
      </c>
      <c r="K264" s="162">
        <f t="shared" si="25"/>
        <v>0</v>
      </c>
      <c r="L264" s="269"/>
      <c r="X264" s="36"/>
    </row>
    <row r="265" spans="1:24" s="5" customFormat="1" ht="14">
      <c r="A265" s="43"/>
      <c r="B265" s="44" t="s">
        <v>447</v>
      </c>
      <c r="C265" s="9" t="s">
        <v>13</v>
      </c>
      <c r="D265" s="262">
        <v>1</v>
      </c>
      <c r="E265" s="163">
        <f t="shared" si="22"/>
        <v>0</v>
      </c>
      <c r="F265" s="164">
        <f t="shared" si="23"/>
        <v>0</v>
      </c>
      <c r="G265" s="310">
        <f t="shared" si="21"/>
        <v>594</v>
      </c>
      <c r="H265" s="161"/>
      <c r="I265" s="161"/>
      <c r="J265" s="162">
        <f t="shared" si="24"/>
        <v>0</v>
      </c>
      <c r="K265" s="162">
        <f t="shared" si="25"/>
        <v>0</v>
      </c>
      <c r="L265" s="269"/>
      <c r="X265" s="36"/>
    </row>
    <row r="266" spans="1:24" s="5" customFormat="1" ht="14">
      <c r="A266" s="43"/>
      <c r="B266" s="44"/>
      <c r="C266" s="9"/>
      <c r="D266" s="262"/>
      <c r="E266" s="163" t="str">
        <f t="shared" si="22"/>
        <v/>
      </c>
      <c r="F266" s="164" t="str">
        <f t="shared" si="23"/>
        <v/>
      </c>
      <c r="G266" s="310">
        <f t="shared" si="21"/>
        <v>595</v>
      </c>
      <c r="H266" s="161"/>
      <c r="I266" s="161"/>
      <c r="J266" s="162" t="str">
        <f t="shared" si="24"/>
        <v/>
      </c>
      <c r="K266" s="162" t="str">
        <f t="shared" si="25"/>
        <v/>
      </c>
      <c r="L266" s="269"/>
      <c r="X266" s="36"/>
    </row>
    <row r="267" spans="1:24" s="5" customFormat="1" ht="14">
      <c r="A267" s="43"/>
      <c r="B267" s="44" t="s">
        <v>54</v>
      </c>
      <c r="C267" s="9" t="s">
        <v>13</v>
      </c>
      <c r="D267" s="262">
        <f>17+6+1-2</f>
        <v>22</v>
      </c>
      <c r="E267" s="163">
        <f t="shared" si="22"/>
        <v>0</v>
      </c>
      <c r="F267" s="164">
        <f t="shared" si="23"/>
        <v>0</v>
      </c>
      <c r="G267" s="310">
        <f t="shared" si="21"/>
        <v>596</v>
      </c>
      <c r="H267" s="161"/>
      <c r="I267" s="161"/>
      <c r="J267" s="162">
        <f t="shared" si="24"/>
        <v>0</v>
      </c>
      <c r="K267" s="162">
        <f t="shared" si="25"/>
        <v>0</v>
      </c>
      <c r="L267" s="269"/>
      <c r="X267" s="36"/>
    </row>
    <row r="268" spans="1:24" s="5" customFormat="1" ht="14">
      <c r="A268" s="43"/>
      <c r="B268" s="44" t="s">
        <v>55</v>
      </c>
      <c r="C268" s="9" t="s">
        <v>13</v>
      </c>
      <c r="D268" s="262">
        <v>7</v>
      </c>
      <c r="E268" s="163">
        <f t="shared" si="22"/>
        <v>0</v>
      </c>
      <c r="F268" s="164">
        <f t="shared" si="23"/>
        <v>0</v>
      </c>
      <c r="G268" s="310">
        <f t="shared" si="21"/>
        <v>597</v>
      </c>
      <c r="H268" s="161"/>
      <c r="I268" s="161"/>
      <c r="J268" s="162">
        <f t="shared" si="24"/>
        <v>0</v>
      </c>
      <c r="K268" s="162">
        <f t="shared" si="25"/>
        <v>0</v>
      </c>
      <c r="L268" s="269"/>
      <c r="X268" s="36"/>
    </row>
    <row r="269" spans="1:24" s="5" customFormat="1" ht="14">
      <c r="A269" s="43"/>
      <c r="B269" s="44" t="s">
        <v>268</v>
      </c>
      <c r="C269" s="9" t="s">
        <v>13</v>
      </c>
      <c r="D269" s="262">
        <v>1</v>
      </c>
      <c r="E269" s="163">
        <f t="shared" si="22"/>
        <v>0</v>
      </c>
      <c r="F269" s="164">
        <f t="shared" si="23"/>
        <v>0</v>
      </c>
      <c r="G269" s="310">
        <f t="shared" si="21"/>
        <v>598</v>
      </c>
      <c r="H269" s="161"/>
      <c r="I269" s="161"/>
      <c r="J269" s="162">
        <f t="shared" si="24"/>
        <v>0</v>
      </c>
      <c r="K269" s="162">
        <f t="shared" si="25"/>
        <v>0</v>
      </c>
      <c r="L269" s="269"/>
      <c r="X269" s="36"/>
    </row>
    <row r="270" spans="1:24" s="5" customFormat="1" ht="14">
      <c r="A270" s="43"/>
      <c r="B270" s="44" t="s">
        <v>271</v>
      </c>
      <c r="C270" s="9" t="s">
        <v>13</v>
      </c>
      <c r="D270" s="262">
        <v>1</v>
      </c>
      <c r="E270" s="163">
        <f t="shared" si="22"/>
        <v>0</v>
      </c>
      <c r="F270" s="164">
        <f t="shared" si="23"/>
        <v>0</v>
      </c>
      <c r="G270" s="310">
        <f t="shared" si="21"/>
        <v>599</v>
      </c>
      <c r="H270" s="161"/>
      <c r="I270" s="161"/>
      <c r="J270" s="162">
        <f t="shared" si="24"/>
        <v>0</v>
      </c>
      <c r="K270" s="162">
        <f t="shared" si="25"/>
        <v>0</v>
      </c>
      <c r="L270" s="269"/>
      <c r="X270" s="36"/>
    </row>
    <row r="271" spans="1:24" s="5" customFormat="1" ht="14">
      <c r="A271" s="43"/>
      <c r="B271" s="44" t="s">
        <v>272</v>
      </c>
      <c r="C271" s="9" t="s">
        <v>13</v>
      </c>
      <c r="D271" s="262">
        <v>1</v>
      </c>
      <c r="E271" s="163">
        <f t="shared" si="22"/>
        <v>0</v>
      </c>
      <c r="F271" s="164">
        <f t="shared" si="23"/>
        <v>0</v>
      </c>
      <c r="G271" s="310">
        <f t="shared" si="21"/>
        <v>600</v>
      </c>
      <c r="H271" s="161"/>
      <c r="I271" s="161"/>
      <c r="J271" s="162">
        <f t="shared" si="24"/>
        <v>0</v>
      </c>
      <c r="K271" s="162">
        <f t="shared" si="25"/>
        <v>0</v>
      </c>
      <c r="L271" s="269"/>
      <c r="X271" s="36"/>
    </row>
    <row r="272" spans="1:24" s="5" customFormat="1" ht="14">
      <c r="A272" s="43"/>
      <c r="B272" s="44" t="s">
        <v>126</v>
      </c>
      <c r="C272" s="9" t="s">
        <v>13</v>
      </c>
      <c r="D272" s="262">
        <v>1</v>
      </c>
      <c r="E272" s="163">
        <f t="shared" si="22"/>
        <v>0</v>
      </c>
      <c r="F272" s="164">
        <f t="shared" si="23"/>
        <v>0</v>
      </c>
      <c r="G272" s="310">
        <f t="shared" si="21"/>
        <v>601</v>
      </c>
      <c r="H272" s="161"/>
      <c r="I272" s="161"/>
      <c r="J272" s="162">
        <f t="shared" si="24"/>
        <v>0</v>
      </c>
      <c r="K272" s="162">
        <f t="shared" si="25"/>
        <v>0</v>
      </c>
      <c r="L272" s="269"/>
      <c r="X272" s="36"/>
    </row>
    <row r="273" spans="1:24" s="5" customFormat="1" ht="14">
      <c r="A273" s="43"/>
      <c r="B273" s="44" t="s">
        <v>101</v>
      </c>
      <c r="C273" s="9" t="s">
        <v>13</v>
      </c>
      <c r="D273" s="262">
        <v>1</v>
      </c>
      <c r="E273" s="163">
        <f t="shared" si="22"/>
        <v>0</v>
      </c>
      <c r="F273" s="164">
        <f t="shared" si="23"/>
        <v>0</v>
      </c>
      <c r="G273" s="310">
        <f t="shared" si="21"/>
        <v>602</v>
      </c>
      <c r="H273" s="161"/>
      <c r="I273" s="161"/>
      <c r="J273" s="162">
        <f t="shared" si="24"/>
        <v>0</v>
      </c>
      <c r="K273" s="162">
        <f t="shared" si="25"/>
        <v>0</v>
      </c>
      <c r="L273" s="269"/>
      <c r="X273" s="36"/>
    </row>
    <row r="274" spans="1:24" s="5" customFormat="1" ht="14">
      <c r="A274" s="43"/>
      <c r="B274" s="44" t="s">
        <v>266</v>
      </c>
      <c r="C274" s="9" t="s">
        <v>13</v>
      </c>
      <c r="D274" s="262">
        <v>8</v>
      </c>
      <c r="E274" s="163">
        <f t="shared" si="22"/>
        <v>0</v>
      </c>
      <c r="F274" s="164">
        <f t="shared" si="23"/>
        <v>0</v>
      </c>
      <c r="G274" s="310">
        <f t="shared" ref="G274:G337" si="26">G273+1</f>
        <v>603</v>
      </c>
      <c r="H274" s="161"/>
      <c r="I274" s="161"/>
      <c r="J274" s="162">
        <f t="shared" si="24"/>
        <v>0</v>
      </c>
      <c r="K274" s="162">
        <f t="shared" si="25"/>
        <v>0</v>
      </c>
      <c r="L274" s="269"/>
      <c r="X274" s="36"/>
    </row>
    <row r="275" spans="1:24" s="5" customFormat="1" ht="14">
      <c r="A275" s="43"/>
      <c r="B275" s="44" t="s">
        <v>276</v>
      </c>
      <c r="C275" s="9" t="s">
        <v>13</v>
      </c>
      <c r="D275" s="262">
        <v>1</v>
      </c>
      <c r="E275" s="163">
        <f t="shared" si="22"/>
        <v>0</v>
      </c>
      <c r="F275" s="164">
        <f t="shared" si="23"/>
        <v>0</v>
      </c>
      <c r="G275" s="310">
        <f t="shared" si="26"/>
        <v>604</v>
      </c>
      <c r="H275" s="161"/>
      <c r="I275" s="161"/>
      <c r="J275" s="162">
        <f t="shared" si="24"/>
        <v>0</v>
      </c>
      <c r="K275" s="162">
        <f t="shared" si="25"/>
        <v>0</v>
      </c>
      <c r="L275" s="269"/>
      <c r="X275" s="36"/>
    </row>
    <row r="276" spans="1:24" s="5" customFormat="1" ht="14">
      <c r="A276" s="43"/>
      <c r="B276" s="44" t="s">
        <v>277</v>
      </c>
      <c r="C276" s="9" t="s">
        <v>13</v>
      </c>
      <c r="D276" s="262">
        <v>1</v>
      </c>
      <c r="E276" s="163">
        <f t="shared" si="22"/>
        <v>0</v>
      </c>
      <c r="F276" s="164">
        <f t="shared" si="23"/>
        <v>0</v>
      </c>
      <c r="G276" s="310">
        <f t="shared" si="26"/>
        <v>605</v>
      </c>
      <c r="H276" s="161"/>
      <c r="I276" s="161"/>
      <c r="J276" s="162">
        <f t="shared" si="24"/>
        <v>0</v>
      </c>
      <c r="K276" s="162">
        <f t="shared" si="25"/>
        <v>0</v>
      </c>
      <c r="L276" s="269"/>
      <c r="X276" s="36"/>
    </row>
    <row r="277" spans="1:24" s="5" customFormat="1" ht="14">
      <c r="A277" s="43"/>
      <c r="B277" s="44"/>
      <c r="C277" s="9"/>
      <c r="D277" s="262"/>
      <c r="E277" s="163" t="str">
        <f t="shared" si="22"/>
        <v/>
      </c>
      <c r="F277" s="164" t="str">
        <f t="shared" si="23"/>
        <v/>
      </c>
      <c r="G277" s="310">
        <f t="shared" si="26"/>
        <v>606</v>
      </c>
      <c r="H277" s="161"/>
      <c r="I277" s="161"/>
      <c r="J277" s="162" t="str">
        <f t="shared" si="24"/>
        <v/>
      </c>
      <c r="K277" s="162" t="str">
        <f t="shared" si="25"/>
        <v/>
      </c>
      <c r="L277" s="269"/>
      <c r="X277" s="36"/>
    </row>
    <row r="278" spans="1:24" s="5" customFormat="1" ht="14">
      <c r="A278" s="43"/>
      <c r="B278" s="131" t="s">
        <v>263</v>
      </c>
      <c r="C278" s="9"/>
      <c r="D278" s="262"/>
      <c r="E278" s="163" t="str">
        <f t="shared" si="22"/>
        <v/>
      </c>
      <c r="F278" s="164" t="str">
        <f t="shared" si="23"/>
        <v/>
      </c>
      <c r="G278" s="310">
        <f t="shared" si="26"/>
        <v>607</v>
      </c>
      <c r="H278" s="161"/>
      <c r="I278" s="161"/>
      <c r="J278" s="162" t="str">
        <f t="shared" si="24"/>
        <v/>
      </c>
      <c r="K278" s="162" t="str">
        <f t="shared" si="25"/>
        <v/>
      </c>
      <c r="L278" s="269"/>
      <c r="X278" s="36"/>
    </row>
    <row r="279" spans="1:24" s="5" customFormat="1" ht="14">
      <c r="A279" s="43"/>
      <c r="B279" s="44" t="s">
        <v>52</v>
      </c>
      <c r="C279" s="9" t="s">
        <v>13</v>
      </c>
      <c r="D279" s="262"/>
      <c r="E279" s="163" t="str">
        <f t="shared" si="22"/>
        <v/>
      </c>
      <c r="F279" s="164" t="str">
        <f t="shared" si="23"/>
        <v/>
      </c>
      <c r="G279" s="310">
        <f t="shared" si="26"/>
        <v>608</v>
      </c>
      <c r="H279" s="161"/>
      <c r="I279" s="161"/>
      <c r="J279" s="162" t="str">
        <f t="shared" si="24"/>
        <v/>
      </c>
      <c r="K279" s="162" t="str">
        <f t="shared" si="25"/>
        <v/>
      </c>
      <c r="L279" s="269"/>
      <c r="X279" s="36"/>
    </row>
    <row r="280" spans="1:24" s="5" customFormat="1" ht="14">
      <c r="A280" s="43"/>
      <c r="B280" s="44" t="s">
        <v>269</v>
      </c>
      <c r="C280" s="9" t="s">
        <v>13</v>
      </c>
      <c r="D280" s="262"/>
      <c r="E280" s="163" t="str">
        <f t="shared" si="22"/>
        <v/>
      </c>
      <c r="F280" s="164" t="str">
        <f t="shared" si="23"/>
        <v/>
      </c>
      <c r="G280" s="310">
        <f t="shared" si="26"/>
        <v>609</v>
      </c>
      <c r="H280" s="161"/>
      <c r="I280" s="161"/>
      <c r="J280" s="162" t="str">
        <f t="shared" si="24"/>
        <v/>
      </c>
      <c r="K280" s="162" t="str">
        <f t="shared" si="25"/>
        <v/>
      </c>
      <c r="L280" s="269"/>
      <c r="X280" s="36"/>
    </row>
    <row r="281" spans="1:24" s="5" customFormat="1" ht="14">
      <c r="A281" s="43"/>
      <c r="B281" s="44" t="s">
        <v>53</v>
      </c>
      <c r="C281" s="9" t="s">
        <v>13</v>
      </c>
      <c r="D281" s="262"/>
      <c r="E281" s="163" t="str">
        <f t="shared" si="22"/>
        <v/>
      </c>
      <c r="F281" s="164" t="str">
        <f t="shared" si="23"/>
        <v/>
      </c>
      <c r="G281" s="310">
        <f t="shared" si="26"/>
        <v>610</v>
      </c>
      <c r="H281" s="161"/>
      <c r="I281" s="161"/>
      <c r="J281" s="162" t="str">
        <f t="shared" si="24"/>
        <v/>
      </c>
      <c r="K281" s="162" t="str">
        <f t="shared" si="25"/>
        <v/>
      </c>
      <c r="L281" s="269"/>
      <c r="X281" s="36"/>
    </row>
    <row r="282" spans="1:24" s="5" customFormat="1" ht="14">
      <c r="A282" s="43"/>
      <c r="B282" s="44" t="s">
        <v>72</v>
      </c>
      <c r="C282" s="9" t="s">
        <v>13</v>
      </c>
      <c r="D282" s="262"/>
      <c r="E282" s="163" t="str">
        <f t="shared" si="22"/>
        <v/>
      </c>
      <c r="F282" s="164" t="str">
        <f t="shared" si="23"/>
        <v/>
      </c>
      <c r="G282" s="310">
        <f t="shared" si="26"/>
        <v>611</v>
      </c>
      <c r="H282" s="161"/>
      <c r="I282" s="161"/>
      <c r="J282" s="162" t="str">
        <f t="shared" si="24"/>
        <v/>
      </c>
      <c r="K282" s="162" t="str">
        <f t="shared" si="25"/>
        <v/>
      </c>
      <c r="L282" s="269"/>
      <c r="X282" s="36"/>
    </row>
    <row r="283" spans="1:24" s="5" customFormat="1" ht="14">
      <c r="A283" s="43"/>
      <c r="B283" s="44" t="s">
        <v>275</v>
      </c>
      <c r="C283" s="9" t="s">
        <v>13</v>
      </c>
      <c r="D283" s="262"/>
      <c r="E283" s="163" t="str">
        <f t="shared" si="22"/>
        <v/>
      </c>
      <c r="F283" s="164" t="str">
        <f t="shared" si="23"/>
        <v/>
      </c>
      <c r="G283" s="310">
        <f t="shared" si="26"/>
        <v>612</v>
      </c>
      <c r="H283" s="161"/>
      <c r="I283" s="161"/>
      <c r="J283" s="162" t="str">
        <f t="shared" si="24"/>
        <v/>
      </c>
      <c r="K283" s="162" t="str">
        <f t="shared" si="25"/>
        <v/>
      </c>
      <c r="L283" s="269"/>
      <c r="X283" s="36"/>
    </row>
    <row r="284" spans="1:24" s="5" customFormat="1" ht="14">
      <c r="A284" s="43"/>
      <c r="B284" s="44" t="s">
        <v>447</v>
      </c>
      <c r="C284" s="9" t="s">
        <v>13</v>
      </c>
      <c r="D284" s="262"/>
      <c r="E284" s="163" t="str">
        <f t="shared" si="22"/>
        <v/>
      </c>
      <c r="F284" s="164" t="str">
        <f t="shared" si="23"/>
        <v/>
      </c>
      <c r="G284" s="310">
        <f t="shared" si="26"/>
        <v>613</v>
      </c>
      <c r="H284" s="161"/>
      <c r="I284" s="161"/>
      <c r="J284" s="162" t="str">
        <f t="shared" si="24"/>
        <v/>
      </c>
      <c r="K284" s="162" t="str">
        <f t="shared" si="25"/>
        <v/>
      </c>
      <c r="L284" s="269"/>
      <c r="X284" s="36"/>
    </row>
    <row r="285" spans="1:24" s="5" customFormat="1" ht="14">
      <c r="A285" s="43"/>
      <c r="B285" s="44"/>
      <c r="C285" s="9"/>
      <c r="D285" s="262"/>
      <c r="E285" s="163" t="str">
        <f t="shared" si="22"/>
        <v/>
      </c>
      <c r="F285" s="164" t="str">
        <f t="shared" si="23"/>
        <v/>
      </c>
      <c r="G285" s="310">
        <f t="shared" si="26"/>
        <v>614</v>
      </c>
      <c r="H285" s="161"/>
      <c r="I285" s="161"/>
      <c r="J285" s="162" t="str">
        <f t="shared" si="24"/>
        <v/>
      </c>
      <c r="K285" s="162" t="str">
        <f t="shared" si="25"/>
        <v/>
      </c>
      <c r="L285" s="269"/>
      <c r="X285" s="36"/>
    </row>
    <row r="286" spans="1:24" s="5" customFormat="1" ht="14">
      <c r="A286" s="43"/>
      <c r="B286" s="44" t="s">
        <v>54</v>
      </c>
      <c r="C286" s="9" t="s">
        <v>13</v>
      </c>
      <c r="D286" s="262"/>
      <c r="E286" s="163" t="str">
        <f t="shared" si="22"/>
        <v/>
      </c>
      <c r="F286" s="164" t="str">
        <f t="shared" si="23"/>
        <v/>
      </c>
      <c r="G286" s="310">
        <f t="shared" si="26"/>
        <v>615</v>
      </c>
      <c r="H286" s="161"/>
      <c r="I286" s="161"/>
      <c r="J286" s="162" t="str">
        <f t="shared" si="24"/>
        <v/>
      </c>
      <c r="K286" s="162" t="str">
        <f t="shared" si="25"/>
        <v/>
      </c>
      <c r="L286" s="269"/>
      <c r="X286" s="36"/>
    </row>
    <row r="287" spans="1:24" s="5" customFormat="1" ht="14">
      <c r="A287" s="43"/>
      <c r="B287" s="44" t="s">
        <v>55</v>
      </c>
      <c r="C287" s="9" t="s">
        <v>13</v>
      </c>
      <c r="D287" s="262"/>
      <c r="E287" s="163" t="str">
        <f t="shared" si="22"/>
        <v/>
      </c>
      <c r="F287" s="164" t="str">
        <f t="shared" si="23"/>
        <v/>
      </c>
      <c r="G287" s="310">
        <f t="shared" si="26"/>
        <v>616</v>
      </c>
      <c r="H287" s="161"/>
      <c r="I287" s="161"/>
      <c r="J287" s="162" t="str">
        <f t="shared" si="24"/>
        <v/>
      </c>
      <c r="K287" s="162" t="str">
        <f t="shared" si="25"/>
        <v/>
      </c>
      <c r="L287" s="269"/>
      <c r="X287" s="36"/>
    </row>
    <row r="288" spans="1:24" s="5" customFormat="1" ht="14">
      <c r="A288" s="43"/>
      <c r="B288" s="44" t="s">
        <v>268</v>
      </c>
      <c r="C288" s="9" t="s">
        <v>13</v>
      </c>
      <c r="D288" s="262"/>
      <c r="E288" s="163" t="str">
        <f t="shared" si="22"/>
        <v/>
      </c>
      <c r="F288" s="164" t="str">
        <f t="shared" si="23"/>
        <v/>
      </c>
      <c r="G288" s="310">
        <f t="shared" si="26"/>
        <v>617</v>
      </c>
      <c r="H288" s="161"/>
      <c r="I288" s="161"/>
      <c r="J288" s="162" t="str">
        <f t="shared" si="24"/>
        <v/>
      </c>
      <c r="K288" s="162" t="str">
        <f t="shared" si="25"/>
        <v/>
      </c>
      <c r="L288" s="269"/>
      <c r="X288" s="36"/>
    </row>
    <row r="289" spans="1:24" s="5" customFormat="1" ht="14">
      <c r="A289" s="43"/>
      <c r="B289" s="44" t="s">
        <v>271</v>
      </c>
      <c r="C289" s="9" t="s">
        <v>13</v>
      </c>
      <c r="D289" s="262"/>
      <c r="E289" s="163" t="str">
        <f t="shared" si="22"/>
        <v/>
      </c>
      <c r="F289" s="164" t="str">
        <f t="shared" si="23"/>
        <v/>
      </c>
      <c r="G289" s="310">
        <f t="shared" si="26"/>
        <v>618</v>
      </c>
      <c r="H289" s="161"/>
      <c r="I289" s="161"/>
      <c r="J289" s="162" t="str">
        <f t="shared" si="24"/>
        <v/>
      </c>
      <c r="K289" s="162" t="str">
        <f t="shared" si="25"/>
        <v/>
      </c>
      <c r="L289" s="269"/>
      <c r="X289" s="36"/>
    </row>
    <row r="290" spans="1:24" s="5" customFormat="1" ht="14">
      <c r="A290" s="43"/>
      <c r="B290" s="44" t="s">
        <v>272</v>
      </c>
      <c r="C290" s="9" t="s">
        <v>13</v>
      </c>
      <c r="D290" s="262"/>
      <c r="E290" s="163" t="str">
        <f t="shared" si="22"/>
        <v/>
      </c>
      <c r="F290" s="164" t="str">
        <f t="shared" si="23"/>
        <v/>
      </c>
      <c r="G290" s="310">
        <f t="shared" si="26"/>
        <v>619</v>
      </c>
      <c r="H290" s="161"/>
      <c r="I290" s="161"/>
      <c r="J290" s="162" t="str">
        <f t="shared" si="24"/>
        <v/>
      </c>
      <c r="K290" s="162" t="str">
        <f t="shared" si="25"/>
        <v/>
      </c>
      <c r="L290" s="269"/>
      <c r="X290" s="36"/>
    </row>
    <row r="291" spans="1:24" s="5" customFormat="1" ht="14">
      <c r="A291" s="43"/>
      <c r="B291" s="44" t="s">
        <v>126</v>
      </c>
      <c r="C291" s="9" t="s">
        <v>13</v>
      </c>
      <c r="D291" s="262"/>
      <c r="E291" s="163" t="str">
        <f t="shared" si="22"/>
        <v/>
      </c>
      <c r="F291" s="164" t="str">
        <f t="shared" si="23"/>
        <v/>
      </c>
      <c r="G291" s="310">
        <f t="shared" si="26"/>
        <v>620</v>
      </c>
      <c r="H291" s="161"/>
      <c r="I291" s="161"/>
      <c r="J291" s="162" t="str">
        <f t="shared" si="24"/>
        <v/>
      </c>
      <c r="K291" s="162" t="str">
        <f t="shared" si="25"/>
        <v/>
      </c>
      <c r="L291" s="269"/>
      <c r="X291" s="36"/>
    </row>
    <row r="292" spans="1:24" s="5" customFormat="1" ht="14">
      <c r="A292" s="43"/>
      <c r="B292" s="44" t="s">
        <v>101</v>
      </c>
      <c r="C292" s="9" t="s">
        <v>13</v>
      </c>
      <c r="D292" s="262"/>
      <c r="E292" s="163" t="str">
        <f t="shared" si="22"/>
        <v/>
      </c>
      <c r="F292" s="164" t="str">
        <f t="shared" si="23"/>
        <v/>
      </c>
      <c r="G292" s="310">
        <f t="shared" si="26"/>
        <v>621</v>
      </c>
      <c r="H292" s="161"/>
      <c r="I292" s="161"/>
      <c r="J292" s="162" t="str">
        <f t="shared" si="24"/>
        <v/>
      </c>
      <c r="K292" s="162" t="str">
        <f t="shared" si="25"/>
        <v/>
      </c>
      <c r="L292" s="269"/>
      <c r="X292" s="36"/>
    </row>
    <row r="293" spans="1:24" s="5" customFormat="1" ht="14">
      <c r="A293" s="43"/>
      <c r="B293" s="44" t="s">
        <v>266</v>
      </c>
      <c r="C293" s="9" t="s">
        <v>13</v>
      </c>
      <c r="D293" s="262"/>
      <c r="E293" s="163" t="str">
        <f t="shared" si="22"/>
        <v/>
      </c>
      <c r="F293" s="164" t="str">
        <f t="shared" si="23"/>
        <v/>
      </c>
      <c r="G293" s="310">
        <f t="shared" si="26"/>
        <v>622</v>
      </c>
      <c r="H293" s="161"/>
      <c r="I293" s="161"/>
      <c r="J293" s="162" t="str">
        <f t="shared" si="24"/>
        <v/>
      </c>
      <c r="K293" s="162" t="str">
        <f t="shared" si="25"/>
        <v/>
      </c>
      <c r="L293" s="269"/>
      <c r="X293" s="36"/>
    </row>
    <row r="294" spans="1:24" s="5" customFormat="1" ht="14">
      <c r="A294" s="43"/>
      <c r="B294" s="44" t="s">
        <v>276</v>
      </c>
      <c r="C294" s="9" t="s">
        <v>13</v>
      </c>
      <c r="D294" s="262"/>
      <c r="E294" s="163" t="str">
        <f t="shared" si="22"/>
        <v/>
      </c>
      <c r="F294" s="164" t="str">
        <f t="shared" si="23"/>
        <v/>
      </c>
      <c r="G294" s="310">
        <f t="shared" si="26"/>
        <v>623</v>
      </c>
      <c r="H294" s="161"/>
      <c r="I294" s="161"/>
      <c r="J294" s="162" t="str">
        <f t="shared" si="24"/>
        <v/>
      </c>
      <c r="K294" s="162" t="str">
        <f t="shared" si="25"/>
        <v/>
      </c>
      <c r="L294" s="269"/>
      <c r="X294" s="36"/>
    </row>
    <row r="295" spans="1:24" s="5" customFormat="1" ht="14">
      <c r="A295" s="43"/>
      <c r="B295" s="44" t="s">
        <v>277</v>
      </c>
      <c r="C295" s="9" t="s">
        <v>13</v>
      </c>
      <c r="D295" s="262"/>
      <c r="E295" s="163" t="str">
        <f t="shared" si="22"/>
        <v/>
      </c>
      <c r="F295" s="164" t="str">
        <f t="shared" si="23"/>
        <v/>
      </c>
      <c r="G295" s="310">
        <f t="shared" si="26"/>
        <v>624</v>
      </c>
      <c r="H295" s="161"/>
      <c r="I295" s="161"/>
      <c r="J295" s="162" t="str">
        <f t="shared" si="24"/>
        <v/>
      </c>
      <c r="K295" s="162" t="str">
        <f t="shared" si="25"/>
        <v/>
      </c>
      <c r="L295" s="269"/>
      <c r="X295" s="36"/>
    </row>
    <row r="296" spans="1:24" s="5" customFormat="1" ht="14">
      <c r="A296" s="43"/>
      <c r="B296" s="44"/>
      <c r="C296" s="9"/>
      <c r="D296" s="262"/>
      <c r="E296" s="163" t="str">
        <f t="shared" si="22"/>
        <v/>
      </c>
      <c r="F296" s="164" t="str">
        <f t="shared" si="23"/>
        <v/>
      </c>
      <c r="G296" s="310">
        <f t="shared" si="26"/>
        <v>625</v>
      </c>
      <c r="H296" s="161"/>
      <c r="I296" s="161"/>
      <c r="J296" s="162" t="str">
        <f t="shared" si="24"/>
        <v/>
      </c>
      <c r="K296" s="162" t="str">
        <f t="shared" si="25"/>
        <v/>
      </c>
      <c r="L296" s="269"/>
      <c r="X296" s="36"/>
    </row>
    <row r="297" spans="1:24" s="5" customFormat="1" ht="14">
      <c r="A297" s="43"/>
      <c r="B297" s="44" t="s">
        <v>446</v>
      </c>
      <c r="C297" s="9" t="s">
        <v>1</v>
      </c>
      <c r="D297" s="262"/>
      <c r="E297" s="163" t="str">
        <f t="shared" si="22"/>
        <v/>
      </c>
      <c r="F297" s="164" t="str">
        <f t="shared" si="23"/>
        <v/>
      </c>
      <c r="G297" s="310">
        <f t="shared" si="26"/>
        <v>626</v>
      </c>
      <c r="H297" s="161"/>
      <c r="I297" s="161"/>
      <c r="J297" s="162" t="str">
        <f t="shared" si="24"/>
        <v/>
      </c>
      <c r="K297" s="162" t="str">
        <f t="shared" si="25"/>
        <v/>
      </c>
      <c r="L297" s="269"/>
      <c r="X297" s="36"/>
    </row>
    <row r="298" spans="1:24" s="5" customFormat="1" ht="14">
      <c r="A298" s="43"/>
      <c r="B298" s="44" t="s">
        <v>167</v>
      </c>
      <c r="C298" s="9" t="s">
        <v>13</v>
      </c>
      <c r="D298" s="262">
        <v>1</v>
      </c>
      <c r="E298" s="163">
        <f t="shared" si="22"/>
        <v>0</v>
      </c>
      <c r="F298" s="164">
        <f t="shared" si="23"/>
        <v>0</v>
      </c>
      <c r="G298" s="310">
        <f t="shared" si="26"/>
        <v>627</v>
      </c>
      <c r="H298" s="161"/>
      <c r="I298" s="161"/>
      <c r="J298" s="162">
        <f t="shared" si="24"/>
        <v>0</v>
      </c>
      <c r="K298" s="162">
        <f t="shared" si="25"/>
        <v>0</v>
      </c>
      <c r="L298" s="269"/>
      <c r="X298" s="36"/>
    </row>
    <row r="299" spans="1:24" s="5" customFormat="1" ht="14">
      <c r="A299" s="43"/>
      <c r="B299" s="44"/>
      <c r="C299" s="9"/>
      <c r="D299" s="262"/>
      <c r="E299" s="163" t="str">
        <f t="shared" si="22"/>
        <v/>
      </c>
      <c r="F299" s="164" t="str">
        <f t="shared" si="23"/>
        <v/>
      </c>
      <c r="G299" s="310">
        <f t="shared" si="26"/>
        <v>628</v>
      </c>
      <c r="H299" s="161"/>
      <c r="I299" s="161"/>
      <c r="J299" s="162" t="str">
        <f t="shared" si="24"/>
        <v/>
      </c>
      <c r="K299" s="162" t="str">
        <f t="shared" si="25"/>
        <v/>
      </c>
      <c r="L299" s="269"/>
      <c r="X299" s="36"/>
    </row>
    <row r="300" spans="1:24" s="5" customFormat="1" ht="14">
      <c r="A300" s="43"/>
      <c r="B300" s="132" t="s">
        <v>444</v>
      </c>
      <c r="C300" s="9" t="s">
        <v>13</v>
      </c>
      <c r="D300" s="262"/>
      <c r="E300" s="163" t="str">
        <f t="shared" si="22"/>
        <v/>
      </c>
      <c r="F300" s="164" t="str">
        <f t="shared" si="23"/>
        <v/>
      </c>
      <c r="G300" s="310">
        <f t="shared" si="26"/>
        <v>629</v>
      </c>
      <c r="H300" s="161"/>
      <c r="I300" s="161"/>
      <c r="J300" s="162" t="str">
        <f t="shared" si="24"/>
        <v/>
      </c>
      <c r="K300" s="162" t="str">
        <f t="shared" si="25"/>
        <v/>
      </c>
      <c r="L300" s="269"/>
      <c r="X300" s="36"/>
    </row>
    <row r="301" spans="1:24" s="5" customFormat="1" ht="14">
      <c r="A301" s="43"/>
      <c r="B301" s="132" t="s">
        <v>445</v>
      </c>
      <c r="C301" s="9" t="s">
        <v>13</v>
      </c>
      <c r="D301" s="262"/>
      <c r="E301" s="163" t="str">
        <f t="shared" si="22"/>
        <v/>
      </c>
      <c r="F301" s="164" t="str">
        <f t="shared" si="23"/>
        <v/>
      </c>
      <c r="G301" s="310">
        <f t="shared" si="26"/>
        <v>630</v>
      </c>
      <c r="H301" s="161"/>
      <c r="I301" s="161"/>
      <c r="J301" s="162" t="str">
        <f t="shared" si="24"/>
        <v/>
      </c>
      <c r="K301" s="162" t="str">
        <f t="shared" si="25"/>
        <v/>
      </c>
      <c r="L301" s="269"/>
      <c r="X301" s="36"/>
    </row>
    <row r="302" spans="1:24" s="5" customFormat="1" ht="14">
      <c r="A302" s="43"/>
      <c r="B302" s="132" t="s">
        <v>443</v>
      </c>
      <c r="C302" s="9" t="s">
        <v>13</v>
      </c>
      <c r="D302" s="262"/>
      <c r="E302" s="163" t="str">
        <f t="shared" si="22"/>
        <v/>
      </c>
      <c r="F302" s="164" t="str">
        <f t="shared" si="23"/>
        <v/>
      </c>
      <c r="G302" s="310">
        <f t="shared" si="26"/>
        <v>631</v>
      </c>
      <c r="H302" s="161"/>
      <c r="I302" s="161"/>
      <c r="J302" s="162" t="str">
        <f t="shared" si="24"/>
        <v/>
      </c>
      <c r="K302" s="162" t="str">
        <f t="shared" si="25"/>
        <v/>
      </c>
      <c r="L302" s="269"/>
      <c r="X302" s="36"/>
    </row>
    <row r="303" spans="1:24" s="5" customFormat="1" ht="14">
      <c r="A303" s="2"/>
      <c r="B303" s="132" t="s">
        <v>264</v>
      </c>
      <c r="C303" s="9" t="s">
        <v>13</v>
      </c>
      <c r="D303" s="262">
        <v>15</v>
      </c>
      <c r="E303" s="163">
        <f t="shared" si="22"/>
        <v>0</v>
      </c>
      <c r="F303" s="164">
        <f t="shared" si="23"/>
        <v>0</v>
      </c>
      <c r="G303" s="310">
        <f t="shared" si="26"/>
        <v>632</v>
      </c>
      <c r="H303" s="161"/>
      <c r="I303" s="161"/>
      <c r="J303" s="162">
        <f t="shared" si="24"/>
        <v>0</v>
      </c>
      <c r="K303" s="162">
        <f t="shared" si="25"/>
        <v>0</v>
      </c>
      <c r="L303" s="269"/>
      <c r="X303" s="36"/>
    </row>
    <row r="304" spans="1:24" s="5" customFormat="1" ht="14">
      <c r="A304" s="43"/>
      <c r="B304" s="132" t="s">
        <v>265</v>
      </c>
      <c r="C304" s="9" t="s">
        <v>13</v>
      </c>
      <c r="D304" s="262">
        <v>15</v>
      </c>
      <c r="E304" s="163">
        <f t="shared" si="22"/>
        <v>0</v>
      </c>
      <c r="F304" s="164">
        <f t="shared" si="23"/>
        <v>0</v>
      </c>
      <c r="G304" s="310">
        <f t="shared" si="26"/>
        <v>633</v>
      </c>
      <c r="H304" s="161"/>
      <c r="I304" s="161"/>
      <c r="J304" s="162">
        <f t="shared" si="24"/>
        <v>0</v>
      </c>
      <c r="K304" s="162">
        <f t="shared" si="25"/>
        <v>0</v>
      </c>
      <c r="L304" s="269"/>
      <c r="X304" s="36"/>
    </row>
    <row r="305" spans="1:24" s="5" customFormat="1" ht="14">
      <c r="A305" s="43"/>
      <c r="B305" s="44"/>
      <c r="C305" s="9"/>
      <c r="D305" s="262"/>
      <c r="E305" s="163" t="str">
        <f t="shared" si="22"/>
        <v/>
      </c>
      <c r="F305" s="164" t="str">
        <f t="shared" si="23"/>
        <v/>
      </c>
      <c r="G305" s="310">
        <f t="shared" si="26"/>
        <v>634</v>
      </c>
      <c r="H305" s="161"/>
      <c r="I305" s="161"/>
      <c r="J305" s="162" t="str">
        <f t="shared" si="24"/>
        <v/>
      </c>
      <c r="K305" s="162" t="str">
        <f t="shared" si="25"/>
        <v/>
      </c>
      <c r="L305" s="269"/>
      <c r="X305" s="36"/>
    </row>
    <row r="306" spans="1:24" s="5" customFormat="1" ht="14">
      <c r="A306" s="43"/>
      <c r="B306" s="44" t="s">
        <v>166</v>
      </c>
      <c r="C306" s="9" t="s">
        <v>13</v>
      </c>
      <c r="D306" s="262">
        <v>1</v>
      </c>
      <c r="E306" s="163">
        <f t="shared" si="22"/>
        <v>0</v>
      </c>
      <c r="F306" s="164">
        <f t="shared" si="23"/>
        <v>0</v>
      </c>
      <c r="G306" s="310">
        <f t="shared" si="26"/>
        <v>635</v>
      </c>
      <c r="H306" s="161"/>
      <c r="I306" s="161"/>
      <c r="J306" s="162">
        <f t="shared" si="24"/>
        <v>0</v>
      </c>
      <c r="K306" s="162">
        <f t="shared" si="25"/>
        <v>0</v>
      </c>
      <c r="L306" s="269"/>
      <c r="X306" s="36"/>
    </row>
    <row r="307" spans="1:24" s="5" customFormat="1" ht="14">
      <c r="A307" s="43"/>
      <c r="B307" s="132"/>
      <c r="C307" s="8"/>
      <c r="D307" s="262"/>
      <c r="E307" s="163" t="str">
        <f t="shared" si="22"/>
        <v/>
      </c>
      <c r="F307" s="164" t="str">
        <f t="shared" si="23"/>
        <v/>
      </c>
      <c r="G307" s="310">
        <f t="shared" si="26"/>
        <v>636</v>
      </c>
      <c r="H307" s="161"/>
      <c r="I307" s="161"/>
      <c r="J307" s="162" t="str">
        <f t="shared" si="24"/>
        <v/>
      </c>
      <c r="K307" s="162" t="str">
        <f t="shared" si="25"/>
        <v/>
      </c>
      <c r="L307" s="269"/>
      <c r="X307" s="36"/>
    </row>
    <row r="308" spans="1:24" s="5" customFormat="1" ht="14">
      <c r="A308" s="43"/>
      <c r="B308" s="39" t="s">
        <v>280</v>
      </c>
      <c r="C308" s="9"/>
      <c r="D308" s="262"/>
      <c r="E308" s="163" t="str">
        <f t="shared" si="22"/>
        <v/>
      </c>
      <c r="F308" s="164" t="str">
        <f t="shared" si="23"/>
        <v/>
      </c>
      <c r="G308" s="310">
        <f t="shared" si="26"/>
        <v>637</v>
      </c>
      <c r="H308" s="161"/>
      <c r="I308" s="161"/>
      <c r="J308" s="162" t="str">
        <f t="shared" si="24"/>
        <v/>
      </c>
      <c r="K308" s="162" t="str">
        <f t="shared" si="25"/>
        <v/>
      </c>
      <c r="L308" s="269"/>
      <c r="X308" s="36"/>
    </row>
    <row r="309" spans="1:24" s="5" customFormat="1" ht="14">
      <c r="A309" s="43"/>
      <c r="B309" s="39" t="s">
        <v>281</v>
      </c>
      <c r="C309" s="27" t="s">
        <v>12</v>
      </c>
      <c r="D309" s="262">
        <f>D28</f>
        <v>10</v>
      </c>
      <c r="E309" s="163"/>
      <c r="F309" s="164">
        <f t="shared" si="23"/>
        <v>0</v>
      </c>
      <c r="G309" s="310">
        <f t="shared" si="26"/>
        <v>638</v>
      </c>
      <c r="H309" s="161"/>
      <c r="I309" s="161"/>
      <c r="J309" s="162">
        <f t="shared" si="24"/>
        <v>0</v>
      </c>
      <c r="K309" s="162">
        <f t="shared" si="25"/>
        <v>0</v>
      </c>
      <c r="L309" s="269"/>
      <c r="X309" s="36"/>
    </row>
    <row r="310" spans="1:24" s="5" customFormat="1" ht="14">
      <c r="A310" s="43"/>
      <c r="B310" s="38"/>
      <c r="C310" s="9"/>
      <c r="D310" s="262"/>
      <c r="E310" s="163" t="str">
        <f t="shared" si="22"/>
        <v/>
      </c>
      <c r="F310" s="164" t="str">
        <f t="shared" si="23"/>
        <v/>
      </c>
      <c r="G310" s="310">
        <f t="shared" si="26"/>
        <v>639</v>
      </c>
      <c r="H310" s="161"/>
      <c r="I310" s="161"/>
      <c r="J310" s="162" t="str">
        <f t="shared" si="24"/>
        <v/>
      </c>
      <c r="K310" s="162" t="str">
        <f t="shared" si="25"/>
        <v/>
      </c>
      <c r="L310" s="269"/>
      <c r="X310" s="36"/>
    </row>
    <row r="311" spans="1:24" s="5" customFormat="1" ht="14">
      <c r="A311" s="43"/>
      <c r="B311" s="73" t="s">
        <v>282</v>
      </c>
      <c r="C311" s="72"/>
      <c r="D311" s="262"/>
      <c r="E311" s="163" t="str">
        <f t="shared" si="22"/>
        <v/>
      </c>
      <c r="F311" s="164" t="str">
        <f t="shared" si="23"/>
        <v/>
      </c>
      <c r="G311" s="310">
        <f t="shared" si="26"/>
        <v>640</v>
      </c>
      <c r="H311" s="161"/>
      <c r="I311" s="161"/>
      <c r="J311" s="162" t="str">
        <f t="shared" si="24"/>
        <v/>
      </c>
      <c r="K311" s="162" t="str">
        <f t="shared" si="25"/>
        <v/>
      </c>
      <c r="L311" s="269"/>
      <c r="X311" s="36"/>
    </row>
    <row r="312" spans="1:24" s="5" customFormat="1" ht="14">
      <c r="A312" s="43"/>
      <c r="B312" s="127"/>
      <c r="C312" s="9"/>
      <c r="D312" s="262"/>
      <c r="E312" s="163" t="str">
        <f t="shared" ref="E312:E375" si="27">IF(D312="","",(((J312*$K$2)+(K312*$I$2*$I$3))*$K$3)/D312)</f>
        <v/>
      </c>
      <c r="F312" s="164" t="str">
        <f t="shared" ref="F312:F375" si="28">IF(D312="","",D312*E312)</f>
        <v/>
      </c>
      <c r="G312" s="310">
        <f t="shared" si="26"/>
        <v>641</v>
      </c>
      <c r="H312" s="161"/>
      <c r="I312" s="161"/>
      <c r="J312" s="162" t="str">
        <f t="shared" ref="J312:J375" si="29">IF(D312="","",H312*D312)</f>
        <v/>
      </c>
      <c r="K312" s="162" t="str">
        <f t="shared" ref="K312:K375" si="30">IF(D312="","",D312*I312)</f>
        <v/>
      </c>
      <c r="L312" s="269"/>
      <c r="X312" s="36"/>
    </row>
    <row r="313" spans="1:24" s="5" customFormat="1" ht="14">
      <c r="A313" s="2" t="s">
        <v>261</v>
      </c>
      <c r="B313" s="39" t="s">
        <v>389</v>
      </c>
      <c r="C313" s="9"/>
      <c r="D313" s="262"/>
      <c r="E313" s="163" t="str">
        <f t="shared" si="27"/>
        <v/>
      </c>
      <c r="F313" s="164" t="str">
        <f t="shared" si="28"/>
        <v/>
      </c>
      <c r="G313" s="310">
        <f t="shared" si="26"/>
        <v>642</v>
      </c>
      <c r="H313" s="161"/>
      <c r="I313" s="161"/>
      <c r="J313" s="162" t="str">
        <f t="shared" si="29"/>
        <v/>
      </c>
      <c r="K313" s="162" t="str">
        <f t="shared" si="30"/>
        <v/>
      </c>
      <c r="L313" s="269"/>
      <c r="X313" s="36"/>
    </row>
    <row r="314" spans="1:24" s="5" customFormat="1" ht="14">
      <c r="A314" s="43"/>
      <c r="B314" s="40"/>
      <c r="C314" s="9"/>
      <c r="D314" s="262"/>
      <c r="E314" s="163" t="str">
        <f t="shared" si="27"/>
        <v/>
      </c>
      <c r="F314" s="164" t="str">
        <f t="shared" si="28"/>
        <v/>
      </c>
      <c r="G314" s="310">
        <f t="shared" si="26"/>
        <v>643</v>
      </c>
      <c r="H314" s="161"/>
      <c r="I314" s="161"/>
      <c r="J314" s="162" t="str">
        <f t="shared" si="29"/>
        <v/>
      </c>
      <c r="K314" s="162" t="str">
        <f t="shared" si="30"/>
        <v/>
      </c>
      <c r="L314" s="269"/>
      <c r="X314" s="36"/>
    </row>
    <row r="315" spans="1:24" s="5" customFormat="1" ht="14">
      <c r="A315" s="43"/>
      <c r="B315" s="131" t="s">
        <v>262</v>
      </c>
      <c r="C315" s="9"/>
      <c r="D315" s="262"/>
      <c r="E315" s="163" t="str">
        <f t="shared" si="27"/>
        <v/>
      </c>
      <c r="F315" s="164" t="str">
        <f t="shared" si="28"/>
        <v/>
      </c>
      <c r="G315" s="310">
        <f t="shared" si="26"/>
        <v>644</v>
      </c>
      <c r="H315" s="161"/>
      <c r="I315" s="161"/>
      <c r="J315" s="162" t="str">
        <f t="shared" si="29"/>
        <v/>
      </c>
      <c r="K315" s="162" t="str">
        <f t="shared" si="30"/>
        <v/>
      </c>
      <c r="L315" s="269"/>
      <c r="X315" s="36"/>
    </row>
    <row r="316" spans="1:24" s="5" customFormat="1" ht="14">
      <c r="A316" s="43"/>
      <c r="B316" s="44" t="s">
        <v>52</v>
      </c>
      <c r="C316" s="9" t="s">
        <v>13</v>
      </c>
      <c r="D316" s="262">
        <v>10.133858267716535</v>
      </c>
      <c r="E316" s="163">
        <f t="shared" si="27"/>
        <v>0</v>
      </c>
      <c r="F316" s="164">
        <f t="shared" si="28"/>
        <v>0</v>
      </c>
      <c r="G316" s="310">
        <f t="shared" si="26"/>
        <v>645</v>
      </c>
      <c r="H316" s="161"/>
      <c r="I316" s="161"/>
      <c r="J316" s="162">
        <f t="shared" si="29"/>
        <v>0</v>
      </c>
      <c r="K316" s="162">
        <f t="shared" si="30"/>
        <v>0</v>
      </c>
      <c r="L316" s="269"/>
      <c r="X316" s="36"/>
    </row>
    <row r="317" spans="1:24" s="5" customFormat="1" ht="14">
      <c r="A317" s="43"/>
      <c r="B317" s="44" t="s">
        <v>269</v>
      </c>
      <c r="C317" s="9" t="s">
        <v>13</v>
      </c>
      <c r="D317" s="262">
        <f>1</f>
        <v>1</v>
      </c>
      <c r="E317" s="163">
        <f t="shared" si="27"/>
        <v>0</v>
      </c>
      <c r="F317" s="164">
        <f t="shared" si="28"/>
        <v>0</v>
      </c>
      <c r="G317" s="310">
        <f t="shared" si="26"/>
        <v>646</v>
      </c>
      <c r="H317" s="161"/>
      <c r="I317" s="161"/>
      <c r="J317" s="162">
        <f t="shared" si="29"/>
        <v>0</v>
      </c>
      <c r="K317" s="162">
        <f t="shared" si="30"/>
        <v>0</v>
      </c>
      <c r="L317" s="269"/>
      <c r="X317" s="36"/>
    </row>
    <row r="318" spans="1:24" s="5" customFormat="1" ht="14">
      <c r="A318" s="43"/>
      <c r="B318" s="44" t="s">
        <v>53</v>
      </c>
      <c r="C318" s="9" t="s">
        <v>13</v>
      </c>
      <c r="D318" s="275">
        <v>0.95238095238095233</v>
      </c>
      <c r="E318" s="163">
        <f t="shared" si="27"/>
        <v>0</v>
      </c>
      <c r="F318" s="164">
        <f t="shared" si="28"/>
        <v>0</v>
      </c>
      <c r="G318" s="310">
        <f t="shared" si="26"/>
        <v>647</v>
      </c>
      <c r="H318" s="161"/>
      <c r="I318" s="161"/>
      <c r="J318" s="162">
        <f t="shared" si="29"/>
        <v>0</v>
      </c>
      <c r="K318" s="162">
        <f t="shared" si="30"/>
        <v>0</v>
      </c>
      <c r="L318" s="269"/>
      <c r="X318" s="36"/>
    </row>
    <row r="319" spans="1:24" s="5" customFormat="1" ht="14">
      <c r="A319" s="43"/>
      <c r="B319" s="44" t="s">
        <v>72</v>
      </c>
      <c r="C319" s="9" t="s">
        <v>13</v>
      </c>
      <c r="D319" s="262">
        <v>7</v>
      </c>
      <c r="E319" s="163">
        <f t="shared" si="27"/>
        <v>0</v>
      </c>
      <c r="F319" s="164">
        <f t="shared" si="28"/>
        <v>0</v>
      </c>
      <c r="G319" s="310">
        <f t="shared" si="26"/>
        <v>648</v>
      </c>
      <c r="H319" s="161"/>
      <c r="I319" s="161"/>
      <c r="J319" s="162">
        <f t="shared" si="29"/>
        <v>0</v>
      </c>
      <c r="K319" s="162">
        <f t="shared" si="30"/>
        <v>0</v>
      </c>
      <c r="L319" s="269"/>
      <c r="X319" s="36"/>
    </row>
    <row r="320" spans="1:24" s="5" customFormat="1" ht="14">
      <c r="A320" s="43"/>
      <c r="B320" s="44" t="s">
        <v>275</v>
      </c>
      <c r="C320" s="9" t="s">
        <v>13</v>
      </c>
      <c r="D320" s="262"/>
      <c r="E320" s="163" t="str">
        <f t="shared" si="27"/>
        <v/>
      </c>
      <c r="F320" s="164" t="str">
        <f t="shared" si="28"/>
        <v/>
      </c>
      <c r="G320" s="310">
        <f t="shared" si="26"/>
        <v>649</v>
      </c>
      <c r="H320" s="161"/>
      <c r="I320" s="161"/>
      <c r="J320" s="162" t="str">
        <f t="shared" si="29"/>
        <v/>
      </c>
      <c r="K320" s="162" t="str">
        <f t="shared" si="30"/>
        <v/>
      </c>
      <c r="L320" s="269"/>
      <c r="X320" s="36"/>
    </row>
    <row r="321" spans="1:24" s="5" customFormat="1" ht="14">
      <c r="A321" s="43"/>
      <c r="B321" s="44" t="s">
        <v>447</v>
      </c>
      <c r="C321" s="9" t="s">
        <v>13</v>
      </c>
      <c r="D321" s="262">
        <v>1</v>
      </c>
      <c r="E321" s="163">
        <f t="shared" si="27"/>
        <v>0</v>
      </c>
      <c r="F321" s="164">
        <f t="shared" si="28"/>
        <v>0</v>
      </c>
      <c r="G321" s="310">
        <f t="shared" si="26"/>
        <v>650</v>
      </c>
      <c r="H321" s="161"/>
      <c r="I321" s="161"/>
      <c r="J321" s="162">
        <f t="shared" si="29"/>
        <v>0</v>
      </c>
      <c r="K321" s="162">
        <f t="shared" si="30"/>
        <v>0</v>
      </c>
      <c r="L321" s="269"/>
      <c r="X321" s="36"/>
    </row>
    <row r="322" spans="1:24" s="5" customFormat="1" ht="14">
      <c r="A322" s="43"/>
      <c r="B322" s="44"/>
      <c r="C322" s="9"/>
      <c r="D322" s="262"/>
      <c r="E322" s="163" t="str">
        <f t="shared" si="27"/>
        <v/>
      </c>
      <c r="F322" s="164" t="str">
        <f t="shared" si="28"/>
        <v/>
      </c>
      <c r="G322" s="310">
        <f t="shared" si="26"/>
        <v>651</v>
      </c>
      <c r="H322" s="161"/>
      <c r="I322" s="161"/>
      <c r="J322" s="162" t="str">
        <f t="shared" si="29"/>
        <v/>
      </c>
      <c r="K322" s="162" t="str">
        <f t="shared" si="30"/>
        <v/>
      </c>
      <c r="L322" s="269"/>
      <c r="X322" s="36"/>
    </row>
    <row r="323" spans="1:24" s="5" customFormat="1" ht="14">
      <c r="A323" s="43"/>
      <c r="B323" s="44" t="s">
        <v>54</v>
      </c>
      <c r="C323" s="9" t="s">
        <v>13</v>
      </c>
      <c r="D323" s="262">
        <f>(10+5)+(9+1)-1</f>
        <v>24</v>
      </c>
      <c r="E323" s="163">
        <f t="shared" si="27"/>
        <v>0</v>
      </c>
      <c r="F323" s="164">
        <f t="shared" si="28"/>
        <v>0</v>
      </c>
      <c r="G323" s="310">
        <f t="shared" si="26"/>
        <v>652</v>
      </c>
      <c r="H323" s="161"/>
      <c r="I323" s="161"/>
      <c r="J323" s="162">
        <f t="shared" si="29"/>
        <v>0</v>
      </c>
      <c r="K323" s="162">
        <f t="shared" si="30"/>
        <v>0</v>
      </c>
      <c r="L323" s="269"/>
      <c r="X323" s="36"/>
    </row>
    <row r="324" spans="1:24" s="5" customFormat="1" ht="14">
      <c r="A324" s="43"/>
      <c r="B324" s="44" t="s">
        <v>55</v>
      </c>
      <c r="C324" s="9" t="s">
        <v>13</v>
      </c>
      <c r="D324" s="262">
        <v>9</v>
      </c>
      <c r="E324" s="163">
        <f t="shared" si="27"/>
        <v>0</v>
      </c>
      <c r="F324" s="164">
        <f t="shared" si="28"/>
        <v>0</v>
      </c>
      <c r="G324" s="310">
        <f t="shared" si="26"/>
        <v>653</v>
      </c>
      <c r="H324" s="161"/>
      <c r="I324" s="161"/>
      <c r="J324" s="162">
        <f t="shared" si="29"/>
        <v>0</v>
      </c>
      <c r="K324" s="162">
        <f t="shared" si="30"/>
        <v>0</v>
      </c>
      <c r="L324" s="269"/>
      <c r="X324" s="36"/>
    </row>
    <row r="325" spans="1:24" s="5" customFormat="1" ht="14">
      <c r="A325" s="43"/>
      <c r="B325" s="44" t="s">
        <v>268</v>
      </c>
      <c r="C325" s="9" t="s">
        <v>13</v>
      </c>
      <c r="D325" s="262">
        <f>1</f>
        <v>1</v>
      </c>
      <c r="E325" s="163">
        <f t="shared" si="27"/>
        <v>0</v>
      </c>
      <c r="F325" s="164">
        <f t="shared" si="28"/>
        <v>0</v>
      </c>
      <c r="G325" s="310">
        <f t="shared" si="26"/>
        <v>654</v>
      </c>
      <c r="H325" s="161"/>
      <c r="I325" s="161"/>
      <c r="J325" s="162">
        <f t="shared" si="29"/>
        <v>0</v>
      </c>
      <c r="K325" s="162">
        <f t="shared" si="30"/>
        <v>0</v>
      </c>
      <c r="L325" s="269"/>
      <c r="X325" s="36"/>
    </row>
    <row r="326" spans="1:24" s="5" customFormat="1" ht="14">
      <c r="A326" s="43"/>
      <c r="B326" s="44" t="s">
        <v>271</v>
      </c>
      <c r="C326" s="9" t="s">
        <v>13</v>
      </c>
      <c r="D326" s="262">
        <f>1</f>
        <v>1</v>
      </c>
      <c r="E326" s="163">
        <f t="shared" si="27"/>
        <v>0</v>
      </c>
      <c r="F326" s="164">
        <f t="shared" si="28"/>
        <v>0</v>
      </c>
      <c r="G326" s="310">
        <f t="shared" si="26"/>
        <v>655</v>
      </c>
      <c r="H326" s="161"/>
      <c r="I326" s="161"/>
      <c r="J326" s="162">
        <f t="shared" si="29"/>
        <v>0</v>
      </c>
      <c r="K326" s="162">
        <f t="shared" si="30"/>
        <v>0</v>
      </c>
      <c r="L326" s="269"/>
      <c r="X326" s="36"/>
    </row>
    <row r="327" spans="1:24" s="5" customFormat="1" ht="14">
      <c r="A327" s="43"/>
      <c r="B327" s="44" t="s">
        <v>272</v>
      </c>
      <c r="C327" s="9" t="s">
        <v>13</v>
      </c>
      <c r="D327" s="262">
        <v>1</v>
      </c>
      <c r="E327" s="163">
        <f t="shared" si="27"/>
        <v>0</v>
      </c>
      <c r="F327" s="164">
        <f t="shared" si="28"/>
        <v>0</v>
      </c>
      <c r="G327" s="310">
        <f t="shared" si="26"/>
        <v>656</v>
      </c>
      <c r="H327" s="161"/>
      <c r="I327" s="161"/>
      <c r="J327" s="162">
        <f t="shared" si="29"/>
        <v>0</v>
      </c>
      <c r="K327" s="162">
        <f t="shared" si="30"/>
        <v>0</v>
      </c>
      <c r="L327" s="269"/>
      <c r="X327" s="36"/>
    </row>
    <row r="328" spans="1:24" s="5" customFormat="1" ht="14">
      <c r="A328" s="43"/>
      <c r="B328" s="44" t="s">
        <v>126</v>
      </c>
      <c r="C328" s="9" t="s">
        <v>13</v>
      </c>
      <c r="D328" s="262">
        <v>1</v>
      </c>
      <c r="E328" s="163">
        <f t="shared" si="27"/>
        <v>0</v>
      </c>
      <c r="F328" s="164">
        <f t="shared" si="28"/>
        <v>0</v>
      </c>
      <c r="G328" s="310">
        <f t="shared" si="26"/>
        <v>657</v>
      </c>
      <c r="H328" s="161"/>
      <c r="I328" s="161"/>
      <c r="J328" s="162">
        <f t="shared" si="29"/>
        <v>0</v>
      </c>
      <c r="K328" s="162">
        <f t="shared" si="30"/>
        <v>0</v>
      </c>
      <c r="L328" s="269"/>
      <c r="X328" s="36"/>
    </row>
    <row r="329" spans="1:24" s="5" customFormat="1" ht="14">
      <c r="A329" s="43"/>
      <c r="B329" s="44" t="s">
        <v>101</v>
      </c>
      <c r="C329" s="9" t="s">
        <v>13</v>
      </c>
      <c r="D329" s="262">
        <v>1</v>
      </c>
      <c r="E329" s="163">
        <f t="shared" si="27"/>
        <v>0</v>
      </c>
      <c r="F329" s="164">
        <f t="shared" si="28"/>
        <v>0</v>
      </c>
      <c r="G329" s="310">
        <f t="shared" si="26"/>
        <v>658</v>
      </c>
      <c r="H329" s="161"/>
      <c r="I329" s="161"/>
      <c r="J329" s="162">
        <f t="shared" si="29"/>
        <v>0</v>
      </c>
      <c r="K329" s="162">
        <f t="shared" si="30"/>
        <v>0</v>
      </c>
      <c r="L329" s="269"/>
      <c r="X329" s="36"/>
    </row>
    <row r="330" spans="1:24" s="5" customFormat="1" ht="14">
      <c r="A330" s="43"/>
      <c r="B330" s="44" t="s">
        <v>266</v>
      </c>
      <c r="C330" s="9" t="s">
        <v>13</v>
      </c>
      <c r="D330" s="262">
        <f>4+4</f>
        <v>8</v>
      </c>
      <c r="E330" s="163">
        <f t="shared" si="27"/>
        <v>0</v>
      </c>
      <c r="F330" s="164">
        <f t="shared" si="28"/>
        <v>0</v>
      </c>
      <c r="G330" s="310">
        <f t="shared" si="26"/>
        <v>659</v>
      </c>
      <c r="H330" s="161"/>
      <c r="I330" s="161"/>
      <c r="J330" s="162">
        <f t="shared" si="29"/>
        <v>0</v>
      </c>
      <c r="K330" s="162">
        <f t="shared" si="30"/>
        <v>0</v>
      </c>
      <c r="L330" s="269"/>
      <c r="X330" s="36"/>
    </row>
    <row r="331" spans="1:24" s="5" customFormat="1" ht="14">
      <c r="A331" s="43"/>
      <c r="B331" s="44" t="s">
        <v>276</v>
      </c>
      <c r="C331" s="9" t="s">
        <v>13</v>
      </c>
      <c r="D331" s="262">
        <f>1+1</f>
        <v>2</v>
      </c>
      <c r="E331" s="163">
        <f t="shared" si="27"/>
        <v>0</v>
      </c>
      <c r="F331" s="164">
        <f t="shared" si="28"/>
        <v>0</v>
      </c>
      <c r="G331" s="310">
        <f t="shared" si="26"/>
        <v>660</v>
      </c>
      <c r="H331" s="161"/>
      <c r="I331" s="161"/>
      <c r="J331" s="162">
        <f t="shared" si="29"/>
        <v>0</v>
      </c>
      <c r="K331" s="162">
        <f t="shared" si="30"/>
        <v>0</v>
      </c>
      <c r="L331" s="269"/>
      <c r="X331" s="36"/>
    </row>
    <row r="332" spans="1:24" s="5" customFormat="1" ht="14">
      <c r="A332" s="43"/>
      <c r="B332" s="44" t="s">
        <v>277</v>
      </c>
      <c r="C332" s="9" t="s">
        <v>13</v>
      </c>
      <c r="D332" s="262">
        <f>1+1</f>
        <v>2</v>
      </c>
      <c r="E332" s="163">
        <f t="shared" si="27"/>
        <v>0</v>
      </c>
      <c r="F332" s="164">
        <f t="shared" si="28"/>
        <v>0</v>
      </c>
      <c r="G332" s="310">
        <f t="shared" si="26"/>
        <v>661</v>
      </c>
      <c r="H332" s="161"/>
      <c r="I332" s="161"/>
      <c r="J332" s="162">
        <f t="shared" si="29"/>
        <v>0</v>
      </c>
      <c r="K332" s="162">
        <f t="shared" si="30"/>
        <v>0</v>
      </c>
      <c r="L332" s="269"/>
      <c r="X332" s="36"/>
    </row>
    <row r="333" spans="1:24" s="5" customFormat="1" ht="14">
      <c r="A333" s="43"/>
      <c r="B333" s="44"/>
      <c r="C333" s="9"/>
      <c r="D333" s="262"/>
      <c r="E333" s="163" t="str">
        <f t="shared" si="27"/>
        <v/>
      </c>
      <c r="F333" s="164" t="str">
        <f t="shared" si="28"/>
        <v/>
      </c>
      <c r="G333" s="310">
        <f t="shared" si="26"/>
        <v>662</v>
      </c>
      <c r="H333" s="161"/>
      <c r="I333" s="161"/>
      <c r="J333" s="162" t="str">
        <f t="shared" si="29"/>
        <v/>
      </c>
      <c r="K333" s="162" t="str">
        <f t="shared" si="30"/>
        <v/>
      </c>
      <c r="L333" s="269"/>
      <c r="X333" s="36"/>
    </row>
    <row r="334" spans="1:24" s="5" customFormat="1" ht="14">
      <c r="A334" s="43"/>
      <c r="B334" s="131" t="s">
        <v>263</v>
      </c>
      <c r="C334" s="9"/>
      <c r="D334" s="262"/>
      <c r="E334" s="163" t="str">
        <f t="shared" si="27"/>
        <v/>
      </c>
      <c r="F334" s="164" t="str">
        <f t="shared" si="28"/>
        <v/>
      </c>
      <c r="G334" s="310">
        <f t="shared" si="26"/>
        <v>663</v>
      </c>
      <c r="H334" s="161"/>
      <c r="I334" s="161"/>
      <c r="J334" s="162" t="str">
        <f t="shared" si="29"/>
        <v/>
      </c>
      <c r="K334" s="162" t="str">
        <f t="shared" si="30"/>
        <v/>
      </c>
      <c r="L334" s="269"/>
      <c r="X334" s="36"/>
    </row>
    <row r="335" spans="1:24" s="5" customFormat="1" ht="14">
      <c r="A335" s="43"/>
      <c r="B335" s="44" t="s">
        <v>52</v>
      </c>
      <c r="C335" s="9" t="s">
        <v>13</v>
      </c>
      <c r="D335" s="262"/>
      <c r="E335" s="163" t="str">
        <f t="shared" si="27"/>
        <v/>
      </c>
      <c r="F335" s="164" t="str">
        <f t="shared" si="28"/>
        <v/>
      </c>
      <c r="G335" s="310">
        <f t="shared" si="26"/>
        <v>664</v>
      </c>
      <c r="H335" s="161"/>
      <c r="I335" s="161"/>
      <c r="J335" s="162" t="str">
        <f t="shared" si="29"/>
        <v/>
      </c>
      <c r="K335" s="162" t="str">
        <f t="shared" si="30"/>
        <v/>
      </c>
      <c r="L335" s="269"/>
      <c r="X335" s="36"/>
    </row>
    <row r="336" spans="1:24" s="5" customFormat="1" ht="14">
      <c r="A336" s="43"/>
      <c r="B336" s="44" t="s">
        <v>269</v>
      </c>
      <c r="C336" s="9" t="s">
        <v>13</v>
      </c>
      <c r="D336" s="262"/>
      <c r="E336" s="163" t="str">
        <f t="shared" si="27"/>
        <v/>
      </c>
      <c r="F336" s="164" t="str">
        <f t="shared" si="28"/>
        <v/>
      </c>
      <c r="G336" s="310">
        <f t="shared" si="26"/>
        <v>665</v>
      </c>
      <c r="H336" s="161"/>
      <c r="I336" s="161"/>
      <c r="J336" s="162" t="str">
        <f t="shared" si="29"/>
        <v/>
      </c>
      <c r="K336" s="162" t="str">
        <f t="shared" si="30"/>
        <v/>
      </c>
      <c r="L336" s="269"/>
      <c r="X336" s="36"/>
    </row>
    <row r="337" spans="1:24" s="5" customFormat="1" ht="14">
      <c r="A337" s="43"/>
      <c r="B337" s="44" t="s">
        <v>53</v>
      </c>
      <c r="C337" s="9" t="s">
        <v>13</v>
      </c>
      <c r="D337" s="262"/>
      <c r="E337" s="163" t="str">
        <f t="shared" si="27"/>
        <v/>
      </c>
      <c r="F337" s="164" t="str">
        <f t="shared" si="28"/>
        <v/>
      </c>
      <c r="G337" s="310">
        <f t="shared" si="26"/>
        <v>666</v>
      </c>
      <c r="H337" s="161"/>
      <c r="I337" s="161"/>
      <c r="J337" s="162" t="str">
        <f t="shared" si="29"/>
        <v/>
      </c>
      <c r="K337" s="162" t="str">
        <f t="shared" si="30"/>
        <v/>
      </c>
      <c r="L337" s="269"/>
      <c r="X337" s="36"/>
    </row>
    <row r="338" spans="1:24" s="5" customFormat="1" ht="14">
      <c r="A338" s="43"/>
      <c r="B338" s="44" t="s">
        <v>72</v>
      </c>
      <c r="C338" s="9" t="s">
        <v>13</v>
      </c>
      <c r="D338" s="262"/>
      <c r="E338" s="163" t="str">
        <f t="shared" si="27"/>
        <v/>
      </c>
      <c r="F338" s="164" t="str">
        <f t="shared" si="28"/>
        <v/>
      </c>
      <c r="G338" s="310">
        <f t="shared" ref="G338:G388" si="31">G337+1</f>
        <v>667</v>
      </c>
      <c r="H338" s="161"/>
      <c r="I338" s="161"/>
      <c r="J338" s="162" t="str">
        <f t="shared" si="29"/>
        <v/>
      </c>
      <c r="K338" s="162" t="str">
        <f t="shared" si="30"/>
        <v/>
      </c>
      <c r="L338" s="269"/>
      <c r="X338" s="36"/>
    </row>
    <row r="339" spans="1:24" s="5" customFormat="1" ht="14">
      <c r="A339" s="43"/>
      <c r="B339" s="44" t="s">
        <v>275</v>
      </c>
      <c r="C339" s="9" t="s">
        <v>13</v>
      </c>
      <c r="D339" s="262"/>
      <c r="E339" s="163" t="str">
        <f t="shared" si="27"/>
        <v/>
      </c>
      <c r="F339" s="164" t="str">
        <f t="shared" si="28"/>
        <v/>
      </c>
      <c r="G339" s="310">
        <f t="shared" si="31"/>
        <v>668</v>
      </c>
      <c r="H339" s="161"/>
      <c r="I339" s="161"/>
      <c r="J339" s="162" t="str">
        <f t="shared" si="29"/>
        <v/>
      </c>
      <c r="K339" s="162" t="str">
        <f t="shared" si="30"/>
        <v/>
      </c>
      <c r="L339" s="269"/>
      <c r="X339" s="36"/>
    </row>
    <row r="340" spans="1:24" s="5" customFormat="1" ht="14">
      <c r="A340" s="43"/>
      <c r="B340" s="44" t="s">
        <v>447</v>
      </c>
      <c r="C340" s="9" t="s">
        <v>13</v>
      </c>
      <c r="D340" s="262"/>
      <c r="E340" s="163" t="str">
        <f t="shared" si="27"/>
        <v/>
      </c>
      <c r="F340" s="164" t="str">
        <f t="shared" si="28"/>
        <v/>
      </c>
      <c r="G340" s="310">
        <f t="shared" si="31"/>
        <v>669</v>
      </c>
      <c r="H340" s="161"/>
      <c r="I340" s="161"/>
      <c r="J340" s="162" t="str">
        <f t="shared" si="29"/>
        <v/>
      </c>
      <c r="K340" s="162" t="str">
        <f t="shared" si="30"/>
        <v/>
      </c>
      <c r="L340" s="269"/>
      <c r="X340" s="36"/>
    </row>
    <row r="341" spans="1:24" s="5" customFormat="1" ht="14">
      <c r="A341" s="43"/>
      <c r="B341" s="44"/>
      <c r="C341" s="9"/>
      <c r="D341" s="262"/>
      <c r="E341" s="163" t="str">
        <f t="shared" si="27"/>
        <v/>
      </c>
      <c r="F341" s="164" t="str">
        <f t="shared" si="28"/>
        <v/>
      </c>
      <c r="G341" s="310">
        <f t="shared" si="31"/>
        <v>670</v>
      </c>
      <c r="H341" s="161"/>
      <c r="I341" s="161"/>
      <c r="J341" s="162" t="str">
        <f t="shared" si="29"/>
        <v/>
      </c>
      <c r="K341" s="162" t="str">
        <f t="shared" si="30"/>
        <v/>
      </c>
      <c r="L341" s="269"/>
      <c r="X341" s="36"/>
    </row>
    <row r="342" spans="1:24" s="5" customFormat="1" ht="14">
      <c r="A342" s="43"/>
      <c r="B342" s="44" t="s">
        <v>54</v>
      </c>
      <c r="C342" s="9" t="s">
        <v>13</v>
      </c>
      <c r="D342" s="262"/>
      <c r="E342" s="163" t="str">
        <f t="shared" si="27"/>
        <v/>
      </c>
      <c r="F342" s="164" t="str">
        <f t="shared" si="28"/>
        <v/>
      </c>
      <c r="G342" s="310">
        <f t="shared" si="31"/>
        <v>671</v>
      </c>
      <c r="H342" s="161"/>
      <c r="I342" s="161"/>
      <c r="J342" s="162" t="str">
        <f t="shared" si="29"/>
        <v/>
      </c>
      <c r="K342" s="162" t="str">
        <f t="shared" si="30"/>
        <v/>
      </c>
      <c r="L342" s="269"/>
      <c r="X342" s="36"/>
    </row>
    <row r="343" spans="1:24" s="5" customFormat="1" ht="14">
      <c r="A343" s="43"/>
      <c r="B343" s="44" t="s">
        <v>55</v>
      </c>
      <c r="C343" s="9" t="s">
        <v>13</v>
      </c>
      <c r="D343" s="262"/>
      <c r="E343" s="163" t="str">
        <f t="shared" si="27"/>
        <v/>
      </c>
      <c r="F343" s="164" t="str">
        <f t="shared" si="28"/>
        <v/>
      </c>
      <c r="G343" s="310">
        <f t="shared" si="31"/>
        <v>672</v>
      </c>
      <c r="H343" s="161"/>
      <c r="I343" s="161"/>
      <c r="J343" s="162" t="str">
        <f t="shared" si="29"/>
        <v/>
      </c>
      <c r="K343" s="162" t="str">
        <f t="shared" si="30"/>
        <v/>
      </c>
      <c r="L343" s="269"/>
      <c r="X343" s="36"/>
    </row>
    <row r="344" spans="1:24" s="5" customFormat="1" ht="14">
      <c r="A344" s="43"/>
      <c r="B344" s="44" t="s">
        <v>268</v>
      </c>
      <c r="C344" s="9" t="s">
        <v>13</v>
      </c>
      <c r="D344" s="262"/>
      <c r="E344" s="163" t="str">
        <f t="shared" si="27"/>
        <v/>
      </c>
      <c r="F344" s="164" t="str">
        <f t="shared" si="28"/>
        <v/>
      </c>
      <c r="G344" s="310">
        <f t="shared" si="31"/>
        <v>673</v>
      </c>
      <c r="H344" s="161"/>
      <c r="I344" s="161"/>
      <c r="J344" s="162" t="str">
        <f t="shared" si="29"/>
        <v/>
      </c>
      <c r="K344" s="162" t="str">
        <f t="shared" si="30"/>
        <v/>
      </c>
      <c r="L344" s="269"/>
      <c r="X344" s="36"/>
    </row>
    <row r="345" spans="1:24" s="5" customFormat="1" ht="14">
      <c r="A345" s="43"/>
      <c r="B345" s="44" t="s">
        <v>271</v>
      </c>
      <c r="C345" s="9" t="s">
        <v>13</v>
      </c>
      <c r="D345" s="262"/>
      <c r="E345" s="163" t="str">
        <f t="shared" si="27"/>
        <v/>
      </c>
      <c r="F345" s="164" t="str">
        <f t="shared" si="28"/>
        <v/>
      </c>
      <c r="G345" s="310">
        <f t="shared" si="31"/>
        <v>674</v>
      </c>
      <c r="H345" s="161"/>
      <c r="I345" s="161"/>
      <c r="J345" s="162" t="str">
        <f t="shared" si="29"/>
        <v/>
      </c>
      <c r="K345" s="162" t="str">
        <f t="shared" si="30"/>
        <v/>
      </c>
      <c r="L345" s="269"/>
      <c r="X345" s="36"/>
    </row>
    <row r="346" spans="1:24" s="5" customFormat="1" ht="14">
      <c r="A346" s="43"/>
      <c r="B346" s="44" t="s">
        <v>272</v>
      </c>
      <c r="C346" s="9" t="s">
        <v>13</v>
      </c>
      <c r="D346" s="262"/>
      <c r="E346" s="163" t="str">
        <f t="shared" si="27"/>
        <v/>
      </c>
      <c r="F346" s="164" t="str">
        <f t="shared" si="28"/>
        <v/>
      </c>
      <c r="G346" s="310">
        <f t="shared" si="31"/>
        <v>675</v>
      </c>
      <c r="H346" s="161"/>
      <c r="I346" s="161"/>
      <c r="J346" s="162" t="str">
        <f t="shared" si="29"/>
        <v/>
      </c>
      <c r="K346" s="162" t="str">
        <f t="shared" si="30"/>
        <v/>
      </c>
      <c r="L346" s="269"/>
      <c r="X346" s="36"/>
    </row>
    <row r="347" spans="1:24" s="5" customFormat="1" ht="14">
      <c r="A347" s="43"/>
      <c r="B347" s="44" t="s">
        <v>126</v>
      </c>
      <c r="C347" s="9" t="s">
        <v>13</v>
      </c>
      <c r="D347" s="262"/>
      <c r="E347" s="163" t="str">
        <f t="shared" si="27"/>
        <v/>
      </c>
      <c r="F347" s="164" t="str">
        <f t="shared" si="28"/>
        <v/>
      </c>
      <c r="G347" s="310">
        <f t="shared" si="31"/>
        <v>676</v>
      </c>
      <c r="H347" s="161"/>
      <c r="I347" s="161"/>
      <c r="J347" s="162" t="str">
        <f t="shared" si="29"/>
        <v/>
      </c>
      <c r="K347" s="162" t="str">
        <f t="shared" si="30"/>
        <v/>
      </c>
      <c r="L347" s="269"/>
      <c r="X347" s="36"/>
    </row>
    <row r="348" spans="1:24" s="5" customFormat="1" ht="14">
      <c r="A348" s="43"/>
      <c r="B348" s="44" t="s">
        <v>101</v>
      </c>
      <c r="C348" s="9" t="s">
        <v>13</v>
      </c>
      <c r="D348" s="262"/>
      <c r="E348" s="163" t="str">
        <f t="shared" si="27"/>
        <v/>
      </c>
      <c r="F348" s="164" t="str">
        <f t="shared" si="28"/>
        <v/>
      </c>
      <c r="G348" s="310">
        <f t="shared" si="31"/>
        <v>677</v>
      </c>
      <c r="H348" s="161"/>
      <c r="I348" s="161"/>
      <c r="J348" s="162" t="str">
        <f t="shared" si="29"/>
        <v/>
      </c>
      <c r="K348" s="162" t="str">
        <f t="shared" si="30"/>
        <v/>
      </c>
      <c r="L348" s="269"/>
      <c r="X348" s="36"/>
    </row>
    <row r="349" spans="1:24" s="5" customFormat="1" ht="14">
      <c r="A349" s="43"/>
      <c r="B349" s="44" t="s">
        <v>266</v>
      </c>
      <c r="C349" s="9" t="s">
        <v>13</v>
      </c>
      <c r="D349" s="262"/>
      <c r="E349" s="163" t="str">
        <f t="shared" si="27"/>
        <v/>
      </c>
      <c r="F349" s="164" t="str">
        <f t="shared" si="28"/>
        <v/>
      </c>
      <c r="G349" s="310">
        <f t="shared" si="31"/>
        <v>678</v>
      </c>
      <c r="H349" s="161"/>
      <c r="I349" s="161"/>
      <c r="J349" s="162" t="str">
        <f t="shared" si="29"/>
        <v/>
      </c>
      <c r="K349" s="162" t="str">
        <f t="shared" si="30"/>
        <v/>
      </c>
      <c r="L349" s="269"/>
      <c r="X349" s="36"/>
    </row>
    <row r="350" spans="1:24" s="5" customFormat="1" ht="14">
      <c r="A350" s="43"/>
      <c r="B350" s="44" t="s">
        <v>276</v>
      </c>
      <c r="C350" s="9" t="s">
        <v>13</v>
      </c>
      <c r="D350" s="262"/>
      <c r="E350" s="163" t="str">
        <f t="shared" si="27"/>
        <v/>
      </c>
      <c r="F350" s="164" t="str">
        <f t="shared" si="28"/>
        <v/>
      </c>
      <c r="G350" s="310">
        <f t="shared" si="31"/>
        <v>679</v>
      </c>
      <c r="H350" s="161"/>
      <c r="I350" s="161"/>
      <c r="J350" s="162" t="str">
        <f t="shared" si="29"/>
        <v/>
      </c>
      <c r="K350" s="162" t="str">
        <f t="shared" si="30"/>
        <v/>
      </c>
      <c r="L350" s="269"/>
      <c r="X350" s="36"/>
    </row>
    <row r="351" spans="1:24" s="5" customFormat="1" ht="14">
      <c r="A351" s="43"/>
      <c r="B351" s="44" t="s">
        <v>277</v>
      </c>
      <c r="C351" s="9" t="s">
        <v>13</v>
      </c>
      <c r="D351" s="262"/>
      <c r="E351" s="163" t="str">
        <f t="shared" si="27"/>
        <v/>
      </c>
      <c r="F351" s="164" t="str">
        <f t="shared" si="28"/>
        <v/>
      </c>
      <c r="G351" s="310">
        <f t="shared" si="31"/>
        <v>680</v>
      </c>
      <c r="H351" s="161"/>
      <c r="I351" s="161"/>
      <c r="J351" s="162" t="str">
        <f t="shared" si="29"/>
        <v/>
      </c>
      <c r="K351" s="162" t="str">
        <f t="shared" si="30"/>
        <v/>
      </c>
      <c r="L351" s="269"/>
      <c r="X351" s="36"/>
    </row>
    <row r="352" spans="1:24" s="5" customFormat="1" ht="14">
      <c r="A352" s="43"/>
      <c r="B352" s="44"/>
      <c r="C352" s="9"/>
      <c r="D352" s="262"/>
      <c r="E352" s="163" t="str">
        <f t="shared" si="27"/>
        <v/>
      </c>
      <c r="F352" s="164" t="str">
        <f t="shared" si="28"/>
        <v/>
      </c>
      <c r="G352" s="310">
        <f t="shared" si="31"/>
        <v>681</v>
      </c>
      <c r="H352" s="161"/>
      <c r="I352" s="161"/>
      <c r="J352" s="162" t="str">
        <f t="shared" si="29"/>
        <v/>
      </c>
      <c r="K352" s="162" t="str">
        <f t="shared" si="30"/>
        <v/>
      </c>
      <c r="L352" s="269"/>
      <c r="X352" s="36"/>
    </row>
    <row r="353" spans="1:24" s="5" customFormat="1" ht="14">
      <c r="A353" s="43"/>
      <c r="B353" s="44" t="s">
        <v>446</v>
      </c>
      <c r="C353" s="9" t="s">
        <v>1</v>
      </c>
      <c r="D353" s="262"/>
      <c r="E353" s="163" t="str">
        <f t="shared" si="27"/>
        <v/>
      </c>
      <c r="F353" s="164" t="str">
        <f t="shared" si="28"/>
        <v/>
      </c>
      <c r="G353" s="310">
        <f t="shared" si="31"/>
        <v>682</v>
      </c>
      <c r="H353" s="161"/>
      <c r="I353" s="161"/>
      <c r="J353" s="162" t="str">
        <f t="shared" si="29"/>
        <v/>
      </c>
      <c r="K353" s="162" t="str">
        <f t="shared" si="30"/>
        <v/>
      </c>
      <c r="L353" s="269"/>
      <c r="X353" s="36"/>
    </row>
    <row r="354" spans="1:24" s="5" customFormat="1" ht="14">
      <c r="A354" s="43"/>
      <c r="B354" s="44" t="s">
        <v>167</v>
      </c>
      <c r="C354" s="9" t="s">
        <v>13</v>
      </c>
      <c r="D354" s="262">
        <v>2</v>
      </c>
      <c r="E354" s="163">
        <f t="shared" si="27"/>
        <v>0</v>
      </c>
      <c r="F354" s="164">
        <f t="shared" si="28"/>
        <v>0</v>
      </c>
      <c r="G354" s="310">
        <f t="shared" si="31"/>
        <v>683</v>
      </c>
      <c r="H354" s="161"/>
      <c r="I354" s="161"/>
      <c r="J354" s="162">
        <f t="shared" si="29"/>
        <v>0</v>
      </c>
      <c r="K354" s="162">
        <f t="shared" si="30"/>
        <v>0</v>
      </c>
      <c r="L354" s="269"/>
      <c r="X354" s="36"/>
    </row>
    <row r="355" spans="1:24" s="5" customFormat="1" ht="14">
      <c r="A355" s="43"/>
      <c r="B355" s="44"/>
      <c r="C355" s="9"/>
      <c r="D355" s="262"/>
      <c r="E355" s="163" t="str">
        <f t="shared" si="27"/>
        <v/>
      </c>
      <c r="F355" s="164" t="str">
        <f t="shared" si="28"/>
        <v/>
      </c>
      <c r="G355" s="310">
        <f t="shared" si="31"/>
        <v>684</v>
      </c>
      <c r="H355" s="161"/>
      <c r="I355" s="161"/>
      <c r="J355" s="162" t="str">
        <f t="shared" si="29"/>
        <v/>
      </c>
      <c r="K355" s="162" t="str">
        <f t="shared" si="30"/>
        <v/>
      </c>
      <c r="L355" s="269"/>
      <c r="X355" s="36"/>
    </row>
    <row r="356" spans="1:24" s="5" customFormat="1" ht="14">
      <c r="A356" s="43"/>
      <c r="B356" s="132" t="s">
        <v>444</v>
      </c>
      <c r="C356" s="9" t="s">
        <v>13</v>
      </c>
      <c r="D356" s="262"/>
      <c r="E356" s="163" t="str">
        <f t="shared" si="27"/>
        <v/>
      </c>
      <c r="F356" s="164" t="str">
        <f t="shared" si="28"/>
        <v/>
      </c>
      <c r="G356" s="310">
        <f t="shared" si="31"/>
        <v>685</v>
      </c>
      <c r="H356" s="161"/>
      <c r="I356" s="161"/>
      <c r="J356" s="162" t="str">
        <f t="shared" si="29"/>
        <v/>
      </c>
      <c r="K356" s="162" t="str">
        <f t="shared" si="30"/>
        <v/>
      </c>
      <c r="L356" s="269"/>
      <c r="X356" s="36"/>
    </row>
    <row r="357" spans="1:24" s="5" customFormat="1" ht="14">
      <c r="A357" s="43"/>
      <c r="B357" s="132" t="s">
        <v>445</v>
      </c>
      <c r="C357" s="9" t="s">
        <v>13</v>
      </c>
      <c r="D357" s="262">
        <v>2</v>
      </c>
      <c r="E357" s="163">
        <f t="shared" si="27"/>
        <v>0</v>
      </c>
      <c r="F357" s="164">
        <f t="shared" si="28"/>
        <v>0</v>
      </c>
      <c r="G357" s="310">
        <f t="shared" si="31"/>
        <v>686</v>
      </c>
      <c r="H357" s="161"/>
      <c r="I357" s="161"/>
      <c r="J357" s="162">
        <f t="shared" si="29"/>
        <v>0</v>
      </c>
      <c r="K357" s="162">
        <f t="shared" si="30"/>
        <v>0</v>
      </c>
      <c r="L357" s="269"/>
      <c r="X357" s="36"/>
    </row>
    <row r="358" spans="1:24" s="5" customFormat="1" ht="14">
      <c r="A358" s="43"/>
      <c r="B358" s="132" t="s">
        <v>443</v>
      </c>
      <c r="C358" s="9" t="s">
        <v>13</v>
      </c>
      <c r="D358" s="262"/>
      <c r="E358" s="163" t="str">
        <f t="shared" si="27"/>
        <v/>
      </c>
      <c r="F358" s="164" t="str">
        <f t="shared" si="28"/>
        <v/>
      </c>
      <c r="G358" s="310">
        <f t="shared" si="31"/>
        <v>687</v>
      </c>
      <c r="H358" s="161"/>
      <c r="I358" s="161"/>
      <c r="J358" s="162" t="str">
        <f t="shared" si="29"/>
        <v/>
      </c>
      <c r="K358" s="162" t="str">
        <f t="shared" si="30"/>
        <v/>
      </c>
      <c r="L358" s="269"/>
      <c r="X358" s="36"/>
    </row>
    <row r="359" spans="1:24" s="5" customFormat="1" ht="14">
      <c r="A359" s="43"/>
      <c r="B359" s="132" t="s">
        <v>264</v>
      </c>
      <c r="C359" s="9" t="s">
        <v>13</v>
      </c>
      <c r="D359" s="262">
        <v>13</v>
      </c>
      <c r="E359" s="163">
        <f t="shared" si="27"/>
        <v>0</v>
      </c>
      <c r="F359" s="164">
        <f t="shared" si="28"/>
        <v>0</v>
      </c>
      <c r="G359" s="310">
        <f t="shared" si="31"/>
        <v>688</v>
      </c>
      <c r="H359" s="161"/>
      <c r="I359" s="161"/>
      <c r="J359" s="162">
        <f t="shared" si="29"/>
        <v>0</v>
      </c>
      <c r="K359" s="162">
        <f t="shared" si="30"/>
        <v>0</v>
      </c>
      <c r="L359" s="269"/>
      <c r="X359" s="36"/>
    </row>
    <row r="360" spans="1:24" s="5" customFormat="1" ht="14">
      <c r="A360" s="43"/>
      <c r="B360" s="132" t="s">
        <v>265</v>
      </c>
      <c r="C360" s="9" t="s">
        <v>13</v>
      </c>
      <c r="D360" s="262">
        <f>D359</f>
        <v>13</v>
      </c>
      <c r="E360" s="163">
        <f t="shared" si="27"/>
        <v>0</v>
      </c>
      <c r="F360" s="164">
        <f t="shared" si="28"/>
        <v>0</v>
      </c>
      <c r="G360" s="310">
        <f t="shared" si="31"/>
        <v>689</v>
      </c>
      <c r="H360" s="161"/>
      <c r="I360" s="161"/>
      <c r="J360" s="162">
        <f t="shared" si="29"/>
        <v>0</v>
      </c>
      <c r="K360" s="162">
        <f t="shared" si="30"/>
        <v>0</v>
      </c>
      <c r="L360" s="269"/>
      <c r="X360" s="36"/>
    </row>
    <row r="361" spans="1:24" s="5" customFormat="1" ht="14">
      <c r="A361" s="43"/>
      <c r="B361" s="44"/>
      <c r="C361" s="9"/>
      <c r="D361" s="262"/>
      <c r="E361" s="163" t="str">
        <f t="shared" si="27"/>
        <v/>
      </c>
      <c r="F361" s="164" t="str">
        <f t="shared" si="28"/>
        <v/>
      </c>
      <c r="G361" s="310">
        <f t="shared" si="31"/>
        <v>690</v>
      </c>
      <c r="H361" s="161"/>
      <c r="I361" s="161"/>
      <c r="J361" s="162" t="str">
        <f t="shared" si="29"/>
        <v/>
      </c>
      <c r="K361" s="162" t="str">
        <f t="shared" si="30"/>
        <v/>
      </c>
      <c r="L361" s="269"/>
      <c r="X361" s="36"/>
    </row>
    <row r="362" spans="1:24" s="5" customFormat="1" ht="14">
      <c r="A362" s="43"/>
      <c r="B362" s="44" t="s">
        <v>166</v>
      </c>
      <c r="C362" s="9" t="s">
        <v>13</v>
      </c>
      <c r="D362" s="262">
        <v>1</v>
      </c>
      <c r="E362" s="163">
        <f t="shared" si="27"/>
        <v>0</v>
      </c>
      <c r="F362" s="164">
        <f t="shared" si="28"/>
        <v>0</v>
      </c>
      <c r="G362" s="310">
        <f t="shared" si="31"/>
        <v>691</v>
      </c>
      <c r="H362" s="161"/>
      <c r="I362" s="161"/>
      <c r="J362" s="162">
        <f t="shared" si="29"/>
        <v>0</v>
      </c>
      <c r="K362" s="162">
        <f t="shared" si="30"/>
        <v>0</v>
      </c>
      <c r="L362" s="269"/>
      <c r="X362" s="36"/>
    </row>
    <row r="363" spans="1:24" s="5" customFormat="1" ht="14">
      <c r="A363" s="43"/>
      <c r="B363" s="132"/>
      <c r="C363" s="8"/>
      <c r="D363" s="262"/>
      <c r="E363" s="163" t="str">
        <f t="shared" si="27"/>
        <v/>
      </c>
      <c r="F363" s="164" t="str">
        <f t="shared" si="28"/>
        <v/>
      </c>
      <c r="G363" s="310">
        <f t="shared" si="31"/>
        <v>692</v>
      </c>
      <c r="H363" s="161"/>
      <c r="I363" s="161"/>
      <c r="J363" s="162" t="str">
        <f t="shared" si="29"/>
        <v/>
      </c>
      <c r="K363" s="162" t="str">
        <f t="shared" si="30"/>
        <v/>
      </c>
      <c r="L363" s="269"/>
      <c r="X363" s="36"/>
    </row>
    <row r="364" spans="1:24" s="5" customFormat="1" ht="14">
      <c r="A364" s="43"/>
      <c r="B364" s="39" t="s">
        <v>280</v>
      </c>
      <c r="C364" s="9"/>
      <c r="D364" s="262"/>
      <c r="E364" s="163" t="str">
        <f t="shared" si="27"/>
        <v/>
      </c>
      <c r="F364" s="164" t="str">
        <f t="shared" si="28"/>
        <v/>
      </c>
      <c r="G364" s="310">
        <f t="shared" si="31"/>
        <v>693</v>
      </c>
      <c r="H364" s="161"/>
      <c r="I364" s="161"/>
      <c r="J364" s="162" t="str">
        <f t="shared" si="29"/>
        <v/>
      </c>
      <c r="K364" s="162" t="str">
        <f t="shared" si="30"/>
        <v/>
      </c>
      <c r="L364" s="269"/>
      <c r="X364" s="36"/>
    </row>
    <row r="365" spans="1:24" s="5" customFormat="1" ht="14">
      <c r="A365" s="43"/>
      <c r="B365" s="39" t="s">
        <v>281</v>
      </c>
      <c r="C365" s="27" t="s">
        <v>12</v>
      </c>
      <c r="D365" s="262">
        <f>D29</f>
        <v>6</v>
      </c>
      <c r="E365" s="163">
        <f t="shared" si="27"/>
        <v>0</v>
      </c>
      <c r="F365" s="164">
        <f t="shared" si="28"/>
        <v>0</v>
      </c>
      <c r="G365" s="310">
        <f t="shared" si="31"/>
        <v>694</v>
      </c>
      <c r="H365" s="161"/>
      <c r="I365" s="161"/>
      <c r="J365" s="162">
        <f t="shared" si="29"/>
        <v>0</v>
      </c>
      <c r="K365" s="162">
        <f t="shared" si="30"/>
        <v>0</v>
      </c>
      <c r="L365" s="269"/>
      <c r="X365" s="36"/>
    </row>
    <row r="366" spans="1:24" s="5" customFormat="1" ht="14">
      <c r="A366" s="43"/>
      <c r="B366" s="38"/>
      <c r="C366" s="9"/>
      <c r="D366" s="262"/>
      <c r="E366" s="163" t="str">
        <f t="shared" si="27"/>
        <v/>
      </c>
      <c r="F366" s="164" t="str">
        <f t="shared" si="28"/>
        <v/>
      </c>
      <c r="G366" s="310">
        <f t="shared" si="31"/>
        <v>695</v>
      </c>
      <c r="H366" s="161"/>
      <c r="I366" s="161"/>
      <c r="J366" s="162" t="str">
        <f t="shared" si="29"/>
        <v/>
      </c>
      <c r="K366" s="162" t="str">
        <f t="shared" si="30"/>
        <v/>
      </c>
      <c r="L366" s="269"/>
      <c r="X366" s="36"/>
    </row>
    <row r="367" spans="1:24" s="5" customFormat="1" ht="14">
      <c r="A367" s="43"/>
      <c r="B367" s="73" t="s">
        <v>390</v>
      </c>
      <c r="C367" s="72"/>
      <c r="D367" s="262"/>
      <c r="E367" s="163" t="str">
        <f t="shared" si="27"/>
        <v/>
      </c>
      <c r="F367" s="164" t="str">
        <f t="shared" si="28"/>
        <v/>
      </c>
      <c r="G367" s="310">
        <f t="shared" si="31"/>
        <v>696</v>
      </c>
      <c r="H367" s="161"/>
      <c r="I367" s="161"/>
      <c r="J367" s="162" t="str">
        <f t="shared" si="29"/>
        <v/>
      </c>
      <c r="K367" s="162" t="str">
        <f t="shared" si="30"/>
        <v/>
      </c>
      <c r="L367" s="269"/>
      <c r="X367" s="36"/>
    </row>
    <row r="368" spans="1:24" s="5" customFormat="1" ht="14">
      <c r="A368" s="43"/>
      <c r="B368" s="127"/>
      <c r="C368" s="9"/>
      <c r="D368" s="262"/>
      <c r="E368" s="163" t="str">
        <f t="shared" si="27"/>
        <v/>
      </c>
      <c r="F368" s="164" t="str">
        <f t="shared" si="28"/>
        <v/>
      </c>
      <c r="G368" s="310">
        <f t="shared" si="31"/>
        <v>697</v>
      </c>
      <c r="H368" s="161"/>
      <c r="I368" s="161"/>
      <c r="J368" s="162" t="str">
        <f t="shared" si="29"/>
        <v/>
      </c>
      <c r="K368" s="162" t="str">
        <f t="shared" si="30"/>
        <v/>
      </c>
      <c r="L368" s="273"/>
      <c r="X368" s="36"/>
    </row>
    <row r="369" spans="1:24" s="5" customFormat="1" ht="14">
      <c r="A369" s="2"/>
      <c r="B369" s="35" t="s">
        <v>111</v>
      </c>
      <c r="C369" s="9"/>
      <c r="D369" s="262"/>
      <c r="E369" s="163" t="str">
        <f t="shared" si="27"/>
        <v/>
      </c>
      <c r="F369" s="164" t="str">
        <f t="shared" si="28"/>
        <v/>
      </c>
      <c r="G369" s="310">
        <f t="shared" si="31"/>
        <v>698</v>
      </c>
      <c r="H369" s="161"/>
      <c r="I369" s="161"/>
      <c r="J369" s="162" t="str">
        <f t="shared" si="29"/>
        <v/>
      </c>
      <c r="K369" s="162" t="str">
        <f t="shared" si="30"/>
        <v/>
      </c>
      <c r="L369" s="273"/>
      <c r="X369" s="36"/>
    </row>
    <row r="370" spans="1:24" ht="14">
      <c r="A370" s="2"/>
      <c r="B370" s="11"/>
      <c r="C370" s="9"/>
      <c r="D370" s="262"/>
      <c r="E370" s="163" t="str">
        <f t="shared" si="27"/>
        <v/>
      </c>
      <c r="F370" s="164" t="str">
        <f t="shared" si="28"/>
        <v/>
      </c>
      <c r="G370" s="310">
        <f t="shared" si="31"/>
        <v>699</v>
      </c>
      <c r="H370" s="161"/>
      <c r="I370" s="161"/>
      <c r="J370" s="162" t="str">
        <f t="shared" si="29"/>
        <v/>
      </c>
      <c r="K370" s="162" t="str">
        <f t="shared" si="30"/>
        <v/>
      </c>
    </row>
    <row r="371" spans="1:24" ht="14">
      <c r="A371" s="2" t="s">
        <v>190</v>
      </c>
      <c r="B371" s="41" t="s">
        <v>60</v>
      </c>
      <c r="C371" s="9"/>
      <c r="D371" s="262"/>
      <c r="E371" s="163" t="str">
        <f t="shared" si="27"/>
        <v/>
      </c>
      <c r="F371" s="164" t="str">
        <f t="shared" si="28"/>
        <v/>
      </c>
      <c r="G371" s="310">
        <f t="shared" si="31"/>
        <v>700</v>
      </c>
      <c r="H371" s="161"/>
      <c r="I371" s="161"/>
      <c r="J371" s="162" t="str">
        <f t="shared" si="29"/>
        <v/>
      </c>
      <c r="K371" s="162" t="str">
        <f t="shared" si="30"/>
        <v/>
      </c>
    </row>
    <row r="372" spans="1:24" ht="12.75" customHeight="1">
      <c r="A372" s="2"/>
      <c r="B372" s="42"/>
      <c r="C372" s="9"/>
      <c r="D372" s="262"/>
      <c r="E372" s="163" t="str">
        <f t="shared" si="27"/>
        <v/>
      </c>
      <c r="F372" s="164" t="str">
        <f t="shared" si="28"/>
        <v/>
      </c>
      <c r="G372" s="310">
        <f t="shared" si="31"/>
        <v>701</v>
      </c>
      <c r="H372" s="161"/>
      <c r="I372" s="161"/>
      <c r="J372" s="162" t="str">
        <f t="shared" si="29"/>
        <v/>
      </c>
      <c r="K372" s="162" t="str">
        <f t="shared" si="30"/>
        <v/>
      </c>
    </row>
    <row r="373" spans="1:24" ht="12.75" customHeight="1">
      <c r="A373" s="69"/>
      <c r="B373" s="42" t="s">
        <v>391</v>
      </c>
      <c r="C373" s="9" t="s">
        <v>13</v>
      </c>
      <c r="D373" s="262">
        <f>D87+D141+D197+D253+D309+D365</f>
        <v>105</v>
      </c>
      <c r="E373" s="163">
        <f t="shared" si="27"/>
        <v>0</v>
      </c>
      <c r="F373" s="164">
        <f t="shared" si="28"/>
        <v>0</v>
      </c>
      <c r="G373" s="310">
        <f t="shared" si="31"/>
        <v>702</v>
      </c>
      <c r="H373" s="161"/>
      <c r="I373" s="161"/>
      <c r="J373" s="162">
        <f t="shared" si="29"/>
        <v>0</v>
      </c>
      <c r="K373" s="162">
        <f t="shared" si="30"/>
        <v>0</v>
      </c>
    </row>
    <row r="374" spans="1:24" ht="14">
      <c r="A374" s="69"/>
      <c r="B374" s="42" t="s">
        <v>335</v>
      </c>
      <c r="C374" s="9" t="s">
        <v>13</v>
      </c>
      <c r="D374" s="262">
        <f>QTE!J194</f>
        <v>468</v>
      </c>
      <c r="E374" s="163">
        <f t="shared" si="27"/>
        <v>0</v>
      </c>
      <c r="F374" s="164">
        <f t="shared" si="28"/>
        <v>0</v>
      </c>
      <c r="G374" s="310">
        <f t="shared" si="31"/>
        <v>703</v>
      </c>
      <c r="H374" s="161"/>
      <c r="I374" s="161"/>
      <c r="J374" s="162">
        <f t="shared" si="29"/>
        <v>0</v>
      </c>
      <c r="K374" s="162">
        <f t="shared" si="30"/>
        <v>0</v>
      </c>
    </row>
    <row r="375" spans="1:24" ht="12.75" customHeight="1">
      <c r="A375" s="69"/>
      <c r="B375" s="42" t="s">
        <v>392</v>
      </c>
      <c r="C375" s="9" t="s">
        <v>12</v>
      </c>
      <c r="D375" s="262"/>
      <c r="E375" s="163" t="str">
        <f t="shared" si="27"/>
        <v/>
      </c>
      <c r="F375" s="164" t="str">
        <f t="shared" si="28"/>
        <v/>
      </c>
      <c r="G375" s="310">
        <f t="shared" si="31"/>
        <v>704</v>
      </c>
      <c r="H375" s="161"/>
      <c r="I375" s="161"/>
      <c r="J375" s="162" t="str">
        <f t="shared" si="29"/>
        <v/>
      </c>
      <c r="K375" s="162" t="str">
        <f t="shared" si="30"/>
        <v/>
      </c>
    </row>
    <row r="376" spans="1:24" ht="14">
      <c r="A376" s="69"/>
      <c r="B376" s="42" t="s">
        <v>56</v>
      </c>
      <c r="C376" s="14" t="s">
        <v>12</v>
      </c>
      <c r="D376" s="262"/>
      <c r="E376" s="163" t="str">
        <f t="shared" ref="E376:E387" si="32">IF(D376="","",(((J376*$K$2)+(K376*$I$2*$I$3))*$K$3)/D376)</f>
        <v/>
      </c>
      <c r="F376" s="164" t="str">
        <f t="shared" ref="F376:F387" si="33">IF(D376="","",D376*E376)</f>
        <v/>
      </c>
      <c r="G376" s="310">
        <f t="shared" si="31"/>
        <v>705</v>
      </c>
      <c r="H376" s="161"/>
      <c r="I376" s="161"/>
      <c r="J376" s="162" t="str">
        <f t="shared" ref="J376:J387" si="34">IF(D376="","",H376*D376)</f>
        <v/>
      </c>
      <c r="K376" s="162" t="str">
        <f t="shared" ref="K376:K387" si="35">IF(D376="","",D376*I376)</f>
        <v/>
      </c>
    </row>
    <row r="377" spans="1:24" ht="14">
      <c r="A377" s="69"/>
      <c r="B377" s="42"/>
      <c r="C377" s="14"/>
      <c r="D377" s="262"/>
      <c r="E377" s="163" t="str">
        <f t="shared" si="32"/>
        <v/>
      </c>
      <c r="F377" s="164" t="str">
        <f t="shared" si="33"/>
        <v/>
      </c>
      <c r="G377" s="310">
        <f t="shared" si="31"/>
        <v>706</v>
      </c>
      <c r="H377" s="161"/>
      <c r="I377" s="161"/>
      <c r="J377" s="162" t="str">
        <f t="shared" si="34"/>
        <v/>
      </c>
      <c r="K377" s="162" t="str">
        <f t="shared" si="35"/>
        <v/>
      </c>
    </row>
    <row r="378" spans="1:24" ht="25">
      <c r="A378" s="69"/>
      <c r="B378" s="42" t="s">
        <v>172</v>
      </c>
      <c r="C378" s="9" t="s">
        <v>12</v>
      </c>
      <c r="D378" s="262"/>
      <c r="E378" s="163" t="str">
        <f t="shared" si="32"/>
        <v/>
      </c>
      <c r="F378" s="164" t="str">
        <f t="shared" si="33"/>
        <v/>
      </c>
      <c r="G378" s="310">
        <f t="shared" si="31"/>
        <v>707</v>
      </c>
      <c r="H378" s="161"/>
      <c r="I378" s="161"/>
      <c r="J378" s="162" t="str">
        <f t="shared" si="34"/>
        <v/>
      </c>
      <c r="K378" s="162" t="str">
        <f t="shared" si="35"/>
        <v/>
      </c>
    </row>
    <row r="379" spans="1:24" ht="14">
      <c r="A379" s="70"/>
      <c r="B379" s="38"/>
      <c r="C379" s="9"/>
      <c r="D379" s="262"/>
      <c r="E379" s="163" t="str">
        <f t="shared" si="32"/>
        <v/>
      </c>
      <c r="F379" s="164" t="str">
        <f t="shared" si="33"/>
        <v/>
      </c>
      <c r="G379" s="310">
        <f t="shared" si="31"/>
        <v>708</v>
      </c>
      <c r="H379" s="161"/>
      <c r="I379" s="161"/>
      <c r="J379" s="162" t="str">
        <f t="shared" si="34"/>
        <v/>
      </c>
      <c r="K379" s="162" t="str">
        <f t="shared" si="35"/>
        <v/>
      </c>
      <c r="X379" s="32"/>
    </row>
    <row r="380" spans="1:24" s="5" customFormat="1" ht="14">
      <c r="A380" s="2"/>
      <c r="B380" s="35" t="s">
        <v>191</v>
      </c>
      <c r="C380" s="9"/>
      <c r="D380" s="262"/>
      <c r="E380" s="163" t="str">
        <f t="shared" si="32"/>
        <v/>
      </c>
      <c r="F380" s="164" t="str">
        <f t="shared" si="33"/>
        <v/>
      </c>
      <c r="G380" s="310">
        <f t="shared" si="31"/>
        <v>709</v>
      </c>
      <c r="H380" s="161"/>
      <c r="I380" s="161"/>
      <c r="J380" s="162" t="str">
        <f t="shared" si="34"/>
        <v/>
      </c>
      <c r="K380" s="162" t="str">
        <f t="shared" si="35"/>
        <v/>
      </c>
      <c r="L380" s="273"/>
      <c r="X380" s="36"/>
    </row>
    <row r="381" spans="1:24" ht="14">
      <c r="A381" s="2"/>
      <c r="B381" s="11"/>
      <c r="C381" s="9"/>
      <c r="D381" s="262"/>
      <c r="E381" s="163" t="str">
        <f t="shared" si="32"/>
        <v/>
      </c>
      <c r="F381" s="164" t="str">
        <f t="shared" si="33"/>
        <v/>
      </c>
      <c r="G381" s="310">
        <f t="shared" si="31"/>
        <v>710</v>
      </c>
      <c r="H381" s="161"/>
      <c r="I381" s="161"/>
      <c r="J381" s="162" t="str">
        <f t="shared" si="34"/>
        <v/>
      </c>
      <c r="K381" s="162" t="str">
        <f t="shared" si="35"/>
        <v/>
      </c>
    </row>
    <row r="382" spans="1:24" ht="14">
      <c r="A382" s="2" t="s">
        <v>84</v>
      </c>
      <c r="B382" s="41" t="s">
        <v>102</v>
      </c>
      <c r="C382" s="9"/>
      <c r="D382" s="262"/>
      <c r="E382" s="163" t="str">
        <f t="shared" si="32"/>
        <v/>
      </c>
      <c r="F382" s="164" t="str">
        <f t="shared" si="33"/>
        <v/>
      </c>
      <c r="G382" s="310">
        <f t="shared" si="31"/>
        <v>711</v>
      </c>
      <c r="H382" s="161"/>
      <c r="I382" s="161"/>
      <c r="J382" s="162" t="str">
        <f t="shared" si="34"/>
        <v/>
      </c>
      <c r="K382" s="162" t="str">
        <f t="shared" si="35"/>
        <v/>
      </c>
    </row>
    <row r="383" spans="1:24" ht="14">
      <c r="A383" s="2"/>
      <c r="B383" s="42"/>
      <c r="C383" s="9"/>
      <c r="D383" s="262"/>
      <c r="E383" s="163" t="str">
        <f t="shared" si="32"/>
        <v/>
      </c>
      <c r="F383" s="164" t="str">
        <f t="shared" si="33"/>
        <v/>
      </c>
      <c r="G383" s="310">
        <f t="shared" si="31"/>
        <v>712</v>
      </c>
      <c r="H383" s="161"/>
      <c r="I383" s="161"/>
      <c r="J383" s="162" t="str">
        <f t="shared" si="34"/>
        <v/>
      </c>
      <c r="K383" s="162" t="str">
        <f t="shared" si="35"/>
        <v/>
      </c>
    </row>
    <row r="384" spans="1:24" ht="14">
      <c r="A384" s="2"/>
      <c r="B384" s="42" t="s">
        <v>134</v>
      </c>
      <c r="C384" s="9" t="s">
        <v>13</v>
      </c>
      <c r="D384" s="262">
        <f>D373</f>
        <v>105</v>
      </c>
      <c r="E384" s="163">
        <f t="shared" si="32"/>
        <v>0</v>
      </c>
      <c r="F384" s="164">
        <f t="shared" si="33"/>
        <v>0</v>
      </c>
      <c r="G384" s="310">
        <f t="shared" si="31"/>
        <v>713</v>
      </c>
      <c r="H384" s="161"/>
      <c r="I384" s="161"/>
      <c r="J384" s="162">
        <f t="shared" si="34"/>
        <v>0</v>
      </c>
      <c r="K384" s="162">
        <f t="shared" si="35"/>
        <v>0</v>
      </c>
    </row>
    <row r="385" spans="1:24" ht="12.75" customHeight="1">
      <c r="A385" s="2"/>
      <c r="B385" s="42" t="s">
        <v>340</v>
      </c>
      <c r="C385" s="9" t="s">
        <v>13</v>
      </c>
      <c r="D385" s="262">
        <f>QTE!J193</f>
        <v>209</v>
      </c>
      <c r="E385" s="163">
        <f t="shared" si="32"/>
        <v>0</v>
      </c>
      <c r="F385" s="164">
        <f t="shared" si="33"/>
        <v>0</v>
      </c>
      <c r="G385" s="310">
        <f t="shared" si="31"/>
        <v>714</v>
      </c>
      <c r="H385" s="161"/>
      <c r="I385" s="161"/>
      <c r="J385" s="162">
        <f t="shared" si="34"/>
        <v>0</v>
      </c>
      <c r="K385" s="162">
        <f t="shared" si="35"/>
        <v>0</v>
      </c>
    </row>
    <row r="386" spans="1:24" ht="25">
      <c r="A386" s="2"/>
      <c r="B386" s="42" t="s">
        <v>57</v>
      </c>
      <c r="C386" s="9" t="s">
        <v>12</v>
      </c>
      <c r="D386" s="262"/>
      <c r="E386" s="163" t="str">
        <f t="shared" si="32"/>
        <v/>
      </c>
      <c r="F386" s="164" t="str">
        <f t="shared" si="33"/>
        <v/>
      </c>
      <c r="G386" s="310">
        <f t="shared" si="31"/>
        <v>715</v>
      </c>
      <c r="H386" s="161"/>
      <c r="I386" s="161"/>
      <c r="J386" s="162" t="str">
        <f t="shared" si="34"/>
        <v/>
      </c>
      <c r="K386" s="162" t="str">
        <f t="shared" si="35"/>
        <v/>
      </c>
    </row>
    <row r="387" spans="1:24" ht="14.5" thickBot="1">
      <c r="A387" s="19"/>
      <c r="B387" s="38"/>
      <c r="C387" s="9"/>
      <c r="D387" s="262"/>
      <c r="E387" s="163" t="str">
        <f t="shared" si="32"/>
        <v/>
      </c>
      <c r="F387" s="164" t="str">
        <f t="shared" si="33"/>
        <v/>
      </c>
      <c r="G387" s="310">
        <f t="shared" si="31"/>
        <v>716</v>
      </c>
      <c r="H387" s="161"/>
      <c r="I387" s="161"/>
      <c r="J387" s="162" t="str">
        <f t="shared" si="34"/>
        <v/>
      </c>
      <c r="K387" s="162" t="str">
        <f t="shared" si="35"/>
        <v/>
      </c>
      <c r="X387" s="32"/>
    </row>
    <row r="388" spans="1:24" s="5" customFormat="1" ht="14.5" thickBot="1">
      <c r="A388" s="65"/>
      <c r="B388" s="66" t="s">
        <v>114</v>
      </c>
      <c r="C388" s="74"/>
      <c r="D388" s="265"/>
      <c r="E388" s="75"/>
      <c r="F388" s="120"/>
      <c r="G388" s="310">
        <f t="shared" si="31"/>
        <v>717</v>
      </c>
      <c r="L388" s="273"/>
      <c r="X388" s="36"/>
    </row>
    <row r="389" spans="1:24" s="5" customFormat="1" ht="14.5" thickBot="1">
      <c r="A389" s="62"/>
      <c r="B389" s="64"/>
      <c r="C389" s="55"/>
      <c r="D389" s="266"/>
      <c r="E389" s="13"/>
      <c r="F389" s="58"/>
      <c r="G389" s="305"/>
      <c r="L389" s="273"/>
      <c r="Q389" s="36"/>
    </row>
    <row r="390" spans="1:24" ht="24" customHeight="1" thickBot="1">
      <c r="A390" s="326" t="s">
        <v>121</v>
      </c>
      <c r="B390" s="326"/>
      <c r="C390" s="326"/>
      <c r="D390" s="326"/>
      <c r="E390" s="333"/>
      <c r="F390" s="112"/>
      <c r="G390" s="305"/>
    </row>
    <row r="391" spans="1:24" ht="13">
      <c r="A391" s="60"/>
      <c r="B391" s="12"/>
      <c r="C391" s="12"/>
      <c r="D391" s="267"/>
      <c r="E391" s="13"/>
      <c r="F391" s="58"/>
      <c r="G391" s="305"/>
    </row>
    <row r="392" spans="1:24" ht="14.25" customHeight="1">
      <c r="A392" s="326" t="s">
        <v>131</v>
      </c>
      <c r="B392" s="326"/>
      <c r="C392" s="326"/>
      <c r="D392" s="326"/>
      <c r="E392" s="334"/>
      <c r="F392" s="118"/>
      <c r="G392" s="311"/>
    </row>
    <row r="393" spans="1:24" ht="13">
      <c r="A393" s="60"/>
      <c r="B393" s="61"/>
      <c r="C393" s="12"/>
      <c r="D393" s="267"/>
      <c r="E393" s="13"/>
      <c r="F393" s="58"/>
      <c r="G393" s="305"/>
    </row>
    <row r="394" spans="1:24" ht="14.25" customHeight="1">
      <c r="A394" s="326" t="s">
        <v>348</v>
      </c>
      <c r="B394" s="326"/>
      <c r="C394" s="326"/>
      <c r="D394" s="326"/>
      <c r="E394" s="334"/>
      <c r="F394" s="118"/>
      <c r="G394" s="311"/>
    </row>
    <row r="402" spans="1:24" s="5" customFormat="1" ht="14">
      <c r="A402" s="43"/>
      <c r="B402" s="44" t="s">
        <v>548</v>
      </c>
      <c r="C402" s="9" t="s">
        <v>13</v>
      </c>
      <c r="D402" s="262">
        <f>QTE!J155</f>
        <v>40</v>
      </c>
      <c r="E402" s="289">
        <f t="shared" ref="E402" si="36">IF(D402="","",(((J402*$K$2)+(K402*$I$2*$I$3))*$K$3)/D402)</f>
        <v>0</v>
      </c>
      <c r="F402" s="164">
        <f t="shared" ref="F402" si="37">IF(D402="","",D402*E402)</f>
        <v>0</v>
      </c>
      <c r="G402" s="304"/>
      <c r="H402" s="161"/>
      <c r="I402" s="161"/>
      <c r="J402" s="162">
        <f t="shared" ref="J402" si="38">IF(D402="","",H402*D402)</f>
        <v>0</v>
      </c>
      <c r="K402" s="162">
        <f t="shared" ref="K402" si="39">IF(D402="","",D402*I402)</f>
        <v>0</v>
      </c>
      <c r="L402" s="269"/>
      <c r="X402" s="36"/>
    </row>
  </sheetData>
  <mergeCells count="9">
    <mergeCell ref="A392:E392"/>
    <mergeCell ref="A394:E394"/>
    <mergeCell ref="F14:F15"/>
    <mergeCell ref="D14:D15"/>
    <mergeCell ref="A390:E390"/>
    <mergeCell ref="A14:A15"/>
    <mergeCell ref="B14:B15"/>
    <mergeCell ref="C14:C15"/>
    <mergeCell ref="E14:E15"/>
  </mergeCells>
  <conditionalFormatting sqref="H4 J4:K4 I1:K1 H2:K3">
    <cfRule type="cellIs" dxfId="4"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2" manualBreakCount="2">
    <brk id="89" max="16383" man="1"/>
    <brk id="38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1"/>
  <sheetViews>
    <sheetView showZeros="0" view="pageBreakPreview" topLeftCell="A2" zoomScaleNormal="100" zoomScaleSheetLayoutView="100" zoomScalePageLayoutView="130" workbookViewId="0">
      <pane ySplit="14" topLeftCell="A16" activePane="bottomLeft" state="frozen"/>
      <selection activeCell="A2" sqref="A2"/>
      <selection pane="bottomLeft" activeCell="F27" sqref="F27"/>
    </sheetView>
  </sheetViews>
  <sheetFormatPr baseColWidth="10" defaultColWidth="11.453125" defaultRowHeight="12.5"/>
  <cols>
    <col min="1" max="1" width="6.54296875" style="109" customWidth="1"/>
    <col min="2" max="2" width="48.26953125" style="16" customWidth="1"/>
    <col min="3" max="3" width="7.7265625" style="3" customWidth="1"/>
    <col min="4" max="4" width="8.81640625" style="260" customWidth="1"/>
    <col min="5" max="5" width="9.54296875" style="4" bestFit="1" customWidth="1"/>
    <col min="6" max="6" width="11.1796875" style="4" customWidth="1"/>
    <col min="7" max="7" width="11.1796875" style="308" customWidth="1"/>
    <col min="8" max="8" width="10" style="1" bestFit="1" customWidth="1"/>
    <col min="9" max="9" width="9.54296875" style="1" customWidth="1"/>
    <col min="10" max="10" width="11.1796875" style="1" bestFit="1" customWidth="1"/>
    <col min="11" max="11" width="11.54296875" style="1" bestFit="1" customWidth="1"/>
    <col min="12" max="16384" width="11.453125" style="1"/>
  </cols>
  <sheetData>
    <row r="1" spans="1:11" ht="13">
      <c r="H1" s="142"/>
      <c r="I1" s="143"/>
      <c r="J1" s="144"/>
      <c r="K1" s="145"/>
    </row>
    <row r="2" spans="1:11" ht="13">
      <c r="H2" s="146" t="s">
        <v>470</v>
      </c>
      <c r="I2" s="147">
        <v>26</v>
      </c>
      <c r="J2" s="148" t="s">
        <v>471</v>
      </c>
      <c r="K2" s="147">
        <v>1.25</v>
      </c>
    </row>
    <row r="3" spans="1:11" ht="13">
      <c r="H3" s="146" t="s">
        <v>472</v>
      </c>
      <c r="I3" s="149">
        <v>1.3</v>
      </c>
      <c r="J3" s="150" t="s">
        <v>473</v>
      </c>
      <c r="K3" s="149">
        <v>1</v>
      </c>
    </row>
    <row r="4" spans="1:11" ht="14">
      <c r="H4" s="146"/>
      <c r="I4" s="151" t="s">
        <v>474</v>
      </c>
      <c r="J4" s="151"/>
      <c r="K4" s="151">
        <f>SUM(J14:J268)</f>
        <v>0</v>
      </c>
    </row>
    <row r="5" spans="1:11" ht="14">
      <c r="H5" s="151"/>
      <c r="I5" s="151" t="s">
        <v>475</v>
      </c>
      <c r="J5" s="151"/>
      <c r="K5" s="151">
        <f>SUM(K14:K268)</f>
        <v>0</v>
      </c>
    </row>
    <row r="6" spans="1:11" ht="14">
      <c r="H6" s="151"/>
      <c r="I6" s="151" t="s">
        <v>476</v>
      </c>
      <c r="J6" s="151"/>
      <c r="K6" s="151">
        <f>K4+K5*$I$2</f>
        <v>0</v>
      </c>
    </row>
    <row r="7" spans="1:11" ht="14">
      <c r="H7" s="151"/>
      <c r="I7" s="151" t="s">
        <v>477</v>
      </c>
      <c r="J7" s="151"/>
      <c r="K7" s="151" t="e">
        <f>#REF!</f>
        <v>#REF!</v>
      </c>
    </row>
    <row r="8" spans="1:11" ht="14">
      <c r="H8" s="151"/>
      <c r="I8" s="151"/>
      <c r="J8" s="151"/>
      <c r="K8" s="151"/>
    </row>
    <row r="9" spans="1:11">
      <c r="H9" s="142"/>
      <c r="I9" s="142"/>
      <c r="J9" s="142"/>
      <c r="K9" s="142"/>
    </row>
    <row r="10" spans="1:11" ht="13" thickBot="1">
      <c r="H10" s="142"/>
      <c r="I10" s="142"/>
      <c r="J10" s="142"/>
      <c r="K10" s="142"/>
    </row>
    <row r="11" spans="1:11" ht="15.5">
      <c r="A11" s="77" t="s">
        <v>127</v>
      </c>
      <c r="B11" s="97"/>
      <c r="C11" s="7"/>
      <c r="D11" s="261"/>
      <c r="E11" s="51"/>
      <c r="F11" s="51"/>
      <c r="G11" s="307"/>
      <c r="H11" s="152"/>
      <c r="I11" s="152"/>
      <c r="J11" s="153"/>
      <c r="K11" s="154"/>
    </row>
    <row r="12" spans="1:11" ht="15.5">
      <c r="A12" s="77" t="s">
        <v>455</v>
      </c>
      <c r="B12" s="97"/>
      <c r="C12" s="7"/>
      <c r="D12" s="261"/>
      <c r="E12" s="51"/>
      <c r="F12" s="51"/>
      <c r="G12" s="307"/>
      <c r="H12" s="155" t="s">
        <v>478</v>
      </c>
      <c r="I12" s="155" t="s">
        <v>479</v>
      </c>
      <c r="J12" s="156" t="s">
        <v>480</v>
      </c>
      <c r="K12" s="157" t="s">
        <v>481</v>
      </c>
    </row>
    <row r="13" spans="1:11" ht="16" thickBot="1">
      <c r="A13" s="77"/>
      <c r="B13" s="98"/>
      <c r="H13" s="158"/>
      <c r="I13" s="158"/>
      <c r="J13" s="159"/>
      <c r="K13" s="160"/>
    </row>
    <row r="14" spans="1:11" s="6" customFormat="1" ht="14">
      <c r="A14" s="337" t="s">
        <v>104</v>
      </c>
      <c r="B14" s="339" t="s">
        <v>105</v>
      </c>
      <c r="C14" s="327" t="s">
        <v>0</v>
      </c>
      <c r="D14" s="331" t="s">
        <v>153</v>
      </c>
      <c r="E14" s="329" t="s">
        <v>128</v>
      </c>
      <c r="F14" s="320" t="s">
        <v>129</v>
      </c>
      <c r="G14" s="309"/>
      <c r="H14" s="161"/>
      <c r="I14" s="161"/>
      <c r="J14" s="162"/>
      <c r="K14" s="162"/>
    </row>
    <row r="15" spans="1:11" s="6" customFormat="1" ht="25.5" customHeight="1">
      <c r="A15" s="338"/>
      <c r="B15" s="340"/>
      <c r="C15" s="328"/>
      <c r="D15" s="332"/>
      <c r="E15" s="330"/>
      <c r="F15" s="321"/>
      <c r="G15" s="309" t="s">
        <v>569</v>
      </c>
      <c r="H15" s="161"/>
      <c r="I15" s="161"/>
      <c r="J15" s="162"/>
      <c r="K15" s="162"/>
    </row>
    <row r="16" spans="1:11" ht="14">
      <c r="A16" s="17"/>
      <c r="B16" s="124" t="s">
        <v>2</v>
      </c>
      <c r="C16" s="53"/>
      <c r="D16" s="262"/>
      <c r="E16" s="123"/>
      <c r="F16" s="121"/>
      <c r="G16" s="312">
        <f>'BATIMENT G1,G2&amp;PKINGS-ELEC 2'!G388+1</f>
        <v>718</v>
      </c>
      <c r="H16" s="161"/>
      <c r="I16" s="161"/>
      <c r="J16" s="162"/>
      <c r="K16" s="162"/>
    </row>
    <row r="17" spans="1:17" ht="14">
      <c r="A17" s="125"/>
      <c r="B17" s="124"/>
      <c r="C17" s="71"/>
      <c r="D17" s="262"/>
      <c r="E17" s="123"/>
      <c r="F17" s="121"/>
      <c r="G17" s="312">
        <f>G16+1</f>
        <v>719</v>
      </c>
      <c r="H17" s="161"/>
      <c r="I17" s="161"/>
      <c r="J17" s="162"/>
      <c r="K17" s="162"/>
    </row>
    <row r="18" spans="1:17" ht="14">
      <c r="A18" s="125"/>
      <c r="B18" s="139" t="s">
        <v>321</v>
      </c>
      <c r="C18" s="71"/>
      <c r="D18" s="262"/>
      <c r="E18" s="123"/>
      <c r="F18" s="121"/>
      <c r="G18" s="312">
        <f t="shared" ref="G18:G81" si="0">G17+1</f>
        <v>720</v>
      </c>
      <c r="H18" s="161"/>
      <c r="I18" s="161"/>
      <c r="J18" s="162"/>
      <c r="K18" s="162"/>
    </row>
    <row r="19" spans="1:17" ht="14">
      <c r="A19" s="19"/>
      <c r="B19" s="20"/>
      <c r="C19" s="22"/>
      <c r="D19" s="263"/>
      <c r="E19" s="59"/>
      <c r="F19" s="121"/>
      <c r="G19" s="312">
        <f t="shared" si="0"/>
        <v>721</v>
      </c>
      <c r="H19" s="161"/>
      <c r="I19" s="161"/>
      <c r="J19" s="162"/>
      <c r="K19" s="162"/>
    </row>
    <row r="20" spans="1:17" ht="14">
      <c r="A20" s="19">
        <v>3</v>
      </c>
      <c r="B20" s="23" t="s">
        <v>61</v>
      </c>
      <c r="C20" s="54"/>
      <c r="D20" s="263"/>
      <c r="E20" s="59"/>
      <c r="F20" s="121"/>
      <c r="G20" s="312">
        <f t="shared" si="0"/>
        <v>722</v>
      </c>
      <c r="H20" s="161"/>
      <c r="I20" s="161"/>
      <c r="J20" s="162"/>
      <c r="K20" s="162"/>
    </row>
    <row r="21" spans="1:17" ht="14">
      <c r="A21" s="19"/>
      <c r="B21" s="23"/>
      <c r="C21" s="54"/>
      <c r="D21" s="263"/>
      <c r="E21" s="59"/>
      <c r="F21" s="121"/>
      <c r="G21" s="312">
        <f t="shared" si="0"/>
        <v>723</v>
      </c>
      <c r="H21" s="161"/>
      <c r="I21" s="161"/>
      <c r="J21" s="162"/>
      <c r="K21" s="162"/>
    </row>
    <row r="22" spans="1:17" ht="26">
      <c r="A22" s="19"/>
      <c r="B22" s="76" t="s">
        <v>154</v>
      </c>
      <c r="C22" s="54"/>
      <c r="D22" s="263"/>
      <c r="E22" s="59"/>
      <c r="F22" s="121"/>
      <c r="G22" s="312">
        <f t="shared" si="0"/>
        <v>724</v>
      </c>
      <c r="H22" s="161"/>
      <c r="I22" s="161"/>
      <c r="J22" s="162"/>
      <c r="K22" s="162"/>
    </row>
    <row r="23" spans="1:17" ht="14">
      <c r="A23" s="19"/>
      <c r="B23" s="24"/>
      <c r="C23" s="54"/>
      <c r="D23" s="263"/>
      <c r="E23" s="59"/>
      <c r="F23" s="121"/>
      <c r="G23" s="312">
        <f t="shared" si="0"/>
        <v>725</v>
      </c>
      <c r="H23" s="161"/>
      <c r="I23" s="161"/>
      <c r="J23" s="162" t="str">
        <f t="shared" ref="J23" si="1">IF(B23="","",H23*B23)</f>
        <v/>
      </c>
      <c r="K23" s="162" t="str">
        <f t="shared" ref="K23" si="2">IF(B23="","",B23*I23)</f>
        <v/>
      </c>
    </row>
    <row r="24" spans="1:17" ht="14">
      <c r="A24" s="19" t="s">
        <v>349</v>
      </c>
      <c r="B24" s="78" t="s">
        <v>122</v>
      </c>
      <c r="C24" s="54"/>
      <c r="D24" s="262"/>
      <c r="E24" s="163" t="str">
        <f>IF(D24="","",(((J24*$K$2)+(K24*$I$2*$I$3))*$K$3)/D24)</f>
        <v/>
      </c>
      <c r="F24" s="164" t="str">
        <f>IF(D24="","",D24*E24)</f>
        <v/>
      </c>
      <c r="G24" s="312">
        <f t="shared" si="0"/>
        <v>726</v>
      </c>
      <c r="H24" s="161"/>
      <c r="I24" s="161"/>
      <c r="J24" s="162" t="str">
        <f>IF(D24="","",H24*D24)</f>
        <v/>
      </c>
      <c r="K24" s="162" t="str">
        <f>IF(D24="","",D24*I24)</f>
        <v/>
      </c>
    </row>
    <row r="25" spans="1:17" ht="14">
      <c r="A25" s="19"/>
      <c r="B25" s="26"/>
      <c r="C25" s="54"/>
      <c r="D25" s="262"/>
      <c r="E25" s="163" t="str">
        <f t="shared" ref="E25:E88" si="3">IF(D25="","",(((J25*$K$2)+(K25*$I$2*$I$3))*$K$3)/D25)</f>
        <v/>
      </c>
      <c r="F25" s="164" t="str">
        <f t="shared" ref="F25:F88" si="4">IF(D25="","",D25*E25)</f>
        <v/>
      </c>
      <c r="G25" s="312">
        <f t="shared" si="0"/>
        <v>727</v>
      </c>
      <c r="H25" s="161"/>
      <c r="I25" s="161"/>
      <c r="J25" s="162" t="str">
        <f t="shared" ref="J25:J88" si="5">IF(D25="","",H25*D25)</f>
        <v/>
      </c>
      <c r="K25" s="162" t="str">
        <f t="shared" ref="K25:K88" si="6">IF(D25="","",D25*I25)</f>
        <v/>
      </c>
    </row>
    <row r="26" spans="1:17" s="34" customFormat="1" ht="25" customHeight="1">
      <c r="A26" s="45"/>
      <c r="B26" s="79" t="s">
        <v>322</v>
      </c>
      <c r="C26" s="46" t="s">
        <v>12</v>
      </c>
      <c r="D26" s="264">
        <v>1</v>
      </c>
      <c r="E26" s="163">
        <f t="shared" si="3"/>
        <v>0</v>
      </c>
      <c r="F26" s="164">
        <f t="shared" si="4"/>
        <v>0</v>
      </c>
      <c r="G26" s="312">
        <f t="shared" si="0"/>
        <v>728</v>
      </c>
      <c r="H26" s="161"/>
      <c r="I26" s="161"/>
      <c r="J26" s="162">
        <f t="shared" si="5"/>
        <v>0</v>
      </c>
      <c r="K26" s="162">
        <f t="shared" si="6"/>
        <v>0</v>
      </c>
    </row>
    <row r="27" spans="1:17" s="34" customFormat="1" ht="31.5" customHeight="1">
      <c r="A27" s="45"/>
      <c r="B27" s="79" t="s">
        <v>323</v>
      </c>
      <c r="C27" s="46" t="s">
        <v>33</v>
      </c>
      <c r="D27" s="262"/>
      <c r="E27" s="163" t="str">
        <f t="shared" si="3"/>
        <v/>
      </c>
      <c r="F27" s="164" t="str">
        <f t="shared" si="4"/>
        <v/>
      </c>
      <c r="G27" s="312">
        <f t="shared" si="0"/>
        <v>729</v>
      </c>
      <c r="H27" s="161"/>
      <c r="I27" s="161"/>
      <c r="J27" s="162" t="str">
        <f t="shared" si="5"/>
        <v/>
      </c>
      <c r="K27" s="162" t="str">
        <f t="shared" si="6"/>
        <v/>
      </c>
    </row>
    <row r="28" spans="1:17" s="34" customFormat="1" ht="18" customHeight="1">
      <c r="A28" s="45"/>
      <c r="B28" s="80" t="s">
        <v>123</v>
      </c>
      <c r="C28" s="46" t="s">
        <v>12</v>
      </c>
      <c r="D28" s="262">
        <v>1</v>
      </c>
      <c r="E28" s="163">
        <f t="shared" si="3"/>
        <v>0</v>
      </c>
      <c r="F28" s="164">
        <f t="shared" si="4"/>
        <v>0</v>
      </c>
      <c r="G28" s="312">
        <f t="shared" si="0"/>
        <v>730</v>
      </c>
      <c r="H28" s="161"/>
      <c r="I28" s="161"/>
      <c r="J28" s="162">
        <f t="shared" si="5"/>
        <v>0</v>
      </c>
      <c r="K28" s="162">
        <f t="shared" si="6"/>
        <v>0</v>
      </c>
    </row>
    <row r="29" spans="1:17" ht="14">
      <c r="A29" s="19"/>
      <c r="B29" s="23"/>
      <c r="C29" s="54"/>
      <c r="D29" s="262"/>
      <c r="E29" s="163" t="str">
        <f t="shared" si="3"/>
        <v/>
      </c>
      <c r="F29" s="164" t="str">
        <f t="shared" si="4"/>
        <v/>
      </c>
      <c r="G29" s="312">
        <f t="shared" si="0"/>
        <v>731</v>
      </c>
      <c r="H29" s="161"/>
      <c r="I29" s="161"/>
      <c r="J29" s="162" t="str">
        <f t="shared" si="5"/>
        <v/>
      </c>
      <c r="K29" s="162" t="str">
        <f t="shared" si="6"/>
        <v/>
      </c>
    </row>
    <row r="30" spans="1:17" ht="37.5">
      <c r="A30" s="19"/>
      <c r="B30" s="82" t="s">
        <v>324</v>
      </c>
      <c r="C30" s="46" t="s">
        <v>12</v>
      </c>
      <c r="D30" s="262">
        <f>SUM(QTE!D278:X279)</f>
        <v>73</v>
      </c>
      <c r="E30" s="163">
        <f t="shared" si="3"/>
        <v>0</v>
      </c>
      <c r="F30" s="164">
        <f t="shared" si="4"/>
        <v>0</v>
      </c>
      <c r="G30" s="312">
        <f t="shared" si="0"/>
        <v>732</v>
      </c>
      <c r="H30" s="161"/>
      <c r="I30" s="161"/>
      <c r="J30" s="162">
        <f t="shared" si="5"/>
        <v>0</v>
      </c>
      <c r="K30" s="162">
        <f t="shared" si="6"/>
        <v>0</v>
      </c>
      <c r="Q30" s="32"/>
    </row>
    <row r="31" spans="1:17" ht="14">
      <c r="A31" s="19"/>
      <c r="B31" s="82"/>
      <c r="C31" s="46"/>
      <c r="D31" s="262"/>
      <c r="E31" s="163" t="str">
        <f t="shared" si="3"/>
        <v/>
      </c>
      <c r="F31" s="164" t="str">
        <f t="shared" si="4"/>
        <v/>
      </c>
      <c r="G31" s="312">
        <f t="shared" si="0"/>
        <v>733</v>
      </c>
      <c r="H31" s="161"/>
      <c r="I31" s="161"/>
      <c r="J31" s="162" t="str">
        <f t="shared" si="5"/>
        <v/>
      </c>
      <c r="K31" s="162" t="str">
        <f t="shared" si="6"/>
        <v/>
      </c>
      <c r="Q31" s="32"/>
    </row>
    <row r="32" spans="1:17" ht="38.25" customHeight="1">
      <c r="A32" s="19"/>
      <c r="B32" s="82" t="s">
        <v>246</v>
      </c>
      <c r="C32" s="46" t="s">
        <v>12</v>
      </c>
      <c r="D32" s="262">
        <v>1</v>
      </c>
      <c r="E32" s="163">
        <f t="shared" si="3"/>
        <v>0</v>
      </c>
      <c r="F32" s="164">
        <f t="shared" si="4"/>
        <v>0</v>
      </c>
      <c r="G32" s="312">
        <f t="shared" si="0"/>
        <v>734</v>
      </c>
      <c r="H32" s="161"/>
      <c r="I32" s="161"/>
      <c r="J32" s="162">
        <f t="shared" si="5"/>
        <v>0</v>
      </c>
      <c r="K32" s="162">
        <f t="shared" si="6"/>
        <v>0</v>
      </c>
      <c r="Q32" s="32"/>
    </row>
    <row r="33" spans="1:17" ht="14">
      <c r="A33" s="19"/>
      <c r="B33" s="23"/>
      <c r="C33" s="54"/>
      <c r="D33" s="262"/>
      <c r="E33" s="163" t="str">
        <f t="shared" si="3"/>
        <v/>
      </c>
      <c r="F33" s="164" t="str">
        <f t="shared" si="4"/>
        <v/>
      </c>
      <c r="G33" s="312">
        <f t="shared" si="0"/>
        <v>735</v>
      </c>
      <c r="H33" s="161"/>
      <c r="I33" s="161"/>
      <c r="J33" s="162" t="str">
        <f t="shared" si="5"/>
        <v/>
      </c>
      <c r="K33" s="162" t="str">
        <f t="shared" si="6"/>
        <v/>
      </c>
    </row>
    <row r="34" spans="1:17" ht="18" customHeight="1">
      <c r="A34" s="110"/>
      <c r="B34" s="80" t="s">
        <v>123</v>
      </c>
      <c r="C34" s="46" t="s">
        <v>12</v>
      </c>
      <c r="D34" s="262">
        <v>1</v>
      </c>
      <c r="E34" s="163">
        <f t="shared" si="3"/>
        <v>0</v>
      </c>
      <c r="F34" s="164">
        <f t="shared" si="4"/>
        <v>0</v>
      </c>
      <c r="G34" s="312">
        <f t="shared" si="0"/>
        <v>736</v>
      </c>
      <c r="H34" s="161"/>
      <c r="I34" s="161"/>
      <c r="J34" s="162">
        <f t="shared" si="5"/>
        <v>0</v>
      </c>
      <c r="K34" s="162">
        <f t="shared" si="6"/>
        <v>0</v>
      </c>
    </row>
    <row r="35" spans="1:17" ht="14">
      <c r="A35" s="110"/>
      <c r="B35" s="88" t="s">
        <v>124</v>
      </c>
      <c r="C35" s="54" t="s">
        <v>12</v>
      </c>
      <c r="D35" s="262">
        <v>1</v>
      </c>
      <c r="E35" s="163">
        <f t="shared" si="3"/>
        <v>0</v>
      </c>
      <c r="F35" s="164">
        <f t="shared" si="4"/>
        <v>0</v>
      </c>
      <c r="G35" s="312">
        <f t="shared" si="0"/>
        <v>737</v>
      </c>
      <c r="H35" s="161"/>
      <c r="I35" s="161"/>
      <c r="J35" s="162">
        <f t="shared" si="5"/>
        <v>0</v>
      </c>
      <c r="K35" s="162">
        <f t="shared" si="6"/>
        <v>0</v>
      </c>
    </row>
    <row r="36" spans="1:17" ht="14">
      <c r="A36" s="110"/>
      <c r="B36" s="88"/>
      <c r="C36" s="54"/>
      <c r="D36" s="262"/>
      <c r="E36" s="163" t="str">
        <f t="shared" si="3"/>
        <v/>
      </c>
      <c r="F36" s="164" t="str">
        <f t="shared" si="4"/>
        <v/>
      </c>
      <c r="G36" s="312">
        <f t="shared" si="0"/>
        <v>738</v>
      </c>
      <c r="H36" s="161"/>
      <c r="I36" s="161"/>
      <c r="J36" s="162" t="str">
        <f t="shared" si="5"/>
        <v/>
      </c>
      <c r="K36" s="162" t="str">
        <f t="shared" si="6"/>
        <v/>
      </c>
    </row>
    <row r="37" spans="1:17" ht="25">
      <c r="A37" s="110"/>
      <c r="B37" s="88" t="s">
        <v>143</v>
      </c>
      <c r="C37" s="54" t="s">
        <v>13</v>
      </c>
      <c r="D37" s="262">
        <v>3</v>
      </c>
      <c r="E37" s="163">
        <f t="shared" si="3"/>
        <v>0</v>
      </c>
      <c r="F37" s="164">
        <f t="shared" si="4"/>
        <v>0</v>
      </c>
      <c r="G37" s="312">
        <f t="shared" si="0"/>
        <v>739</v>
      </c>
      <c r="H37" s="161"/>
      <c r="I37" s="161"/>
      <c r="J37" s="162">
        <f t="shared" si="5"/>
        <v>0</v>
      </c>
      <c r="K37" s="162">
        <f t="shared" si="6"/>
        <v>0</v>
      </c>
    </row>
    <row r="38" spans="1:17" ht="14">
      <c r="A38" s="110"/>
      <c r="B38" s="88"/>
      <c r="C38" s="54"/>
      <c r="D38" s="262"/>
      <c r="E38" s="163" t="str">
        <f t="shared" si="3"/>
        <v/>
      </c>
      <c r="F38" s="164" t="str">
        <f t="shared" si="4"/>
        <v/>
      </c>
      <c r="G38" s="312">
        <f t="shared" si="0"/>
        <v>740</v>
      </c>
      <c r="H38" s="161"/>
      <c r="I38" s="161"/>
      <c r="J38" s="162" t="str">
        <f t="shared" si="5"/>
        <v/>
      </c>
      <c r="K38" s="162" t="str">
        <f t="shared" si="6"/>
        <v/>
      </c>
    </row>
    <row r="39" spans="1:17" ht="40.5" customHeight="1">
      <c r="A39" s="19" t="s">
        <v>350</v>
      </c>
      <c r="B39" s="99" t="s">
        <v>464</v>
      </c>
      <c r="C39" s="102" t="s">
        <v>138</v>
      </c>
      <c r="D39" s="262">
        <v>49</v>
      </c>
      <c r="E39" s="163">
        <f t="shared" si="3"/>
        <v>0</v>
      </c>
      <c r="F39" s="164">
        <f t="shared" si="4"/>
        <v>0</v>
      </c>
      <c r="G39" s="312">
        <f t="shared" si="0"/>
        <v>741</v>
      </c>
      <c r="H39" s="161"/>
      <c r="I39" s="161"/>
      <c r="J39" s="162">
        <f t="shared" si="5"/>
        <v>0</v>
      </c>
      <c r="K39" s="162">
        <f t="shared" si="6"/>
        <v>0</v>
      </c>
      <c r="Q39" s="32"/>
    </row>
    <row r="40" spans="1:17" ht="25">
      <c r="A40" s="19"/>
      <c r="B40" s="99" t="s">
        <v>250</v>
      </c>
      <c r="C40" s="102" t="s">
        <v>138</v>
      </c>
      <c r="D40" s="262"/>
      <c r="E40" s="163" t="str">
        <f t="shared" si="3"/>
        <v/>
      </c>
      <c r="F40" s="164" t="str">
        <f t="shared" si="4"/>
        <v/>
      </c>
      <c r="G40" s="312">
        <f t="shared" si="0"/>
        <v>742</v>
      </c>
      <c r="H40" s="161"/>
      <c r="I40" s="161"/>
      <c r="J40" s="162" t="str">
        <f t="shared" si="5"/>
        <v/>
      </c>
      <c r="K40" s="162" t="str">
        <f t="shared" si="6"/>
        <v/>
      </c>
      <c r="Q40" s="32"/>
    </row>
    <row r="41" spans="1:17" ht="14">
      <c r="A41" s="19"/>
      <c r="B41" s="99"/>
      <c r="C41" s="103"/>
      <c r="D41" s="262"/>
      <c r="E41" s="163" t="str">
        <f t="shared" si="3"/>
        <v/>
      </c>
      <c r="F41" s="164" t="str">
        <f t="shared" si="4"/>
        <v/>
      </c>
      <c r="G41" s="312">
        <f t="shared" si="0"/>
        <v>743</v>
      </c>
      <c r="H41" s="161"/>
      <c r="I41" s="161"/>
      <c r="J41" s="162" t="str">
        <f t="shared" si="5"/>
        <v/>
      </c>
      <c r="K41" s="162" t="str">
        <f t="shared" si="6"/>
        <v/>
      </c>
      <c r="Q41" s="32"/>
    </row>
    <row r="42" spans="1:17" ht="25">
      <c r="A42" s="19"/>
      <c r="B42" s="79" t="s">
        <v>256</v>
      </c>
      <c r="C42" s="102" t="s">
        <v>1</v>
      </c>
      <c r="D42" s="262">
        <f>15+55</f>
        <v>70</v>
      </c>
      <c r="E42" s="163">
        <f t="shared" si="3"/>
        <v>0</v>
      </c>
      <c r="F42" s="164">
        <f t="shared" si="4"/>
        <v>0</v>
      </c>
      <c r="G42" s="312">
        <f t="shared" si="0"/>
        <v>744</v>
      </c>
      <c r="H42" s="161"/>
      <c r="I42" s="161"/>
      <c r="J42" s="162">
        <f t="shared" si="5"/>
        <v>0</v>
      </c>
      <c r="K42" s="162">
        <f t="shared" si="6"/>
        <v>0</v>
      </c>
      <c r="Q42" s="32"/>
    </row>
    <row r="43" spans="1:17" ht="25">
      <c r="A43" s="19"/>
      <c r="B43" s="79" t="s">
        <v>255</v>
      </c>
      <c r="C43" s="102" t="s">
        <v>1</v>
      </c>
      <c r="D43" s="262">
        <f>15+55</f>
        <v>70</v>
      </c>
      <c r="E43" s="163">
        <f t="shared" si="3"/>
        <v>0</v>
      </c>
      <c r="F43" s="164">
        <f t="shared" si="4"/>
        <v>0</v>
      </c>
      <c r="G43" s="312">
        <f t="shared" si="0"/>
        <v>745</v>
      </c>
      <c r="H43" s="161"/>
      <c r="I43" s="161"/>
      <c r="J43" s="162">
        <f t="shared" si="5"/>
        <v>0</v>
      </c>
      <c r="K43" s="162">
        <f t="shared" si="6"/>
        <v>0</v>
      </c>
      <c r="Q43" s="32"/>
    </row>
    <row r="44" spans="1:17" ht="14">
      <c r="A44" s="19"/>
      <c r="B44" s="100"/>
      <c r="C44" s="103"/>
      <c r="D44" s="262"/>
      <c r="E44" s="163" t="str">
        <f t="shared" si="3"/>
        <v/>
      </c>
      <c r="F44" s="164" t="str">
        <f t="shared" si="4"/>
        <v/>
      </c>
      <c r="G44" s="312">
        <f t="shared" si="0"/>
        <v>746</v>
      </c>
      <c r="H44" s="161"/>
      <c r="I44" s="161"/>
      <c r="J44" s="162" t="str">
        <f t="shared" si="5"/>
        <v/>
      </c>
      <c r="K44" s="162" t="str">
        <f t="shared" si="6"/>
        <v/>
      </c>
      <c r="Q44" s="32"/>
    </row>
    <row r="45" spans="1:17" ht="37.5">
      <c r="A45" s="19" t="s">
        <v>355</v>
      </c>
      <c r="B45" s="99" t="s">
        <v>463</v>
      </c>
      <c r="C45" s="46" t="s">
        <v>12</v>
      </c>
      <c r="D45" s="262">
        <f>20+55</f>
        <v>75</v>
      </c>
      <c r="E45" s="163">
        <f t="shared" si="3"/>
        <v>0</v>
      </c>
      <c r="F45" s="164">
        <f t="shared" si="4"/>
        <v>0</v>
      </c>
      <c r="G45" s="312">
        <f t="shared" si="0"/>
        <v>747</v>
      </c>
      <c r="H45" s="161"/>
      <c r="I45" s="161"/>
      <c r="J45" s="162">
        <f t="shared" si="5"/>
        <v>0</v>
      </c>
      <c r="K45" s="162">
        <f t="shared" si="6"/>
        <v>0</v>
      </c>
      <c r="Q45" s="32"/>
    </row>
    <row r="46" spans="1:17" ht="14">
      <c r="A46" s="19"/>
      <c r="B46" s="99"/>
      <c r="C46" s="46"/>
      <c r="D46" s="262"/>
      <c r="E46" s="163" t="str">
        <f t="shared" si="3"/>
        <v/>
      </c>
      <c r="F46" s="164" t="str">
        <f t="shared" si="4"/>
        <v/>
      </c>
      <c r="G46" s="312">
        <f t="shared" si="0"/>
        <v>748</v>
      </c>
      <c r="H46" s="161"/>
      <c r="I46" s="161"/>
      <c r="J46" s="162" t="str">
        <f t="shared" si="5"/>
        <v/>
      </c>
      <c r="K46" s="162" t="str">
        <f t="shared" si="6"/>
        <v/>
      </c>
      <c r="Q46" s="32"/>
    </row>
    <row r="47" spans="1:17" ht="14">
      <c r="A47" s="19"/>
      <c r="B47" s="80" t="s">
        <v>251</v>
      </c>
      <c r="C47" s="102" t="s">
        <v>12</v>
      </c>
      <c r="D47" s="262">
        <v>2</v>
      </c>
      <c r="E47" s="163">
        <f t="shared" si="3"/>
        <v>0</v>
      </c>
      <c r="F47" s="164">
        <f t="shared" si="4"/>
        <v>0</v>
      </c>
      <c r="G47" s="312">
        <f t="shared" si="0"/>
        <v>749</v>
      </c>
      <c r="H47" s="161"/>
      <c r="I47" s="161"/>
      <c r="J47" s="162">
        <f t="shared" si="5"/>
        <v>0</v>
      </c>
      <c r="K47" s="162">
        <f t="shared" si="6"/>
        <v>0</v>
      </c>
      <c r="Q47" s="32"/>
    </row>
    <row r="48" spans="1:17" ht="14">
      <c r="A48" s="19"/>
      <c r="B48" s="99" t="s">
        <v>252</v>
      </c>
      <c r="C48" s="102" t="s">
        <v>13</v>
      </c>
      <c r="D48" s="262">
        <v>6</v>
      </c>
      <c r="E48" s="163">
        <f t="shared" si="3"/>
        <v>0</v>
      </c>
      <c r="F48" s="164">
        <f t="shared" si="4"/>
        <v>0</v>
      </c>
      <c r="G48" s="312">
        <f t="shared" si="0"/>
        <v>750</v>
      </c>
      <c r="H48" s="161"/>
      <c r="I48" s="161"/>
      <c r="J48" s="162">
        <f t="shared" si="5"/>
        <v>0</v>
      </c>
      <c r="K48" s="162">
        <f t="shared" si="6"/>
        <v>0</v>
      </c>
      <c r="Q48" s="32"/>
    </row>
    <row r="49" spans="1:17" ht="14">
      <c r="A49" s="19"/>
      <c r="B49" s="126"/>
      <c r="C49" s="102"/>
      <c r="D49" s="262"/>
      <c r="E49" s="163" t="str">
        <f t="shared" si="3"/>
        <v/>
      </c>
      <c r="F49" s="164" t="str">
        <f t="shared" si="4"/>
        <v/>
      </c>
      <c r="G49" s="312">
        <f t="shared" si="0"/>
        <v>751</v>
      </c>
      <c r="H49" s="161"/>
      <c r="I49" s="161"/>
      <c r="J49" s="162" t="str">
        <f t="shared" si="5"/>
        <v/>
      </c>
      <c r="K49" s="162" t="str">
        <f t="shared" si="6"/>
        <v/>
      </c>
      <c r="Q49" s="32"/>
    </row>
    <row r="50" spans="1:17" ht="16.5" customHeight="1">
      <c r="A50" s="19" t="s">
        <v>356</v>
      </c>
      <c r="B50" s="99" t="s">
        <v>351</v>
      </c>
      <c r="C50" s="102" t="s">
        <v>13</v>
      </c>
      <c r="D50" s="262"/>
      <c r="E50" s="163" t="str">
        <f t="shared" si="3"/>
        <v/>
      </c>
      <c r="F50" s="164" t="str">
        <f t="shared" si="4"/>
        <v/>
      </c>
      <c r="G50" s="312">
        <f t="shared" si="0"/>
        <v>752</v>
      </c>
      <c r="H50" s="161"/>
      <c r="I50" s="161"/>
      <c r="J50" s="162" t="str">
        <f t="shared" si="5"/>
        <v/>
      </c>
      <c r="K50" s="162" t="str">
        <f t="shared" si="6"/>
        <v/>
      </c>
      <c r="Q50" s="32"/>
    </row>
    <row r="51" spans="1:17" ht="14">
      <c r="A51" s="19"/>
      <c r="B51" s="99" t="s">
        <v>352</v>
      </c>
      <c r="C51" s="102" t="s">
        <v>13</v>
      </c>
      <c r="D51" s="262">
        <f>+QTE!D278+QTE!D279+QTE!V278+QTE!V279</f>
        <v>13</v>
      </c>
      <c r="E51" s="163">
        <f t="shared" si="3"/>
        <v>0</v>
      </c>
      <c r="F51" s="164">
        <f t="shared" si="4"/>
        <v>0</v>
      </c>
      <c r="G51" s="312">
        <f t="shared" si="0"/>
        <v>753</v>
      </c>
      <c r="H51" s="161"/>
      <c r="I51" s="161"/>
      <c r="J51" s="162">
        <f t="shared" si="5"/>
        <v>0</v>
      </c>
      <c r="K51" s="162">
        <f t="shared" si="6"/>
        <v>0</v>
      </c>
      <c r="Q51" s="32"/>
    </row>
    <row r="52" spans="1:17" ht="14">
      <c r="A52" s="19"/>
      <c r="B52" s="99" t="s">
        <v>353</v>
      </c>
      <c r="C52" s="102" t="s">
        <v>13</v>
      </c>
      <c r="D52" s="262">
        <f>+QTE!F279+QTE!X278+QTE!X279</f>
        <v>3</v>
      </c>
      <c r="E52" s="163">
        <f t="shared" si="3"/>
        <v>0</v>
      </c>
      <c r="F52" s="164">
        <f t="shared" si="4"/>
        <v>0</v>
      </c>
      <c r="G52" s="312">
        <f t="shared" si="0"/>
        <v>754</v>
      </c>
      <c r="H52" s="161"/>
      <c r="I52" s="161"/>
      <c r="J52" s="162">
        <f t="shared" si="5"/>
        <v>0</v>
      </c>
      <c r="K52" s="162">
        <f t="shared" si="6"/>
        <v>0</v>
      </c>
      <c r="Q52" s="32"/>
    </row>
    <row r="53" spans="1:17" ht="14">
      <c r="A53" s="19"/>
      <c r="B53" s="99" t="s">
        <v>354</v>
      </c>
      <c r="C53" s="102" t="s">
        <v>13</v>
      </c>
      <c r="D53" s="262">
        <f>+QTE!E278+QTE!E279+QTE!W278+QTE!W279</f>
        <v>14</v>
      </c>
      <c r="E53" s="163">
        <f t="shared" si="3"/>
        <v>0</v>
      </c>
      <c r="F53" s="164">
        <f t="shared" si="4"/>
        <v>0</v>
      </c>
      <c r="G53" s="312">
        <f t="shared" si="0"/>
        <v>755</v>
      </c>
      <c r="H53" s="161"/>
      <c r="I53" s="161"/>
      <c r="J53" s="162">
        <f t="shared" si="5"/>
        <v>0</v>
      </c>
      <c r="K53" s="162">
        <f t="shared" si="6"/>
        <v>0</v>
      </c>
      <c r="Q53" s="32"/>
    </row>
    <row r="54" spans="1:17" ht="14">
      <c r="A54" s="19"/>
      <c r="B54" s="101"/>
      <c r="C54" s="103"/>
      <c r="D54" s="262"/>
      <c r="E54" s="163" t="str">
        <f t="shared" si="3"/>
        <v/>
      </c>
      <c r="F54" s="164" t="str">
        <f t="shared" si="4"/>
        <v/>
      </c>
      <c r="G54" s="312">
        <f t="shared" si="0"/>
        <v>756</v>
      </c>
      <c r="H54" s="161"/>
      <c r="I54" s="161"/>
      <c r="J54" s="162" t="str">
        <f t="shared" si="5"/>
        <v/>
      </c>
      <c r="K54" s="162" t="str">
        <f t="shared" si="6"/>
        <v/>
      </c>
      <c r="Q54" s="32"/>
    </row>
    <row r="55" spans="1:17" ht="14">
      <c r="A55" s="19" t="s">
        <v>357</v>
      </c>
      <c r="B55" s="100" t="s">
        <v>144</v>
      </c>
      <c r="C55" s="102" t="s">
        <v>13</v>
      </c>
      <c r="D55" s="262">
        <v>6</v>
      </c>
      <c r="E55" s="163">
        <f t="shared" si="3"/>
        <v>0</v>
      </c>
      <c r="F55" s="164">
        <f t="shared" si="4"/>
        <v>0</v>
      </c>
      <c r="G55" s="312">
        <f t="shared" si="0"/>
        <v>757</v>
      </c>
      <c r="H55" s="161"/>
      <c r="I55" s="161"/>
      <c r="J55" s="162">
        <f t="shared" si="5"/>
        <v>0</v>
      </c>
      <c r="K55" s="162">
        <f t="shared" si="6"/>
        <v>0</v>
      </c>
      <c r="Q55" s="32"/>
    </row>
    <row r="56" spans="1:17" ht="14">
      <c r="A56" s="19"/>
      <c r="B56" s="100"/>
      <c r="C56" s="102"/>
      <c r="D56" s="262"/>
      <c r="E56" s="163" t="str">
        <f t="shared" si="3"/>
        <v/>
      </c>
      <c r="F56" s="164" t="str">
        <f t="shared" si="4"/>
        <v/>
      </c>
      <c r="G56" s="312">
        <f t="shared" si="0"/>
        <v>758</v>
      </c>
      <c r="H56" s="161"/>
      <c r="I56" s="161"/>
      <c r="J56" s="162" t="str">
        <f t="shared" si="5"/>
        <v/>
      </c>
      <c r="K56" s="162" t="str">
        <f t="shared" si="6"/>
        <v/>
      </c>
      <c r="Q56" s="32"/>
    </row>
    <row r="57" spans="1:17" ht="14">
      <c r="A57" s="19"/>
      <c r="B57" s="100" t="s">
        <v>145</v>
      </c>
      <c r="C57" s="102" t="s">
        <v>13</v>
      </c>
      <c r="D57" s="287"/>
      <c r="E57" s="163" t="str">
        <f t="shared" si="3"/>
        <v/>
      </c>
      <c r="F57" s="164" t="str">
        <f t="shared" si="4"/>
        <v/>
      </c>
      <c r="G57" s="312">
        <f t="shared" si="0"/>
        <v>759</v>
      </c>
      <c r="H57" s="161"/>
      <c r="I57" s="161"/>
      <c r="J57" s="162" t="str">
        <f t="shared" si="5"/>
        <v/>
      </c>
      <c r="K57" s="162" t="str">
        <f t="shared" si="6"/>
        <v/>
      </c>
      <c r="Q57" s="32"/>
    </row>
    <row r="58" spans="1:17" ht="14">
      <c r="A58" s="19"/>
      <c r="B58" s="100" t="s">
        <v>146</v>
      </c>
      <c r="C58" s="102" t="s">
        <v>13</v>
      </c>
      <c r="D58" s="287"/>
      <c r="E58" s="163" t="str">
        <f t="shared" si="3"/>
        <v/>
      </c>
      <c r="F58" s="164" t="str">
        <f t="shared" si="4"/>
        <v/>
      </c>
      <c r="G58" s="312">
        <f t="shared" si="0"/>
        <v>760</v>
      </c>
      <c r="H58" s="161"/>
      <c r="I58" s="161"/>
      <c r="J58" s="162" t="str">
        <f t="shared" si="5"/>
        <v/>
      </c>
      <c r="K58" s="162" t="str">
        <f t="shared" si="6"/>
        <v/>
      </c>
      <c r="Q58" s="32"/>
    </row>
    <row r="59" spans="1:17" ht="14">
      <c r="A59" s="19"/>
      <c r="B59" s="111"/>
      <c r="C59" s="102"/>
      <c r="D59" s="262"/>
      <c r="E59" s="163" t="str">
        <f t="shared" si="3"/>
        <v/>
      </c>
      <c r="F59" s="164" t="str">
        <f t="shared" si="4"/>
        <v/>
      </c>
      <c r="G59" s="312">
        <f t="shared" si="0"/>
        <v>761</v>
      </c>
      <c r="H59" s="161"/>
      <c r="I59" s="161"/>
      <c r="J59" s="162" t="str">
        <f t="shared" si="5"/>
        <v/>
      </c>
      <c r="K59" s="162" t="str">
        <f t="shared" si="6"/>
        <v/>
      </c>
      <c r="Q59" s="32"/>
    </row>
    <row r="60" spans="1:17" ht="25">
      <c r="A60" s="19"/>
      <c r="B60" s="100" t="s">
        <v>147</v>
      </c>
      <c r="C60" s="102" t="s">
        <v>12</v>
      </c>
      <c r="D60" s="262">
        <v>1</v>
      </c>
      <c r="E60" s="163">
        <f t="shared" si="3"/>
        <v>0</v>
      </c>
      <c r="F60" s="164">
        <f t="shared" si="4"/>
        <v>0</v>
      </c>
      <c r="G60" s="312">
        <f t="shared" si="0"/>
        <v>762</v>
      </c>
      <c r="H60" s="161"/>
      <c r="I60" s="161"/>
      <c r="J60" s="162">
        <f t="shared" si="5"/>
        <v>0</v>
      </c>
      <c r="K60" s="162">
        <f t="shared" si="6"/>
        <v>0</v>
      </c>
      <c r="Q60" s="32"/>
    </row>
    <row r="61" spans="1:17" ht="14">
      <c r="A61" s="19"/>
      <c r="B61" s="100"/>
      <c r="C61" s="102"/>
      <c r="D61" s="262"/>
      <c r="E61" s="163" t="str">
        <f t="shared" si="3"/>
        <v/>
      </c>
      <c r="F61" s="164" t="str">
        <f t="shared" si="4"/>
        <v/>
      </c>
      <c r="G61" s="312">
        <f t="shared" si="0"/>
        <v>763</v>
      </c>
      <c r="H61" s="161"/>
      <c r="I61" s="161"/>
      <c r="J61" s="162" t="str">
        <f t="shared" si="5"/>
        <v/>
      </c>
      <c r="K61" s="162" t="str">
        <f t="shared" si="6"/>
        <v/>
      </c>
      <c r="Q61" s="32"/>
    </row>
    <row r="62" spans="1:17" ht="25">
      <c r="A62" s="19"/>
      <c r="B62" s="100" t="s">
        <v>148</v>
      </c>
      <c r="C62" s="102" t="s">
        <v>12</v>
      </c>
      <c r="D62" s="262">
        <v>1</v>
      </c>
      <c r="E62" s="163">
        <f t="shared" si="3"/>
        <v>0</v>
      </c>
      <c r="F62" s="164">
        <f t="shared" si="4"/>
        <v>0</v>
      </c>
      <c r="G62" s="312">
        <f t="shared" si="0"/>
        <v>764</v>
      </c>
      <c r="H62" s="161"/>
      <c r="I62" s="161"/>
      <c r="J62" s="162">
        <f t="shared" si="5"/>
        <v>0</v>
      </c>
      <c r="K62" s="162">
        <f t="shared" si="6"/>
        <v>0</v>
      </c>
      <c r="Q62" s="32"/>
    </row>
    <row r="63" spans="1:17" ht="14">
      <c r="A63" s="19"/>
      <c r="B63" s="100"/>
      <c r="C63" s="102"/>
      <c r="D63" s="262"/>
      <c r="E63" s="163" t="str">
        <f t="shared" si="3"/>
        <v/>
      </c>
      <c r="F63" s="164" t="str">
        <f t="shared" si="4"/>
        <v/>
      </c>
      <c r="G63" s="312">
        <f t="shared" si="0"/>
        <v>765</v>
      </c>
      <c r="H63" s="161"/>
      <c r="I63" s="161"/>
      <c r="J63" s="162" t="str">
        <f t="shared" si="5"/>
        <v/>
      </c>
      <c r="K63" s="162" t="str">
        <f t="shared" si="6"/>
        <v/>
      </c>
      <c r="Q63" s="32"/>
    </row>
    <row r="64" spans="1:17" ht="37.5">
      <c r="A64" s="19"/>
      <c r="B64" s="100" t="s">
        <v>325</v>
      </c>
      <c r="C64" s="102" t="s">
        <v>12</v>
      </c>
      <c r="D64" s="262">
        <v>1</v>
      </c>
      <c r="E64" s="163">
        <f t="shared" si="3"/>
        <v>0</v>
      </c>
      <c r="F64" s="164">
        <f t="shared" si="4"/>
        <v>0</v>
      </c>
      <c r="G64" s="312">
        <f t="shared" si="0"/>
        <v>766</v>
      </c>
      <c r="H64" s="161"/>
      <c r="I64" s="161"/>
      <c r="J64" s="162">
        <f t="shared" si="5"/>
        <v>0</v>
      </c>
      <c r="K64" s="162">
        <f t="shared" si="6"/>
        <v>0</v>
      </c>
      <c r="Q64" s="32"/>
    </row>
    <row r="65" spans="1:17" ht="14">
      <c r="A65" s="19"/>
      <c r="B65" s="101"/>
      <c r="C65" s="103"/>
      <c r="D65" s="262"/>
      <c r="E65" s="163" t="str">
        <f t="shared" si="3"/>
        <v/>
      </c>
      <c r="F65" s="164" t="str">
        <f t="shared" si="4"/>
        <v/>
      </c>
      <c r="G65" s="312">
        <f t="shared" si="0"/>
        <v>767</v>
      </c>
      <c r="H65" s="161"/>
      <c r="I65" s="161"/>
      <c r="J65" s="162" t="str">
        <f t="shared" si="5"/>
        <v/>
      </c>
      <c r="K65" s="162" t="str">
        <f t="shared" si="6"/>
        <v/>
      </c>
      <c r="Q65" s="32"/>
    </row>
    <row r="66" spans="1:17" ht="14">
      <c r="A66" s="19"/>
      <c r="B66" s="100" t="s">
        <v>149</v>
      </c>
      <c r="C66" s="102" t="s">
        <v>12</v>
      </c>
      <c r="D66" s="262">
        <f>2*3*3</f>
        <v>18</v>
      </c>
      <c r="E66" s="163">
        <f t="shared" si="3"/>
        <v>0</v>
      </c>
      <c r="F66" s="164">
        <f t="shared" si="4"/>
        <v>0</v>
      </c>
      <c r="G66" s="312">
        <f t="shared" si="0"/>
        <v>768</v>
      </c>
      <c r="H66" s="161"/>
      <c r="I66" s="161"/>
      <c r="J66" s="162">
        <f t="shared" si="5"/>
        <v>0</v>
      </c>
      <c r="K66" s="162">
        <f t="shared" si="6"/>
        <v>0</v>
      </c>
      <c r="Q66" s="32"/>
    </row>
    <row r="67" spans="1:17" ht="14">
      <c r="A67" s="19"/>
      <c r="B67" s="100"/>
      <c r="C67" s="102"/>
      <c r="D67" s="262"/>
      <c r="E67" s="163" t="str">
        <f t="shared" si="3"/>
        <v/>
      </c>
      <c r="F67" s="164" t="str">
        <f t="shared" si="4"/>
        <v/>
      </c>
      <c r="G67" s="312">
        <f t="shared" si="0"/>
        <v>769</v>
      </c>
      <c r="H67" s="161"/>
      <c r="I67" s="161"/>
      <c r="J67" s="162" t="str">
        <f t="shared" si="5"/>
        <v/>
      </c>
      <c r="K67" s="162" t="str">
        <f t="shared" si="6"/>
        <v/>
      </c>
      <c r="Q67" s="32"/>
    </row>
    <row r="68" spans="1:17" ht="25">
      <c r="A68" s="19"/>
      <c r="B68" s="100" t="s">
        <v>326</v>
      </c>
      <c r="C68" s="102" t="s">
        <v>12</v>
      </c>
      <c r="D68" s="262">
        <f>SUM(D51:D53)*10</f>
        <v>300</v>
      </c>
      <c r="E68" s="163">
        <f t="shared" si="3"/>
        <v>0</v>
      </c>
      <c r="F68" s="164">
        <f t="shared" si="4"/>
        <v>0</v>
      </c>
      <c r="G68" s="312">
        <f t="shared" si="0"/>
        <v>770</v>
      </c>
      <c r="H68" s="161"/>
      <c r="I68" s="161"/>
      <c r="J68" s="162">
        <f t="shared" si="5"/>
        <v>0</v>
      </c>
      <c r="K68" s="162">
        <f t="shared" si="6"/>
        <v>0</v>
      </c>
      <c r="Q68" s="32"/>
    </row>
    <row r="69" spans="1:17" ht="14">
      <c r="A69" s="19"/>
      <c r="B69" s="81"/>
      <c r="C69" s="33"/>
      <c r="D69" s="262"/>
      <c r="E69" s="163" t="str">
        <f t="shared" si="3"/>
        <v/>
      </c>
      <c r="F69" s="164" t="str">
        <f t="shared" si="4"/>
        <v/>
      </c>
      <c r="G69" s="312">
        <f t="shared" si="0"/>
        <v>771</v>
      </c>
      <c r="H69" s="161"/>
      <c r="I69" s="161"/>
      <c r="J69" s="162" t="str">
        <f t="shared" si="5"/>
        <v/>
      </c>
      <c r="K69" s="162" t="str">
        <f t="shared" si="6"/>
        <v/>
      </c>
      <c r="Q69" s="32"/>
    </row>
    <row r="70" spans="1:17" s="5" customFormat="1" ht="14">
      <c r="A70" s="19"/>
      <c r="B70" s="83" t="s">
        <v>358</v>
      </c>
      <c r="C70" s="33"/>
      <c r="D70" s="262"/>
      <c r="E70" s="163" t="str">
        <f t="shared" si="3"/>
        <v/>
      </c>
      <c r="F70" s="164" t="str">
        <f t="shared" si="4"/>
        <v/>
      </c>
      <c r="G70" s="312">
        <f t="shared" si="0"/>
        <v>772</v>
      </c>
      <c r="H70" s="161"/>
      <c r="I70" s="161"/>
      <c r="J70" s="162" t="str">
        <f t="shared" si="5"/>
        <v/>
      </c>
      <c r="K70" s="162" t="str">
        <f t="shared" si="6"/>
        <v/>
      </c>
      <c r="Q70" s="36"/>
    </row>
    <row r="71" spans="1:17" ht="14">
      <c r="A71" s="19"/>
      <c r="B71" s="26"/>
      <c r="C71" s="33"/>
      <c r="D71" s="262"/>
      <c r="E71" s="163" t="str">
        <f t="shared" si="3"/>
        <v/>
      </c>
      <c r="F71" s="164" t="str">
        <f t="shared" si="4"/>
        <v/>
      </c>
      <c r="G71" s="312">
        <f t="shared" si="0"/>
        <v>773</v>
      </c>
      <c r="H71" s="161"/>
      <c r="I71" s="161"/>
      <c r="J71" s="162" t="str">
        <f t="shared" si="5"/>
        <v/>
      </c>
      <c r="K71" s="162" t="str">
        <f t="shared" si="6"/>
        <v/>
      </c>
    </row>
    <row r="72" spans="1:17" ht="14">
      <c r="A72" s="19" t="s">
        <v>360</v>
      </c>
      <c r="B72" s="78" t="s">
        <v>29</v>
      </c>
      <c r="C72" s="33"/>
      <c r="D72" s="262"/>
      <c r="E72" s="163" t="str">
        <f t="shared" si="3"/>
        <v/>
      </c>
      <c r="F72" s="164" t="str">
        <f t="shared" si="4"/>
        <v/>
      </c>
      <c r="G72" s="312">
        <f t="shared" si="0"/>
        <v>774</v>
      </c>
      <c r="H72" s="161"/>
      <c r="I72" s="161"/>
      <c r="J72" s="162" t="str">
        <f t="shared" si="5"/>
        <v/>
      </c>
      <c r="K72" s="162" t="str">
        <f t="shared" si="6"/>
        <v/>
      </c>
    </row>
    <row r="73" spans="1:17" ht="14">
      <c r="A73" s="19"/>
      <c r="B73" s="29"/>
      <c r="C73" s="33"/>
      <c r="D73" s="262"/>
      <c r="E73" s="163" t="str">
        <f t="shared" si="3"/>
        <v/>
      </c>
      <c r="F73" s="164" t="str">
        <f t="shared" si="4"/>
        <v/>
      </c>
      <c r="G73" s="312">
        <f t="shared" si="0"/>
        <v>775</v>
      </c>
      <c r="H73" s="161"/>
      <c r="I73" s="161"/>
      <c r="J73" s="162" t="str">
        <f t="shared" si="5"/>
        <v/>
      </c>
      <c r="K73" s="162" t="str">
        <f t="shared" si="6"/>
        <v/>
      </c>
    </row>
    <row r="74" spans="1:17" ht="14">
      <c r="A74" s="19"/>
      <c r="B74" s="86" t="s">
        <v>14</v>
      </c>
      <c r="C74" s="33" t="s">
        <v>13</v>
      </c>
      <c r="D74" s="262">
        <v>1</v>
      </c>
      <c r="E74" s="163">
        <f t="shared" si="3"/>
        <v>0</v>
      </c>
      <c r="F74" s="164">
        <f t="shared" si="4"/>
        <v>0</v>
      </c>
      <c r="G74" s="312">
        <f t="shared" si="0"/>
        <v>776</v>
      </c>
      <c r="H74" s="161"/>
      <c r="I74" s="161"/>
      <c r="J74" s="162">
        <f t="shared" si="5"/>
        <v>0</v>
      </c>
      <c r="K74" s="162">
        <f t="shared" si="6"/>
        <v>0</v>
      </c>
    </row>
    <row r="75" spans="1:17" ht="14.5">
      <c r="A75" s="19"/>
      <c r="B75" s="86" t="s">
        <v>15</v>
      </c>
      <c r="C75" s="33" t="s">
        <v>12</v>
      </c>
      <c r="D75" s="262">
        <v>1</v>
      </c>
      <c r="E75" s="163">
        <f t="shared" si="3"/>
        <v>0</v>
      </c>
      <c r="F75" s="164">
        <f t="shared" si="4"/>
        <v>0</v>
      </c>
      <c r="G75" s="312">
        <f t="shared" si="0"/>
        <v>777</v>
      </c>
      <c r="H75" s="161"/>
      <c r="I75" s="161"/>
      <c r="J75" s="162">
        <f t="shared" si="5"/>
        <v>0</v>
      </c>
      <c r="K75" s="162">
        <f t="shared" si="6"/>
        <v>0</v>
      </c>
    </row>
    <row r="76" spans="1:17" ht="14">
      <c r="A76" s="19"/>
      <c r="B76" s="86" t="s">
        <v>16</v>
      </c>
      <c r="C76" s="33" t="s">
        <v>12</v>
      </c>
      <c r="D76" s="262">
        <v>1</v>
      </c>
      <c r="E76" s="163">
        <f t="shared" si="3"/>
        <v>0</v>
      </c>
      <c r="F76" s="164">
        <f t="shared" si="4"/>
        <v>0</v>
      </c>
      <c r="G76" s="312">
        <f t="shared" si="0"/>
        <v>778</v>
      </c>
      <c r="H76" s="161"/>
      <c r="I76" s="161"/>
      <c r="J76" s="162">
        <f t="shared" si="5"/>
        <v>0</v>
      </c>
      <c r="K76" s="162">
        <f t="shared" si="6"/>
        <v>0</v>
      </c>
    </row>
    <row r="77" spans="1:17" ht="14">
      <c r="A77" s="19"/>
      <c r="B77" s="86" t="s">
        <v>359</v>
      </c>
      <c r="C77" s="33" t="s">
        <v>12</v>
      </c>
      <c r="D77" s="262">
        <v>1</v>
      </c>
      <c r="E77" s="163">
        <f t="shared" si="3"/>
        <v>0</v>
      </c>
      <c r="F77" s="164">
        <f t="shared" si="4"/>
        <v>0</v>
      </c>
      <c r="G77" s="312">
        <f t="shared" si="0"/>
        <v>779</v>
      </c>
      <c r="H77" s="161"/>
      <c r="I77" s="161"/>
      <c r="J77" s="162">
        <f t="shared" si="5"/>
        <v>0</v>
      </c>
      <c r="K77" s="162">
        <f t="shared" si="6"/>
        <v>0</v>
      </c>
    </row>
    <row r="78" spans="1:17" ht="25.5" customHeight="1">
      <c r="A78" s="19"/>
      <c r="B78" s="47" t="s">
        <v>327</v>
      </c>
      <c r="C78" s="33" t="s">
        <v>13</v>
      </c>
      <c r="D78" s="262">
        <f>+D68</f>
        <v>300</v>
      </c>
      <c r="E78" s="163">
        <f t="shared" si="3"/>
        <v>0</v>
      </c>
      <c r="F78" s="164">
        <f t="shared" si="4"/>
        <v>0</v>
      </c>
      <c r="G78" s="312">
        <f t="shared" si="0"/>
        <v>780</v>
      </c>
      <c r="H78" s="161"/>
      <c r="I78" s="161"/>
      <c r="J78" s="162">
        <f t="shared" si="5"/>
        <v>0</v>
      </c>
      <c r="K78" s="162">
        <f t="shared" si="6"/>
        <v>0</v>
      </c>
    </row>
    <row r="79" spans="1:17" ht="14">
      <c r="A79" s="19"/>
      <c r="B79" s="47" t="s">
        <v>31</v>
      </c>
      <c r="C79" s="33" t="s">
        <v>13</v>
      </c>
      <c r="D79" s="262">
        <f>6+10</f>
        <v>16</v>
      </c>
      <c r="E79" s="163">
        <f t="shared" si="3"/>
        <v>0</v>
      </c>
      <c r="F79" s="164">
        <f t="shared" si="4"/>
        <v>0</v>
      </c>
      <c r="G79" s="312">
        <f t="shared" si="0"/>
        <v>781</v>
      </c>
      <c r="H79" s="161"/>
      <c r="I79" s="161"/>
      <c r="J79" s="162">
        <f t="shared" si="5"/>
        <v>0</v>
      </c>
      <c r="K79" s="162">
        <f t="shared" si="6"/>
        <v>0</v>
      </c>
    </row>
    <row r="80" spans="1:17" ht="14">
      <c r="A80" s="19"/>
      <c r="B80" s="26"/>
      <c r="C80" s="33"/>
      <c r="D80" s="262"/>
      <c r="E80" s="163" t="str">
        <f t="shared" si="3"/>
        <v/>
      </c>
      <c r="F80" s="164" t="str">
        <f t="shared" si="4"/>
        <v/>
      </c>
      <c r="G80" s="312">
        <f t="shared" si="0"/>
        <v>782</v>
      </c>
      <c r="H80" s="161"/>
      <c r="I80" s="161"/>
      <c r="J80" s="162" t="str">
        <f t="shared" si="5"/>
        <v/>
      </c>
      <c r="K80" s="162" t="str">
        <f t="shared" si="6"/>
        <v/>
      </c>
    </row>
    <row r="81" spans="1:17" s="5" customFormat="1" ht="14">
      <c r="A81" s="19"/>
      <c r="B81" s="83" t="s">
        <v>361</v>
      </c>
      <c r="C81" s="33"/>
      <c r="D81" s="262"/>
      <c r="E81" s="163" t="str">
        <f t="shared" si="3"/>
        <v/>
      </c>
      <c r="F81" s="164" t="str">
        <f t="shared" si="4"/>
        <v/>
      </c>
      <c r="G81" s="312">
        <f t="shared" si="0"/>
        <v>783</v>
      </c>
      <c r="H81" s="161"/>
      <c r="I81" s="161"/>
      <c r="J81" s="162" t="str">
        <f t="shared" si="5"/>
        <v/>
      </c>
      <c r="K81" s="162" t="str">
        <f t="shared" si="6"/>
        <v/>
      </c>
      <c r="Q81" s="36"/>
    </row>
    <row r="82" spans="1:17" ht="14">
      <c r="A82" s="19"/>
      <c r="B82" s="26"/>
      <c r="C82" s="33"/>
      <c r="D82" s="262"/>
      <c r="E82" s="163" t="str">
        <f t="shared" si="3"/>
        <v/>
      </c>
      <c r="F82" s="164" t="str">
        <f t="shared" si="4"/>
        <v/>
      </c>
      <c r="G82" s="312">
        <f t="shared" ref="G82:G145" si="7">G81+1</f>
        <v>784</v>
      </c>
      <c r="H82" s="161"/>
      <c r="I82" s="161"/>
      <c r="J82" s="162" t="str">
        <f t="shared" si="5"/>
        <v/>
      </c>
      <c r="K82" s="162" t="str">
        <f t="shared" si="6"/>
        <v/>
      </c>
    </row>
    <row r="83" spans="1:17" ht="14">
      <c r="A83" s="19" t="s">
        <v>362</v>
      </c>
      <c r="B83" s="87" t="s">
        <v>157</v>
      </c>
      <c r="C83" s="57"/>
      <c r="D83" s="262"/>
      <c r="E83" s="163" t="str">
        <f t="shared" si="3"/>
        <v/>
      </c>
      <c r="F83" s="164" t="str">
        <f t="shared" si="4"/>
        <v/>
      </c>
      <c r="G83" s="312">
        <f t="shared" si="7"/>
        <v>785</v>
      </c>
      <c r="H83" s="161"/>
      <c r="I83" s="161"/>
      <c r="J83" s="162" t="str">
        <f t="shared" si="5"/>
        <v/>
      </c>
      <c r="K83" s="162" t="str">
        <f t="shared" si="6"/>
        <v/>
      </c>
    </row>
    <row r="84" spans="1:17" ht="14">
      <c r="A84" s="19"/>
      <c r="B84" s="87"/>
      <c r="C84" s="57"/>
      <c r="D84" s="262"/>
      <c r="E84" s="163" t="str">
        <f t="shared" si="3"/>
        <v/>
      </c>
      <c r="F84" s="164" t="str">
        <f t="shared" si="4"/>
        <v/>
      </c>
      <c r="G84" s="312">
        <f t="shared" si="7"/>
        <v>786</v>
      </c>
      <c r="H84" s="161"/>
      <c r="I84" s="161"/>
      <c r="J84" s="162" t="str">
        <f t="shared" si="5"/>
        <v/>
      </c>
      <c r="K84" s="162" t="str">
        <f t="shared" si="6"/>
        <v/>
      </c>
    </row>
    <row r="85" spans="1:17" ht="14">
      <c r="A85" s="19"/>
      <c r="B85" s="113" t="s">
        <v>158</v>
      </c>
      <c r="C85" s="57"/>
      <c r="D85" s="262"/>
      <c r="E85" s="163" t="str">
        <f t="shared" si="3"/>
        <v/>
      </c>
      <c r="F85" s="164" t="str">
        <f t="shared" si="4"/>
        <v/>
      </c>
      <c r="G85" s="312">
        <f t="shared" si="7"/>
        <v>787</v>
      </c>
      <c r="H85" s="161"/>
      <c r="I85" s="161"/>
      <c r="J85" s="162" t="str">
        <f t="shared" si="5"/>
        <v/>
      </c>
      <c r="K85" s="162" t="str">
        <f t="shared" si="6"/>
        <v/>
      </c>
    </row>
    <row r="86" spans="1:17" ht="14">
      <c r="A86" s="19"/>
      <c r="B86" s="86" t="s">
        <v>220</v>
      </c>
      <c r="C86" s="129" t="s">
        <v>257</v>
      </c>
      <c r="D86" s="262"/>
      <c r="E86" s="163" t="str">
        <f t="shared" si="3"/>
        <v/>
      </c>
      <c r="F86" s="164" t="str">
        <f t="shared" si="4"/>
        <v/>
      </c>
      <c r="G86" s="312">
        <f t="shared" si="7"/>
        <v>788</v>
      </c>
      <c r="H86" s="161"/>
      <c r="I86" s="161"/>
      <c r="J86" s="162" t="str">
        <f t="shared" si="5"/>
        <v/>
      </c>
      <c r="K86" s="162" t="str">
        <f t="shared" si="6"/>
        <v/>
      </c>
    </row>
    <row r="87" spans="1:17" ht="14">
      <c r="A87" s="19"/>
      <c r="B87" s="86" t="s">
        <v>160</v>
      </c>
      <c r="C87" s="57" t="s">
        <v>1</v>
      </c>
      <c r="D87" s="262">
        <f>3*2*3</f>
        <v>18</v>
      </c>
      <c r="E87" s="163">
        <f t="shared" si="3"/>
        <v>0</v>
      </c>
      <c r="F87" s="164">
        <f t="shared" si="4"/>
        <v>0</v>
      </c>
      <c r="G87" s="312">
        <f t="shared" si="7"/>
        <v>789</v>
      </c>
      <c r="H87" s="161"/>
      <c r="I87" s="161"/>
      <c r="J87" s="162">
        <f t="shared" si="5"/>
        <v>0</v>
      </c>
      <c r="K87" s="162">
        <f t="shared" si="6"/>
        <v>0</v>
      </c>
    </row>
    <row r="88" spans="1:17" ht="14">
      <c r="A88" s="19"/>
      <c r="B88" s="86" t="s">
        <v>364</v>
      </c>
      <c r="C88" s="57" t="s">
        <v>12</v>
      </c>
      <c r="D88" s="262">
        <v>1</v>
      </c>
      <c r="E88" s="163">
        <f t="shared" si="3"/>
        <v>0</v>
      </c>
      <c r="F88" s="164">
        <f t="shared" si="4"/>
        <v>0</v>
      </c>
      <c r="G88" s="312">
        <f t="shared" si="7"/>
        <v>790</v>
      </c>
      <c r="H88" s="161"/>
      <c r="I88" s="161"/>
      <c r="J88" s="162">
        <f t="shared" si="5"/>
        <v>0</v>
      </c>
      <c r="K88" s="162">
        <f t="shared" si="6"/>
        <v>0</v>
      </c>
    </row>
    <row r="89" spans="1:17" ht="14">
      <c r="A89" s="19"/>
      <c r="B89" s="86"/>
      <c r="C89" s="57"/>
      <c r="D89" s="262"/>
      <c r="E89" s="163" t="str">
        <f t="shared" ref="E89:E152" si="8">IF(D89="","",(((J89*$K$2)+(K89*$I$2*$I$3))*$K$3)/D89)</f>
        <v/>
      </c>
      <c r="F89" s="164" t="str">
        <f t="shared" ref="F89:F152" si="9">IF(D89="","",D89*E89)</f>
        <v/>
      </c>
      <c r="G89" s="312">
        <f t="shared" si="7"/>
        <v>791</v>
      </c>
      <c r="H89" s="161"/>
      <c r="I89" s="161"/>
      <c r="J89" s="162" t="str">
        <f t="shared" ref="J89:J152" si="10">IF(D89="","",H89*D89)</f>
        <v/>
      </c>
      <c r="K89" s="162" t="str">
        <f t="shared" ref="K89:K152" si="11">IF(D89="","",D89*I89)</f>
        <v/>
      </c>
    </row>
    <row r="90" spans="1:17" ht="14">
      <c r="A90" s="19"/>
      <c r="B90" s="113" t="s">
        <v>159</v>
      </c>
      <c r="C90" s="57"/>
      <c r="D90" s="262"/>
      <c r="E90" s="163" t="str">
        <f t="shared" si="8"/>
        <v/>
      </c>
      <c r="F90" s="164" t="str">
        <f t="shared" si="9"/>
        <v/>
      </c>
      <c r="G90" s="312">
        <f t="shared" si="7"/>
        <v>792</v>
      </c>
      <c r="H90" s="161"/>
      <c r="I90" s="161"/>
      <c r="J90" s="162" t="str">
        <f t="shared" si="10"/>
        <v/>
      </c>
      <c r="K90" s="162" t="str">
        <f t="shared" si="11"/>
        <v/>
      </c>
    </row>
    <row r="91" spans="1:17" ht="14">
      <c r="A91" s="19"/>
      <c r="B91" s="86" t="s">
        <v>160</v>
      </c>
      <c r="C91" s="57" t="s">
        <v>1</v>
      </c>
      <c r="D91" s="262">
        <f>+D87</f>
        <v>18</v>
      </c>
      <c r="E91" s="163">
        <f t="shared" si="8"/>
        <v>0</v>
      </c>
      <c r="F91" s="164">
        <f t="shared" si="9"/>
        <v>0</v>
      </c>
      <c r="G91" s="312">
        <f t="shared" si="7"/>
        <v>793</v>
      </c>
      <c r="H91" s="161"/>
      <c r="I91" s="161"/>
      <c r="J91" s="162">
        <f t="shared" si="10"/>
        <v>0</v>
      </c>
      <c r="K91" s="162">
        <f t="shared" si="11"/>
        <v>0</v>
      </c>
    </row>
    <row r="92" spans="1:17" ht="14">
      <c r="A92" s="19"/>
      <c r="B92" s="86" t="s">
        <v>364</v>
      </c>
      <c r="C92" s="57" t="s">
        <v>12</v>
      </c>
      <c r="D92" s="262">
        <v>1</v>
      </c>
      <c r="E92" s="163">
        <f t="shared" si="8"/>
        <v>0</v>
      </c>
      <c r="F92" s="164">
        <f t="shared" si="9"/>
        <v>0</v>
      </c>
      <c r="G92" s="312">
        <f t="shared" si="7"/>
        <v>794</v>
      </c>
      <c r="H92" s="161"/>
      <c r="I92" s="161"/>
      <c r="J92" s="162">
        <f t="shared" si="10"/>
        <v>0</v>
      </c>
      <c r="K92" s="162">
        <f t="shared" si="11"/>
        <v>0</v>
      </c>
    </row>
    <row r="93" spans="1:17" ht="14">
      <c r="A93" s="19"/>
      <c r="B93" s="86"/>
      <c r="C93" s="57"/>
      <c r="D93" s="262"/>
      <c r="E93" s="163" t="str">
        <f t="shared" si="8"/>
        <v/>
      </c>
      <c r="F93" s="164" t="str">
        <f t="shared" si="9"/>
        <v/>
      </c>
      <c r="G93" s="312">
        <f t="shared" si="7"/>
        <v>795</v>
      </c>
      <c r="H93" s="161"/>
      <c r="I93" s="161"/>
      <c r="J93" s="162" t="str">
        <f t="shared" si="10"/>
        <v/>
      </c>
      <c r="K93" s="162" t="str">
        <f t="shared" si="11"/>
        <v/>
      </c>
    </row>
    <row r="94" spans="1:17" ht="14">
      <c r="A94" s="19"/>
      <c r="B94" s="86" t="s">
        <v>363</v>
      </c>
      <c r="C94" s="57" t="s">
        <v>1</v>
      </c>
      <c r="D94" s="262">
        <f>+QTE!J144*8</f>
        <v>464</v>
      </c>
      <c r="E94" s="163">
        <f t="shared" si="8"/>
        <v>0</v>
      </c>
      <c r="F94" s="164">
        <f t="shared" si="9"/>
        <v>0</v>
      </c>
      <c r="G94" s="312">
        <f t="shared" si="7"/>
        <v>796</v>
      </c>
      <c r="H94" s="161"/>
      <c r="I94" s="161"/>
      <c r="J94" s="162">
        <f t="shared" si="10"/>
        <v>0</v>
      </c>
      <c r="K94" s="162">
        <f t="shared" si="11"/>
        <v>0</v>
      </c>
    </row>
    <row r="95" spans="1:17" ht="14">
      <c r="A95" s="19"/>
      <c r="B95" s="86"/>
      <c r="C95" s="57"/>
      <c r="D95" s="262"/>
      <c r="E95" s="163" t="str">
        <f t="shared" si="8"/>
        <v/>
      </c>
      <c r="F95" s="164" t="str">
        <f t="shared" si="9"/>
        <v/>
      </c>
      <c r="G95" s="312">
        <f t="shared" si="7"/>
        <v>797</v>
      </c>
      <c r="H95" s="161"/>
      <c r="I95" s="161"/>
      <c r="J95" s="162" t="str">
        <f t="shared" si="10"/>
        <v/>
      </c>
      <c r="K95" s="162" t="str">
        <f t="shared" si="11"/>
        <v/>
      </c>
    </row>
    <row r="96" spans="1:17" ht="14">
      <c r="A96" s="19"/>
      <c r="B96" s="122" t="s">
        <v>365</v>
      </c>
      <c r="C96" s="33"/>
      <c r="D96" s="262"/>
      <c r="E96" s="163" t="str">
        <f t="shared" si="8"/>
        <v/>
      </c>
      <c r="F96" s="164" t="str">
        <f t="shared" si="9"/>
        <v/>
      </c>
      <c r="G96" s="312">
        <f t="shared" si="7"/>
        <v>798</v>
      </c>
      <c r="H96" s="161"/>
      <c r="I96" s="161"/>
      <c r="J96" s="162" t="str">
        <f t="shared" si="10"/>
        <v/>
      </c>
      <c r="K96" s="162" t="str">
        <f t="shared" si="11"/>
        <v/>
      </c>
    </row>
    <row r="97" spans="1:11" ht="14">
      <c r="A97" s="19"/>
      <c r="B97" s="29"/>
      <c r="C97" s="33"/>
      <c r="D97" s="262"/>
      <c r="E97" s="163" t="str">
        <f t="shared" si="8"/>
        <v/>
      </c>
      <c r="F97" s="164" t="str">
        <f t="shared" si="9"/>
        <v/>
      </c>
      <c r="G97" s="312">
        <f t="shared" si="7"/>
        <v>799</v>
      </c>
      <c r="H97" s="161"/>
      <c r="I97" s="161"/>
      <c r="J97" s="162" t="str">
        <f t="shared" si="10"/>
        <v/>
      </c>
      <c r="K97" s="162" t="str">
        <f t="shared" si="11"/>
        <v/>
      </c>
    </row>
    <row r="98" spans="1:11" ht="14">
      <c r="A98" s="19" t="s">
        <v>366</v>
      </c>
      <c r="B98" s="87" t="s">
        <v>73</v>
      </c>
      <c r="C98" s="33"/>
      <c r="D98" s="262"/>
      <c r="E98" s="163" t="str">
        <f t="shared" si="8"/>
        <v/>
      </c>
      <c r="F98" s="164" t="str">
        <f t="shared" si="9"/>
        <v/>
      </c>
      <c r="G98" s="312">
        <f t="shared" si="7"/>
        <v>800</v>
      </c>
      <c r="H98" s="161"/>
      <c r="I98" s="161"/>
      <c r="J98" s="162" t="str">
        <f t="shared" si="10"/>
        <v/>
      </c>
      <c r="K98" s="162" t="str">
        <f t="shared" si="11"/>
        <v/>
      </c>
    </row>
    <row r="99" spans="1:11" ht="14">
      <c r="A99" s="19"/>
      <c r="B99" s="29"/>
      <c r="C99" s="33"/>
      <c r="D99" s="262"/>
      <c r="E99" s="163" t="str">
        <f t="shared" si="8"/>
        <v/>
      </c>
      <c r="F99" s="164" t="str">
        <f t="shared" si="9"/>
        <v/>
      </c>
      <c r="G99" s="312">
        <f t="shared" si="7"/>
        <v>801</v>
      </c>
      <c r="H99" s="161"/>
      <c r="I99" s="161"/>
      <c r="J99" s="162" t="str">
        <f t="shared" si="10"/>
        <v/>
      </c>
      <c r="K99" s="162" t="str">
        <f t="shared" si="11"/>
        <v/>
      </c>
    </row>
    <row r="100" spans="1:11" ht="25">
      <c r="A100" s="19"/>
      <c r="B100" s="47" t="s">
        <v>223</v>
      </c>
      <c r="C100" s="9" t="s">
        <v>12</v>
      </c>
      <c r="D100" s="262">
        <v>1</v>
      </c>
      <c r="E100" s="163">
        <f t="shared" si="8"/>
        <v>0</v>
      </c>
      <c r="F100" s="164">
        <f t="shared" si="9"/>
        <v>0</v>
      </c>
      <c r="G100" s="312">
        <f t="shared" si="7"/>
        <v>802</v>
      </c>
      <c r="H100" s="161"/>
      <c r="I100" s="161"/>
      <c r="J100" s="162">
        <f t="shared" si="10"/>
        <v>0</v>
      </c>
      <c r="K100" s="162">
        <f t="shared" si="11"/>
        <v>0</v>
      </c>
    </row>
    <row r="101" spans="1:11" ht="14">
      <c r="A101" s="19"/>
      <c r="B101" s="47"/>
      <c r="C101" s="9"/>
      <c r="D101" s="262"/>
      <c r="E101" s="163" t="str">
        <f t="shared" si="8"/>
        <v/>
      </c>
      <c r="F101" s="164" t="str">
        <f t="shared" si="9"/>
        <v/>
      </c>
      <c r="G101" s="312">
        <f t="shared" si="7"/>
        <v>803</v>
      </c>
      <c r="H101" s="161"/>
      <c r="I101" s="161"/>
      <c r="J101" s="162" t="str">
        <f t="shared" si="10"/>
        <v/>
      </c>
      <c r="K101" s="162" t="str">
        <f t="shared" si="11"/>
        <v/>
      </c>
    </row>
    <row r="102" spans="1:11" ht="25">
      <c r="A102" s="19"/>
      <c r="B102" s="84" t="s">
        <v>74</v>
      </c>
      <c r="C102" s="33" t="s">
        <v>12</v>
      </c>
      <c r="D102" s="262">
        <v>1</v>
      </c>
      <c r="E102" s="163">
        <f t="shared" si="8"/>
        <v>0</v>
      </c>
      <c r="F102" s="164">
        <f t="shared" si="9"/>
        <v>0</v>
      </c>
      <c r="G102" s="312">
        <f t="shared" si="7"/>
        <v>804</v>
      </c>
      <c r="H102" s="161"/>
      <c r="I102" s="161"/>
      <c r="J102" s="162">
        <f t="shared" si="10"/>
        <v>0</v>
      </c>
      <c r="K102" s="162">
        <f t="shared" si="11"/>
        <v>0</v>
      </c>
    </row>
    <row r="103" spans="1:11" ht="14">
      <c r="A103" s="19"/>
      <c r="B103" s="84"/>
      <c r="C103" s="33"/>
      <c r="D103" s="262"/>
      <c r="E103" s="163" t="str">
        <f t="shared" si="8"/>
        <v/>
      </c>
      <c r="F103" s="164" t="str">
        <f t="shared" si="9"/>
        <v/>
      </c>
      <c r="G103" s="312">
        <f t="shared" si="7"/>
        <v>805</v>
      </c>
      <c r="H103" s="161"/>
      <c r="I103" s="161"/>
      <c r="J103" s="162" t="str">
        <f t="shared" si="10"/>
        <v/>
      </c>
      <c r="K103" s="162" t="str">
        <f t="shared" si="11"/>
        <v/>
      </c>
    </row>
    <row r="104" spans="1:11" ht="14">
      <c r="A104" s="19"/>
      <c r="B104" s="83" t="s">
        <v>367</v>
      </c>
      <c r="C104" s="33"/>
      <c r="D104" s="262"/>
      <c r="E104" s="163" t="str">
        <f t="shared" si="8"/>
        <v/>
      </c>
      <c r="F104" s="164" t="str">
        <f t="shared" si="9"/>
        <v/>
      </c>
      <c r="G104" s="312">
        <f t="shared" si="7"/>
        <v>806</v>
      </c>
      <c r="H104" s="161"/>
      <c r="I104" s="161"/>
      <c r="J104" s="162" t="str">
        <f t="shared" si="10"/>
        <v/>
      </c>
      <c r="K104" s="162" t="str">
        <f t="shared" si="11"/>
        <v/>
      </c>
    </row>
    <row r="105" spans="1:11" ht="14">
      <c r="A105" s="19"/>
      <c r="B105" s="84"/>
      <c r="C105" s="33"/>
      <c r="D105" s="262"/>
      <c r="E105" s="163" t="str">
        <f t="shared" si="8"/>
        <v/>
      </c>
      <c r="F105" s="164" t="str">
        <f t="shared" si="9"/>
        <v/>
      </c>
      <c r="G105" s="312">
        <f t="shared" si="7"/>
        <v>807</v>
      </c>
      <c r="H105" s="161"/>
      <c r="I105" s="161"/>
      <c r="J105" s="162" t="str">
        <f t="shared" si="10"/>
        <v/>
      </c>
      <c r="K105" s="162" t="str">
        <f t="shared" si="11"/>
        <v/>
      </c>
    </row>
    <row r="106" spans="1:11" ht="14">
      <c r="A106" s="19" t="s">
        <v>403</v>
      </c>
      <c r="B106" s="87" t="s">
        <v>34</v>
      </c>
      <c r="C106" s="33"/>
      <c r="D106" s="262"/>
      <c r="E106" s="163" t="str">
        <f t="shared" si="8"/>
        <v/>
      </c>
      <c r="F106" s="164" t="str">
        <f t="shared" si="9"/>
        <v/>
      </c>
      <c r="G106" s="312">
        <f t="shared" si="7"/>
        <v>808</v>
      </c>
      <c r="H106" s="161"/>
      <c r="I106" s="161"/>
      <c r="J106" s="162" t="str">
        <f t="shared" si="10"/>
        <v/>
      </c>
      <c r="K106" s="162" t="str">
        <f t="shared" si="11"/>
        <v/>
      </c>
    </row>
    <row r="107" spans="1:11" ht="14">
      <c r="A107" s="19"/>
      <c r="B107" s="86"/>
      <c r="C107" s="33"/>
      <c r="D107" s="262"/>
      <c r="E107" s="163" t="str">
        <f t="shared" si="8"/>
        <v/>
      </c>
      <c r="F107" s="164" t="str">
        <f t="shared" si="9"/>
        <v/>
      </c>
      <c r="G107" s="312">
        <f t="shared" si="7"/>
        <v>809</v>
      </c>
      <c r="H107" s="161"/>
      <c r="I107" s="161"/>
      <c r="J107" s="162" t="str">
        <f t="shared" si="10"/>
        <v/>
      </c>
      <c r="K107" s="162" t="str">
        <f t="shared" si="11"/>
        <v/>
      </c>
    </row>
    <row r="108" spans="1:11" ht="14">
      <c r="A108" s="19"/>
      <c r="B108" s="86" t="s">
        <v>396</v>
      </c>
      <c r="C108" s="33" t="s">
        <v>12</v>
      </c>
      <c r="D108" s="262">
        <v>1</v>
      </c>
      <c r="E108" s="163">
        <f t="shared" si="8"/>
        <v>0</v>
      </c>
      <c r="F108" s="164">
        <f t="shared" si="9"/>
        <v>0</v>
      </c>
      <c r="G108" s="312">
        <f t="shared" si="7"/>
        <v>810</v>
      </c>
      <c r="H108" s="161"/>
      <c r="I108" s="161"/>
      <c r="J108" s="162">
        <f t="shared" si="10"/>
        <v>0</v>
      </c>
      <c r="K108" s="162">
        <f t="shared" si="11"/>
        <v>0</v>
      </c>
    </row>
    <row r="109" spans="1:11" ht="14">
      <c r="A109" s="19"/>
      <c r="B109" s="86" t="s">
        <v>32</v>
      </c>
      <c r="C109" s="33" t="s">
        <v>12</v>
      </c>
      <c r="D109" s="262">
        <v>1</v>
      </c>
      <c r="E109" s="163">
        <f t="shared" si="8"/>
        <v>0</v>
      </c>
      <c r="F109" s="164">
        <f t="shared" si="9"/>
        <v>0</v>
      </c>
      <c r="G109" s="312">
        <f t="shared" si="7"/>
        <v>811</v>
      </c>
      <c r="H109" s="161"/>
      <c r="I109" s="161"/>
      <c r="J109" s="162">
        <f t="shared" si="10"/>
        <v>0</v>
      </c>
      <c r="K109" s="162">
        <f t="shared" si="11"/>
        <v>0</v>
      </c>
    </row>
    <row r="110" spans="1:11" ht="14">
      <c r="A110" s="19" t="s">
        <v>562</v>
      </c>
      <c r="B110" s="86" t="s">
        <v>398</v>
      </c>
      <c r="C110" s="57" t="s">
        <v>12</v>
      </c>
      <c r="D110" s="262">
        <v>1</v>
      </c>
      <c r="E110" s="163">
        <f t="shared" si="8"/>
        <v>0</v>
      </c>
      <c r="F110" s="164">
        <f t="shared" si="9"/>
        <v>0</v>
      </c>
      <c r="G110" s="312">
        <f t="shared" si="7"/>
        <v>812</v>
      </c>
      <c r="H110" s="161"/>
      <c r="I110" s="161"/>
      <c r="J110" s="162">
        <f t="shared" si="10"/>
        <v>0</v>
      </c>
      <c r="K110" s="162">
        <f t="shared" si="11"/>
        <v>0</v>
      </c>
    </row>
    <row r="111" spans="1:11" ht="14">
      <c r="A111" s="19" t="s">
        <v>565</v>
      </c>
      <c r="B111" s="86" t="s">
        <v>402</v>
      </c>
      <c r="C111" s="57" t="s">
        <v>12</v>
      </c>
      <c r="D111" s="262">
        <v>1</v>
      </c>
      <c r="E111" s="163">
        <f t="shared" si="8"/>
        <v>0</v>
      </c>
      <c r="F111" s="164">
        <f t="shared" si="9"/>
        <v>0</v>
      </c>
      <c r="G111" s="312">
        <f t="shared" si="7"/>
        <v>813</v>
      </c>
      <c r="H111" s="161"/>
      <c r="I111" s="161"/>
      <c r="J111" s="162">
        <f t="shared" si="10"/>
        <v>0</v>
      </c>
      <c r="K111" s="162">
        <f t="shared" si="11"/>
        <v>0</v>
      </c>
    </row>
    <row r="112" spans="1:11" ht="14">
      <c r="A112" s="19"/>
      <c r="B112" s="86" t="s">
        <v>397</v>
      </c>
      <c r="C112" s="57" t="s">
        <v>12</v>
      </c>
      <c r="D112" s="262">
        <v>1</v>
      </c>
      <c r="E112" s="163">
        <f t="shared" si="8"/>
        <v>0</v>
      </c>
      <c r="F112" s="164">
        <f t="shared" si="9"/>
        <v>0</v>
      </c>
      <c r="G112" s="312">
        <f t="shared" si="7"/>
        <v>814</v>
      </c>
      <c r="H112" s="161"/>
      <c r="I112" s="161"/>
      <c r="J112" s="162">
        <f t="shared" si="10"/>
        <v>0</v>
      </c>
      <c r="K112" s="162">
        <f t="shared" si="11"/>
        <v>0</v>
      </c>
    </row>
    <row r="113" spans="1:17" ht="14">
      <c r="A113" s="19"/>
      <c r="B113" s="86" t="s">
        <v>399</v>
      </c>
      <c r="C113" s="57" t="s">
        <v>12</v>
      </c>
      <c r="D113" s="262">
        <v>1</v>
      </c>
      <c r="E113" s="163">
        <f t="shared" si="8"/>
        <v>0</v>
      </c>
      <c r="F113" s="164">
        <f t="shared" si="9"/>
        <v>0</v>
      </c>
      <c r="G113" s="312">
        <f t="shared" si="7"/>
        <v>815</v>
      </c>
      <c r="H113" s="161"/>
      <c r="I113" s="161"/>
      <c r="J113" s="162">
        <f t="shared" si="10"/>
        <v>0</v>
      </c>
      <c r="K113" s="162">
        <f t="shared" si="11"/>
        <v>0</v>
      </c>
    </row>
    <row r="114" spans="1:17" ht="14">
      <c r="A114" s="19" t="s">
        <v>561</v>
      </c>
      <c r="B114" s="86" t="s">
        <v>304</v>
      </c>
      <c r="C114" s="57" t="s">
        <v>12</v>
      </c>
      <c r="D114" s="262">
        <v>1</v>
      </c>
      <c r="E114" s="163">
        <f t="shared" si="8"/>
        <v>0</v>
      </c>
      <c r="F114" s="164">
        <f t="shared" si="9"/>
        <v>0</v>
      </c>
      <c r="G114" s="312">
        <f t="shared" si="7"/>
        <v>816</v>
      </c>
      <c r="H114" s="161"/>
      <c r="I114" s="161"/>
      <c r="J114" s="162">
        <f t="shared" si="10"/>
        <v>0</v>
      </c>
      <c r="K114" s="162">
        <f t="shared" si="11"/>
        <v>0</v>
      </c>
    </row>
    <row r="115" spans="1:17" ht="14">
      <c r="A115" s="19"/>
      <c r="B115" s="86" t="s">
        <v>38</v>
      </c>
      <c r="C115" s="33" t="s">
        <v>12</v>
      </c>
      <c r="D115" s="262"/>
      <c r="E115" s="163" t="str">
        <f t="shared" si="8"/>
        <v/>
      </c>
      <c r="F115" s="164" t="str">
        <f t="shared" si="9"/>
        <v/>
      </c>
      <c r="G115" s="312">
        <f t="shared" si="7"/>
        <v>817</v>
      </c>
      <c r="H115" s="161"/>
      <c r="I115" s="161"/>
      <c r="J115" s="162" t="str">
        <f t="shared" si="10"/>
        <v/>
      </c>
      <c r="K115" s="162" t="str">
        <f t="shared" si="11"/>
        <v/>
      </c>
    </row>
    <row r="116" spans="1:17" ht="14">
      <c r="A116" s="19"/>
      <c r="B116" s="90"/>
      <c r="C116" s="33"/>
      <c r="D116" s="262"/>
      <c r="E116" s="163" t="str">
        <f t="shared" si="8"/>
        <v/>
      </c>
      <c r="F116" s="164" t="str">
        <f t="shared" si="9"/>
        <v/>
      </c>
      <c r="G116" s="312">
        <f t="shared" si="7"/>
        <v>818</v>
      </c>
      <c r="H116" s="161"/>
      <c r="I116" s="161"/>
      <c r="J116" s="162" t="str">
        <f t="shared" si="10"/>
        <v/>
      </c>
      <c r="K116" s="162" t="str">
        <f t="shared" si="11"/>
        <v/>
      </c>
    </row>
    <row r="117" spans="1:17" s="5" customFormat="1" ht="14">
      <c r="A117" s="19"/>
      <c r="B117" s="83" t="s">
        <v>404</v>
      </c>
      <c r="C117" s="33"/>
      <c r="D117" s="262"/>
      <c r="E117" s="163" t="str">
        <f t="shared" si="8"/>
        <v/>
      </c>
      <c r="F117" s="164" t="str">
        <f t="shared" si="9"/>
        <v/>
      </c>
      <c r="G117" s="312">
        <f t="shared" si="7"/>
        <v>819</v>
      </c>
      <c r="H117" s="161"/>
      <c r="I117" s="161"/>
      <c r="J117" s="162" t="str">
        <f t="shared" si="10"/>
        <v/>
      </c>
      <c r="K117" s="162" t="str">
        <f t="shared" si="11"/>
        <v/>
      </c>
      <c r="Q117" s="36"/>
    </row>
    <row r="118" spans="1:17" ht="14">
      <c r="A118" s="19"/>
      <c r="B118" s="26"/>
      <c r="C118" s="33"/>
      <c r="D118" s="262"/>
      <c r="E118" s="163" t="str">
        <f t="shared" si="8"/>
        <v/>
      </c>
      <c r="F118" s="164" t="str">
        <f t="shared" si="9"/>
        <v/>
      </c>
      <c r="G118" s="312">
        <f t="shared" si="7"/>
        <v>820</v>
      </c>
      <c r="H118" s="161"/>
      <c r="I118" s="161"/>
      <c r="J118" s="162" t="str">
        <f t="shared" si="10"/>
        <v/>
      </c>
      <c r="K118" s="162" t="str">
        <f t="shared" si="11"/>
        <v/>
      </c>
    </row>
    <row r="119" spans="1:17" ht="14">
      <c r="A119" s="19" t="s">
        <v>405</v>
      </c>
      <c r="B119" s="85" t="s">
        <v>25</v>
      </c>
      <c r="C119" s="33"/>
      <c r="D119" s="262"/>
      <c r="E119" s="163" t="str">
        <f t="shared" si="8"/>
        <v/>
      </c>
      <c r="F119" s="164" t="str">
        <f t="shared" si="9"/>
        <v/>
      </c>
      <c r="G119" s="312">
        <f t="shared" si="7"/>
        <v>821</v>
      </c>
      <c r="H119" s="161"/>
      <c r="I119" s="161"/>
      <c r="J119" s="162" t="str">
        <f t="shared" si="10"/>
        <v/>
      </c>
      <c r="K119" s="162" t="str">
        <f t="shared" si="11"/>
        <v/>
      </c>
    </row>
    <row r="120" spans="1:17" ht="14">
      <c r="A120" s="19"/>
      <c r="B120" s="47"/>
      <c r="C120" s="33"/>
      <c r="D120" s="262"/>
      <c r="E120" s="163" t="str">
        <f t="shared" si="8"/>
        <v/>
      </c>
      <c r="F120" s="164" t="str">
        <f t="shared" si="9"/>
        <v/>
      </c>
      <c r="G120" s="312">
        <f t="shared" si="7"/>
        <v>822</v>
      </c>
      <c r="H120" s="161"/>
      <c r="I120" s="161"/>
      <c r="J120" s="162" t="str">
        <f t="shared" si="10"/>
        <v/>
      </c>
      <c r="K120" s="162" t="str">
        <f t="shared" si="11"/>
        <v/>
      </c>
    </row>
    <row r="121" spans="1:17" ht="25">
      <c r="A121" s="19"/>
      <c r="B121" s="47" t="s">
        <v>307</v>
      </c>
      <c r="C121" s="33" t="s">
        <v>12</v>
      </c>
      <c r="D121" s="262">
        <v>1</v>
      </c>
      <c r="E121" s="163">
        <f t="shared" si="8"/>
        <v>0</v>
      </c>
      <c r="F121" s="164">
        <f t="shared" si="9"/>
        <v>0</v>
      </c>
      <c r="G121" s="312">
        <f t="shared" si="7"/>
        <v>823</v>
      </c>
      <c r="H121" s="161"/>
      <c r="I121" s="161"/>
      <c r="J121" s="162">
        <f t="shared" si="10"/>
        <v>0</v>
      </c>
      <c r="K121" s="162">
        <f t="shared" si="11"/>
        <v>0</v>
      </c>
    </row>
    <row r="122" spans="1:17" ht="28.5" customHeight="1">
      <c r="A122" s="19"/>
      <c r="B122" s="47" t="s">
        <v>20</v>
      </c>
      <c r="C122" s="33" t="s">
        <v>12</v>
      </c>
      <c r="D122" s="262">
        <v>1</v>
      </c>
      <c r="E122" s="163">
        <f t="shared" si="8"/>
        <v>0</v>
      </c>
      <c r="F122" s="164">
        <f t="shared" si="9"/>
        <v>0</v>
      </c>
      <c r="G122" s="312">
        <f t="shared" si="7"/>
        <v>824</v>
      </c>
      <c r="H122" s="161"/>
      <c r="I122" s="161"/>
      <c r="J122" s="162">
        <f t="shared" si="10"/>
        <v>0</v>
      </c>
      <c r="K122" s="162">
        <f t="shared" si="11"/>
        <v>0</v>
      </c>
    </row>
    <row r="123" spans="1:17" ht="14">
      <c r="A123" s="19"/>
      <c r="B123" s="26"/>
      <c r="C123" s="33"/>
      <c r="D123" s="262"/>
      <c r="E123" s="163" t="str">
        <f t="shared" si="8"/>
        <v/>
      </c>
      <c r="F123" s="164" t="str">
        <f t="shared" si="9"/>
        <v/>
      </c>
      <c r="G123" s="312">
        <f t="shared" si="7"/>
        <v>825</v>
      </c>
      <c r="H123" s="161"/>
      <c r="I123" s="161"/>
      <c r="J123" s="162" t="str">
        <f t="shared" si="10"/>
        <v/>
      </c>
      <c r="K123" s="162" t="str">
        <f t="shared" si="11"/>
        <v/>
      </c>
    </row>
    <row r="124" spans="1:17" s="5" customFormat="1" ht="14">
      <c r="A124" s="19"/>
      <c r="B124" s="83" t="s">
        <v>406</v>
      </c>
      <c r="C124" s="33"/>
      <c r="D124" s="262"/>
      <c r="E124" s="163" t="str">
        <f t="shared" si="8"/>
        <v/>
      </c>
      <c r="F124" s="164" t="str">
        <f t="shared" si="9"/>
        <v/>
      </c>
      <c r="G124" s="312">
        <f t="shared" si="7"/>
        <v>826</v>
      </c>
      <c r="H124" s="161"/>
      <c r="I124" s="161"/>
      <c r="J124" s="162" t="str">
        <f t="shared" si="10"/>
        <v/>
      </c>
      <c r="K124" s="162" t="str">
        <f t="shared" si="11"/>
        <v/>
      </c>
      <c r="Q124" s="36"/>
    </row>
    <row r="125" spans="1:17" ht="14">
      <c r="A125" s="19"/>
      <c r="B125" s="86"/>
      <c r="C125" s="33"/>
      <c r="D125" s="262"/>
      <c r="E125" s="163" t="str">
        <f t="shared" si="8"/>
        <v/>
      </c>
      <c r="F125" s="164" t="str">
        <f t="shared" si="9"/>
        <v/>
      </c>
      <c r="G125" s="312">
        <f t="shared" si="7"/>
        <v>827</v>
      </c>
      <c r="H125" s="161"/>
      <c r="I125" s="161"/>
      <c r="J125" s="162" t="str">
        <f t="shared" si="10"/>
        <v/>
      </c>
      <c r="K125" s="162" t="str">
        <f t="shared" si="11"/>
        <v/>
      </c>
    </row>
    <row r="126" spans="1:17" ht="14">
      <c r="A126" s="19" t="s">
        <v>407</v>
      </c>
      <c r="B126" s="23" t="s">
        <v>87</v>
      </c>
      <c r="C126" s="57"/>
      <c r="D126" s="262"/>
      <c r="E126" s="163" t="str">
        <f t="shared" si="8"/>
        <v/>
      </c>
      <c r="F126" s="164" t="str">
        <f t="shared" si="9"/>
        <v/>
      </c>
      <c r="G126" s="312">
        <f t="shared" si="7"/>
        <v>828</v>
      </c>
      <c r="H126" s="161"/>
      <c r="I126" s="161"/>
      <c r="J126" s="162" t="str">
        <f t="shared" si="10"/>
        <v/>
      </c>
      <c r="K126" s="162" t="str">
        <f t="shared" si="11"/>
        <v/>
      </c>
    </row>
    <row r="127" spans="1:17" ht="14">
      <c r="A127" s="19"/>
      <c r="B127" s="23"/>
      <c r="C127" s="57"/>
      <c r="D127" s="262"/>
      <c r="E127" s="163" t="str">
        <f t="shared" si="8"/>
        <v/>
      </c>
      <c r="F127" s="164" t="str">
        <f t="shared" si="9"/>
        <v/>
      </c>
      <c r="G127" s="312">
        <f t="shared" si="7"/>
        <v>829</v>
      </c>
      <c r="H127" s="161"/>
      <c r="I127" s="161"/>
      <c r="J127" s="162" t="str">
        <f t="shared" si="10"/>
        <v/>
      </c>
      <c r="K127" s="162" t="str">
        <f t="shared" si="11"/>
        <v/>
      </c>
    </row>
    <row r="128" spans="1:17" ht="14">
      <c r="A128" s="19"/>
      <c r="B128" s="88" t="s">
        <v>408</v>
      </c>
      <c r="C128" s="57" t="s">
        <v>13</v>
      </c>
      <c r="D128" s="262">
        <f>+QTE!J174</f>
        <v>28</v>
      </c>
      <c r="E128" s="163">
        <f t="shared" si="8"/>
        <v>0</v>
      </c>
      <c r="F128" s="164">
        <f t="shared" si="9"/>
        <v>0</v>
      </c>
      <c r="G128" s="312">
        <f t="shared" si="7"/>
        <v>830</v>
      </c>
      <c r="H128" s="161"/>
      <c r="I128" s="161"/>
      <c r="J128" s="162">
        <f t="shared" si="10"/>
        <v>0</v>
      </c>
      <c r="K128" s="162">
        <f t="shared" si="11"/>
        <v>0</v>
      </c>
    </row>
    <row r="129" spans="1:17" ht="14">
      <c r="A129" s="19"/>
      <c r="B129" s="88" t="s">
        <v>409</v>
      </c>
      <c r="C129" s="57" t="s">
        <v>13</v>
      </c>
      <c r="D129" s="262"/>
      <c r="E129" s="163" t="str">
        <f t="shared" si="8"/>
        <v/>
      </c>
      <c r="F129" s="164" t="str">
        <f t="shared" si="9"/>
        <v/>
      </c>
      <c r="G129" s="312">
        <f t="shared" si="7"/>
        <v>831</v>
      </c>
      <c r="H129" s="161"/>
      <c r="I129" s="161"/>
      <c r="J129" s="162" t="str">
        <f t="shared" si="10"/>
        <v/>
      </c>
      <c r="K129" s="162" t="str">
        <f t="shared" si="11"/>
        <v/>
      </c>
    </row>
    <row r="130" spans="1:17" ht="14">
      <c r="A130" s="19"/>
      <c r="B130" s="88" t="s">
        <v>88</v>
      </c>
      <c r="C130" s="57" t="s">
        <v>13</v>
      </c>
      <c r="D130" s="262">
        <v>2</v>
      </c>
      <c r="E130" s="163">
        <f t="shared" si="8"/>
        <v>0</v>
      </c>
      <c r="F130" s="164">
        <f t="shared" si="9"/>
        <v>0</v>
      </c>
      <c r="G130" s="312">
        <f t="shared" si="7"/>
        <v>832</v>
      </c>
      <c r="H130" s="161"/>
      <c r="I130" s="161"/>
      <c r="J130" s="162">
        <f t="shared" si="10"/>
        <v>0</v>
      </c>
      <c r="K130" s="162">
        <f t="shared" si="11"/>
        <v>0</v>
      </c>
    </row>
    <row r="131" spans="1:17" ht="14">
      <c r="A131" s="19"/>
      <c r="B131" s="88" t="s">
        <v>36</v>
      </c>
      <c r="C131" s="57" t="s">
        <v>12</v>
      </c>
      <c r="D131" s="262">
        <v>1</v>
      </c>
      <c r="E131" s="163">
        <f t="shared" si="8"/>
        <v>0</v>
      </c>
      <c r="F131" s="164">
        <f t="shared" si="9"/>
        <v>0</v>
      </c>
      <c r="G131" s="312">
        <f t="shared" si="7"/>
        <v>833</v>
      </c>
      <c r="H131" s="161"/>
      <c r="I131" s="161"/>
      <c r="J131" s="162">
        <f t="shared" si="10"/>
        <v>0</v>
      </c>
      <c r="K131" s="162">
        <f t="shared" si="11"/>
        <v>0</v>
      </c>
    </row>
    <row r="132" spans="1:17" ht="14">
      <c r="A132" s="19"/>
      <c r="B132" s="88" t="s">
        <v>37</v>
      </c>
      <c r="C132" s="57" t="s">
        <v>12</v>
      </c>
      <c r="D132" s="262">
        <f>+D128*15</f>
        <v>420</v>
      </c>
      <c r="E132" s="163">
        <f t="shared" si="8"/>
        <v>0</v>
      </c>
      <c r="F132" s="164">
        <f t="shared" si="9"/>
        <v>0</v>
      </c>
      <c r="G132" s="312">
        <f t="shared" si="7"/>
        <v>834</v>
      </c>
      <c r="H132" s="161"/>
      <c r="I132" s="161"/>
      <c r="J132" s="162">
        <f t="shared" si="10"/>
        <v>0</v>
      </c>
      <c r="K132" s="162">
        <f t="shared" si="11"/>
        <v>0</v>
      </c>
    </row>
    <row r="133" spans="1:17" ht="14">
      <c r="A133" s="19"/>
      <c r="B133" s="88" t="s">
        <v>314</v>
      </c>
      <c r="C133" s="57" t="s">
        <v>13</v>
      </c>
      <c r="D133" s="262"/>
      <c r="E133" s="163" t="str">
        <f t="shared" si="8"/>
        <v/>
      </c>
      <c r="F133" s="164" t="str">
        <f t="shared" si="9"/>
        <v/>
      </c>
      <c r="G133" s="312">
        <f t="shared" si="7"/>
        <v>835</v>
      </c>
      <c r="H133" s="161"/>
      <c r="I133" s="161"/>
      <c r="J133" s="162" t="str">
        <f t="shared" si="10"/>
        <v/>
      </c>
      <c r="K133" s="162" t="str">
        <f t="shared" si="11"/>
        <v/>
      </c>
    </row>
    <row r="134" spans="1:17" ht="14">
      <c r="A134" s="19"/>
      <c r="B134" s="88" t="s">
        <v>313</v>
      </c>
      <c r="C134" s="57" t="s">
        <v>1</v>
      </c>
      <c r="D134" s="262"/>
      <c r="E134" s="163" t="str">
        <f t="shared" si="8"/>
        <v/>
      </c>
      <c r="F134" s="164" t="str">
        <f t="shared" si="9"/>
        <v/>
      </c>
      <c r="G134" s="312">
        <f t="shared" si="7"/>
        <v>836</v>
      </c>
      <c r="H134" s="161"/>
      <c r="I134" s="161"/>
      <c r="J134" s="162" t="str">
        <f t="shared" si="10"/>
        <v/>
      </c>
      <c r="K134" s="162" t="str">
        <f t="shared" si="11"/>
        <v/>
      </c>
    </row>
    <row r="135" spans="1:17" ht="14">
      <c r="A135" s="19"/>
      <c r="B135" s="29"/>
      <c r="C135" s="57"/>
      <c r="D135" s="262"/>
      <c r="E135" s="163" t="str">
        <f t="shared" si="8"/>
        <v/>
      </c>
      <c r="F135" s="164" t="str">
        <f t="shared" si="9"/>
        <v/>
      </c>
      <c r="G135" s="312">
        <f t="shared" si="7"/>
        <v>837</v>
      </c>
      <c r="H135" s="161"/>
      <c r="I135" s="161"/>
      <c r="J135" s="162" t="str">
        <f t="shared" si="10"/>
        <v/>
      </c>
      <c r="K135" s="162" t="str">
        <f t="shared" si="11"/>
        <v/>
      </c>
    </row>
    <row r="136" spans="1:17" s="5" customFormat="1" ht="14">
      <c r="A136" s="19"/>
      <c r="B136" s="122" t="s">
        <v>410</v>
      </c>
      <c r="C136" s="57"/>
      <c r="D136" s="262"/>
      <c r="E136" s="163" t="str">
        <f t="shared" si="8"/>
        <v/>
      </c>
      <c r="F136" s="164" t="str">
        <f t="shared" si="9"/>
        <v/>
      </c>
      <c r="G136" s="312">
        <f t="shared" si="7"/>
        <v>838</v>
      </c>
      <c r="H136" s="161"/>
      <c r="I136" s="161"/>
      <c r="J136" s="162" t="str">
        <f t="shared" si="10"/>
        <v/>
      </c>
      <c r="K136" s="162" t="str">
        <f t="shared" si="11"/>
        <v/>
      </c>
      <c r="Q136" s="36"/>
    </row>
    <row r="137" spans="1:17" ht="14">
      <c r="A137" s="19"/>
      <c r="B137" s="86"/>
      <c r="C137" s="33"/>
      <c r="D137" s="262"/>
      <c r="E137" s="163" t="str">
        <f t="shared" si="8"/>
        <v/>
      </c>
      <c r="F137" s="164" t="str">
        <f t="shared" si="9"/>
        <v/>
      </c>
      <c r="G137" s="312">
        <f t="shared" si="7"/>
        <v>839</v>
      </c>
      <c r="H137" s="161"/>
      <c r="I137" s="161"/>
      <c r="J137" s="162" t="str">
        <f t="shared" si="10"/>
        <v/>
      </c>
      <c r="K137" s="162" t="str">
        <f t="shared" si="11"/>
        <v/>
      </c>
    </row>
    <row r="138" spans="1:17" ht="14">
      <c r="A138" s="19" t="s">
        <v>411</v>
      </c>
      <c r="B138" s="23" t="s">
        <v>60</v>
      </c>
      <c r="C138" s="33"/>
      <c r="D138" s="262"/>
      <c r="E138" s="163" t="str">
        <f t="shared" si="8"/>
        <v/>
      </c>
      <c r="F138" s="164" t="str">
        <f t="shared" si="9"/>
        <v/>
      </c>
      <c r="G138" s="312">
        <f t="shared" si="7"/>
        <v>840</v>
      </c>
      <c r="H138" s="161"/>
      <c r="I138" s="161"/>
      <c r="J138" s="162" t="str">
        <f t="shared" si="10"/>
        <v/>
      </c>
      <c r="K138" s="162" t="str">
        <f t="shared" si="11"/>
        <v/>
      </c>
    </row>
    <row r="139" spans="1:17" ht="12.75" customHeight="1">
      <c r="A139" s="19"/>
      <c r="B139" s="88"/>
      <c r="C139" s="33"/>
      <c r="D139" s="262"/>
      <c r="E139" s="163" t="str">
        <f t="shared" si="8"/>
        <v/>
      </c>
      <c r="F139" s="164" t="str">
        <f t="shared" si="9"/>
        <v/>
      </c>
      <c r="G139" s="312">
        <f t="shared" si="7"/>
        <v>841</v>
      </c>
      <c r="H139" s="161"/>
      <c r="I139" s="161"/>
      <c r="J139" s="162" t="str">
        <f t="shared" si="10"/>
        <v/>
      </c>
      <c r="K139" s="162" t="str">
        <f t="shared" si="11"/>
        <v/>
      </c>
    </row>
    <row r="140" spans="1:17" ht="14">
      <c r="A140" s="19" t="s">
        <v>412</v>
      </c>
      <c r="B140" s="23" t="s">
        <v>26</v>
      </c>
      <c r="C140" s="33"/>
      <c r="D140" s="262"/>
      <c r="E140" s="163" t="str">
        <f t="shared" si="8"/>
        <v/>
      </c>
      <c r="F140" s="164" t="str">
        <f t="shared" si="9"/>
        <v/>
      </c>
      <c r="G140" s="312">
        <f t="shared" si="7"/>
        <v>842</v>
      </c>
      <c r="H140" s="161"/>
      <c r="I140" s="161"/>
      <c r="J140" s="162" t="str">
        <f t="shared" si="10"/>
        <v/>
      </c>
      <c r="K140" s="162" t="str">
        <f t="shared" si="11"/>
        <v/>
      </c>
    </row>
    <row r="141" spans="1:17" ht="25">
      <c r="A141" s="19"/>
      <c r="B141" s="88" t="s">
        <v>181</v>
      </c>
      <c r="C141" s="33" t="s">
        <v>138</v>
      </c>
      <c r="D141" s="262">
        <v>120</v>
      </c>
      <c r="E141" s="163">
        <f t="shared" si="8"/>
        <v>0</v>
      </c>
      <c r="F141" s="164">
        <f t="shared" si="9"/>
        <v>0</v>
      </c>
      <c r="G141" s="312">
        <f t="shared" si="7"/>
        <v>843</v>
      </c>
      <c r="H141" s="161"/>
      <c r="I141" s="161"/>
      <c r="J141" s="162">
        <f t="shared" si="10"/>
        <v>0</v>
      </c>
      <c r="K141" s="162">
        <f t="shared" si="11"/>
        <v>0</v>
      </c>
    </row>
    <row r="142" spans="1:17" ht="25">
      <c r="A142" s="19"/>
      <c r="B142" s="88" t="s">
        <v>183</v>
      </c>
      <c r="C142" s="33" t="s">
        <v>138</v>
      </c>
      <c r="D142" s="262">
        <f>SUM(D51:D53)*12</f>
        <v>360</v>
      </c>
      <c r="E142" s="163">
        <f t="shared" si="8"/>
        <v>0</v>
      </c>
      <c r="F142" s="164">
        <f t="shared" si="9"/>
        <v>0</v>
      </c>
      <c r="G142" s="312">
        <f t="shared" si="7"/>
        <v>844</v>
      </c>
      <c r="H142" s="161"/>
      <c r="I142" s="161"/>
      <c r="J142" s="162">
        <f t="shared" si="10"/>
        <v>0</v>
      </c>
      <c r="K142" s="162">
        <f t="shared" si="11"/>
        <v>0</v>
      </c>
    </row>
    <row r="143" spans="1:17" ht="14">
      <c r="A143" s="104"/>
      <c r="B143" s="88" t="s">
        <v>171</v>
      </c>
      <c r="C143" s="33" t="s">
        <v>12</v>
      </c>
      <c r="D143" s="262">
        <v>1</v>
      </c>
      <c r="E143" s="163">
        <f t="shared" si="8"/>
        <v>0</v>
      </c>
      <c r="F143" s="164">
        <f t="shared" si="9"/>
        <v>0</v>
      </c>
      <c r="G143" s="312">
        <f t="shared" si="7"/>
        <v>845</v>
      </c>
      <c r="H143" s="161"/>
      <c r="I143" s="161"/>
      <c r="J143" s="162">
        <f t="shared" si="10"/>
        <v>0</v>
      </c>
      <c r="K143" s="162">
        <f t="shared" si="11"/>
        <v>0</v>
      </c>
    </row>
    <row r="144" spans="1:17" ht="14">
      <c r="A144" s="104"/>
      <c r="B144" s="88" t="s">
        <v>90</v>
      </c>
      <c r="C144" s="33" t="s">
        <v>12</v>
      </c>
      <c r="D144" s="262">
        <v>1</v>
      </c>
      <c r="E144" s="163">
        <f t="shared" si="8"/>
        <v>0</v>
      </c>
      <c r="F144" s="164">
        <f t="shared" si="9"/>
        <v>0</v>
      </c>
      <c r="G144" s="312">
        <f t="shared" si="7"/>
        <v>846</v>
      </c>
      <c r="H144" s="161"/>
      <c r="I144" s="161"/>
      <c r="J144" s="162">
        <f t="shared" si="10"/>
        <v>0</v>
      </c>
      <c r="K144" s="162">
        <f t="shared" si="11"/>
        <v>0</v>
      </c>
    </row>
    <row r="145" spans="1:11" ht="14">
      <c r="A145" s="104"/>
      <c r="B145" s="88" t="s">
        <v>182</v>
      </c>
      <c r="C145" s="33" t="s">
        <v>12</v>
      </c>
      <c r="D145" s="262">
        <v>1</v>
      </c>
      <c r="E145" s="163">
        <f t="shared" si="8"/>
        <v>0</v>
      </c>
      <c r="F145" s="164">
        <f t="shared" si="9"/>
        <v>0</v>
      </c>
      <c r="G145" s="312">
        <f t="shared" si="7"/>
        <v>847</v>
      </c>
      <c r="H145" s="161"/>
      <c r="I145" s="161"/>
      <c r="J145" s="162">
        <f t="shared" si="10"/>
        <v>0</v>
      </c>
      <c r="K145" s="162">
        <f t="shared" si="11"/>
        <v>0</v>
      </c>
    </row>
    <row r="146" spans="1:11" ht="25">
      <c r="A146" s="104"/>
      <c r="B146" s="88" t="s">
        <v>184</v>
      </c>
      <c r="C146" s="33" t="s">
        <v>12</v>
      </c>
      <c r="D146" s="262">
        <v>1</v>
      </c>
      <c r="E146" s="163">
        <f t="shared" si="8"/>
        <v>0</v>
      </c>
      <c r="F146" s="164">
        <f t="shared" si="9"/>
        <v>0</v>
      </c>
      <c r="G146" s="312">
        <f t="shared" ref="G146:G209" si="12">G145+1</f>
        <v>848</v>
      </c>
      <c r="H146" s="161"/>
      <c r="I146" s="161"/>
      <c r="J146" s="162">
        <f t="shared" si="10"/>
        <v>0</v>
      </c>
      <c r="K146" s="162">
        <f t="shared" si="11"/>
        <v>0</v>
      </c>
    </row>
    <row r="147" spans="1:11" ht="14">
      <c r="A147" s="104"/>
      <c r="B147" s="88" t="s">
        <v>174</v>
      </c>
      <c r="C147" s="33" t="s">
        <v>33</v>
      </c>
      <c r="D147" s="262"/>
      <c r="E147" s="163" t="str">
        <f t="shared" si="8"/>
        <v/>
      </c>
      <c r="F147" s="164" t="str">
        <f t="shared" si="9"/>
        <v/>
      </c>
      <c r="G147" s="312">
        <f t="shared" si="12"/>
        <v>849</v>
      </c>
      <c r="H147" s="161"/>
      <c r="I147" s="161"/>
      <c r="J147" s="162" t="str">
        <f t="shared" si="10"/>
        <v/>
      </c>
      <c r="K147" s="162" t="str">
        <f t="shared" si="11"/>
        <v/>
      </c>
    </row>
    <row r="148" spans="1:11" ht="25">
      <c r="A148" s="104"/>
      <c r="B148" s="88" t="s">
        <v>317</v>
      </c>
      <c r="C148" s="33" t="s">
        <v>13</v>
      </c>
      <c r="D148" s="262">
        <f>+(QTE!D278+QTE!D279+QTE!F279+QTE!V278+QTE!V279+QTE!X278+QTE!X279)*12</f>
        <v>192</v>
      </c>
      <c r="E148" s="163">
        <f t="shared" si="8"/>
        <v>0</v>
      </c>
      <c r="F148" s="164">
        <f t="shared" si="9"/>
        <v>0</v>
      </c>
      <c r="G148" s="312">
        <f t="shared" si="12"/>
        <v>850</v>
      </c>
      <c r="H148" s="161"/>
      <c r="I148" s="161"/>
      <c r="J148" s="162">
        <f t="shared" si="10"/>
        <v>0</v>
      </c>
      <c r="K148" s="162">
        <f t="shared" si="11"/>
        <v>0</v>
      </c>
    </row>
    <row r="149" spans="1:11" ht="25">
      <c r="A149" s="104"/>
      <c r="B149" s="88" t="s">
        <v>316</v>
      </c>
      <c r="C149" s="33" t="s">
        <v>13</v>
      </c>
      <c r="D149" s="262">
        <f>(QTE!E279+QTE!E278+QTE!W279+QTE!W278)*15</f>
        <v>210</v>
      </c>
      <c r="E149" s="163">
        <f t="shared" si="8"/>
        <v>0</v>
      </c>
      <c r="F149" s="164">
        <f t="shared" si="9"/>
        <v>0</v>
      </c>
      <c r="G149" s="312">
        <f t="shared" si="12"/>
        <v>851</v>
      </c>
      <c r="H149" s="161"/>
      <c r="I149" s="161"/>
      <c r="J149" s="162">
        <f t="shared" si="10"/>
        <v>0</v>
      </c>
      <c r="K149" s="162">
        <f t="shared" si="11"/>
        <v>0</v>
      </c>
    </row>
    <row r="150" spans="1:11" ht="14">
      <c r="A150" s="104"/>
      <c r="B150" s="88" t="s">
        <v>44</v>
      </c>
      <c r="C150" s="33" t="s">
        <v>12</v>
      </c>
      <c r="D150" s="262">
        <v>1</v>
      </c>
      <c r="E150" s="163">
        <f t="shared" si="8"/>
        <v>0</v>
      </c>
      <c r="F150" s="164">
        <f t="shared" si="9"/>
        <v>0</v>
      </c>
      <c r="G150" s="312">
        <f t="shared" si="12"/>
        <v>852</v>
      </c>
      <c r="H150" s="161"/>
      <c r="I150" s="161"/>
      <c r="J150" s="162">
        <f t="shared" si="10"/>
        <v>0</v>
      </c>
      <c r="K150" s="162">
        <f t="shared" si="11"/>
        <v>0</v>
      </c>
    </row>
    <row r="151" spans="1:11" ht="14">
      <c r="A151" s="104"/>
      <c r="B151" s="88" t="s">
        <v>43</v>
      </c>
      <c r="C151" s="33" t="s">
        <v>12</v>
      </c>
      <c r="D151" s="262">
        <v>1</v>
      </c>
      <c r="E151" s="163">
        <f t="shared" si="8"/>
        <v>0</v>
      </c>
      <c r="F151" s="164">
        <f t="shared" si="9"/>
        <v>0</v>
      </c>
      <c r="G151" s="312">
        <f t="shared" si="12"/>
        <v>853</v>
      </c>
      <c r="H151" s="161"/>
      <c r="I151" s="161"/>
      <c r="J151" s="162">
        <f t="shared" si="10"/>
        <v>0</v>
      </c>
      <c r="K151" s="162">
        <f t="shared" si="11"/>
        <v>0</v>
      </c>
    </row>
    <row r="152" spans="1:11" ht="14">
      <c r="A152" s="104"/>
      <c r="B152" s="88" t="s">
        <v>319</v>
      </c>
      <c r="C152" s="33" t="s">
        <v>12</v>
      </c>
      <c r="D152" s="262">
        <v>1</v>
      </c>
      <c r="E152" s="163">
        <f t="shared" si="8"/>
        <v>0</v>
      </c>
      <c r="F152" s="164">
        <f t="shared" si="9"/>
        <v>0</v>
      </c>
      <c r="G152" s="312">
        <f t="shared" si="12"/>
        <v>854</v>
      </c>
      <c r="H152" s="161"/>
      <c r="I152" s="161"/>
      <c r="J152" s="162">
        <f t="shared" si="10"/>
        <v>0</v>
      </c>
      <c r="K152" s="162">
        <f t="shared" si="11"/>
        <v>0</v>
      </c>
    </row>
    <row r="153" spans="1:11" ht="14">
      <c r="A153" s="104"/>
      <c r="B153" s="88" t="s">
        <v>318</v>
      </c>
      <c r="C153" s="33" t="s">
        <v>12</v>
      </c>
      <c r="D153" s="262">
        <v>1</v>
      </c>
      <c r="E153" s="163">
        <f t="shared" ref="E153:E184" si="13">IF(D153="","",(((J153*$K$2)+(K153*$I$2*$I$3))*$K$3)/D153)</f>
        <v>0</v>
      </c>
      <c r="F153" s="164">
        <f t="shared" ref="F153:F184" si="14">IF(D153="","",D153*E153)</f>
        <v>0</v>
      </c>
      <c r="G153" s="312">
        <f t="shared" si="12"/>
        <v>855</v>
      </c>
      <c r="H153" s="161"/>
      <c r="I153" s="161"/>
      <c r="J153" s="162">
        <f t="shared" ref="J153:J184" si="15">IF(D153="","",H153*D153)</f>
        <v>0</v>
      </c>
      <c r="K153" s="162">
        <f t="shared" ref="K153:K184" si="16">IF(D153="","",D153*I153)</f>
        <v>0</v>
      </c>
    </row>
    <row r="154" spans="1:11" ht="14">
      <c r="A154" s="104"/>
      <c r="B154" s="88"/>
      <c r="C154" s="33"/>
      <c r="D154" s="262"/>
      <c r="E154" s="163" t="str">
        <f t="shared" si="13"/>
        <v/>
      </c>
      <c r="F154" s="164" t="str">
        <f t="shared" si="14"/>
        <v/>
      </c>
      <c r="G154" s="312">
        <f t="shared" si="12"/>
        <v>856</v>
      </c>
      <c r="H154" s="161"/>
      <c r="I154" s="161"/>
      <c r="J154" s="162" t="str">
        <f t="shared" si="15"/>
        <v/>
      </c>
      <c r="K154" s="162" t="str">
        <f t="shared" si="16"/>
        <v/>
      </c>
    </row>
    <row r="155" spans="1:11" ht="37.5">
      <c r="A155" s="104"/>
      <c r="B155" s="88" t="s">
        <v>315</v>
      </c>
      <c r="C155" s="57" t="s">
        <v>12</v>
      </c>
      <c r="D155" s="262">
        <v>1</v>
      </c>
      <c r="E155" s="163">
        <f t="shared" si="13"/>
        <v>0</v>
      </c>
      <c r="F155" s="164">
        <f t="shared" si="14"/>
        <v>0</v>
      </c>
      <c r="G155" s="312">
        <f t="shared" si="12"/>
        <v>857</v>
      </c>
      <c r="H155" s="161"/>
      <c r="I155" s="161"/>
      <c r="J155" s="162">
        <f t="shared" si="15"/>
        <v>0</v>
      </c>
      <c r="K155" s="162">
        <f t="shared" si="16"/>
        <v>0</v>
      </c>
    </row>
    <row r="156" spans="1:11" ht="14">
      <c r="A156" s="19"/>
      <c r="B156" s="88"/>
      <c r="C156" s="33"/>
      <c r="D156" s="262"/>
      <c r="E156" s="163" t="str">
        <f t="shared" si="13"/>
        <v/>
      </c>
      <c r="F156" s="164" t="str">
        <f t="shared" si="14"/>
        <v/>
      </c>
      <c r="G156" s="312">
        <f t="shared" si="12"/>
        <v>858</v>
      </c>
      <c r="H156" s="161"/>
      <c r="I156" s="161"/>
      <c r="J156" s="162" t="str">
        <f t="shared" si="15"/>
        <v/>
      </c>
      <c r="K156" s="162" t="str">
        <f t="shared" si="16"/>
        <v/>
      </c>
    </row>
    <row r="157" spans="1:11" ht="14">
      <c r="A157" s="19" t="s">
        <v>413</v>
      </c>
      <c r="B157" s="23" t="s">
        <v>63</v>
      </c>
      <c r="C157" s="33"/>
      <c r="D157" s="262"/>
      <c r="E157" s="163" t="str">
        <f t="shared" si="13"/>
        <v/>
      </c>
      <c r="F157" s="164" t="str">
        <f t="shared" si="14"/>
        <v/>
      </c>
      <c r="G157" s="312">
        <f t="shared" si="12"/>
        <v>859</v>
      </c>
      <c r="H157" s="161"/>
      <c r="I157" s="161"/>
      <c r="J157" s="162" t="str">
        <f t="shared" si="15"/>
        <v/>
      </c>
      <c r="K157" s="162" t="str">
        <f t="shared" si="16"/>
        <v/>
      </c>
    </row>
    <row r="158" spans="1:11" ht="14">
      <c r="A158" s="19"/>
      <c r="B158" s="85"/>
      <c r="C158" s="57"/>
      <c r="D158" s="262"/>
      <c r="E158" s="163" t="str">
        <f t="shared" si="13"/>
        <v/>
      </c>
      <c r="F158" s="164" t="str">
        <f t="shared" si="14"/>
        <v/>
      </c>
      <c r="G158" s="312">
        <f t="shared" si="12"/>
        <v>860</v>
      </c>
      <c r="H158" s="161"/>
      <c r="I158" s="161"/>
      <c r="J158" s="162" t="str">
        <f t="shared" si="15"/>
        <v/>
      </c>
      <c r="K158" s="162" t="str">
        <f t="shared" si="16"/>
        <v/>
      </c>
    </row>
    <row r="159" spans="1:11" ht="25">
      <c r="A159" s="19"/>
      <c r="B159" s="88" t="s">
        <v>181</v>
      </c>
      <c r="C159" s="57" t="s">
        <v>12</v>
      </c>
      <c r="D159" s="262">
        <v>1</v>
      </c>
      <c r="E159" s="163">
        <f t="shared" si="13"/>
        <v>0</v>
      </c>
      <c r="F159" s="164">
        <f t="shared" si="14"/>
        <v>0</v>
      </c>
      <c r="G159" s="312">
        <f t="shared" si="12"/>
        <v>861</v>
      </c>
      <c r="H159" s="161"/>
      <c r="I159" s="161"/>
      <c r="J159" s="162">
        <f t="shared" si="15"/>
        <v>0</v>
      </c>
      <c r="K159" s="162">
        <f t="shared" si="16"/>
        <v>0</v>
      </c>
    </row>
    <row r="160" spans="1:11" ht="25">
      <c r="A160" s="19"/>
      <c r="B160" s="88" t="s">
        <v>183</v>
      </c>
      <c r="C160" s="33" t="s">
        <v>138</v>
      </c>
      <c r="D160" s="262">
        <f>D149</f>
        <v>210</v>
      </c>
      <c r="E160" s="163">
        <f t="shared" si="13"/>
        <v>0</v>
      </c>
      <c r="F160" s="164">
        <f t="shared" si="14"/>
        <v>0</v>
      </c>
      <c r="G160" s="312">
        <f t="shared" si="12"/>
        <v>862</v>
      </c>
      <c r="H160" s="161"/>
      <c r="I160" s="161"/>
      <c r="J160" s="162">
        <f t="shared" si="15"/>
        <v>0</v>
      </c>
      <c r="K160" s="162">
        <f t="shared" si="16"/>
        <v>0</v>
      </c>
    </row>
    <row r="161" spans="1:11" ht="14">
      <c r="A161" s="19"/>
      <c r="B161" s="88"/>
      <c r="C161" s="57"/>
      <c r="D161" s="262"/>
      <c r="E161" s="163" t="str">
        <f t="shared" si="13"/>
        <v/>
      </c>
      <c r="F161" s="164" t="str">
        <f t="shared" si="14"/>
        <v/>
      </c>
      <c r="G161" s="312">
        <f t="shared" si="12"/>
        <v>863</v>
      </c>
      <c r="H161" s="161"/>
      <c r="I161" s="161"/>
      <c r="J161" s="162" t="str">
        <f t="shared" si="15"/>
        <v/>
      </c>
      <c r="K161" s="162" t="str">
        <f t="shared" si="16"/>
        <v/>
      </c>
    </row>
    <row r="162" spans="1:11" ht="14">
      <c r="A162" s="19"/>
      <c r="B162" s="88" t="s">
        <v>174</v>
      </c>
      <c r="C162" s="57" t="s">
        <v>33</v>
      </c>
      <c r="D162" s="262"/>
      <c r="E162" s="163" t="str">
        <f t="shared" si="13"/>
        <v/>
      </c>
      <c r="F162" s="164" t="str">
        <f t="shared" si="14"/>
        <v/>
      </c>
      <c r="G162" s="312">
        <f t="shared" si="12"/>
        <v>864</v>
      </c>
      <c r="H162" s="161"/>
      <c r="I162" s="161"/>
      <c r="J162" s="162" t="str">
        <f t="shared" si="15"/>
        <v/>
      </c>
      <c r="K162" s="162" t="str">
        <f t="shared" si="16"/>
        <v/>
      </c>
    </row>
    <row r="163" spans="1:11" ht="14">
      <c r="A163" s="19"/>
      <c r="B163" s="88" t="s">
        <v>175</v>
      </c>
      <c r="C163" s="57" t="s">
        <v>13</v>
      </c>
      <c r="D163" s="262">
        <v>2</v>
      </c>
      <c r="E163" s="163">
        <f t="shared" si="13"/>
        <v>0</v>
      </c>
      <c r="F163" s="164">
        <f t="shared" si="14"/>
        <v>0</v>
      </c>
      <c r="G163" s="312">
        <f t="shared" si="12"/>
        <v>865</v>
      </c>
      <c r="H163" s="161"/>
      <c r="I163" s="161"/>
      <c r="J163" s="162">
        <f t="shared" si="15"/>
        <v>0</v>
      </c>
      <c r="K163" s="162">
        <f t="shared" si="16"/>
        <v>0</v>
      </c>
    </row>
    <row r="164" spans="1:11" ht="14">
      <c r="A164" s="19"/>
      <c r="B164" s="88" t="s">
        <v>176</v>
      </c>
      <c r="C164" s="57" t="s">
        <v>138</v>
      </c>
      <c r="D164" s="262">
        <v>75</v>
      </c>
      <c r="E164" s="163">
        <f t="shared" si="13"/>
        <v>0</v>
      </c>
      <c r="F164" s="164">
        <f t="shared" si="14"/>
        <v>0</v>
      </c>
      <c r="G164" s="312">
        <f t="shared" si="12"/>
        <v>866</v>
      </c>
      <c r="H164" s="161"/>
      <c r="I164" s="161"/>
      <c r="J164" s="162">
        <f t="shared" si="15"/>
        <v>0</v>
      </c>
      <c r="K164" s="162">
        <f t="shared" si="16"/>
        <v>0</v>
      </c>
    </row>
    <row r="165" spans="1:11" ht="14">
      <c r="A165" s="19"/>
      <c r="B165" s="88" t="s">
        <v>177</v>
      </c>
      <c r="C165" s="57" t="s">
        <v>12</v>
      </c>
      <c r="D165" s="262">
        <v>1</v>
      </c>
      <c r="E165" s="163">
        <f t="shared" si="13"/>
        <v>0</v>
      </c>
      <c r="F165" s="164">
        <f t="shared" si="14"/>
        <v>0</v>
      </c>
      <c r="G165" s="312">
        <f t="shared" si="12"/>
        <v>867</v>
      </c>
      <c r="H165" s="161"/>
      <c r="I165" s="161"/>
      <c r="J165" s="162">
        <f t="shared" si="15"/>
        <v>0</v>
      </c>
      <c r="K165" s="162">
        <f t="shared" si="16"/>
        <v>0</v>
      </c>
    </row>
    <row r="166" spans="1:11" ht="14">
      <c r="A166" s="19"/>
      <c r="B166" s="88"/>
      <c r="C166" s="57"/>
      <c r="D166" s="262"/>
      <c r="E166" s="163" t="str">
        <f t="shared" si="13"/>
        <v/>
      </c>
      <c r="F166" s="164" t="str">
        <f t="shared" si="14"/>
        <v/>
      </c>
      <c r="G166" s="312">
        <f t="shared" si="12"/>
        <v>868</v>
      </c>
      <c r="H166" s="161"/>
      <c r="I166" s="161"/>
      <c r="J166" s="162" t="str">
        <f t="shared" si="15"/>
        <v/>
      </c>
      <c r="K166" s="162" t="str">
        <f t="shared" si="16"/>
        <v/>
      </c>
    </row>
    <row r="167" spans="1:11" ht="43.5" customHeight="1">
      <c r="A167" s="19"/>
      <c r="B167" s="88" t="s">
        <v>178</v>
      </c>
      <c r="C167" s="57" t="s">
        <v>12</v>
      </c>
      <c r="D167" s="262">
        <v>1</v>
      </c>
      <c r="E167" s="163">
        <f t="shared" si="13"/>
        <v>0</v>
      </c>
      <c r="F167" s="164">
        <f t="shared" si="14"/>
        <v>0</v>
      </c>
      <c r="G167" s="312">
        <f t="shared" si="12"/>
        <v>869</v>
      </c>
      <c r="H167" s="161"/>
      <c r="I167" s="161"/>
      <c r="J167" s="162">
        <f t="shared" si="15"/>
        <v>0</v>
      </c>
      <c r="K167" s="162">
        <f t="shared" si="16"/>
        <v>0</v>
      </c>
    </row>
    <row r="168" spans="1:11" ht="14">
      <c r="A168" s="19"/>
      <c r="B168" s="88"/>
      <c r="C168" s="57"/>
      <c r="D168" s="262"/>
      <c r="E168" s="163" t="str">
        <f t="shared" si="13"/>
        <v/>
      </c>
      <c r="F168" s="164" t="str">
        <f t="shared" si="14"/>
        <v/>
      </c>
      <c r="G168" s="312">
        <f t="shared" si="12"/>
        <v>870</v>
      </c>
      <c r="H168" s="161"/>
      <c r="I168" s="161"/>
      <c r="J168" s="162" t="str">
        <f t="shared" si="15"/>
        <v/>
      </c>
      <c r="K168" s="162" t="str">
        <f t="shared" si="16"/>
        <v/>
      </c>
    </row>
    <row r="169" spans="1:11" ht="37.5">
      <c r="A169" s="19"/>
      <c r="B169" s="88" t="s">
        <v>185</v>
      </c>
      <c r="C169" s="57" t="s">
        <v>12</v>
      </c>
      <c r="D169" s="262">
        <v>1</v>
      </c>
      <c r="E169" s="163">
        <f t="shared" si="13"/>
        <v>0</v>
      </c>
      <c r="F169" s="164">
        <f t="shared" si="14"/>
        <v>0</v>
      </c>
      <c r="G169" s="312">
        <f t="shared" si="12"/>
        <v>871</v>
      </c>
      <c r="H169" s="161"/>
      <c r="I169" s="161"/>
      <c r="J169" s="162">
        <f t="shared" si="15"/>
        <v>0</v>
      </c>
      <c r="K169" s="162">
        <f t="shared" si="16"/>
        <v>0</v>
      </c>
    </row>
    <row r="170" spans="1:11" ht="14">
      <c r="A170" s="19"/>
      <c r="B170" s="88"/>
      <c r="C170" s="57"/>
      <c r="D170" s="262"/>
      <c r="E170" s="163" t="str">
        <f t="shared" si="13"/>
        <v/>
      </c>
      <c r="F170" s="164" t="str">
        <f t="shared" si="14"/>
        <v/>
      </c>
      <c r="G170" s="312">
        <f t="shared" si="12"/>
        <v>872</v>
      </c>
      <c r="H170" s="161"/>
      <c r="I170" s="161"/>
      <c r="J170" s="162" t="str">
        <f t="shared" si="15"/>
        <v/>
      </c>
      <c r="K170" s="162" t="str">
        <f t="shared" si="16"/>
        <v/>
      </c>
    </row>
    <row r="171" spans="1:11" ht="25">
      <c r="A171" s="19"/>
      <c r="B171" s="88" t="s">
        <v>186</v>
      </c>
      <c r="C171" s="57" t="s">
        <v>12</v>
      </c>
      <c r="D171" s="262">
        <v>1</v>
      </c>
      <c r="E171" s="163">
        <f t="shared" si="13"/>
        <v>0</v>
      </c>
      <c r="F171" s="164">
        <f t="shared" si="14"/>
        <v>0</v>
      </c>
      <c r="G171" s="312">
        <f t="shared" si="12"/>
        <v>873</v>
      </c>
      <c r="H171" s="161"/>
      <c r="I171" s="161"/>
      <c r="J171" s="162">
        <f t="shared" si="15"/>
        <v>0</v>
      </c>
      <c r="K171" s="162">
        <f t="shared" si="16"/>
        <v>0</v>
      </c>
    </row>
    <row r="172" spans="1:11" ht="25">
      <c r="A172" s="19"/>
      <c r="B172" s="88" t="s">
        <v>187</v>
      </c>
      <c r="C172" s="57" t="s">
        <v>12</v>
      </c>
      <c r="D172" s="262">
        <v>1</v>
      </c>
      <c r="E172" s="163">
        <f t="shared" si="13"/>
        <v>0</v>
      </c>
      <c r="F172" s="164">
        <f t="shared" si="14"/>
        <v>0</v>
      </c>
      <c r="G172" s="312">
        <f t="shared" si="12"/>
        <v>874</v>
      </c>
      <c r="H172" s="161"/>
      <c r="I172" s="161"/>
      <c r="J172" s="162">
        <f t="shared" si="15"/>
        <v>0</v>
      </c>
      <c r="K172" s="162">
        <f t="shared" si="16"/>
        <v>0</v>
      </c>
    </row>
    <row r="173" spans="1:11" ht="45" customHeight="1">
      <c r="A173" s="19"/>
      <c r="B173" s="88" t="s">
        <v>188</v>
      </c>
      <c r="C173" s="57" t="s">
        <v>12</v>
      </c>
      <c r="D173" s="262">
        <v>1</v>
      </c>
      <c r="E173" s="163">
        <f t="shared" si="13"/>
        <v>0</v>
      </c>
      <c r="F173" s="164">
        <f t="shared" si="14"/>
        <v>0</v>
      </c>
      <c r="G173" s="312">
        <f t="shared" si="12"/>
        <v>875</v>
      </c>
      <c r="H173" s="161"/>
      <c r="I173" s="161"/>
      <c r="J173" s="162">
        <f t="shared" si="15"/>
        <v>0</v>
      </c>
      <c r="K173" s="162">
        <f t="shared" si="16"/>
        <v>0</v>
      </c>
    </row>
    <row r="174" spans="1:11" ht="14">
      <c r="A174" s="19"/>
      <c r="B174" s="88"/>
      <c r="C174" s="57"/>
      <c r="D174" s="262"/>
      <c r="E174" s="163" t="str">
        <f t="shared" si="13"/>
        <v/>
      </c>
      <c r="F174" s="164" t="str">
        <f t="shared" si="14"/>
        <v/>
      </c>
      <c r="G174" s="312">
        <f t="shared" si="12"/>
        <v>876</v>
      </c>
      <c r="H174" s="161"/>
      <c r="I174" s="161"/>
      <c r="J174" s="162" t="str">
        <f t="shared" si="15"/>
        <v/>
      </c>
      <c r="K174" s="162" t="str">
        <f t="shared" si="16"/>
        <v/>
      </c>
    </row>
    <row r="175" spans="1:11" ht="14">
      <c r="A175" s="19"/>
      <c r="B175" s="88" t="s">
        <v>179</v>
      </c>
      <c r="C175" s="57" t="s">
        <v>12</v>
      </c>
      <c r="D175" s="262">
        <v>1</v>
      </c>
      <c r="E175" s="163">
        <f t="shared" si="13"/>
        <v>0</v>
      </c>
      <c r="F175" s="164">
        <f t="shared" si="14"/>
        <v>0</v>
      </c>
      <c r="G175" s="312">
        <f t="shared" si="12"/>
        <v>877</v>
      </c>
      <c r="H175" s="161"/>
      <c r="I175" s="161"/>
      <c r="J175" s="162">
        <f t="shared" si="15"/>
        <v>0</v>
      </c>
      <c r="K175" s="162">
        <f t="shared" si="16"/>
        <v>0</v>
      </c>
    </row>
    <row r="176" spans="1:11" ht="14">
      <c r="A176" s="19"/>
      <c r="B176" s="88" t="s">
        <v>180</v>
      </c>
      <c r="C176" s="57" t="s">
        <v>12</v>
      </c>
      <c r="D176" s="262">
        <v>1</v>
      </c>
      <c r="E176" s="163">
        <f t="shared" si="13"/>
        <v>0</v>
      </c>
      <c r="F176" s="164">
        <f t="shared" si="14"/>
        <v>0</v>
      </c>
      <c r="G176" s="312">
        <f t="shared" si="12"/>
        <v>878</v>
      </c>
      <c r="H176" s="161"/>
      <c r="I176" s="161"/>
      <c r="J176" s="162">
        <f t="shared" si="15"/>
        <v>0</v>
      </c>
      <c r="K176" s="162">
        <f t="shared" si="16"/>
        <v>0</v>
      </c>
    </row>
    <row r="177" spans="1:17" ht="14">
      <c r="A177" s="19"/>
      <c r="B177" s="89"/>
      <c r="C177" s="57"/>
      <c r="D177" s="262"/>
      <c r="E177" s="163" t="str">
        <f t="shared" si="13"/>
        <v/>
      </c>
      <c r="F177" s="164" t="str">
        <f t="shared" si="14"/>
        <v/>
      </c>
      <c r="G177" s="312">
        <f t="shared" si="12"/>
        <v>879</v>
      </c>
      <c r="H177" s="161"/>
      <c r="I177" s="161"/>
      <c r="J177" s="162" t="str">
        <f t="shared" si="15"/>
        <v/>
      </c>
      <c r="K177" s="162" t="str">
        <f t="shared" si="16"/>
        <v/>
      </c>
    </row>
    <row r="178" spans="1:17" s="5" customFormat="1" ht="14">
      <c r="A178" s="19"/>
      <c r="B178" s="83" t="s">
        <v>415</v>
      </c>
      <c r="C178" s="33"/>
      <c r="D178" s="262"/>
      <c r="E178" s="163" t="str">
        <f t="shared" si="13"/>
        <v/>
      </c>
      <c r="F178" s="164" t="str">
        <f t="shared" si="14"/>
        <v/>
      </c>
      <c r="G178" s="312">
        <f t="shared" si="12"/>
        <v>880</v>
      </c>
      <c r="H178" s="161"/>
      <c r="I178" s="161"/>
      <c r="J178" s="162" t="str">
        <f t="shared" si="15"/>
        <v/>
      </c>
      <c r="K178" s="162" t="str">
        <f t="shared" si="16"/>
        <v/>
      </c>
      <c r="Q178" s="36"/>
    </row>
    <row r="179" spans="1:17" ht="14">
      <c r="A179" s="19"/>
      <c r="B179" s="86"/>
      <c r="C179" s="33"/>
      <c r="D179" s="262"/>
      <c r="E179" s="163" t="str">
        <f t="shared" si="13"/>
        <v/>
      </c>
      <c r="F179" s="164" t="str">
        <f t="shared" si="14"/>
        <v/>
      </c>
      <c r="G179" s="312">
        <f t="shared" si="12"/>
        <v>881</v>
      </c>
      <c r="H179" s="161"/>
      <c r="I179" s="161"/>
      <c r="J179" s="162" t="str">
        <f t="shared" si="15"/>
        <v/>
      </c>
      <c r="K179" s="162" t="str">
        <f t="shared" si="16"/>
        <v/>
      </c>
    </row>
    <row r="180" spans="1:17" ht="14">
      <c r="A180" s="19" t="s">
        <v>417</v>
      </c>
      <c r="B180" s="87" t="s">
        <v>27</v>
      </c>
      <c r="C180" s="33"/>
      <c r="D180" s="262"/>
      <c r="E180" s="163" t="str">
        <f t="shared" si="13"/>
        <v/>
      </c>
      <c r="F180" s="164" t="str">
        <f t="shared" si="14"/>
        <v/>
      </c>
      <c r="G180" s="312">
        <f t="shared" si="12"/>
        <v>882</v>
      </c>
      <c r="H180" s="161"/>
      <c r="I180" s="161"/>
      <c r="J180" s="162" t="str">
        <f t="shared" si="15"/>
        <v/>
      </c>
      <c r="K180" s="162" t="str">
        <f t="shared" si="16"/>
        <v/>
      </c>
    </row>
    <row r="181" spans="1:17" ht="14">
      <c r="A181" s="19"/>
      <c r="B181" s="86"/>
      <c r="C181" s="33"/>
      <c r="D181" s="262"/>
      <c r="E181" s="163" t="str">
        <f t="shared" si="13"/>
        <v/>
      </c>
      <c r="F181" s="164" t="str">
        <f t="shared" si="14"/>
        <v/>
      </c>
      <c r="G181" s="312">
        <f t="shared" si="12"/>
        <v>883</v>
      </c>
      <c r="H181" s="161"/>
      <c r="I181" s="161"/>
      <c r="J181" s="162" t="str">
        <f t="shared" si="15"/>
        <v/>
      </c>
      <c r="K181" s="162" t="str">
        <f t="shared" si="16"/>
        <v/>
      </c>
    </row>
    <row r="182" spans="1:17" ht="14">
      <c r="A182" s="19"/>
      <c r="B182" s="86" t="s">
        <v>38</v>
      </c>
      <c r="C182" s="33" t="s">
        <v>33</v>
      </c>
      <c r="D182" s="262"/>
      <c r="E182" s="163" t="str">
        <f t="shared" si="13"/>
        <v/>
      </c>
      <c r="F182" s="164" t="str">
        <f t="shared" si="14"/>
        <v/>
      </c>
      <c r="G182" s="312">
        <f t="shared" si="12"/>
        <v>884</v>
      </c>
      <c r="H182" s="161"/>
      <c r="I182" s="161"/>
      <c r="J182" s="162" t="str">
        <f t="shared" si="15"/>
        <v/>
      </c>
      <c r="K182" s="162" t="str">
        <f t="shared" si="16"/>
        <v/>
      </c>
    </row>
    <row r="183" spans="1:17" ht="14">
      <c r="A183" s="19"/>
      <c r="B183" s="86" t="s">
        <v>133</v>
      </c>
      <c r="C183" s="33" t="s">
        <v>12</v>
      </c>
      <c r="D183" s="262">
        <v>1</v>
      </c>
      <c r="E183" s="163">
        <f t="shared" si="13"/>
        <v>0</v>
      </c>
      <c r="F183" s="164">
        <f t="shared" si="14"/>
        <v>0</v>
      </c>
      <c r="G183" s="312">
        <f t="shared" si="12"/>
        <v>885</v>
      </c>
      <c r="H183" s="161"/>
      <c r="I183" s="161"/>
      <c r="J183" s="162">
        <f t="shared" si="15"/>
        <v>0</v>
      </c>
      <c r="K183" s="162">
        <f t="shared" si="16"/>
        <v>0</v>
      </c>
    </row>
    <row r="184" spans="1:17" ht="14">
      <c r="A184" s="19"/>
      <c r="B184" s="86" t="s">
        <v>39</v>
      </c>
      <c r="C184" s="33" t="s">
        <v>12</v>
      </c>
      <c r="D184" s="262">
        <v>1</v>
      </c>
      <c r="E184" s="163">
        <f t="shared" si="13"/>
        <v>0</v>
      </c>
      <c r="F184" s="164">
        <f t="shared" si="14"/>
        <v>0</v>
      </c>
      <c r="G184" s="312">
        <f t="shared" si="12"/>
        <v>886</v>
      </c>
      <c r="H184" s="161"/>
      <c r="I184" s="161"/>
      <c r="J184" s="162">
        <f t="shared" si="15"/>
        <v>0</v>
      </c>
      <c r="K184" s="162">
        <f t="shared" si="16"/>
        <v>0</v>
      </c>
    </row>
    <row r="185" spans="1:17" ht="14">
      <c r="A185" s="19"/>
      <c r="B185" s="86" t="s">
        <v>40</v>
      </c>
      <c r="C185" s="33" t="s">
        <v>12</v>
      </c>
      <c r="D185" s="262">
        <v>1</v>
      </c>
      <c r="E185" s="163">
        <f t="shared" ref="E185:E248" si="17">IF(D185="","",(((J185*$K$2)+(K185*$I$2*$I$3))*$K$3)/D185)</f>
        <v>0</v>
      </c>
      <c r="F185" s="164">
        <f t="shared" ref="F185:F248" si="18">IF(D185="","",D185*E185)</f>
        <v>0</v>
      </c>
      <c r="G185" s="312">
        <f t="shared" si="12"/>
        <v>887</v>
      </c>
      <c r="H185" s="161"/>
      <c r="I185" s="161"/>
      <c r="J185" s="162">
        <f t="shared" ref="J185:J248" si="19">IF(D185="","",H185*D185)</f>
        <v>0</v>
      </c>
      <c r="K185" s="162">
        <f t="shared" ref="K185:K248" si="20">IF(D185="","",D185*I185)</f>
        <v>0</v>
      </c>
    </row>
    <row r="186" spans="1:17" ht="14">
      <c r="A186" s="19"/>
      <c r="B186" s="86"/>
      <c r="C186" s="33"/>
      <c r="D186" s="262"/>
      <c r="E186" s="163" t="str">
        <f t="shared" si="17"/>
        <v/>
      </c>
      <c r="F186" s="164" t="str">
        <f t="shared" si="18"/>
        <v/>
      </c>
      <c r="G186" s="312">
        <f t="shared" si="12"/>
        <v>888</v>
      </c>
      <c r="H186" s="161"/>
      <c r="I186" s="161"/>
      <c r="J186" s="162" t="str">
        <f t="shared" si="19"/>
        <v/>
      </c>
      <c r="K186" s="162" t="str">
        <f t="shared" si="20"/>
        <v/>
      </c>
    </row>
    <row r="187" spans="1:17" ht="25">
      <c r="A187" s="19"/>
      <c r="B187" s="88" t="s">
        <v>393</v>
      </c>
      <c r="C187" s="33" t="s">
        <v>138</v>
      </c>
      <c r="D187" s="262">
        <f>8*3+30+3*2*3</f>
        <v>72</v>
      </c>
      <c r="E187" s="163">
        <f t="shared" si="17"/>
        <v>0</v>
      </c>
      <c r="F187" s="164">
        <f t="shared" si="18"/>
        <v>0</v>
      </c>
      <c r="G187" s="312">
        <f t="shared" si="12"/>
        <v>889</v>
      </c>
      <c r="H187" s="161"/>
      <c r="I187" s="161"/>
      <c r="J187" s="162">
        <f t="shared" si="19"/>
        <v>0</v>
      </c>
      <c r="K187" s="162">
        <f t="shared" si="20"/>
        <v>0</v>
      </c>
    </row>
    <row r="188" spans="1:17" ht="14">
      <c r="A188" s="19"/>
      <c r="B188" s="86" t="s">
        <v>41</v>
      </c>
      <c r="C188" s="33" t="s">
        <v>12</v>
      </c>
      <c r="D188" s="262">
        <v>1</v>
      </c>
      <c r="E188" s="163">
        <f t="shared" si="17"/>
        <v>0</v>
      </c>
      <c r="F188" s="164">
        <f t="shared" si="18"/>
        <v>0</v>
      </c>
      <c r="G188" s="312">
        <f t="shared" si="12"/>
        <v>890</v>
      </c>
      <c r="H188" s="161"/>
      <c r="I188" s="161"/>
      <c r="J188" s="162">
        <f t="shared" si="19"/>
        <v>0</v>
      </c>
      <c r="K188" s="162">
        <f t="shared" si="20"/>
        <v>0</v>
      </c>
    </row>
    <row r="189" spans="1:17" ht="14">
      <c r="A189" s="19"/>
      <c r="B189" s="86"/>
      <c r="C189" s="33"/>
      <c r="D189" s="262"/>
      <c r="E189" s="163" t="str">
        <f t="shared" si="17"/>
        <v/>
      </c>
      <c r="F189" s="164" t="str">
        <f t="shared" si="18"/>
        <v/>
      </c>
      <c r="G189" s="312">
        <f t="shared" si="12"/>
        <v>891</v>
      </c>
      <c r="H189" s="161"/>
      <c r="I189" s="161"/>
      <c r="J189" s="162" t="str">
        <f t="shared" si="19"/>
        <v/>
      </c>
      <c r="K189" s="162" t="str">
        <f t="shared" si="20"/>
        <v/>
      </c>
    </row>
    <row r="190" spans="1:17" s="5" customFormat="1" ht="14">
      <c r="A190" s="19"/>
      <c r="B190" s="83" t="s">
        <v>418</v>
      </c>
      <c r="C190" s="33"/>
      <c r="D190" s="262"/>
      <c r="E190" s="163" t="str">
        <f t="shared" si="17"/>
        <v/>
      </c>
      <c r="F190" s="164" t="str">
        <f t="shared" si="18"/>
        <v/>
      </c>
      <c r="G190" s="312">
        <f t="shared" si="12"/>
        <v>892</v>
      </c>
      <c r="H190" s="161"/>
      <c r="I190" s="161"/>
      <c r="J190" s="162" t="str">
        <f t="shared" si="19"/>
        <v/>
      </c>
      <c r="K190" s="162" t="str">
        <f t="shared" si="20"/>
        <v/>
      </c>
      <c r="Q190" s="36"/>
    </row>
    <row r="191" spans="1:17" ht="14">
      <c r="A191" s="19"/>
      <c r="B191" s="86"/>
      <c r="C191" s="33"/>
      <c r="D191" s="262"/>
      <c r="E191" s="163" t="str">
        <f t="shared" si="17"/>
        <v/>
      </c>
      <c r="F191" s="164" t="str">
        <f t="shared" si="18"/>
        <v/>
      </c>
      <c r="G191" s="312">
        <f t="shared" si="12"/>
        <v>893</v>
      </c>
      <c r="H191" s="161"/>
      <c r="I191" s="161"/>
      <c r="J191" s="162" t="str">
        <f t="shared" si="19"/>
        <v/>
      </c>
      <c r="K191" s="162" t="str">
        <f t="shared" si="20"/>
        <v/>
      </c>
    </row>
    <row r="192" spans="1:17" ht="14">
      <c r="A192" s="19" t="s">
        <v>419</v>
      </c>
      <c r="B192" s="87" t="s">
        <v>192</v>
      </c>
      <c r="C192" s="33"/>
      <c r="D192" s="262"/>
      <c r="E192" s="163" t="str">
        <f t="shared" si="17"/>
        <v/>
      </c>
      <c r="F192" s="164" t="str">
        <f t="shared" si="18"/>
        <v/>
      </c>
      <c r="G192" s="312">
        <f t="shared" si="12"/>
        <v>894</v>
      </c>
      <c r="H192" s="161"/>
      <c r="I192" s="161"/>
      <c r="J192" s="162" t="str">
        <f t="shared" si="19"/>
        <v/>
      </c>
      <c r="K192" s="162" t="str">
        <f t="shared" si="20"/>
        <v/>
      </c>
    </row>
    <row r="193" spans="1:12" ht="14">
      <c r="A193" s="17"/>
      <c r="B193" s="86"/>
      <c r="C193" s="33"/>
      <c r="D193" s="262"/>
      <c r="E193" s="163" t="str">
        <f t="shared" si="17"/>
        <v/>
      </c>
      <c r="F193" s="164" t="str">
        <f t="shared" si="18"/>
        <v/>
      </c>
      <c r="G193" s="312">
        <f t="shared" si="12"/>
        <v>895</v>
      </c>
      <c r="H193" s="161"/>
      <c r="I193" s="161"/>
      <c r="J193" s="162" t="str">
        <f t="shared" si="19"/>
        <v/>
      </c>
      <c r="K193" s="162" t="str">
        <f t="shared" si="20"/>
        <v/>
      </c>
    </row>
    <row r="194" spans="1:12" ht="14">
      <c r="A194" s="17"/>
      <c r="B194" s="90" t="s">
        <v>21</v>
      </c>
      <c r="C194" s="33" t="s">
        <v>12</v>
      </c>
      <c r="D194" s="262">
        <v>1</v>
      </c>
      <c r="E194" s="163">
        <f t="shared" si="17"/>
        <v>0</v>
      </c>
      <c r="F194" s="164">
        <f t="shared" si="18"/>
        <v>0</v>
      </c>
      <c r="G194" s="312">
        <f t="shared" si="12"/>
        <v>896</v>
      </c>
      <c r="H194" s="161"/>
      <c r="I194" s="161"/>
      <c r="J194" s="162">
        <f t="shared" si="19"/>
        <v>0</v>
      </c>
      <c r="K194" s="162">
        <f t="shared" si="20"/>
        <v>0</v>
      </c>
    </row>
    <row r="195" spans="1:12" ht="14">
      <c r="A195" s="17"/>
      <c r="B195" s="91" t="s">
        <v>193</v>
      </c>
      <c r="C195" s="33"/>
      <c r="D195" s="262"/>
      <c r="E195" s="163" t="str">
        <f t="shared" si="17"/>
        <v/>
      </c>
      <c r="F195" s="164" t="str">
        <f t="shared" si="18"/>
        <v/>
      </c>
      <c r="G195" s="312">
        <f t="shared" si="12"/>
        <v>897</v>
      </c>
      <c r="H195" s="161"/>
      <c r="I195" s="161"/>
      <c r="J195" s="162" t="str">
        <f t="shared" si="19"/>
        <v/>
      </c>
      <c r="K195" s="162" t="str">
        <f t="shared" si="20"/>
        <v/>
      </c>
    </row>
    <row r="196" spans="1:12" ht="14">
      <c r="A196" s="17"/>
      <c r="B196" s="91" t="s">
        <v>194</v>
      </c>
      <c r="C196" s="33"/>
      <c r="D196" s="262"/>
      <c r="E196" s="163" t="str">
        <f t="shared" si="17"/>
        <v/>
      </c>
      <c r="F196" s="164" t="str">
        <f t="shared" si="18"/>
        <v/>
      </c>
      <c r="G196" s="312">
        <f t="shared" si="12"/>
        <v>898</v>
      </c>
      <c r="H196" s="161"/>
      <c r="I196" s="161"/>
      <c r="J196" s="162" t="str">
        <f t="shared" si="19"/>
        <v/>
      </c>
      <c r="K196" s="162" t="str">
        <f t="shared" si="20"/>
        <v/>
      </c>
    </row>
    <row r="197" spans="1:12" ht="14">
      <c r="A197" s="17"/>
      <c r="B197" s="91" t="s">
        <v>384</v>
      </c>
      <c r="C197" s="33"/>
      <c r="D197" s="262"/>
      <c r="E197" s="163" t="str">
        <f t="shared" si="17"/>
        <v/>
      </c>
      <c r="F197" s="164" t="str">
        <f t="shared" si="18"/>
        <v/>
      </c>
      <c r="G197" s="312">
        <f t="shared" si="12"/>
        <v>899</v>
      </c>
      <c r="H197" s="161"/>
      <c r="I197" s="161"/>
      <c r="J197" s="162" t="str">
        <f t="shared" si="19"/>
        <v/>
      </c>
      <c r="K197" s="162" t="str">
        <f t="shared" si="20"/>
        <v/>
      </c>
    </row>
    <row r="198" spans="1:12" ht="14">
      <c r="A198" s="17"/>
      <c r="B198" s="91" t="s">
        <v>195</v>
      </c>
      <c r="C198" s="33"/>
      <c r="D198" s="262"/>
      <c r="E198" s="163" t="str">
        <f t="shared" si="17"/>
        <v/>
      </c>
      <c r="F198" s="164" t="str">
        <f t="shared" si="18"/>
        <v/>
      </c>
      <c r="G198" s="312">
        <f t="shared" si="12"/>
        <v>900</v>
      </c>
      <c r="H198" s="161"/>
      <c r="I198" s="161"/>
      <c r="J198" s="162" t="str">
        <f t="shared" si="19"/>
        <v/>
      </c>
      <c r="K198" s="162" t="str">
        <f t="shared" si="20"/>
        <v/>
      </c>
    </row>
    <row r="199" spans="1:12" ht="14">
      <c r="A199" s="17"/>
      <c r="B199" s="91" t="s">
        <v>196</v>
      </c>
      <c r="C199" s="33"/>
      <c r="D199" s="262"/>
      <c r="E199" s="163" t="str">
        <f t="shared" si="17"/>
        <v/>
      </c>
      <c r="F199" s="164" t="str">
        <f t="shared" si="18"/>
        <v/>
      </c>
      <c r="G199" s="312">
        <f t="shared" si="12"/>
        <v>901</v>
      </c>
      <c r="H199" s="161"/>
      <c r="I199" s="161"/>
      <c r="J199" s="162" t="str">
        <f t="shared" si="19"/>
        <v/>
      </c>
      <c r="K199" s="162" t="str">
        <f t="shared" si="20"/>
        <v/>
      </c>
    </row>
    <row r="200" spans="1:12" ht="14">
      <c r="A200" s="17"/>
      <c r="B200" s="90"/>
      <c r="C200" s="33"/>
      <c r="D200" s="262"/>
      <c r="E200" s="163" t="str">
        <f t="shared" si="17"/>
        <v/>
      </c>
      <c r="F200" s="164" t="str">
        <f t="shared" si="18"/>
        <v/>
      </c>
      <c r="G200" s="312">
        <f t="shared" si="12"/>
        <v>902</v>
      </c>
      <c r="H200" s="161"/>
      <c r="I200" s="161"/>
      <c r="J200" s="162" t="str">
        <f t="shared" si="19"/>
        <v/>
      </c>
      <c r="K200" s="162" t="str">
        <f t="shared" si="20"/>
        <v/>
      </c>
    </row>
    <row r="201" spans="1:12" ht="14">
      <c r="A201" s="17"/>
      <c r="B201" s="90" t="s">
        <v>42</v>
      </c>
      <c r="C201" s="33" t="s">
        <v>12</v>
      </c>
      <c r="D201" s="262">
        <v>1</v>
      </c>
      <c r="E201" s="163">
        <f t="shared" si="17"/>
        <v>0</v>
      </c>
      <c r="F201" s="164">
        <f t="shared" si="18"/>
        <v>0</v>
      </c>
      <c r="G201" s="312">
        <f t="shared" si="12"/>
        <v>903</v>
      </c>
      <c r="H201" s="161"/>
      <c r="I201" s="161"/>
      <c r="J201" s="162">
        <f t="shared" si="19"/>
        <v>0</v>
      </c>
      <c r="K201" s="162">
        <f t="shared" si="20"/>
        <v>0</v>
      </c>
    </row>
    <row r="202" spans="1:12" ht="14">
      <c r="A202" s="17"/>
      <c r="B202" s="90" t="s">
        <v>45</v>
      </c>
      <c r="C202" s="33" t="s">
        <v>12</v>
      </c>
      <c r="D202" s="262">
        <v>1</v>
      </c>
      <c r="E202" s="163">
        <f t="shared" si="17"/>
        <v>0</v>
      </c>
      <c r="F202" s="164">
        <f t="shared" si="18"/>
        <v>0</v>
      </c>
      <c r="G202" s="312">
        <f t="shared" si="12"/>
        <v>904</v>
      </c>
      <c r="H202" s="161"/>
      <c r="I202" s="161"/>
      <c r="J202" s="162">
        <f t="shared" si="19"/>
        <v>0</v>
      </c>
      <c r="K202" s="162">
        <f t="shared" si="20"/>
        <v>0</v>
      </c>
    </row>
    <row r="203" spans="1:12" s="34" customFormat="1" ht="25.5" customHeight="1">
      <c r="A203" s="105"/>
      <c r="B203" s="92" t="s">
        <v>22</v>
      </c>
      <c r="C203" s="56" t="s">
        <v>13</v>
      </c>
      <c r="D203" s="262">
        <v>12</v>
      </c>
      <c r="E203" s="163">
        <f t="shared" si="17"/>
        <v>0</v>
      </c>
      <c r="F203" s="164">
        <f t="shared" si="18"/>
        <v>0</v>
      </c>
      <c r="G203" s="312">
        <f t="shared" si="12"/>
        <v>905</v>
      </c>
      <c r="H203" s="161"/>
      <c r="I203" s="161"/>
      <c r="J203" s="162">
        <f t="shared" si="19"/>
        <v>0</v>
      </c>
      <c r="K203" s="162">
        <f t="shared" si="20"/>
        <v>0</v>
      </c>
    </row>
    <row r="204" spans="1:12" ht="14">
      <c r="A204" s="17"/>
      <c r="B204" s="90"/>
      <c r="C204" s="33"/>
      <c r="D204" s="262"/>
      <c r="E204" s="163" t="str">
        <f t="shared" si="17"/>
        <v/>
      </c>
      <c r="F204" s="164" t="str">
        <f t="shared" si="18"/>
        <v/>
      </c>
      <c r="G204" s="312">
        <f t="shared" si="12"/>
        <v>906</v>
      </c>
      <c r="H204" s="161"/>
      <c r="I204" s="161"/>
      <c r="J204" s="162" t="str">
        <f t="shared" si="19"/>
        <v/>
      </c>
      <c r="K204" s="162" t="str">
        <f t="shared" si="20"/>
        <v/>
      </c>
    </row>
    <row r="205" spans="1:12" ht="14">
      <c r="A205" s="17"/>
      <c r="B205" s="90" t="s">
        <v>198</v>
      </c>
      <c r="C205" s="33" t="s">
        <v>13</v>
      </c>
      <c r="D205" s="262">
        <v>1</v>
      </c>
      <c r="E205" s="163">
        <f t="shared" si="17"/>
        <v>0</v>
      </c>
      <c r="F205" s="164">
        <f t="shared" si="18"/>
        <v>0</v>
      </c>
      <c r="G205" s="312">
        <f t="shared" si="12"/>
        <v>907</v>
      </c>
      <c r="H205" s="161"/>
      <c r="I205" s="161"/>
      <c r="J205" s="162">
        <f t="shared" si="19"/>
        <v>0</v>
      </c>
      <c r="K205" s="162">
        <f t="shared" si="20"/>
        <v>0</v>
      </c>
    </row>
    <row r="206" spans="1:12" ht="14">
      <c r="A206" s="17"/>
      <c r="B206" s="90" t="s">
        <v>46</v>
      </c>
      <c r="C206" s="33" t="s">
        <v>13</v>
      </c>
      <c r="D206" s="262">
        <v>1</v>
      </c>
      <c r="E206" s="163">
        <f t="shared" si="17"/>
        <v>0</v>
      </c>
      <c r="F206" s="164">
        <f t="shared" si="18"/>
        <v>0</v>
      </c>
      <c r="G206" s="312">
        <f t="shared" si="12"/>
        <v>908</v>
      </c>
      <c r="H206" s="161"/>
      <c r="I206" s="161"/>
      <c r="J206" s="162">
        <f t="shared" si="19"/>
        <v>0</v>
      </c>
      <c r="K206" s="162">
        <f t="shared" si="20"/>
        <v>0</v>
      </c>
    </row>
    <row r="207" spans="1:12" ht="14">
      <c r="A207" s="17"/>
      <c r="B207" s="90" t="s">
        <v>135</v>
      </c>
      <c r="C207" s="33" t="s">
        <v>13</v>
      </c>
      <c r="D207" s="262">
        <v>3</v>
      </c>
      <c r="E207" s="163">
        <f t="shared" si="17"/>
        <v>0</v>
      </c>
      <c r="F207" s="164">
        <f t="shared" si="18"/>
        <v>0</v>
      </c>
      <c r="G207" s="312">
        <f t="shared" si="12"/>
        <v>909</v>
      </c>
      <c r="H207" s="161"/>
      <c r="I207" s="161"/>
      <c r="J207" s="162">
        <f t="shared" si="19"/>
        <v>0</v>
      </c>
      <c r="K207" s="162">
        <f t="shared" si="20"/>
        <v>0</v>
      </c>
    </row>
    <row r="208" spans="1:12" ht="14">
      <c r="A208" s="17"/>
      <c r="B208" s="90" t="s">
        <v>420</v>
      </c>
      <c r="C208" s="33" t="s">
        <v>12</v>
      </c>
      <c r="D208" s="262">
        <v>1</v>
      </c>
      <c r="E208" s="163">
        <f t="shared" si="17"/>
        <v>0</v>
      </c>
      <c r="F208" s="164">
        <f t="shared" si="18"/>
        <v>0</v>
      </c>
      <c r="G208" s="312">
        <f t="shared" si="12"/>
        <v>910</v>
      </c>
      <c r="H208" s="161"/>
      <c r="I208" s="161"/>
      <c r="J208" s="162">
        <f t="shared" si="19"/>
        <v>0</v>
      </c>
      <c r="K208" s="162">
        <f t="shared" si="20"/>
        <v>0</v>
      </c>
      <c r="L208" s="248" t="s">
        <v>528</v>
      </c>
    </row>
    <row r="209" spans="1:17" ht="14">
      <c r="A209" s="17"/>
      <c r="B209" s="90" t="s">
        <v>197</v>
      </c>
      <c r="C209" s="33" t="s">
        <v>12</v>
      </c>
      <c r="D209" s="262">
        <v>1</v>
      </c>
      <c r="E209" s="163">
        <f t="shared" si="17"/>
        <v>0</v>
      </c>
      <c r="F209" s="164">
        <f t="shared" si="18"/>
        <v>0</v>
      </c>
      <c r="G209" s="312">
        <f t="shared" si="12"/>
        <v>911</v>
      </c>
      <c r="H209" s="161"/>
      <c r="I209" s="161"/>
      <c r="J209" s="162">
        <f t="shared" si="19"/>
        <v>0</v>
      </c>
      <c r="K209" s="162">
        <f t="shared" si="20"/>
        <v>0</v>
      </c>
    </row>
    <row r="210" spans="1:17" ht="14">
      <c r="A210" s="17"/>
      <c r="B210" s="90"/>
      <c r="C210" s="33"/>
      <c r="D210" s="262"/>
      <c r="E210" s="163" t="str">
        <f t="shared" si="17"/>
        <v/>
      </c>
      <c r="F210" s="164" t="str">
        <f t="shared" si="18"/>
        <v/>
      </c>
      <c r="G210" s="312">
        <f t="shared" ref="G210:G273" si="21">G209+1</f>
        <v>912</v>
      </c>
      <c r="H210" s="161"/>
      <c r="I210" s="161"/>
      <c r="J210" s="162" t="str">
        <f t="shared" si="19"/>
        <v/>
      </c>
      <c r="K210" s="162" t="str">
        <f t="shared" si="20"/>
        <v/>
      </c>
    </row>
    <row r="211" spans="1:17" ht="14">
      <c r="A211" s="17"/>
      <c r="B211" s="90" t="s">
        <v>47</v>
      </c>
      <c r="C211" s="33" t="s">
        <v>13</v>
      </c>
      <c r="D211" s="262">
        <f>10+(QTE!D278+QTE!D279+QTE!V278+QTE!V279)*2+(QTE!F279+QTE!X278+QTE!X279)*3</f>
        <v>45</v>
      </c>
      <c r="E211" s="163">
        <f t="shared" si="17"/>
        <v>0</v>
      </c>
      <c r="F211" s="164">
        <f t="shared" si="18"/>
        <v>0</v>
      </c>
      <c r="G211" s="312">
        <f t="shared" si="21"/>
        <v>913</v>
      </c>
      <c r="H211" s="161"/>
      <c r="I211" s="161"/>
      <c r="J211" s="162">
        <f t="shared" si="19"/>
        <v>0</v>
      </c>
      <c r="K211" s="162">
        <f t="shared" si="20"/>
        <v>0</v>
      </c>
    </row>
    <row r="212" spans="1:17" ht="14">
      <c r="A212" s="17"/>
      <c r="B212" s="90"/>
      <c r="C212" s="33"/>
      <c r="D212" s="262"/>
      <c r="E212" s="163" t="str">
        <f t="shared" si="17"/>
        <v/>
      </c>
      <c r="F212" s="164" t="str">
        <f t="shared" si="18"/>
        <v/>
      </c>
      <c r="G212" s="312">
        <f t="shared" si="21"/>
        <v>914</v>
      </c>
      <c r="H212" s="161"/>
      <c r="I212" s="161"/>
      <c r="J212" s="162" t="str">
        <f t="shared" si="19"/>
        <v/>
      </c>
      <c r="K212" s="162" t="str">
        <f t="shared" si="20"/>
        <v/>
      </c>
    </row>
    <row r="213" spans="1:17" ht="14">
      <c r="A213" s="17"/>
      <c r="B213" s="90" t="s">
        <v>23</v>
      </c>
      <c r="C213" s="33" t="s">
        <v>12</v>
      </c>
      <c r="D213" s="262">
        <v>1</v>
      </c>
      <c r="E213" s="163">
        <f t="shared" si="17"/>
        <v>0</v>
      </c>
      <c r="F213" s="164">
        <f t="shared" si="18"/>
        <v>0</v>
      </c>
      <c r="G213" s="312">
        <f t="shared" si="21"/>
        <v>915</v>
      </c>
      <c r="H213" s="161"/>
      <c r="I213" s="161"/>
      <c r="J213" s="162">
        <f t="shared" si="19"/>
        <v>0</v>
      </c>
      <c r="K213" s="162">
        <f t="shared" si="20"/>
        <v>0</v>
      </c>
    </row>
    <row r="214" spans="1:17" ht="14">
      <c r="A214" s="17"/>
      <c r="B214" s="90" t="s">
        <v>24</v>
      </c>
      <c r="C214" s="33" t="s">
        <v>12</v>
      </c>
      <c r="D214" s="262">
        <v>1</v>
      </c>
      <c r="E214" s="163">
        <f t="shared" si="17"/>
        <v>0</v>
      </c>
      <c r="F214" s="164">
        <f t="shared" si="18"/>
        <v>0</v>
      </c>
      <c r="G214" s="312">
        <f t="shared" si="21"/>
        <v>916</v>
      </c>
      <c r="H214" s="161"/>
      <c r="I214" s="161"/>
      <c r="J214" s="162">
        <f t="shared" si="19"/>
        <v>0</v>
      </c>
      <c r="K214" s="162">
        <f t="shared" si="20"/>
        <v>0</v>
      </c>
    </row>
    <row r="215" spans="1:17" ht="14">
      <c r="A215" s="19"/>
      <c r="B215" s="26"/>
      <c r="C215" s="33"/>
      <c r="D215" s="262"/>
      <c r="E215" s="163" t="str">
        <f t="shared" si="17"/>
        <v/>
      </c>
      <c r="F215" s="164" t="str">
        <f t="shared" si="18"/>
        <v/>
      </c>
      <c r="G215" s="312">
        <f t="shared" si="21"/>
        <v>917</v>
      </c>
      <c r="H215" s="161"/>
      <c r="I215" s="161"/>
      <c r="J215" s="162" t="str">
        <f t="shared" si="19"/>
        <v/>
      </c>
      <c r="K215" s="162" t="str">
        <f t="shared" si="20"/>
        <v/>
      </c>
    </row>
    <row r="216" spans="1:17" s="5" customFormat="1" ht="14">
      <c r="A216" s="19"/>
      <c r="B216" s="83" t="s">
        <v>421</v>
      </c>
      <c r="C216" s="33"/>
      <c r="D216" s="262"/>
      <c r="E216" s="163" t="str">
        <f t="shared" si="17"/>
        <v/>
      </c>
      <c r="F216" s="164" t="str">
        <f t="shared" si="18"/>
        <v/>
      </c>
      <c r="G216" s="312">
        <f t="shared" si="21"/>
        <v>918</v>
      </c>
      <c r="H216" s="161"/>
      <c r="I216" s="161"/>
      <c r="J216" s="162" t="str">
        <f t="shared" si="19"/>
        <v/>
      </c>
      <c r="K216" s="162" t="str">
        <f t="shared" si="20"/>
        <v/>
      </c>
      <c r="Q216" s="36"/>
    </row>
    <row r="217" spans="1:17" s="5" customFormat="1" ht="14">
      <c r="A217" s="19"/>
      <c r="B217" s="83"/>
      <c r="C217" s="33"/>
      <c r="D217" s="262"/>
      <c r="E217" s="163" t="str">
        <f t="shared" si="17"/>
        <v/>
      </c>
      <c r="F217" s="164" t="str">
        <f t="shared" si="18"/>
        <v/>
      </c>
      <c r="G217" s="312">
        <f t="shared" si="21"/>
        <v>919</v>
      </c>
      <c r="H217" s="161"/>
      <c r="I217" s="161"/>
      <c r="J217" s="162" t="str">
        <f t="shared" si="19"/>
        <v/>
      </c>
      <c r="K217" s="162" t="str">
        <f t="shared" si="20"/>
        <v/>
      </c>
      <c r="Q217" s="36"/>
    </row>
    <row r="218" spans="1:17" ht="14">
      <c r="A218" s="19" t="s">
        <v>422</v>
      </c>
      <c r="B218" s="23" t="s">
        <v>69</v>
      </c>
      <c r="C218" s="57"/>
      <c r="D218" s="262"/>
      <c r="E218" s="163" t="str">
        <f t="shared" si="17"/>
        <v/>
      </c>
      <c r="F218" s="164" t="str">
        <f t="shared" si="18"/>
        <v/>
      </c>
      <c r="G218" s="312">
        <f t="shared" si="21"/>
        <v>920</v>
      </c>
      <c r="H218" s="161"/>
      <c r="I218" s="161"/>
      <c r="J218" s="162" t="str">
        <f t="shared" si="19"/>
        <v/>
      </c>
      <c r="K218" s="162" t="str">
        <f t="shared" si="20"/>
        <v/>
      </c>
    </row>
    <row r="219" spans="1:17" ht="14">
      <c r="A219" s="19"/>
      <c r="B219" s="88"/>
      <c r="C219" s="57"/>
      <c r="D219" s="262"/>
      <c r="E219" s="163" t="str">
        <f t="shared" si="17"/>
        <v/>
      </c>
      <c r="F219" s="164" t="str">
        <f t="shared" si="18"/>
        <v/>
      </c>
      <c r="G219" s="312">
        <f t="shared" si="21"/>
        <v>921</v>
      </c>
      <c r="H219" s="161"/>
      <c r="I219" s="161"/>
      <c r="J219" s="162" t="str">
        <f t="shared" si="19"/>
        <v/>
      </c>
      <c r="K219" s="162" t="str">
        <f t="shared" si="20"/>
        <v/>
      </c>
    </row>
    <row r="220" spans="1:17" ht="14">
      <c r="A220" s="19"/>
      <c r="B220" s="88" t="s">
        <v>199</v>
      </c>
      <c r="C220" s="57" t="s">
        <v>13</v>
      </c>
      <c r="D220" s="262"/>
      <c r="E220" s="163" t="str">
        <f t="shared" si="17"/>
        <v/>
      </c>
      <c r="F220" s="164" t="str">
        <f t="shared" si="18"/>
        <v/>
      </c>
      <c r="G220" s="312">
        <f t="shared" si="21"/>
        <v>922</v>
      </c>
      <c r="H220" s="161"/>
      <c r="I220" s="161"/>
      <c r="J220" s="162" t="str">
        <f t="shared" si="19"/>
        <v/>
      </c>
      <c r="K220" s="162" t="str">
        <f t="shared" si="20"/>
        <v/>
      </c>
    </row>
    <row r="221" spans="1:17" ht="14">
      <c r="A221" s="19"/>
      <c r="B221" s="88" t="s">
        <v>53</v>
      </c>
      <c r="C221" s="57" t="s">
        <v>13</v>
      </c>
      <c r="D221" s="262"/>
      <c r="E221" s="163" t="str">
        <f t="shared" si="17"/>
        <v/>
      </c>
      <c r="F221" s="164" t="str">
        <f t="shared" si="18"/>
        <v/>
      </c>
      <c r="G221" s="312">
        <f t="shared" si="21"/>
        <v>923</v>
      </c>
      <c r="H221" s="161"/>
      <c r="I221" s="161"/>
      <c r="J221" s="162" t="str">
        <f t="shared" si="19"/>
        <v/>
      </c>
      <c r="K221" s="162" t="str">
        <f t="shared" si="20"/>
        <v/>
      </c>
    </row>
    <row r="222" spans="1:17" ht="14">
      <c r="A222" s="19"/>
      <c r="B222" s="88" t="s">
        <v>200</v>
      </c>
      <c r="C222" s="57" t="s">
        <v>13</v>
      </c>
      <c r="D222" s="262"/>
      <c r="E222" s="163" t="str">
        <f t="shared" si="17"/>
        <v/>
      </c>
      <c r="F222" s="164" t="str">
        <f t="shared" si="18"/>
        <v/>
      </c>
      <c r="G222" s="312">
        <f t="shared" si="21"/>
        <v>924</v>
      </c>
      <c r="H222" s="161"/>
      <c r="I222" s="161"/>
      <c r="J222" s="162" t="str">
        <f t="shared" si="19"/>
        <v/>
      </c>
      <c r="K222" s="162" t="str">
        <f t="shared" si="20"/>
        <v/>
      </c>
    </row>
    <row r="223" spans="1:17" ht="14">
      <c r="A223" s="19"/>
      <c r="B223" s="88" t="s">
        <v>459</v>
      </c>
      <c r="C223" s="57" t="s">
        <v>13</v>
      </c>
      <c r="D223" s="262">
        <f>QTE!J196</f>
        <v>18</v>
      </c>
      <c r="E223" s="163">
        <f t="shared" si="17"/>
        <v>0</v>
      </c>
      <c r="F223" s="164">
        <f t="shared" si="18"/>
        <v>0</v>
      </c>
      <c r="G223" s="312">
        <f t="shared" si="21"/>
        <v>925</v>
      </c>
      <c r="H223" s="161"/>
      <c r="I223" s="161"/>
      <c r="J223" s="162">
        <f t="shared" si="19"/>
        <v>0</v>
      </c>
      <c r="K223" s="162">
        <f t="shared" si="20"/>
        <v>0</v>
      </c>
    </row>
    <row r="224" spans="1:17" ht="14">
      <c r="A224" s="19"/>
      <c r="B224" s="88"/>
      <c r="C224" s="57"/>
      <c r="D224" s="262"/>
      <c r="E224" s="163" t="str">
        <f t="shared" si="17"/>
        <v/>
      </c>
      <c r="F224" s="164" t="str">
        <f t="shared" si="18"/>
        <v/>
      </c>
      <c r="G224" s="312">
        <f t="shared" si="21"/>
        <v>926</v>
      </c>
      <c r="H224" s="161"/>
      <c r="I224" s="161"/>
      <c r="J224" s="162" t="str">
        <f t="shared" si="19"/>
        <v/>
      </c>
      <c r="K224" s="162" t="str">
        <f t="shared" si="20"/>
        <v/>
      </c>
    </row>
    <row r="225" spans="1:17" ht="12.75" customHeight="1">
      <c r="A225" s="19"/>
      <c r="B225" s="88" t="s">
        <v>98</v>
      </c>
      <c r="C225" s="57" t="s">
        <v>13</v>
      </c>
      <c r="D225" s="262"/>
      <c r="E225" s="163" t="str">
        <f t="shared" si="17"/>
        <v/>
      </c>
      <c r="F225" s="164" t="str">
        <f t="shared" si="18"/>
        <v/>
      </c>
      <c r="G225" s="312">
        <f t="shared" si="21"/>
        <v>927</v>
      </c>
      <c r="H225" s="161"/>
      <c r="I225" s="161"/>
      <c r="J225" s="162" t="str">
        <f t="shared" si="19"/>
        <v/>
      </c>
      <c r="K225" s="162" t="str">
        <f t="shared" si="20"/>
        <v/>
      </c>
    </row>
    <row r="226" spans="1:17" ht="12.75" customHeight="1">
      <c r="A226" s="19"/>
      <c r="B226" s="88" t="s">
        <v>201</v>
      </c>
      <c r="C226" s="57" t="s">
        <v>13</v>
      </c>
      <c r="D226" s="262"/>
      <c r="E226" s="163" t="str">
        <f t="shared" si="17"/>
        <v/>
      </c>
      <c r="F226" s="164" t="str">
        <f t="shared" si="18"/>
        <v/>
      </c>
      <c r="G226" s="312">
        <f t="shared" si="21"/>
        <v>928</v>
      </c>
      <c r="H226" s="161"/>
      <c r="I226" s="161"/>
      <c r="J226" s="162" t="str">
        <f t="shared" si="19"/>
        <v/>
      </c>
      <c r="K226" s="162" t="str">
        <f t="shared" si="20"/>
        <v/>
      </c>
    </row>
    <row r="227" spans="1:17" ht="14">
      <c r="A227" s="19"/>
      <c r="B227" s="88" t="s">
        <v>203</v>
      </c>
      <c r="C227" s="57" t="s">
        <v>13</v>
      </c>
      <c r="D227" s="262">
        <v>9</v>
      </c>
      <c r="E227" s="163">
        <f t="shared" si="17"/>
        <v>0</v>
      </c>
      <c r="F227" s="164">
        <f t="shared" si="18"/>
        <v>0</v>
      </c>
      <c r="G227" s="312">
        <f t="shared" si="21"/>
        <v>929</v>
      </c>
      <c r="H227" s="161"/>
      <c r="I227" s="161"/>
      <c r="J227" s="162">
        <f t="shared" si="19"/>
        <v>0</v>
      </c>
      <c r="K227" s="162">
        <f t="shared" si="20"/>
        <v>0</v>
      </c>
    </row>
    <row r="228" spans="1:17" ht="14">
      <c r="A228" s="19"/>
      <c r="B228" s="88" t="s">
        <v>202</v>
      </c>
      <c r="C228" s="57" t="s">
        <v>13</v>
      </c>
      <c r="D228" s="262"/>
      <c r="E228" s="163" t="str">
        <f t="shared" si="17"/>
        <v/>
      </c>
      <c r="F228" s="164" t="str">
        <f t="shared" si="18"/>
        <v/>
      </c>
      <c r="G228" s="312">
        <f t="shared" si="21"/>
        <v>930</v>
      </c>
      <c r="H228" s="161"/>
      <c r="I228" s="161"/>
      <c r="J228" s="162" t="str">
        <f t="shared" si="19"/>
        <v/>
      </c>
      <c r="K228" s="162" t="str">
        <f t="shared" si="20"/>
        <v/>
      </c>
    </row>
    <row r="229" spans="1:17" ht="14">
      <c r="A229" s="19"/>
      <c r="B229" s="88"/>
      <c r="C229" s="57" t="s">
        <v>13</v>
      </c>
      <c r="D229" s="262"/>
      <c r="E229" s="163" t="str">
        <f t="shared" si="17"/>
        <v/>
      </c>
      <c r="F229" s="164" t="str">
        <f t="shared" si="18"/>
        <v/>
      </c>
      <c r="G229" s="312">
        <f t="shared" si="21"/>
        <v>931</v>
      </c>
      <c r="H229" s="161"/>
      <c r="I229" s="161"/>
      <c r="J229" s="162" t="str">
        <f t="shared" si="19"/>
        <v/>
      </c>
      <c r="K229" s="162" t="str">
        <f t="shared" si="20"/>
        <v/>
      </c>
    </row>
    <row r="230" spans="1:17" ht="14">
      <c r="A230" s="19"/>
      <c r="B230" s="88" t="s">
        <v>204</v>
      </c>
      <c r="C230" s="57" t="s">
        <v>12</v>
      </c>
      <c r="D230" s="262">
        <v>1</v>
      </c>
      <c r="E230" s="163">
        <f t="shared" si="17"/>
        <v>0</v>
      </c>
      <c r="F230" s="164">
        <f t="shared" si="18"/>
        <v>0</v>
      </c>
      <c r="G230" s="312">
        <f t="shared" si="21"/>
        <v>932</v>
      </c>
      <c r="H230" s="161"/>
      <c r="I230" s="161"/>
      <c r="J230" s="162">
        <f t="shared" si="19"/>
        <v>0</v>
      </c>
      <c r="K230" s="162">
        <f t="shared" si="20"/>
        <v>0</v>
      </c>
    </row>
    <row r="231" spans="1:17" ht="14">
      <c r="A231" s="19"/>
      <c r="B231" s="88" t="s">
        <v>64</v>
      </c>
      <c r="C231" s="57" t="s">
        <v>12</v>
      </c>
      <c r="D231" s="262"/>
      <c r="E231" s="163" t="str">
        <f t="shared" si="17"/>
        <v/>
      </c>
      <c r="F231" s="164" t="str">
        <f t="shared" si="18"/>
        <v/>
      </c>
      <c r="G231" s="312">
        <f t="shared" si="21"/>
        <v>933</v>
      </c>
      <c r="H231" s="161"/>
      <c r="I231" s="161"/>
      <c r="J231" s="162" t="str">
        <f t="shared" si="19"/>
        <v/>
      </c>
      <c r="K231" s="162" t="str">
        <f t="shared" si="20"/>
        <v/>
      </c>
    </row>
    <row r="232" spans="1:17" ht="14">
      <c r="A232" s="19"/>
      <c r="B232" s="88"/>
      <c r="C232" s="57"/>
      <c r="D232" s="262"/>
      <c r="E232" s="163" t="str">
        <f t="shared" si="17"/>
        <v/>
      </c>
      <c r="F232" s="164" t="str">
        <f t="shared" si="18"/>
        <v/>
      </c>
      <c r="G232" s="312">
        <f t="shared" si="21"/>
        <v>934</v>
      </c>
      <c r="H232" s="161"/>
      <c r="I232" s="161"/>
      <c r="J232" s="162" t="str">
        <f t="shared" si="19"/>
        <v/>
      </c>
      <c r="K232" s="162" t="str">
        <f t="shared" si="20"/>
        <v/>
      </c>
    </row>
    <row r="233" spans="1:17" ht="14">
      <c r="A233" s="19"/>
      <c r="B233" s="88" t="s">
        <v>205</v>
      </c>
      <c r="C233" s="57" t="s">
        <v>13</v>
      </c>
      <c r="D233" s="262"/>
      <c r="E233" s="163" t="str">
        <f t="shared" si="17"/>
        <v/>
      </c>
      <c r="F233" s="164" t="str">
        <f t="shared" si="18"/>
        <v/>
      </c>
      <c r="G233" s="312">
        <f t="shared" si="21"/>
        <v>935</v>
      </c>
      <c r="H233" s="161"/>
      <c r="I233" s="161"/>
      <c r="J233" s="162" t="str">
        <f t="shared" si="19"/>
        <v/>
      </c>
      <c r="K233" s="162" t="str">
        <f t="shared" si="20"/>
        <v/>
      </c>
    </row>
    <row r="234" spans="1:17" ht="14">
      <c r="A234" s="19"/>
      <c r="B234" s="88" t="s">
        <v>206</v>
      </c>
      <c r="C234" s="57" t="s">
        <v>13</v>
      </c>
      <c r="D234" s="262"/>
      <c r="E234" s="163" t="str">
        <f t="shared" si="17"/>
        <v/>
      </c>
      <c r="F234" s="164" t="str">
        <f t="shared" si="18"/>
        <v/>
      </c>
      <c r="G234" s="312">
        <f t="shared" si="21"/>
        <v>936</v>
      </c>
      <c r="H234" s="161"/>
      <c r="I234" s="161"/>
      <c r="J234" s="162" t="str">
        <f t="shared" si="19"/>
        <v/>
      </c>
      <c r="K234" s="162" t="str">
        <f t="shared" si="20"/>
        <v/>
      </c>
    </row>
    <row r="235" spans="1:17" ht="14">
      <c r="A235" s="19"/>
      <c r="B235" s="88" t="s">
        <v>207</v>
      </c>
      <c r="C235" s="57" t="s">
        <v>13</v>
      </c>
      <c r="D235" s="262"/>
      <c r="E235" s="163" t="str">
        <f t="shared" si="17"/>
        <v/>
      </c>
      <c r="F235" s="164" t="str">
        <f t="shared" si="18"/>
        <v/>
      </c>
      <c r="G235" s="312">
        <f t="shared" si="21"/>
        <v>937</v>
      </c>
      <c r="H235" s="161"/>
      <c r="I235" s="161"/>
      <c r="J235" s="162" t="str">
        <f t="shared" si="19"/>
        <v/>
      </c>
      <c r="K235" s="162" t="str">
        <f t="shared" si="20"/>
        <v/>
      </c>
    </row>
    <row r="236" spans="1:17" ht="14">
      <c r="A236" s="19"/>
      <c r="B236" s="88" t="s">
        <v>208</v>
      </c>
      <c r="C236" s="57" t="s">
        <v>13</v>
      </c>
      <c r="D236" s="262"/>
      <c r="E236" s="163" t="str">
        <f t="shared" si="17"/>
        <v/>
      </c>
      <c r="F236" s="164" t="str">
        <f t="shared" si="18"/>
        <v/>
      </c>
      <c r="G236" s="312">
        <f t="shared" si="21"/>
        <v>938</v>
      </c>
      <c r="H236" s="161"/>
      <c r="I236" s="161"/>
      <c r="J236" s="162" t="str">
        <f t="shared" si="19"/>
        <v/>
      </c>
      <c r="K236" s="162" t="str">
        <f t="shared" si="20"/>
        <v/>
      </c>
    </row>
    <row r="237" spans="1:17" ht="14">
      <c r="A237" s="19"/>
      <c r="B237" s="88" t="s">
        <v>209</v>
      </c>
      <c r="C237" s="57" t="s">
        <v>13</v>
      </c>
      <c r="D237" s="262"/>
      <c r="E237" s="163" t="str">
        <f t="shared" si="17"/>
        <v/>
      </c>
      <c r="F237" s="164" t="str">
        <f t="shared" si="18"/>
        <v/>
      </c>
      <c r="G237" s="312">
        <f t="shared" si="21"/>
        <v>939</v>
      </c>
      <c r="H237" s="161"/>
      <c r="I237" s="161"/>
      <c r="J237" s="162" t="str">
        <f t="shared" si="19"/>
        <v/>
      </c>
      <c r="K237" s="162" t="str">
        <f t="shared" si="20"/>
        <v/>
      </c>
    </row>
    <row r="238" spans="1:17" ht="14">
      <c r="A238" s="19"/>
      <c r="B238" s="26"/>
      <c r="C238" s="33"/>
      <c r="D238" s="262"/>
      <c r="E238" s="163" t="str">
        <f t="shared" si="17"/>
        <v/>
      </c>
      <c r="F238" s="164" t="str">
        <f t="shared" si="18"/>
        <v/>
      </c>
      <c r="G238" s="312">
        <f t="shared" si="21"/>
        <v>940</v>
      </c>
      <c r="H238" s="161"/>
      <c r="I238" s="161"/>
      <c r="J238" s="162" t="str">
        <f t="shared" si="19"/>
        <v/>
      </c>
      <c r="K238" s="162" t="str">
        <f t="shared" si="20"/>
        <v/>
      </c>
    </row>
    <row r="239" spans="1:17" s="5" customFormat="1" ht="14">
      <c r="A239" s="19"/>
      <c r="B239" s="83" t="s">
        <v>423</v>
      </c>
      <c r="C239" s="33"/>
      <c r="D239" s="262"/>
      <c r="E239" s="163" t="str">
        <f t="shared" si="17"/>
        <v/>
      </c>
      <c r="F239" s="164" t="str">
        <f t="shared" si="18"/>
        <v/>
      </c>
      <c r="G239" s="312">
        <f t="shared" si="21"/>
        <v>941</v>
      </c>
      <c r="H239" s="161"/>
      <c r="I239" s="161"/>
      <c r="J239" s="162" t="str">
        <f t="shared" si="19"/>
        <v/>
      </c>
      <c r="K239" s="162" t="str">
        <f t="shared" si="20"/>
        <v/>
      </c>
      <c r="Q239" s="36"/>
    </row>
    <row r="240" spans="1:17" ht="14">
      <c r="A240" s="19"/>
      <c r="B240" s="86"/>
      <c r="C240" s="33"/>
      <c r="D240" s="262"/>
      <c r="E240" s="163" t="str">
        <f t="shared" si="17"/>
        <v/>
      </c>
      <c r="F240" s="164" t="str">
        <f t="shared" si="18"/>
        <v/>
      </c>
      <c r="G240" s="312">
        <f t="shared" si="21"/>
        <v>942</v>
      </c>
      <c r="H240" s="161"/>
      <c r="I240" s="161"/>
      <c r="J240" s="162" t="str">
        <f t="shared" si="19"/>
        <v/>
      </c>
      <c r="K240" s="162" t="str">
        <f t="shared" si="20"/>
        <v/>
      </c>
    </row>
    <row r="241" spans="1:17" ht="14">
      <c r="A241" s="19" t="s">
        <v>424</v>
      </c>
      <c r="B241" s="87" t="s">
        <v>35</v>
      </c>
      <c r="C241" s="57"/>
      <c r="D241" s="262"/>
      <c r="E241" s="163" t="str">
        <f t="shared" si="17"/>
        <v/>
      </c>
      <c r="F241" s="164" t="str">
        <f t="shared" si="18"/>
        <v/>
      </c>
      <c r="G241" s="312">
        <f t="shared" si="21"/>
        <v>943</v>
      </c>
      <c r="H241" s="161"/>
      <c r="I241" s="161"/>
      <c r="J241" s="162" t="str">
        <f t="shared" si="19"/>
        <v/>
      </c>
      <c r="K241" s="162" t="str">
        <f t="shared" si="20"/>
        <v/>
      </c>
    </row>
    <row r="242" spans="1:17" ht="14">
      <c r="A242" s="19"/>
      <c r="B242" s="86"/>
      <c r="C242" s="57"/>
      <c r="D242" s="262"/>
      <c r="E242" s="163" t="str">
        <f t="shared" si="17"/>
        <v/>
      </c>
      <c r="F242" s="164" t="str">
        <f t="shared" si="18"/>
        <v/>
      </c>
      <c r="G242" s="312">
        <f t="shared" si="21"/>
        <v>944</v>
      </c>
      <c r="H242" s="161"/>
      <c r="I242" s="161"/>
      <c r="J242" s="162" t="str">
        <f t="shared" si="19"/>
        <v/>
      </c>
      <c r="K242" s="162" t="str">
        <f t="shared" si="20"/>
        <v/>
      </c>
    </row>
    <row r="243" spans="1:17" ht="14">
      <c r="A243" s="19"/>
      <c r="B243" s="86" t="s">
        <v>100</v>
      </c>
      <c r="C243" s="57" t="s">
        <v>13</v>
      </c>
      <c r="D243" s="264">
        <f>QTE!J49</f>
        <v>16</v>
      </c>
      <c r="E243" s="163">
        <f t="shared" si="17"/>
        <v>0</v>
      </c>
      <c r="F243" s="164">
        <f t="shared" si="18"/>
        <v>0</v>
      </c>
      <c r="G243" s="312">
        <f t="shared" si="21"/>
        <v>945</v>
      </c>
      <c r="H243" s="161"/>
      <c r="I243" s="161"/>
      <c r="J243" s="162">
        <f t="shared" si="19"/>
        <v>0</v>
      </c>
      <c r="K243" s="162">
        <f t="shared" si="20"/>
        <v>0</v>
      </c>
    </row>
    <row r="244" spans="1:17" ht="14">
      <c r="A244" s="19"/>
      <c r="B244" s="86" t="s">
        <v>99</v>
      </c>
      <c r="C244" s="57" t="s">
        <v>13</v>
      </c>
      <c r="D244" s="262"/>
      <c r="E244" s="163" t="str">
        <f t="shared" si="17"/>
        <v/>
      </c>
      <c r="F244" s="164" t="str">
        <f t="shared" si="18"/>
        <v/>
      </c>
      <c r="G244" s="312">
        <f t="shared" si="21"/>
        <v>946</v>
      </c>
      <c r="H244" s="161"/>
      <c r="I244" s="161"/>
      <c r="J244" s="162" t="str">
        <f t="shared" si="19"/>
        <v/>
      </c>
      <c r="K244" s="162" t="str">
        <f t="shared" si="20"/>
        <v/>
      </c>
    </row>
    <row r="245" spans="1:17" ht="14">
      <c r="A245" s="19"/>
      <c r="B245" s="86" t="s">
        <v>70</v>
      </c>
      <c r="C245" s="57" t="s">
        <v>13</v>
      </c>
      <c r="D245" s="262">
        <f>3+2+1</f>
        <v>6</v>
      </c>
      <c r="E245" s="163">
        <f t="shared" si="17"/>
        <v>0</v>
      </c>
      <c r="F245" s="164">
        <f t="shared" si="18"/>
        <v>0</v>
      </c>
      <c r="G245" s="312">
        <f t="shared" si="21"/>
        <v>947</v>
      </c>
      <c r="H245" s="161"/>
      <c r="I245" s="161"/>
      <c r="J245" s="162">
        <f t="shared" si="19"/>
        <v>0</v>
      </c>
      <c r="K245" s="162">
        <f t="shared" si="20"/>
        <v>0</v>
      </c>
    </row>
    <row r="246" spans="1:17" ht="14">
      <c r="A246" s="19"/>
      <c r="B246" s="86" t="s">
        <v>71</v>
      </c>
      <c r="C246" s="57" t="s">
        <v>13</v>
      </c>
      <c r="D246" s="262">
        <v>3</v>
      </c>
      <c r="E246" s="163">
        <f t="shared" si="17"/>
        <v>0</v>
      </c>
      <c r="F246" s="164">
        <f t="shared" si="18"/>
        <v>0</v>
      </c>
      <c r="G246" s="312">
        <f t="shared" si="21"/>
        <v>948</v>
      </c>
      <c r="H246" s="161"/>
      <c r="I246" s="161"/>
      <c r="J246" s="162">
        <f t="shared" si="19"/>
        <v>0</v>
      </c>
      <c r="K246" s="162">
        <f t="shared" si="20"/>
        <v>0</v>
      </c>
    </row>
    <row r="247" spans="1:17" ht="14">
      <c r="A247" s="19"/>
      <c r="B247" s="86" t="s">
        <v>210</v>
      </c>
      <c r="C247" s="57" t="s">
        <v>13</v>
      </c>
      <c r="D247" s="262"/>
      <c r="E247" s="163" t="str">
        <f t="shared" si="17"/>
        <v/>
      </c>
      <c r="F247" s="164" t="str">
        <f t="shared" si="18"/>
        <v/>
      </c>
      <c r="G247" s="312">
        <f t="shared" si="21"/>
        <v>949</v>
      </c>
      <c r="H247" s="161"/>
      <c r="I247" s="161"/>
      <c r="J247" s="162" t="str">
        <f t="shared" si="19"/>
        <v/>
      </c>
      <c r="K247" s="162" t="str">
        <f t="shared" si="20"/>
        <v/>
      </c>
    </row>
    <row r="248" spans="1:17" ht="14">
      <c r="A248" s="19"/>
      <c r="B248" s="86"/>
      <c r="C248" s="57"/>
      <c r="D248" s="262"/>
      <c r="E248" s="163" t="str">
        <f t="shared" si="17"/>
        <v/>
      </c>
      <c r="F248" s="164" t="str">
        <f t="shared" si="18"/>
        <v/>
      </c>
      <c r="G248" s="312">
        <f t="shared" si="21"/>
        <v>950</v>
      </c>
      <c r="H248" s="161"/>
      <c r="I248" s="161"/>
      <c r="J248" s="162" t="str">
        <f t="shared" si="19"/>
        <v/>
      </c>
      <c r="K248" s="162" t="str">
        <f t="shared" si="20"/>
        <v/>
      </c>
    </row>
    <row r="249" spans="1:17" ht="14">
      <c r="A249" s="19"/>
      <c r="B249" s="86" t="s">
        <v>17</v>
      </c>
      <c r="C249" s="57" t="s">
        <v>12</v>
      </c>
      <c r="D249" s="262">
        <f>SUM(D243:D247)*8</f>
        <v>200</v>
      </c>
      <c r="E249" s="163">
        <f t="shared" ref="E249:E279" si="22">IF(D249="","",(((J249*$K$2)+(K249*$I$2*$I$3))*$K$3)/D249)</f>
        <v>0</v>
      </c>
      <c r="F249" s="164">
        <f t="shared" ref="F249:F279" si="23">IF(D249="","",D249*E249)</f>
        <v>0</v>
      </c>
      <c r="G249" s="312">
        <f t="shared" si="21"/>
        <v>951</v>
      </c>
      <c r="H249" s="161"/>
      <c r="I249" s="161"/>
      <c r="J249" s="162">
        <f t="shared" ref="J249:J279" si="24">IF(D249="","",H249*D249)</f>
        <v>0</v>
      </c>
      <c r="K249" s="162">
        <f t="shared" ref="K249:K279" si="25">IF(D249="","",D249*I249)</f>
        <v>0</v>
      </c>
    </row>
    <row r="250" spans="1:17" ht="14">
      <c r="A250" s="19"/>
      <c r="B250" s="86" t="s">
        <v>18</v>
      </c>
      <c r="C250" s="57" t="s">
        <v>12</v>
      </c>
      <c r="D250" s="262"/>
      <c r="E250" s="163" t="str">
        <f t="shared" si="22"/>
        <v/>
      </c>
      <c r="F250" s="164" t="str">
        <f t="shared" si="23"/>
        <v/>
      </c>
      <c r="G250" s="312">
        <f t="shared" si="21"/>
        <v>952</v>
      </c>
      <c r="H250" s="161"/>
      <c r="I250" s="161"/>
      <c r="J250" s="162" t="str">
        <f t="shared" si="24"/>
        <v/>
      </c>
      <c r="K250" s="162" t="str">
        <f t="shared" si="25"/>
        <v/>
      </c>
    </row>
    <row r="251" spans="1:17" ht="14">
      <c r="A251" s="19"/>
      <c r="B251" s="86" t="s">
        <v>19</v>
      </c>
      <c r="C251" s="57" t="s">
        <v>12</v>
      </c>
      <c r="D251" s="262">
        <v>1</v>
      </c>
      <c r="E251" s="163">
        <f t="shared" si="22"/>
        <v>0</v>
      </c>
      <c r="F251" s="164">
        <f t="shared" si="23"/>
        <v>0</v>
      </c>
      <c r="G251" s="312">
        <f t="shared" si="21"/>
        <v>953</v>
      </c>
      <c r="H251" s="161"/>
      <c r="I251" s="161"/>
      <c r="J251" s="162">
        <f t="shared" si="24"/>
        <v>0</v>
      </c>
      <c r="K251" s="162">
        <f t="shared" si="25"/>
        <v>0</v>
      </c>
    </row>
    <row r="252" spans="1:17" ht="14">
      <c r="A252" s="19"/>
      <c r="B252" s="26"/>
      <c r="C252" s="33"/>
      <c r="D252" s="262"/>
      <c r="E252" s="163" t="str">
        <f t="shared" si="22"/>
        <v/>
      </c>
      <c r="F252" s="164" t="str">
        <f t="shared" si="23"/>
        <v/>
      </c>
      <c r="G252" s="312">
        <f t="shared" si="21"/>
        <v>954</v>
      </c>
      <c r="H252" s="161"/>
      <c r="I252" s="161"/>
      <c r="J252" s="162" t="str">
        <f t="shared" si="24"/>
        <v/>
      </c>
      <c r="K252" s="162" t="str">
        <f t="shared" si="25"/>
        <v/>
      </c>
    </row>
    <row r="253" spans="1:17" s="5" customFormat="1" ht="14">
      <c r="A253" s="19"/>
      <c r="B253" s="83" t="s">
        <v>425</v>
      </c>
      <c r="C253" s="33"/>
      <c r="D253" s="262"/>
      <c r="E253" s="163" t="str">
        <f t="shared" si="22"/>
        <v/>
      </c>
      <c r="F253" s="164" t="str">
        <f t="shared" si="23"/>
        <v/>
      </c>
      <c r="G253" s="312">
        <f t="shared" si="21"/>
        <v>955</v>
      </c>
      <c r="H253" s="161"/>
      <c r="I253" s="161"/>
      <c r="J253" s="162" t="str">
        <f t="shared" si="24"/>
        <v/>
      </c>
      <c r="K253" s="162" t="str">
        <f t="shared" si="25"/>
        <v/>
      </c>
      <c r="Q253" s="36"/>
    </row>
    <row r="254" spans="1:17" ht="14">
      <c r="A254" s="19"/>
      <c r="B254" s="26"/>
      <c r="C254" s="33"/>
      <c r="D254" s="262"/>
      <c r="E254" s="163" t="str">
        <f t="shared" si="22"/>
        <v/>
      </c>
      <c r="F254" s="164" t="str">
        <f t="shared" si="23"/>
        <v/>
      </c>
      <c r="G254" s="312">
        <f t="shared" si="21"/>
        <v>956</v>
      </c>
      <c r="H254" s="161"/>
      <c r="I254" s="161"/>
      <c r="J254" s="162" t="str">
        <f t="shared" si="24"/>
        <v/>
      </c>
      <c r="K254" s="162" t="str">
        <f t="shared" si="25"/>
        <v/>
      </c>
    </row>
    <row r="255" spans="1:17" ht="14">
      <c r="A255" s="19" t="s">
        <v>427</v>
      </c>
      <c r="B255" s="87" t="s">
        <v>426</v>
      </c>
      <c r="C255" s="33"/>
      <c r="D255" s="262"/>
      <c r="E255" s="163" t="str">
        <f t="shared" si="22"/>
        <v/>
      </c>
      <c r="F255" s="164" t="str">
        <f t="shared" si="23"/>
        <v/>
      </c>
      <c r="G255" s="312">
        <f t="shared" si="21"/>
        <v>957</v>
      </c>
      <c r="H255" s="161"/>
      <c r="I255" s="161"/>
      <c r="J255" s="162" t="str">
        <f t="shared" si="24"/>
        <v/>
      </c>
      <c r="K255" s="162" t="str">
        <f t="shared" si="25"/>
        <v/>
      </c>
      <c r="N255" s="248" t="s">
        <v>557</v>
      </c>
    </row>
    <row r="256" spans="1:17" ht="14">
      <c r="A256" s="19"/>
      <c r="B256" s="26"/>
      <c r="C256" s="33"/>
      <c r="D256" s="262"/>
      <c r="E256" s="163" t="str">
        <f t="shared" si="22"/>
        <v/>
      </c>
      <c r="F256" s="164" t="str">
        <f t="shared" si="23"/>
        <v/>
      </c>
      <c r="G256" s="312">
        <f t="shared" si="21"/>
        <v>958</v>
      </c>
      <c r="H256" s="161"/>
      <c r="I256" s="161"/>
      <c r="J256" s="162" t="str">
        <f t="shared" si="24"/>
        <v/>
      </c>
      <c r="K256" s="162" t="str">
        <f t="shared" si="25"/>
        <v/>
      </c>
    </row>
    <row r="257" spans="1:17" ht="14">
      <c r="A257" s="19"/>
      <c r="B257" s="90" t="s">
        <v>433</v>
      </c>
      <c r="C257" s="57" t="s">
        <v>12</v>
      </c>
      <c r="D257" s="262">
        <f>QTE!J212</f>
        <v>3</v>
      </c>
      <c r="E257" s="163">
        <f t="shared" si="22"/>
        <v>0</v>
      </c>
      <c r="F257" s="164">
        <f t="shared" si="23"/>
        <v>0</v>
      </c>
      <c r="G257" s="312">
        <f t="shared" si="21"/>
        <v>959</v>
      </c>
      <c r="H257" s="161"/>
      <c r="I257" s="161"/>
      <c r="J257" s="162">
        <f t="shared" si="24"/>
        <v>0</v>
      </c>
      <c r="K257" s="162">
        <f t="shared" si="25"/>
        <v>0</v>
      </c>
    </row>
    <row r="258" spans="1:17" ht="14">
      <c r="A258" s="19"/>
      <c r="B258" s="90" t="s">
        <v>434</v>
      </c>
      <c r="C258" s="57" t="s">
        <v>13</v>
      </c>
      <c r="D258" s="262">
        <f>QTE!J211</f>
        <v>3</v>
      </c>
      <c r="E258" s="163">
        <f t="shared" si="22"/>
        <v>0</v>
      </c>
      <c r="F258" s="164">
        <f t="shared" si="23"/>
        <v>0</v>
      </c>
      <c r="G258" s="312">
        <f t="shared" si="21"/>
        <v>960</v>
      </c>
      <c r="H258" s="161"/>
      <c r="I258" s="161"/>
      <c r="J258" s="162">
        <f t="shared" si="24"/>
        <v>0</v>
      </c>
      <c r="K258" s="162">
        <f t="shared" si="25"/>
        <v>0</v>
      </c>
    </row>
    <row r="259" spans="1:17" ht="14">
      <c r="A259" s="19"/>
      <c r="B259" s="90" t="s">
        <v>435</v>
      </c>
      <c r="C259" s="57" t="s">
        <v>13</v>
      </c>
      <c r="D259" s="262">
        <f>QTE!J209</f>
        <v>3</v>
      </c>
      <c r="E259" s="163">
        <f t="shared" si="22"/>
        <v>0</v>
      </c>
      <c r="F259" s="164">
        <f t="shared" si="23"/>
        <v>0</v>
      </c>
      <c r="G259" s="312">
        <f t="shared" si="21"/>
        <v>961</v>
      </c>
      <c r="H259" s="161"/>
      <c r="I259" s="161"/>
      <c r="J259" s="162">
        <f t="shared" si="24"/>
        <v>0</v>
      </c>
      <c r="K259" s="162">
        <f t="shared" si="25"/>
        <v>0</v>
      </c>
    </row>
    <row r="260" spans="1:17" ht="14">
      <c r="A260" s="19"/>
      <c r="B260" s="90" t="s">
        <v>441</v>
      </c>
      <c r="C260" s="57" t="s">
        <v>13</v>
      </c>
      <c r="D260" s="262">
        <f>QTE!J210</f>
        <v>5</v>
      </c>
      <c r="E260" s="163">
        <f t="shared" si="22"/>
        <v>0</v>
      </c>
      <c r="F260" s="164">
        <f t="shared" si="23"/>
        <v>0</v>
      </c>
      <c r="G260" s="312">
        <f t="shared" si="21"/>
        <v>962</v>
      </c>
      <c r="H260" s="161"/>
      <c r="I260" s="161"/>
      <c r="J260" s="162">
        <f t="shared" si="24"/>
        <v>0</v>
      </c>
      <c r="K260" s="162">
        <f t="shared" si="25"/>
        <v>0</v>
      </c>
    </row>
    <row r="261" spans="1:17" ht="14">
      <c r="A261" s="19"/>
      <c r="B261" s="90" t="s">
        <v>436</v>
      </c>
      <c r="C261" s="57" t="s">
        <v>12</v>
      </c>
      <c r="D261" s="262">
        <v>1</v>
      </c>
      <c r="E261" s="163">
        <f t="shared" si="22"/>
        <v>0</v>
      </c>
      <c r="F261" s="164">
        <f t="shared" si="23"/>
        <v>0</v>
      </c>
      <c r="G261" s="312">
        <f t="shared" si="21"/>
        <v>963</v>
      </c>
      <c r="H261" s="161"/>
      <c r="I261" s="161"/>
      <c r="J261" s="162">
        <f t="shared" si="24"/>
        <v>0</v>
      </c>
      <c r="K261" s="162">
        <f t="shared" si="25"/>
        <v>0</v>
      </c>
    </row>
    <row r="262" spans="1:17" ht="14">
      <c r="A262" s="19"/>
      <c r="B262" s="90" t="s">
        <v>437</v>
      </c>
      <c r="C262" s="57" t="s">
        <v>12</v>
      </c>
      <c r="D262" s="262">
        <v>1</v>
      </c>
      <c r="E262" s="163">
        <f t="shared" si="22"/>
        <v>0</v>
      </c>
      <c r="F262" s="164">
        <f t="shared" si="23"/>
        <v>0</v>
      </c>
      <c r="G262" s="312">
        <f t="shared" si="21"/>
        <v>964</v>
      </c>
      <c r="H262" s="161"/>
      <c r="I262" s="161"/>
      <c r="J262" s="162">
        <f t="shared" si="24"/>
        <v>0</v>
      </c>
      <c r="K262" s="162">
        <f t="shared" si="25"/>
        <v>0</v>
      </c>
    </row>
    <row r="263" spans="1:17" ht="14">
      <c r="A263" s="19"/>
      <c r="B263" s="90" t="s">
        <v>438</v>
      </c>
      <c r="C263" s="57" t="s">
        <v>12</v>
      </c>
      <c r="D263" s="262">
        <v>1</v>
      </c>
      <c r="E263" s="163">
        <f t="shared" si="22"/>
        <v>0</v>
      </c>
      <c r="F263" s="164">
        <f t="shared" si="23"/>
        <v>0</v>
      </c>
      <c r="G263" s="312">
        <f t="shared" si="21"/>
        <v>965</v>
      </c>
      <c r="H263" s="161"/>
      <c r="I263" s="161"/>
      <c r="J263" s="162">
        <f t="shared" si="24"/>
        <v>0</v>
      </c>
      <c r="K263" s="162">
        <f t="shared" si="25"/>
        <v>0</v>
      </c>
    </row>
    <row r="264" spans="1:17" ht="14">
      <c r="A264" s="19"/>
      <c r="B264" s="90" t="s">
        <v>439</v>
      </c>
      <c r="C264" s="57" t="s">
        <v>12</v>
      </c>
      <c r="D264" s="264">
        <v>1</v>
      </c>
      <c r="E264" s="163">
        <f t="shared" si="22"/>
        <v>0</v>
      </c>
      <c r="F264" s="164">
        <f t="shared" si="23"/>
        <v>0</v>
      </c>
      <c r="G264" s="312">
        <f t="shared" si="21"/>
        <v>966</v>
      </c>
      <c r="H264" s="161"/>
      <c r="I264" s="161"/>
      <c r="J264" s="162">
        <f t="shared" si="24"/>
        <v>0</v>
      </c>
      <c r="K264" s="162">
        <f t="shared" si="25"/>
        <v>0</v>
      </c>
    </row>
    <row r="265" spans="1:17" ht="14">
      <c r="A265" s="19"/>
      <c r="B265" s="90" t="s">
        <v>440</v>
      </c>
      <c r="C265" s="57" t="s">
        <v>12</v>
      </c>
      <c r="D265" s="262">
        <v>1</v>
      </c>
      <c r="E265" s="163">
        <f t="shared" si="22"/>
        <v>0</v>
      </c>
      <c r="F265" s="164">
        <f t="shared" si="23"/>
        <v>0</v>
      </c>
      <c r="G265" s="312">
        <f t="shared" si="21"/>
        <v>967</v>
      </c>
      <c r="H265" s="161"/>
      <c r="I265" s="161"/>
      <c r="J265" s="162">
        <f t="shared" si="24"/>
        <v>0</v>
      </c>
      <c r="K265" s="162">
        <f t="shared" si="25"/>
        <v>0</v>
      </c>
    </row>
    <row r="266" spans="1:17" ht="14">
      <c r="A266" s="19"/>
      <c r="B266" s="140"/>
      <c r="C266" s="33"/>
      <c r="D266" s="262"/>
      <c r="E266" s="163" t="str">
        <f t="shared" si="22"/>
        <v/>
      </c>
      <c r="F266" s="164" t="str">
        <f t="shared" si="23"/>
        <v/>
      </c>
      <c r="G266" s="312">
        <f t="shared" si="21"/>
        <v>968</v>
      </c>
      <c r="H266" s="161"/>
      <c r="I266" s="161"/>
      <c r="J266" s="162" t="str">
        <f t="shared" si="24"/>
        <v/>
      </c>
      <c r="K266" s="162" t="str">
        <f t="shared" si="25"/>
        <v/>
      </c>
    </row>
    <row r="267" spans="1:17" ht="14">
      <c r="A267" s="19"/>
      <c r="B267" s="83" t="s">
        <v>428</v>
      </c>
      <c r="C267" s="33"/>
      <c r="D267" s="262"/>
      <c r="E267" s="163" t="str">
        <f t="shared" si="22"/>
        <v/>
      </c>
      <c r="F267" s="164" t="str">
        <f t="shared" si="23"/>
        <v/>
      </c>
      <c r="G267" s="312">
        <f t="shared" si="21"/>
        <v>969</v>
      </c>
      <c r="H267" s="161"/>
      <c r="I267" s="161"/>
      <c r="J267" s="162" t="str">
        <f t="shared" si="24"/>
        <v/>
      </c>
      <c r="K267" s="162" t="str">
        <f t="shared" si="25"/>
        <v/>
      </c>
    </row>
    <row r="268" spans="1:17" ht="14">
      <c r="A268" s="19"/>
      <c r="B268" s="26"/>
      <c r="C268" s="33"/>
      <c r="D268" s="262"/>
      <c r="E268" s="163" t="str">
        <f t="shared" si="22"/>
        <v/>
      </c>
      <c r="F268" s="164" t="str">
        <f t="shared" si="23"/>
        <v/>
      </c>
      <c r="G268" s="312">
        <f t="shared" si="21"/>
        <v>970</v>
      </c>
      <c r="H268" s="161"/>
      <c r="I268" s="161"/>
      <c r="J268" s="162" t="str">
        <f t="shared" si="24"/>
        <v/>
      </c>
      <c r="K268" s="162" t="str">
        <f t="shared" si="25"/>
        <v/>
      </c>
    </row>
    <row r="269" spans="1:17" s="5" customFormat="1" ht="14">
      <c r="A269" s="19" t="s">
        <v>429</v>
      </c>
      <c r="B269" s="87" t="s">
        <v>211</v>
      </c>
      <c r="C269" s="33"/>
      <c r="D269" s="262"/>
      <c r="E269" s="163" t="str">
        <f t="shared" si="22"/>
        <v/>
      </c>
      <c r="F269" s="164" t="str">
        <f t="shared" si="23"/>
        <v/>
      </c>
      <c r="G269" s="312">
        <f t="shared" si="21"/>
        <v>971</v>
      </c>
      <c r="H269" s="161"/>
      <c r="I269" s="161"/>
      <c r="J269" s="162" t="str">
        <f t="shared" si="24"/>
        <v/>
      </c>
      <c r="K269" s="162" t="str">
        <f t="shared" si="25"/>
        <v/>
      </c>
      <c r="Q269" s="36"/>
    </row>
    <row r="270" spans="1:17" ht="14">
      <c r="A270" s="17"/>
      <c r="B270" s="90"/>
      <c r="C270" s="33"/>
      <c r="D270" s="262"/>
      <c r="E270" s="163" t="str">
        <f t="shared" si="22"/>
        <v/>
      </c>
      <c r="F270" s="164" t="str">
        <f t="shared" si="23"/>
        <v/>
      </c>
      <c r="G270" s="312">
        <f t="shared" si="21"/>
        <v>972</v>
      </c>
      <c r="H270" s="161"/>
      <c r="I270" s="161"/>
      <c r="J270" s="162" t="str">
        <f t="shared" si="24"/>
        <v/>
      </c>
      <c r="K270" s="162" t="str">
        <f t="shared" si="25"/>
        <v/>
      </c>
    </row>
    <row r="271" spans="1:17" ht="14">
      <c r="A271" s="17"/>
      <c r="B271" s="90" t="s">
        <v>65</v>
      </c>
      <c r="C271" s="33" t="s">
        <v>12</v>
      </c>
      <c r="D271" s="262"/>
      <c r="E271" s="163" t="str">
        <f t="shared" si="22"/>
        <v/>
      </c>
      <c r="F271" s="164" t="str">
        <f t="shared" si="23"/>
        <v/>
      </c>
      <c r="G271" s="312">
        <f t="shared" si="21"/>
        <v>973</v>
      </c>
      <c r="H271" s="161"/>
      <c r="I271" s="161"/>
      <c r="J271" s="162" t="str">
        <f t="shared" si="24"/>
        <v/>
      </c>
      <c r="K271" s="162" t="str">
        <f t="shared" si="25"/>
        <v/>
      </c>
    </row>
    <row r="272" spans="1:17" ht="14">
      <c r="A272" s="17"/>
      <c r="B272" s="90"/>
      <c r="C272" s="33"/>
      <c r="D272" s="262"/>
      <c r="E272" s="163" t="str">
        <f t="shared" si="22"/>
        <v/>
      </c>
      <c r="F272" s="164" t="str">
        <f t="shared" si="23"/>
        <v/>
      </c>
      <c r="G272" s="312">
        <f t="shared" si="21"/>
        <v>974</v>
      </c>
      <c r="H272" s="161"/>
      <c r="I272" s="161"/>
      <c r="J272" s="162" t="str">
        <f t="shared" si="24"/>
        <v/>
      </c>
      <c r="K272" s="162" t="str">
        <f t="shared" si="25"/>
        <v/>
      </c>
    </row>
    <row r="273" spans="1:17" s="5" customFormat="1" ht="14">
      <c r="A273" s="19"/>
      <c r="B273" s="83" t="s">
        <v>430</v>
      </c>
      <c r="C273" s="33"/>
      <c r="D273" s="262"/>
      <c r="E273" s="163" t="str">
        <f t="shared" si="22"/>
        <v/>
      </c>
      <c r="F273" s="164" t="str">
        <f t="shared" si="23"/>
        <v/>
      </c>
      <c r="G273" s="312">
        <f t="shared" si="21"/>
        <v>975</v>
      </c>
      <c r="H273" s="161"/>
      <c r="I273" s="161"/>
      <c r="J273" s="162" t="str">
        <f t="shared" si="24"/>
        <v/>
      </c>
      <c r="K273" s="162" t="str">
        <f t="shared" si="25"/>
        <v/>
      </c>
      <c r="Q273" s="36"/>
    </row>
    <row r="274" spans="1:17" ht="14">
      <c r="A274" s="19"/>
      <c r="B274" s="86"/>
      <c r="C274" s="33"/>
      <c r="D274" s="262"/>
      <c r="E274" s="163" t="str">
        <f t="shared" si="22"/>
        <v/>
      </c>
      <c r="F274" s="164" t="str">
        <f t="shared" si="23"/>
        <v/>
      </c>
      <c r="G274" s="312">
        <f t="shared" ref="G274:G280" si="26">G273+1</f>
        <v>976</v>
      </c>
      <c r="H274" s="161"/>
      <c r="I274" s="161"/>
      <c r="J274" s="162" t="str">
        <f t="shared" si="24"/>
        <v/>
      </c>
      <c r="K274" s="162" t="str">
        <f t="shared" si="25"/>
        <v/>
      </c>
    </row>
    <row r="275" spans="1:17" ht="14">
      <c r="A275" s="19" t="s">
        <v>431</v>
      </c>
      <c r="B275" s="87" t="s">
        <v>58</v>
      </c>
      <c r="C275" s="33"/>
      <c r="D275" s="262"/>
      <c r="E275" s="163" t="str">
        <f t="shared" si="22"/>
        <v/>
      </c>
      <c r="F275" s="164" t="str">
        <f t="shared" si="23"/>
        <v/>
      </c>
      <c r="G275" s="312">
        <f t="shared" si="26"/>
        <v>977</v>
      </c>
      <c r="H275" s="161"/>
      <c r="I275" s="161"/>
      <c r="J275" s="162" t="str">
        <f t="shared" si="24"/>
        <v/>
      </c>
      <c r="K275" s="162" t="str">
        <f t="shared" si="25"/>
        <v/>
      </c>
    </row>
    <row r="276" spans="1:17" ht="14">
      <c r="A276" s="19"/>
      <c r="B276" s="86"/>
      <c r="C276" s="33"/>
      <c r="D276" s="262"/>
      <c r="E276" s="163" t="str">
        <f t="shared" si="22"/>
        <v/>
      </c>
      <c r="F276" s="164" t="str">
        <f t="shared" si="23"/>
        <v/>
      </c>
      <c r="G276" s="312">
        <f t="shared" si="26"/>
        <v>978</v>
      </c>
      <c r="H276" s="161"/>
      <c r="I276" s="161"/>
      <c r="J276" s="162" t="str">
        <f t="shared" si="24"/>
        <v/>
      </c>
      <c r="K276" s="162" t="str">
        <f t="shared" si="25"/>
        <v/>
      </c>
    </row>
    <row r="277" spans="1:17" ht="14">
      <c r="A277" s="17"/>
      <c r="B277" s="90" t="s">
        <v>48</v>
      </c>
      <c r="C277" s="33" t="s">
        <v>12</v>
      </c>
      <c r="D277" s="262">
        <v>1</v>
      </c>
      <c r="E277" s="163">
        <f t="shared" si="22"/>
        <v>0</v>
      </c>
      <c r="F277" s="164">
        <f t="shared" si="23"/>
        <v>0</v>
      </c>
      <c r="G277" s="312">
        <f t="shared" si="26"/>
        <v>979</v>
      </c>
      <c r="H277" s="161"/>
      <c r="I277" s="161"/>
      <c r="J277" s="162">
        <f t="shared" si="24"/>
        <v>0</v>
      </c>
      <c r="K277" s="162">
        <f t="shared" si="25"/>
        <v>0</v>
      </c>
    </row>
    <row r="278" spans="1:17" ht="14">
      <c r="A278" s="17"/>
      <c r="B278" s="90" t="s">
        <v>49</v>
      </c>
      <c r="C278" s="33" t="s">
        <v>12</v>
      </c>
      <c r="D278" s="262">
        <v>1</v>
      </c>
      <c r="E278" s="163">
        <f t="shared" si="22"/>
        <v>0</v>
      </c>
      <c r="F278" s="164">
        <f t="shared" si="23"/>
        <v>0</v>
      </c>
      <c r="G278" s="312">
        <f t="shared" si="26"/>
        <v>980</v>
      </c>
      <c r="H278" s="161"/>
      <c r="I278" s="161"/>
      <c r="J278" s="162">
        <f t="shared" si="24"/>
        <v>0</v>
      </c>
      <c r="K278" s="162">
        <f t="shared" si="25"/>
        <v>0</v>
      </c>
    </row>
    <row r="279" spans="1:17" ht="14.5" thickBot="1">
      <c r="A279" s="19"/>
      <c r="B279" s="26"/>
      <c r="C279" s="33"/>
      <c r="D279" s="262"/>
      <c r="E279" s="163" t="str">
        <f t="shared" si="22"/>
        <v/>
      </c>
      <c r="F279" s="164" t="str">
        <f t="shared" si="23"/>
        <v/>
      </c>
      <c r="G279" s="312">
        <f t="shared" si="26"/>
        <v>981</v>
      </c>
      <c r="H279" s="161"/>
      <c r="I279" s="161"/>
      <c r="J279" s="162" t="str">
        <f t="shared" si="24"/>
        <v/>
      </c>
      <c r="K279" s="162" t="str">
        <f t="shared" si="25"/>
        <v/>
      </c>
    </row>
    <row r="280" spans="1:17" s="5" customFormat="1" ht="14.5" thickBot="1">
      <c r="A280" s="106"/>
      <c r="B280" s="93" t="s">
        <v>432</v>
      </c>
      <c r="C280" s="67"/>
      <c r="D280" s="265"/>
      <c r="E280" s="68"/>
      <c r="F280" s="112"/>
      <c r="G280" s="312">
        <f t="shared" si="26"/>
        <v>982</v>
      </c>
      <c r="Q280" s="36"/>
    </row>
    <row r="281" spans="1:17" s="5" customFormat="1" ht="14.5" thickBot="1">
      <c r="A281" s="107"/>
      <c r="B281" s="94"/>
      <c r="C281" s="55"/>
      <c r="D281" s="266"/>
      <c r="E281" s="13"/>
      <c r="F281" s="58"/>
      <c r="G281" s="305"/>
      <c r="Q281" s="36"/>
    </row>
    <row r="282" spans="1:17" ht="24" customHeight="1" thickBot="1">
      <c r="A282" s="326" t="s">
        <v>130</v>
      </c>
      <c r="B282" s="326"/>
      <c r="C282" s="326"/>
      <c r="D282" s="326"/>
      <c r="E282" s="333"/>
      <c r="F282" s="112"/>
      <c r="G282" s="305"/>
    </row>
    <row r="283" spans="1:17" ht="13">
      <c r="A283" s="95"/>
      <c r="B283" s="95"/>
      <c r="C283" s="63"/>
      <c r="D283" s="258"/>
      <c r="E283" s="63"/>
      <c r="F283" s="58"/>
      <c r="G283" s="305"/>
    </row>
    <row r="284" spans="1:17" ht="14.25" customHeight="1">
      <c r="A284" s="326" t="s">
        <v>131</v>
      </c>
      <c r="B284" s="326"/>
      <c r="C284" s="326"/>
      <c r="D284" s="326"/>
      <c r="E284" s="326"/>
      <c r="F284" s="118"/>
      <c r="G284" s="311"/>
    </row>
    <row r="285" spans="1:17" ht="13">
      <c r="A285" s="108"/>
      <c r="B285" s="96"/>
      <c r="C285" s="12"/>
      <c r="D285" s="267"/>
      <c r="E285" s="13"/>
      <c r="F285" s="58"/>
      <c r="G285" s="305"/>
    </row>
    <row r="286" spans="1:17" ht="14.25" customHeight="1">
      <c r="A286" s="326" t="s">
        <v>212</v>
      </c>
      <c r="B286" s="326"/>
      <c r="C286" s="326"/>
      <c r="D286" s="326"/>
      <c r="E286" s="326"/>
      <c r="F286" s="118"/>
      <c r="G286" s="311"/>
    </row>
    <row r="287" spans="1:17">
      <c r="A287" s="31"/>
      <c r="B287" s="30"/>
      <c r="C287" s="7"/>
      <c r="D287" s="261"/>
      <c r="E287" s="51"/>
      <c r="F287" s="51"/>
      <c r="G287" s="307"/>
    </row>
    <row r="291" spans="1:11" ht="14">
      <c r="A291" s="19" t="s">
        <v>568</v>
      </c>
      <c r="B291" s="299" t="s">
        <v>567</v>
      </c>
      <c r="C291" s="57" t="s">
        <v>12</v>
      </c>
      <c r="D291" s="262">
        <v>1</v>
      </c>
      <c r="E291" s="289">
        <f t="shared" ref="E291" si="27">IF(D291="","",(((J291*$K$2)+(K291*$I$2*$I$3))*$K$3)/D291)</f>
        <v>0</v>
      </c>
      <c r="F291" s="164">
        <f t="shared" ref="F291" si="28">IF(D291="","",D291*E291)</f>
        <v>0</v>
      </c>
      <c r="G291" s="304"/>
      <c r="H291" s="161"/>
      <c r="I291" s="161"/>
      <c r="J291" s="162">
        <f t="shared" ref="J291" si="29">IF(D291="","",H291*D291)</f>
        <v>0</v>
      </c>
      <c r="K291" s="162">
        <f t="shared" ref="K291" si="30">IF(D291="","",D291*I291)</f>
        <v>0</v>
      </c>
    </row>
  </sheetData>
  <mergeCells count="9">
    <mergeCell ref="F14:F15"/>
    <mergeCell ref="A282:E282"/>
    <mergeCell ref="A284:E284"/>
    <mergeCell ref="A286:E286"/>
    <mergeCell ref="A14:A15"/>
    <mergeCell ref="B14:B15"/>
    <mergeCell ref="C14:C15"/>
    <mergeCell ref="D14:D15"/>
    <mergeCell ref="E14:E15"/>
  </mergeCells>
  <conditionalFormatting sqref="H4 J4:K4 I1:K1 H2:K3">
    <cfRule type="cellIs" dxfId="3"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4" manualBreakCount="4">
    <brk id="89" max="5" man="1"/>
    <brk id="124" max="16383" man="1"/>
    <brk id="166" max="5" man="1"/>
    <brk id="206"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5"/>
  <sheetViews>
    <sheetView showZeros="0" view="pageBreakPreview" zoomScaleNormal="100" zoomScaleSheetLayoutView="100" zoomScalePageLayoutView="130" workbookViewId="0">
      <pane ySplit="15" topLeftCell="A16" activePane="bottomLeft" state="frozen"/>
      <selection pane="bottomLeft" activeCell="D22" sqref="D22"/>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260" customWidth="1"/>
    <col min="5" max="5" width="9.453125" style="3" bestFit="1" customWidth="1"/>
    <col min="6" max="6" width="10.26953125" style="3" customWidth="1"/>
    <col min="7" max="7" width="10.26953125" customWidth="1"/>
    <col min="8" max="8" width="9.453125" style="1" bestFit="1" customWidth="1"/>
    <col min="9" max="9" width="9.54296875" style="1" customWidth="1"/>
    <col min="10" max="10" width="11.26953125" style="1" bestFit="1" customWidth="1"/>
    <col min="11" max="11" width="11.54296875" style="1" bestFit="1" customWidth="1"/>
    <col min="12" max="12" width="31.26953125" style="1" customWidth="1"/>
    <col min="13" max="13" width="18.7265625" style="1" customWidth="1"/>
    <col min="14" max="16384" width="11.453125" style="1"/>
  </cols>
  <sheetData>
    <row r="1" spans="1:12" ht="13">
      <c r="H1" s="142"/>
      <c r="I1" s="143"/>
      <c r="J1" s="144"/>
      <c r="K1" s="145"/>
    </row>
    <row r="2" spans="1:12" ht="13">
      <c r="H2" s="146" t="s">
        <v>470</v>
      </c>
      <c r="I2" s="147">
        <v>26</v>
      </c>
      <c r="J2" s="148" t="s">
        <v>471</v>
      </c>
      <c r="K2" s="147">
        <v>1.25</v>
      </c>
    </row>
    <row r="3" spans="1:12" ht="13">
      <c r="H3" s="146" t="s">
        <v>472</v>
      </c>
      <c r="I3" s="149">
        <v>1.3</v>
      </c>
      <c r="J3" s="150" t="s">
        <v>473</v>
      </c>
      <c r="K3" s="149">
        <v>1</v>
      </c>
    </row>
    <row r="4" spans="1:12" ht="14">
      <c r="H4" s="146"/>
      <c r="I4" s="151" t="s">
        <v>474</v>
      </c>
      <c r="J4" s="151"/>
      <c r="K4" s="151">
        <f>SUM(J14:J272)</f>
        <v>0</v>
      </c>
    </row>
    <row r="5" spans="1:12" ht="14">
      <c r="H5" s="151"/>
      <c r="I5" s="151" t="s">
        <v>475</v>
      </c>
      <c r="J5" s="151"/>
      <c r="K5" s="151">
        <f>SUM(K14:K272)</f>
        <v>0</v>
      </c>
    </row>
    <row r="6" spans="1:12" ht="14">
      <c r="H6" s="151"/>
      <c r="I6" s="151" t="s">
        <v>476</v>
      </c>
      <c r="J6" s="151"/>
      <c r="K6" s="151">
        <f>K4+K5*$I$2</f>
        <v>0</v>
      </c>
    </row>
    <row r="7" spans="1:12" ht="14">
      <c r="H7" s="151"/>
      <c r="I7" s="151" t="s">
        <v>477</v>
      </c>
      <c r="J7" s="151"/>
      <c r="K7" s="151" t="e">
        <f>#REF!</f>
        <v>#REF!</v>
      </c>
    </row>
    <row r="8" spans="1:12" ht="14">
      <c r="H8" s="151"/>
      <c r="I8" s="151"/>
      <c r="J8" s="151"/>
      <c r="K8" s="151"/>
    </row>
    <row r="9" spans="1:12">
      <c r="H9" s="142"/>
      <c r="I9" s="142"/>
      <c r="J9" s="142"/>
      <c r="K9" s="142"/>
    </row>
    <row r="10" spans="1:12" ht="13" thickBot="1">
      <c r="H10" s="142"/>
      <c r="I10" s="142"/>
      <c r="J10" s="142"/>
      <c r="K10" s="142"/>
    </row>
    <row r="11" spans="1:12" ht="15.5">
      <c r="A11" s="49" t="s">
        <v>127</v>
      </c>
      <c r="B11" s="50"/>
      <c r="C11" s="7"/>
      <c r="D11" s="261"/>
      <c r="E11" s="51"/>
      <c r="F11" s="51"/>
      <c r="H11" s="152"/>
      <c r="I11" s="152"/>
      <c r="J11" s="153"/>
      <c r="K11" s="154"/>
    </row>
    <row r="12" spans="1:12" ht="15.5">
      <c r="A12" s="77" t="s">
        <v>455</v>
      </c>
      <c r="B12" s="50"/>
      <c r="C12" s="7"/>
      <c r="D12" s="261"/>
      <c r="E12" s="51"/>
      <c r="F12" s="51"/>
      <c r="H12" s="155" t="s">
        <v>478</v>
      </c>
      <c r="I12" s="155" t="s">
        <v>479</v>
      </c>
      <c r="J12" s="156" t="s">
        <v>480</v>
      </c>
      <c r="K12" s="157" t="s">
        <v>481</v>
      </c>
    </row>
    <row r="13" spans="1:12" ht="16" thickBot="1">
      <c r="A13" s="49"/>
      <c r="B13" s="49"/>
      <c r="E13" s="4"/>
      <c r="F13" s="4"/>
      <c r="H13" s="158"/>
      <c r="I13" s="158"/>
      <c r="J13" s="159"/>
      <c r="K13" s="160"/>
    </row>
    <row r="14" spans="1:12" s="6" customFormat="1" ht="12.75" customHeight="1">
      <c r="A14" s="324" t="s">
        <v>104</v>
      </c>
      <c r="B14" s="322" t="s">
        <v>105</v>
      </c>
      <c r="C14" s="327" t="s">
        <v>0</v>
      </c>
      <c r="D14" s="335" t="s">
        <v>153</v>
      </c>
      <c r="E14" s="329" t="s">
        <v>128</v>
      </c>
      <c r="F14" s="320" t="s">
        <v>129</v>
      </c>
      <c r="G14"/>
      <c r="H14" s="161"/>
      <c r="I14" s="161"/>
      <c r="J14" s="162"/>
      <c r="K14" s="162"/>
    </row>
    <row r="15" spans="1:12" s="6" customFormat="1" ht="25.5" customHeight="1">
      <c r="A15" s="325"/>
      <c r="B15" s="323"/>
      <c r="C15" s="328"/>
      <c r="D15" s="336"/>
      <c r="E15" s="330"/>
      <c r="F15" s="321"/>
      <c r="G15" t="s">
        <v>569</v>
      </c>
      <c r="H15" s="161"/>
      <c r="I15" s="161"/>
      <c r="J15" s="162"/>
      <c r="K15" s="162"/>
      <c r="L15" s="269">
        <v>12</v>
      </c>
    </row>
    <row r="16" spans="1:12" ht="14">
      <c r="A16" s="17"/>
      <c r="B16" s="52" t="s">
        <v>2</v>
      </c>
      <c r="C16" s="18"/>
      <c r="D16" s="262"/>
      <c r="E16" s="18"/>
      <c r="F16" s="119"/>
      <c r="G16">
        <f>'BATIMENT SOHO-ELEC 1'!G280+1</f>
        <v>983</v>
      </c>
      <c r="H16" s="161"/>
      <c r="I16" s="161"/>
      <c r="J16" s="162"/>
      <c r="K16" s="162"/>
      <c r="L16" s="269" t="b">
        <f>VLOOKUP(G16,Compil[],L15,FALSE)</f>
        <v>0</v>
      </c>
    </row>
    <row r="17" spans="1:24" ht="14">
      <c r="A17" s="17"/>
      <c r="B17" s="52"/>
      <c r="C17" s="18"/>
      <c r="D17" s="262"/>
      <c r="E17" s="18"/>
      <c r="F17" s="119"/>
      <c r="G17">
        <f>G16+1</f>
        <v>984</v>
      </c>
      <c r="H17" s="161"/>
      <c r="I17" s="161"/>
      <c r="J17" s="162"/>
      <c r="K17" s="162"/>
    </row>
    <row r="18" spans="1:24" ht="14">
      <c r="A18" s="19"/>
      <c r="B18" s="139" t="s">
        <v>321</v>
      </c>
      <c r="C18" s="21"/>
      <c r="D18" s="263"/>
      <c r="E18" s="21"/>
      <c r="F18" s="115"/>
      <c r="G18">
        <f>G17+1</f>
        <v>985</v>
      </c>
      <c r="H18" s="161"/>
      <c r="I18" s="161"/>
      <c r="J18" s="162"/>
      <c r="K18" s="162"/>
      <c r="L18" s="269" t="b">
        <f>VLOOKUP(G18,Compil[],12,FALSE)</f>
        <v>0</v>
      </c>
    </row>
    <row r="19" spans="1:24" s="137" customFormat="1" ht="14">
      <c r="A19" s="19"/>
      <c r="B19" s="136"/>
      <c r="C19" s="21"/>
      <c r="D19" s="263"/>
      <c r="E19" s="21"/>
      <c r="F19" s="115"/>
      <c r="G19">
        <f t="shared" ref="G19:G82" si="0">G18+1</f>
        <v>986</v>
      </c>
      <c r="H19" s="161"/>
      <c r="I19" s="161"/>
      <c r="J19" s="162"/>
      <c r="K19" s="162"/>
      <c r="L19" s="269" t="b">
        <f>VLOOKUP(G19,Compil[],12,FALSE)</f>
        <v>1</v>
      </c>
    </row>
    <row r="20" spans="1:24" ht="14">
      <c r="A20" s="19">
        <v>3</v>
      </c>
      <c r="B20" s="23" t="s">
        <v>59</v>
      </c>
      <c r="C20" s="24"/>
      <c r="D20" s="263"/>
      <c r="E20" s="24"/>
      <c r="F20" s="116"/>
      <c r="G20">
        <f t="shared" si="0"/>
        <v>987</v>
      </c>
      <c r="H20" s="161"/>
      <c r="I20" s="161"/>
      <c r="J20" s="162"/>
      <c r="K20" s="162"/>
      <c r="L20" s="269" t="b">
        <f>VLOOKUP(G20,Compil[],12,FALSE)</f>
        <v>0</v>
      </c>
    </row>
    <row r="21" spans="1:24" ht="14">
      <c r="A21" s="19"/>
      <c r="B21" s="24"/>
      <c r="C21" s="24"/>
      <c r="D21" s="263"/>
      <c r="E21" s="24"/>
      <c r="F21" s="116"/>
      <c r="G21">
        <f t="shared" si="0"/>
        <v>988</v>
      </c>
      <c r="H21" s="161"/>
      <c r="I21" s="161"/>
      <c r="J21" s="162"/>
      <c r="K21" s="162"/>
      <c r="L21" s="269" t="b">
        <f>VLOOKUP(G21,Compil[],12,FALSE)</f>
        <v>1</v>
      </c>
    </row>
    <row r="22" spans="1:24" ht="14">
      <c r="A22" s="19" t="s">
        <v>370</v>
      </c>
      <c r="B22" s="37" t="s">
        <v>50</v>
      </c>
      <c r="C22" s="25"/>
      <c r="D22" s="262"/>
      <c r="E22" s="25"/>
      <c r="F22" s="117"/>
      <c r="G22">
        <f t="shared" si="0"/>
        <v>989</v>
      </c>
      <c r="H22" s="161"/>
      <c r="I22" s="161"/>
      <c r="J22" s="162"/>
      <c r="K22" s="162"/>
      <c r="L22" s="269" t="b">
        <f>VLOOKUP(G22,Compil[],12,FALSE)</f>
        <v>0</v>
      </c>
    </row>
    <row r="23" spans="1:24" ht="14">
      <c r="A23" s="19"/>
      <c r="B23" s="37"/>
      <c r="C23" s="25"/>
      <c r="D23" s="262"/>
      <c r="E23" s="25"/>
      <c r="F23" s="117"/>
      <c r="G23">
        <f t="shared" si="0"/>
        <v>990</v>
      </c>
      <c r="H23" s="161"/>
      <c r="I23" s="161"/>
      <c r="J23" s="162" t="str">
        <f t="shared" ref="J23" si="1">IF(B23="","",H23*B23)</f>
        <v/>
      </c>
      <c r="K23" s="162" t="str">
        <f t="shared" ref="K23" si="2">IF(B23="","",B23*I23)</f>
        <v/>
      </c>
      <c r="L23" s="269" t="b">
        <f>VLOOKUP(G23,Compil[],12,FALSE)</f>
        <v>1</v>
      </c>
    </row>
    <row r="24" spans="1:24" ht="14">
      <c r="A24" s="19"/>
      <c r="B24" s="114" t="s">
        <v>227</v>
      </c>
      <c r="C24" s="25" t="s">
        <v>13</v>
      </c>
      <c r="D24" s="264">
        <f>QTE!D278+QTE!D279+QTE!V278+QTE!V279</f>
        <v>13</v>
      </c>
      <c r="E24" s="163">
        <f>IF(D24="","",(((J24*$K$2)+(K24*$I$2*$I$3))*$K$3)/D24)</f>
        <v>0</v>
      </c>
      <c r="F24" s="164">
        <f>IF(D24="","",D24*E24)</f>
        <v>0</v>
      </c>
      <c r="G24">
        <f t="shared" si="0"/>
        <v>991</v>
      </c>
      <c r="H24" s="161"/>
      <c r="I24" s="161"/>
      <c r="J24" s="162">
        <f>IF(D24="","",H24*D24)</f>
        <v>0</v>
      </c>
      <c r="K24" s="162">
        <f>IF(D24="","",D24*I24)</f>
        <v>0</v>
      </c>
      <c r="L24" s="269" t="b">
        <f>VLOOKUP(G24,Compil[],12,FALSE)</f>
        <v>0</v>
      </c>
    </row>
    <row r="25" spans="1:24" s="34" customFormat="1" ht="14">
      <c r="A25" s="45"/>
      <c r="B25" s="114" t="s">
        <v>229</v>
      </c>
      <c r="C25" s="48" t="s">
        <v>13</v>
      </c>
      <c r="D25" s="264">
        <f>QTE!F279+QTE!X278+QTE!X279</f>
        <v>3</v>
      </c>
      <c r="E25" s="163">
        <f t="shared" ref="E25:E88" si="3">IF(D25="","",(((J25*$K$2)+(K25*$I$2*$I$3))*$K$3)/D25)</f>
        <v>0</v>
      </c>
      <c r="F25" s="164">
        <f t="shared" ref="F25:F88" si="4">IF(D25="","",D25*E25)</f>
        <v>0</v>
      </c>
      <c r="G25">
        <f t="shared" si="0"/>
        <v>992</v>
      </c>
      <c r="H25" s="161"/>
      <c r="I25" s="161"/>
      <c r="J25" s="162">
        <f t="shared" ref="J25:J88" si="5">IF(D25="","",H25*D25)</f>
        <v>0</v>
      </c>
      <c r="K25" s="162">
        <f t="shared" ref="K25:K88" si="6">IF(D25="","",D25*I25)</f>
        <v>0</v>
      </c>
      <c r="L25" s="269" t="b">
        <f>VLOOKUP(G25,Compil[],12,FALSE)</f>
        <v>0</v>
      </c>
    </row>
    <row r="26" spans="1:24" ht="14">
      <c r="A26" s="19"/>
      <c r="B26" s="26"/>
      <c r="C26" s="25"/>
      <c r="D26" s="264"/>
      <c r="E26" s="163" t="str">
        <f t="shared" si="3"/>
        <v/>
      </c>
      <c r="F26" s="164" t="str">
        <f t="shared" si="4"/>
        <v/>
      </c>
      <c r="G26">
        <f t="shared" si="0"/>
        <v>993</v>
      </c>
      <c r="H26" s="161"/>
      <c r="I26" s="161"/>
      <c r="J26" s="162" t="str">
        <f t="shared" si="5"/>
        <v/>
      </c>
      <c r="K26" s="162" t="str">
        <f t="shared" si="6"/>
        <v/>
      </c>
      <c r="L26" s="269" t="b">
        <f>VLOOKUP(G26,Compil[],12,FALSE)</f>
        <v>1</v>
      </c>
    </row>
    <row r="27" spans="1:24" s="5" customFormat="1" ht="14">
      <c r="A27" s="2"/>
      <c r="B27" s="35" t="s">
        <v>371</v>
      </c>
      <c r="C27" s="9"/>
      <c r="D27" s="264"/>
      <c r="E27" s="163" t="str">
        <f t="shared" si="3"/>
        <v/>
      </c>
      <c r="F27" s="164" t="str">
        <f t="shared" si="4"/>
        <v/>
      </c>
      <c r="G27">
        <f t="shared" si="0"/>
        <v>994</v>
      </c>
      <c r="H27" s="161"/>
      <c r="I27" s="161"/>
      <c r="J27" s="162" t="str">
        <f t="shared" si="5"/>
        <v/>
      </c>
      <c r="K27" s="162" t="str">
        <f t="shared" si="6"/>
        <v/>
      </c>
      <c r="L27" s="269" t="b">
        <f>VLOOKUP(G27,Compil[],12,FALSE)</f>
        <v>0</v>
      </c>
      <c r="X27" s="36"/>
    </row>
    <row r="28" spans="1:24" ht="14">
      <c r="A28" s="19"/>
      <c r="B28" s="26"/>
      <c r="C28" s="25"/>
      <c r="D28" s="264"/>
      <c r="E28" s="163" t="str">
        <f t="shared" si="3"/>
        <v/>
      </c>
      <c r="F28" s="164" t="str">
        <f t="shared" si="4"/>
        <v/>
      </c>
      <c r="G28">
        <f t="shared" si="0"/>
        <v>995</v>
      </c>
      <c r="H28" s="161"/>
      <c r="I28" s="161"/>
      <c r="J28" s="162" t="str">
        <f t="shared" si="5"/>
        <v/>
      </c>
      <c r="K28" s="162" t="str">
        <f t="shared" si="6"/>
        <v/>
      </c>
      <c r="L28" s="269" t="b">
        <f>VLOOKUP(G28,Compil[],12,FALSE)</f>
        <v>1</v>
      </c>
    </row>
    <row r="29" spans="1:24" s="5" customFormat="1" ht="14">
      <c r="A29" s="19" t="s">
        <v>369</v>
      </c>
      <c r="B29" s="37" t="s">
        <v>379</v>
      </c>
      <c r="C29" s="25"/>
      <c r="D29" s="264"/>
      <c r="E29" s="163" t="str">
        <f t="shared" si="3"/>
        <v/>
      </c>
      <c r="F29" s="164" t="str">
        <f t="shared" si="4"/>
        <v/>
      </c>
      <c r="G29">
        <f t="shared" si="0"/>
        <v>996</v>
      </c>
      <c r="H29" s="161"/>
      <c r="I29" s="161"/>
      <c r="J29" s="162" t="str">
        <f t="shared" si="5"/>
        <v/>
      </c>
      <c r="K29" s="162" t="str">
        <f t="shared" si="6"/>
        <v/>
      </c>
      <c r="L29" s="269" t="b">
        <f>VLOOKUP(G29,Compil[],12,FALSE)</f>
        <v>0</v>
      </c>
      <c r="X29" s="36"/>
    </row>
    <row r="30" spans="1:24" ht="14">
      <c r="A30" s="19"/>
      <c r="B30" s="26"/>
      <c r="C30" s="25"/>
      <c r="D30" s="264"/>
      <c r="E30" s="163" t="str">
        <f t="shared" si="3"/>
        <v/>
      </c>
      <c r="F30" s="164" t="str">
        <f t="shared" si="4"/>
        <v/>
      </c>
      <c r="G30">
        <f t="shared" si="0"/>
        <v>997</v>
      </c>
      <c r="H30" s="161"/>
      <c r="I30" s="161"/>
      <c r="J30" s="162" t="str">
        <f t="shared" si="5"/>
        <v/>
      </c>
      <c r="K30" s="162" t="str">
        <f t="shared" si="6"/>
        <v/>
      </c>
      <c r="L30" s="269" t="b">
        <f>VLOOKUP(G30,Compil[],12,FALSE)</f>
        <v>1</v>
      </c>
    </row>
    <row r="31" spans="1:24" s="5" customFormat="1" ht="14">
      <c r="A31" s="45"/>
      <c r="B31" s="114" t="s">
        <v>368</v>
      </c>
      <c r="C31" s="48" t="s">
        <v>13</v>
      </c>
      <c r="D31" s="264">
        <f>QTE!E278+QTE!E279+QTE!W278+QTE!W279</f>
        <v>14</v>
      </c>
      <c r="E31" s="163">
        <f t="shared" si="3"/>
        <v>0</v>
      </c>
      <c r="F31" s="164">
        <f t="shared" si="4"/>
        <v>0</v>
      </c>
      <c r="G31">
        <f t="shared" si="0"/>
        <v>998</v>
      </c>
      <c r="H31" s="161"/>
      <c r="I31" s="161"/>
      <c r="J31" s="162">
        <f t="shared" si="5"/>
        <v>0</v>
      </c>
      <c r="K31" s="162">
        <f t="shared" si="6"/>
        <v>0</v>
      </c>
      <c r="L31" s="269" t="b">
        <f>VLOOKUP(G31,Compil[],12,FALSE)</f>
        <v>0</v>
      </c>
      <c r="X31" s="36"/>
    </row>
    <row r="32" spans="1:24" ht="14">
      <c r="A32" s="19"/>
      <c r="B32" s="26"/>
      <c r="C32" s="25"/>
      <c r="D32" s="264"/>
      <c r="E32" s="163" t="str">
        <f t="shared" si="3"/>
        <v/>
      </c>
      <c r="F32" s="164" t="str">
        <f t="shared" si="4"/>
        <v/>
      </c>
      <c r="G32">
        <f t="shared" si="0"/>
        <v>999</v>
      </c>
      <c r="H32" s="161"/>
      <c r="I32" s="161"/>
      <c r="J32" s="162" t="str">
        <f t="shared" si="5"/>
        <v/>
      </c>
      <c r="K32" s="162" t="str">
        <f t="shared" si="6"/>
        <v/>
      </c>
      <c r="L32" s="269" t="b">
        <f>VLOOKUP(G32,Compil[],12,FALSE)</f>
        <v>1</v>
      </c>
    </row>
    <row r="33" spans="1:24" s="5" customFormat="1" ht="14">
      <c r="A33" s="2"/>
      <c r="B33" s="35" t="s">
        <v>372</v>
      </c>
      <c r="C33" s="9"/>
      <c r="D33" s="264"/>
      <c r="E33" s="163" t="str">
        <f t="shared" si="3"/>
        <v/>
      </c>
      <c r="F33" s="164" t="str">
        <f t="shared" si="4"/>
        <v/>
      </c>
      <c r="G33">
        <f t="shared" si="0"/>
        <v>1000</v>
      </c>
      <c r="H33" s="161"/>
      <c r="I33" s="161"/>
      <c r="J33" s="162" t="str">
        <f t="shared" si="5"/>
        <v/>
      </c>
      <c r="K33" s="162" t="str">
        <f t="shared" si="6"/>
        <v/>
      </c>
      <c r="L33" s="269" t="b">
        <f>VLOOKUP(G33,Compil[],12,FALSE)</f>
        <v>0</v>
      </c>
      <c r="X33" s="36"/>
    </row>
    <row r="34" spans="1:24" ht="14">
      <c r="A34" s="19"/>
      <c r="B34" s="26"/>
      <c r="C34" s="25"/>
      <c r="D34" s="264"/>
      <c r="E34" s="163" t="str">
        <f t="shared" si="3"/>
        <v/>
      </c>
      <c r="F34" s="164" t="str">
        <f t="shared" si="4"/>
        <v/>
      </c>
      <c r="G34">
        <f t="shared" si="0"/>
        <v>1001</v>
      </c>
      <c r="H34" s="161"/>
      <c r="I34" s="161"/>
      <c r="J34" s="162" t="str">
        <f t="shared" si="5"/>
        <v/>
      </c>
      <c r="K34" s="162" t="str">
        <f t="shared" si="6"/>
        <v/>
      </c>
      <c r="L34" s="269" t="b">
        <f>VLOOKUP(G34,Compil[],12,FALSE)</f>
        <v>1</v>
      </c>
    </row>
    <row r="35" spans="1:24" ht="14">
      <c r="A35" s="19" t="s">
        <v>373</v>
      </c>
      <c r="B35" s="37" t="s">
        <v>51</v>
      </c>
      <c r="C35" s="25"/>
      <c r="D35" s="264"/>
      <c r="E35" s="163" t="str">
        <f t="shared" si="3"/>
        <v/>
      </c>
      <c r="F35" s="164" t="str">
        <f t="shared" si="4"/>
        <v/>
      </c>
      <c r="G35">
        <f t="shared" si="0"/>
        <v>1002</v>
      </c>
      <c r="H35" s="161"/>
      <c r="I35" s="161"/>
      <c r="J35" s="162" t="str">
        <f t="shared" si="5"/>
        <v/>
      </c>
      <c r="K35" s="162" t="str">
        <f t="shared" si="6"/>
        <v/>
      </c>
      <c r="L35" s="269" t="b">
        <f>VLOOKUP(G35,Compil[],12,FALSE)</f>
        <v>0</v>
      </c>
    </row>
    <row r="36" spans="1:24" ht="14">
      <c r="A36" s="2"/>
      <c r="B36" s="40"/>
      <c r="C36" s="9"/>
      <c r="D36" s="264"/>
      <c r="E36" s="163" t="str">
        <f t="shared" si="3"/>
        <v/>
      </c>
      <c r="F36" s="164" t="str">
        <f t="shared" si="4"/>
        <v/>
      </c>
      <c r="G36">
        <f t="shared" si="0"/>
        <v>1003</v>
      </c>
      <c r="H36" s="161"/>
      <c r="I36" s="161"/>
      <c r="J36" s="162" t="str">
        <f t="shared" si="5"/>
        <v/>
      </c>
      <c r="K36" s="162" t="str">
        <f t="shared" si="6"/>
        <v/>
      </c>
      <c r="L36" s="269" t="b">
        <f>VLOOKUP(G36,Compil[],12,FALSE)</f>
        <v>1</v>
      </c>
    </row>
    <row r="37" spans="1:24" ht="14">
      <c r="A37" s="2" t="s">
        <v>374</v>
      </c>
      <c r="B37" s="39" t="s">
        <v>232</v>
      </c>
      <c r="C37" s="9"/>
      <c r="D37" s="264"/>
      <c r="E37" s="163" t="str">
        <f t="shared" si="3"/>
        <v/>
      </c>
      <c r="F37" s="164" t="str">
        <f t="shared" si="4"/>
        <v/>
      </c>
      <c r="G37">
        <f t="shared" si="0"/>
        <v>1004</v>
      </c>
      <c r="H37" s="161"/>
      <c r="I37" s="161"/>
      <c r="J37" s="162" t="str">
        <f t="shared" si="5"/>
        <v/>
      </c>
      <c r="K37" s="162" t="str">
        <f t="shared" si="6"/>
        <v/>
      </c>
    </row>
    <row r="38" spans="1:24" ht="14">
      <c r="A38" s="2"/>
      <c r="B38" s="40"/>
      <c r="C38" s="9"/>
      <c r="D38" s="264"/>
      <c r="E38" s="163" t="str">
        <f t="shared" si="3"/>
        <v/>
      </c>
      <c r="F38" s="164" t="str">
        <f t="shared" si="4"/>
        <v/>
      </c>
      <c r="G38">
        <f t="shared" si="0"/>
        <v>1005</v>
      </c>
      <c r="H38" s="161"/>
      <c r="I38" s="161"/>
      <c r="J38" s="162" t="str">
        <f t="shared" si="5"/>
        <v/>
      </c>
      <c r="K38" s="162" t="str">
        <f t="shared" si="6"/>
        <v/>
      </c>
    </row>
    <row r="39" spans="1:24" ht="14">
      <c r="A39" s="2"/>
      <c r="B39" s="131" t="s">
        <v>262</v>
      </c>
      <c r="C39" s="9"/>
      <c r="D39" s="264"/>
      <c r="E39" s="163" t="str">
        <f t="shared" si="3"/>
        <v/>
      </c>
      <c r="F39" s="164" t="str">
        <f t="shared" si="4"/>
        <v/>
      </c>
      <c r="G39">
        <f t="shared" si="0"/>
        <v>1006</v>
      </c>
      <c r="H39" s="161"/>
      <c r="I39" s="161"/>
      <c r="J39" s="162" t="str">
        <f t="shared" si="5"/>
        <v/>
      </c>
      <c r="K39" s="162" t="str">
        <f t="shared" si="6"/>
        <v/>
      </c>
    </row>
    <row r="40" spans="1:24" ht="14">
      <c r="A40" s="43"/>
      <c r="B40" s="44" t="s">
        <v>52</v>
      </c>
      <c r="C40" s="9" t="s">
        <v>13</v>
      </c>
      <c r="D40" s="264">
        <v>0.13385826771653542</v>
      </c>
      <c r="E40" s="163">
        <f t="shared" si="3"/>
        <v>0</v>
      </c>
      <c r="F40" s="164">
        <f t="shared" si="4"/>
        <v>0</v>
      </c>
      <c r="G40">
        <f t="shared" si="0"/>
        <v>1007</v>
      </c>
      <c r="H40" s="161"/>
      <c r="I40" s="161"/>
      <c r="J40" s="162">
        <f t="shared" si="5"/>
        <v>0</v>
      </c>
      <c r="K40" s="162">
        <f t="shared" si="6"/>
        <v>0</v>
      </c>
    </row>
    <row r="41" spans="1:24" ht="14">
      <c r="A41" s="43"/>
      <c r="B41" s="132" t="s">
        <v>269</v>
      </c>
      <c r="C41" s="9" t="s">
        <v>13</v>
      </c>
      <c r="D41" s="264"/>
      <c r="E41" s="163" t="str">
        <f t="shared" si="3"/>
        <v/>
      </c>
      <c r="F41" s="164" t="str">
        <f t="shared" si="4"/>
        <v/>
      </c>
      <c r="G41">
        <f t="shared" si="0"/>
        <v>1008</v>
      </c>
      <c r="H41" s="161"/>
      <c r="I41" s="161"/>
      <c r="J41" s="162" t="str">
        <f t="shared" si="5"/>
        <v/>
      </c>
      <c r="K41" s="162" t="str">
        <f t="shared" si="6"/>
        <v/>
      </c>
    </row>
    <row r="42" spans="1:24" ht="14">
      <c r="A42" s="43"/>
      <c r="B42" s="44" t="s">
        <v>53</v>
      </c>
      <c r="C42" s="9" t="s">
        <v>13</v>
      </c>
      <c r="D42" s="264">
        <v>1</v>
      </c>
      <c r="E42" s="163">
        <f t="shared" si="3"/>
        <v>0</v>
      </c>
      <c r="F42" s="164">
        <f t="shared" si="4"/>
        <v>0</v>
      </c>
      <c r="G42">
        <f t="shared" si="0"/>
        <v>1009</v>
      </c>
      <c r="H42" s="161"/>
      <c r="I42" s="161"/>
      <c r="J42" s="162">
        <f t="shared" si="5"/>
        <v>0</v>
      </c>
      <c r="K42" s="162">
        <f t="shared" si="6"/>
        <v>0</v>
      </c>
    </row>
    <row r="43" spans="1:24" ht="14">
      <c r="A43" s="43"/>
      <c r="B43" s="44" t="s">
        <v>72</v>
      </c>
      <c r="C43" s="9" t="s">
        <v>13</v>
      </c>
      <c r="D43" s="264">
        <v>4</v>
      </c>
      <c r="E43" s="163">
        <f t="shared" si="3"/>
        <v>0</v>
      </c>
      <c r="F43" s="164">
        <f t="shared" si="4"/>
        <v>0</v>
      </c>
      <c r="G43">
        <f t="shared" si="0"/>
        <v>1010</v>
      </c>
      <c r="H43" s="161"/>
      <c r="I43" s="161"/>
      <c r="J43" s="162">
        <f t="shared" si="5"/>
        <v>0</v>
      </c>
      <c r="K43" s="162">
        <f t="shared" si="6"/>
        <v>0</v>
      </c>
    </row>
    <row r="44" spans="1:24" ht="14">
      <c r="A44" s="43"/>
      <c r="B44" s="44"/>
      <c r="C44" s="9"/>
      <c r="D44" s="264"/>
      <c r="E44" s="163" t="str">
        <f t="shared" si="3"/>
        <v/>
      </c>
      <c r="F44" s="164" t="str">
        <f t="shared" si="4"/>
        <v/>
      </c>
      <c r="G44">
        <f t="shared" si="0"/>
        <v>1011</v>
      </c>
      <c r="H44" s="161"/>
      <c r="I44" s="161"/>
      <c r="J44" s="162" t="str">
        <f t="shared" si="5"/>
        <v/>
      </c>
      <c r="K44" s="162" t="str">
        <f t="shared" si="6"/>
        <v/>
      </c>
    </row>
    <row r="45" spans="1:24" ht="14">
      <c r="A45" s="43"/>
      <c r="B45" s="44" t="s">
        <v>54</v>
      </c>
      <c r="C45" s="9" t="s">
        <v>13</v>
      </c>
      <c r="D45" s="264">
        <f>8+3+1</f>
        <v>12</v>
      </c>
      <c r="E45" s="163">
        <f t="shared" si="3"/>
        <v>0</v>
      </c>
      <c r="F45" s="164">
        <f t="shared" si="4"/>
        <v>0</v>
      </c>
      <c r="G45">
        <f t="shared" si="0"/>
        <v>1012</v>
      </c>
      <c r="H45" s="161"/>
      <c r="I45" s="161"/>
      <c r="J45" s="162">
        <f t="shared" si="5"/>
        <v>0</v>
      </c>
      <c r="K45" s="162">
        <f t="shared" si="6"/>
        <v>0</v>
      </c>
    </row>
    <row r="46" spans="1:24" ht="14">
      <c r="A46" s="43"/>
      <c r="B46" s="44" t="s">
        <v>55</v>
      </c>
      <c r="C46" s="9" t="s">
        <v>13</v>
      </c>
      <c r="D46" s="264">
        <v>3</v>
      </c>
      <c r="E46" s="163">
        <f t="shared" si="3"/>
        <v>0</v>
      </c>
      <c r="F46" s="164">
        <f t="shared" si="4"/>
        <v>0</v>
      </c>
      <c r="G46">
        <f t="shared" si="0"/>
        <v>1013</v>
      </c>
      <c r="H46" s="161"/>
      <c r="I46" s="161"/>
      <c r="J46" s="162">
        <f t="shared" si="5"/>
        <v>0</v>
      </c>
      <c r="K46" s="162">
        <f t="shared" si="6"/>
        <v>0</v>
      </c>
    </row>
    <row r="47" spans="1:24" ht="14">
      <c r="A47" s="43"/>
      <c r="B47" s="44" t="s">
        <v>268</v>
      </c>
      <c r="C47" s="9" t="s">
        <v>13</v>
      </c>
      <c r="D47" s="264"/>
      <c r="E47" s="163" t="str">
        <f t="shared" si="3"/>
        <v/>
      </c>
      <c r="F47" s="164" t="str">
        <f t="shared" si="4"/>
        <v/>
      </c>
      <c r="G47">
        <f t="shared" si="0"/>
        <v>1014</v>
      </c>
      <c r="H47" s="161"/>
      <c r="I47" s="161"/>
      <c r="J47" s="162" t="str">
        <f t="shared" si="5"/>
        <v/>
      </c>
      <c r="K47" s="162" t="str">
        <f t="shared" si="6"/>
        <v/>
      </c>
    </row>
    <row r="48" spans="1:24" ht="14">
      <c r="A48" s="43"/>
      <c r="B48" s="44" t="s">
        <v>126</v>
      </c>
      <c r="C48" s="9" t="s">
        <v>13</v>
      </c>
      <c r="D48" s="264">
        <v>1</v>
      </c>
      <c r="E48" s="163">
        <f t="shared" si="3"/>
        <v>0</v>
      </c>
      <c r="F48" s="164">
        <f t="shared" si="4"/>
        <v>0</v>
      </c>
      <c r="G48">
        <f t="shared" si="0"/>
        <v>1015</v>
      </c>
      <c r="H48" s="161"/>
      <c r="I48" s="161"/>
      <c r="J48" s="162">
        <f t="shared" si="5"/>
        <v>0</v>
      </c>
      <c r="K48" s="162">
        <f t="shared" si="6"/>
        <v>0</v>
      </c>
    </row>
    <row r="49" spans="1:11" ht="14">
      <c r="A49" s="43"/>
      <c r="B49" s="44" t="s">
        <v>161</v>
      </c>
      <c r="C49" s="9" t="s">
        <v>13</v>
      </c>
      <c r="D49" s="264">
        <v>1</v>
      </c>
      <c r="E49" s="163">
        <f t="shared" si="3"/>
        <v>0</v>
      </c>
      <c r="F49" s="164">
        <f t="shared" si="4"/>
        <v>0</v>
      </c>
      <c r="G49">
        <f t="shared" si="0"/>
        <v>1016</v>
      </c>
      <c r="H49" s="161"/>
      <c r="I49" s="161"/>
      <c r="J49" s="162">
        <f t="shared" si="5"/>
        <v>0</v>
      </c>
      <c r="K49" s="162">
        <f t="shared" si="6"/>
        <v>0</v>
      </c>
    </row>
    <row r="50" spans="1:11" ht="14">
      <c r="A50" s="43"/>
      <c r="B50" s="44" t="s">
        <v>101</v>
      </c>
      <c r="C50" s="9" t="s">
        <v>13</v>
      </c>
      <c r="D50" s="264">
        <v>1</v>
      </c>
      <c r="E50" s="163">
        <f t="shared" si="3"/>
        <v>0</v>
      </c>
      <c r="F50" s="164">
        <f t="shared" si="4"/>
        <v>0</v>
      </c>
      <c r="G50">
        <f t="shared" si="0"/>
        <v>1017</v>
      </c>
      <c r="H50" s="161"/>
      <c r="I50" s="161"/>
      <c r="J50" s="162">
        <f t="shared" si="5"/>
        <v>0</v>
      </c>
      <c r="K50" s="162">
        <f t="shared" si="6"/>
        <v>0</v>
      </c>
    </row>
    <row r="51" spans="1:11" ht="14">
      <c r="A51" s="43"/>
      <c r="B51" s="44" t="s">
        <v>266</v>
      </c>
      <c r="C51" s="9" t="s">
        <v>13</v>
      </c>
      <c r="D51" s="264">
        <v>1</v>
      </c>
      <c r="E51" s="163">
        <f t="shared" si="3"/>
        <v>0</v>
      </c>
      <c r="F51" s="164">
        <f t="shared" si="4"/>
        <v>0</v>
      </c>
      <c r="G51">
        <f t="shared" si="0"/>
        <v>1018</v>
      </c>
      <c r="H51" s="161"/>
      <c r="I51" s="161"/>
      <c r="J51" s="162">
        <f t="shared" si="5"/>
        <v>0</v>
      </c>
      <c r="K51" s="162">
        <f t="shared" si="6"/>
        <v>0</v>
      </c>
    </row>
    <row r="52" spans="1:11" ht="14">
      <c r="A52" s="43"/>
      <c r="B52" s="44" t="s">
        <v>276</v>
      </c>
      <c r="C52" s="9" t="s">
        <v>13</v>
      </c>
      <c r="D52" s="264">
        <v>1</v>
      </c>
      <c r="E52" s="163">
        <f t="shared" si="3"/>
        <v>0</v>
      </c>
      <c r="F52" s="164">
        <f t="shared" si="4"/>
        <v>0</v>
      </c>
      <c r="G52">
        <f t="shared" si="0"/>
        <v>1019</v>
      </c>
      <c r="H52" s="161"/>
      <c r="I52" s="161"/>
      <c r="J52" s="162">
        <f t="shared" si="5"/>
        <v>0</v>
      </c>
      <c r="K52" s="162">
        <f t="shared" si="6"/>
        <v>0</v>
      </c>
    </row>
    <row r="53" spans="1:11" ht="14">
      <c r="A53" s="43"/>
      <c r="B53" s="44" t="s">
        <v>277</v>
      </c>
      <c r="C53" s="9" t="s">
        <v>13</v>
      </c>
      <c r="D53" s="264">
        <v>1</v>
      </c>
      <c r="E53" s="163">
        <f t="shared" si="3"/>
        <v>0</v>
      </c>
      <c r="F53" s="164">
        <f t="shared" si="4"/>
        <v>0</v>
      </c>
      <c r="G53">
        <f t="shared" si="0"/>
        <v>1020</v>
      </c>
      <c r="H53" s="161"/>
      <c r="I53" s="161"/>
      <c r="J53" s="162">
        <f t="shared" si="5"/>
        <v>0</v>
      </c>
      <c r="K53" s="162">
        <f t="shared" si="6"/>
        <v>0</v>
      </c>
    </row>
    <row r="54" spans="1:11" ht="14">
      <c r="A54" s="43"/>
      <c r="B54" s="128"/>
      <c r="C54" s="9"/>
      <c r="D54" s="264"/>
      <c r="E54" s="163" t="str">
        <f t="shared" si="3"/>
        <v/>
      </c>
      <c r="F54" s="164" t="str">
        <f t="shared" si="4"/>
        <v/>
      </c>
      <c r="G54">
        <f t="shared" si="0"/>
        <v>1021</v>
      </c>
      <c r="H54" s="161"/>
      <c r="I54" s="161"/>
      <c r="J54" s="162" t="str">
        <f t="shared" si="5"/>
        <v/>
      </c>
      <c r="K54" s="162" t="str">
        <f t="shared" si="6"/>
        <v/>
      </c>
    </row>
    <row r="55" spans="1:11" ht="14">
      <c r="A55" s="43"/>
      <c r="B55" s="131" t="s">
        <v>263</v>
      </c>
      <c r="C55" s="9"/>
      <c r="D55" s="264"/>
      <c r="E55" s="163" t="str">
        <f t="shared" si="3"/>
        <v/>
      </c>
      <c r="F55" s="164" t="str">
        <f t="shared" si="4"/>
        <v/>
      </c>
      <c r="G55">
        <f t="shared" si="0"/>
        <v>1022</v>
      </c>
      <c r="H55" s="161"/>
      <c r="I55" s="161"/>
      <c r="J55" s="162" t="str">
        <f t="shared" si="5"/>
        <v/>
      </c>
      <c r="K55" s="162" t="str">
        <f t="shared" si="6"/>
        <v/>
      </c>
    </row>
    <row r="56" spans="1:11" ht="14">
      <c r="A56" s="43"/>
      <c r="B56" s="44" t="s">
        <v>52</v>
      </c>
      <c r="C56" s="9" t="s">
        <v>13</v>
      </c>
      <c r="D56" s="264"/>
      <c r="E56" s="163" t="str">
        <f t="shared" si="3"/>
        <v/>
      </c>
      <c r="F56" s="164" t="str">
        <f t="shared" si="4"/>
        <v/>
      </c>
      <c r="G56">
        <f t="shared" si="0"/>
        <v>1023</v>
      </c>
      <c r="H56" s="161"/>
      <c r="I56" s="161"/>
      <c r="J56" s="162" t="str">
        <f t="shared" si="5"/>
        <v/>
      </c>
      <c r="K56" s="162" t="str">
        <f t="shared" si="6"/>
        <v/>
      </c>
    </row>
    <row r="57" spans="1:11" ht="14">
      <c r="A57" s="43"/>
      <c r="B57" s="132" t="s">
        <v>269</v>
      </c>
      <c r="C57" s="9" t="s">
        <v>13</v>
      </c>
      <c r="D57" s="264"/>
      <c r="E57" s="163" t="str">
        <f t="shared" si="3"/>
        <v/>
      </c>
      <c r="F57" s="164" t="str">
        <f t="shared" si="4"/>
        <v/>
      </c>
      <c r="G57">
        <f t="shared" si="0"/>
        <v>1024</v>
      </c>
      <c r="H57" s="161"/>
      <c r="I57" s="161"/>
      <c r="J57" s="162" t="str">
        <f t="shared" si="5"/>
        <v/>
      </c>
      <c r="K57" s="162" t="str">
        <f t="shared" si="6"/>
        <v/>
      </c>
    </row>
    <row r="58" spans="1:11" ht="14">
      <c r="A58" s="43"/>
      <c r="B58" s="44" t="s">
        <v>53</v>
      </c>
      <c r="C58" s="9" t="s">
        <v>13</v>
      </c>
      <c r="D58" s="264"/>
      <c r="E58" s="163" t="str">
        <f t="shared" si="3"/>
        <v/>
      </c>
      <c r="F58" s="164" t="str">
        <f t="shared" si="4"/>
        <v/>
      </c>
      <c r="G58">
        <f t="shared" si="0"/>
        <v>1025</v>
      </c>
      <c r="H58" s="161"/>
      <c r="I58" s="161"/>
      <c r="J58" s="162" t="str">
        <f t="shared" si="5"/>
        <v/>
      </c>
      <c r="K58" s="162" t="str">
        <f t="shared" si="6"/>
        <v/>
      </c>
    </row>
    <row r="59" spans="1:11" ht="14">
      <c r="A59" s="43"/>
      <c r="B59" s="44" t="s">
        <v>72</v>
      </c>
      <c r="C59" s="9" t="s">
        <v>13</v>
      </c>
      <c r="D59" s="264"/>
      <c r="E59" s="163" t="str">
        <f t="shared" si="3"/>
        <v/>
      </c>
      <c r="F59" s="164" t="str">
        <f t="shared" si="4"/>
        <v/>
      </c>
      <c r="G59">
        <f t="shared" si="0"/>
        <v>1026</v>
      </c>
      <c r="H59" s="161"/>
      <c r="I59" s="161"/>
      <c r="J59" s="162" t="str">
        <f t="shared" si="5"/>
        <v/>
      </c>
      <c r="K59" s="162" t="str">
        <f t="shared" si="6"/>
        <v/>
      </c>
    </row>
    <row r="60" spans="1:11" ht="14">
      <c r="A60" s="43"/>
      <c r="B60" s="44"/>
      <c r="C60" s="9"/>
      <c r="D60" s="264"/>
      <c r="E60" s="163" t="str">
        <f t="shared" si="3"/>
        <v/>
      </c>
      <c r="F60" s="164" t="str">
        <f t="shared" si="4"/>
        <v/>
      </c>
      <c r="G60">
        <f t="shared" si="0"/>
        <v>1027</v>
      </c>
      <c r="H60" s="161"/>
      <c r="I60" s="161"/>
      <c r="J60" s="162" t="str">
        <f t="shared" si="5"/>
        <v/>
      </c>
      <c r="K60" s="162" t="str">
        <f t="shared" si="6"/>
        <v/>
      </c>
    </row>
    <row r="61" spans="1:11" ht="14">
      <c r="A61" s="43"/>
      <c r="B61" s="44" t="s">
        <v>54</v>
      </c>
      <c r="C61" s="9" t="s">
        <v>13</v>
      </c>
      <c r="D61" s="264"/>
      <c r="E61" s="163" t="str">
        <f t="shared" si="3"/>
        <v/>
      </c>
      <c r="F61" s="164" t="str">
        <f t="shared" si="4"/>
        <v/>
      </c>
      <c r="G61">
        <f t="shared" si="0"/>
        <v>1028</v>
      </c>
      <c r="H61" s="161"/>
      <c r="I61" s="161"/>
      <c r="J61" s="162" t="str">
        <f t="shared" si="5"/>
        <v/>
      </c>
      <c r="K61" s="162" t="str">
        <f t="shared" si="6"/>
        <v/>
      </c>
    </row>
    <row r="62" spans="1:11" ht="14">
      <c r="A62" s="43"/>
      <c r="B62" s="44" t="s">
        <v>55</v>
      </c>
      <c r="C62" s="9" t="s">
        <v>13</v>
      </c>
      <c r="D62" s="264"/>
      <c r="E62" s="163" t="str">
        <f t="shared" si="3"/>
        <v/>
      </c>
      <c r="F62" s="164" t="str">
        <f t="shared" si="4"/>
        <v/>
      </c>
      <c r="G62">
        <f t="shared" si="0"/>
        <v>1029</v>
      </c>
      <c r="H62" s="161"/>
      <c r="I62" s="161"/>
      <c r="J62" s="162" t="str">
        <f t="shared" si="5"/>
        <v/>
      </c>
      <c r="K62" s="162" t="str">
        <f t="shared" si="6"/>
        <v/>
      </c>
    </row>
    <row r="63" spans="1:11" ht="14">
      <c r="A63" s="43"/>
      <c r="B63" s="44" t="s">
        <v>268</v>
      </c>
      <c r="C63" s="9" t="s">
        <v>13</v>
      </c>
      <c r="D63" s="264">
        <v>1</v>
      </c>
      <c r="E63" s="163">
        <f t="shared" si="3"/>
        <v>0</v>
      </c>
      <c r="F63" s="164">
        <f t="shared" si="4"/>
        <v>0</v>
      </c>
      <c r="G63">
        <f t="shared" si="0"/>
        <v>1030</v>
      </c>
      <c r="H63" s="161"/>
      <c r="I63" s="161"/>
      <c r="J63" s="162">
        <f t="shared" si="5"/>
        <v>0</v>
      </c>
      <c r="K63" s="162">
        <f t="shared" si="6"/>
        <v>0</v>
      </c>
    </row>
    <row r="64" spans="1:11" ht="14">
      <c r="A64" s="43"/>
      <c r="B64" s="44" t="s">
        <v>126</v>
      </c>
      <c r="C64" s="9" t="s">
        <v>13</v>
      </c>
      <c r="D64" s="264"/>
      <c r="E64" s="163" t="str">
        <f t="shared" si="3"/>
        <v/>
      </c>
      <c r="F64" s="164" t="str">
        <f t="shared" si="4"/>
        <v/>
      </c>
      <c r="G64">
        <f t="shared" si="0"/>
        <v>1031</v>
      </c>
      <c r="H64" s="161"/>
      <c r="I64" s="161"/>
      <c r="J64" s="162" t="str">
        <f t="shared" si="5"/>
        <v/>
      </c>
      <c r="K64" s="162" t="str">
        <f t="shared" si="6"/>
        <v/>
      </c>
    </row>
    <row r="65" spans="1:24" ht="14">
      <c r="A65" s="43"/>
      <c r="B65" s="44" t="s">
        <v>101</v>
      </c>
      <c r="C65" s="9" t="s">
        <v>13</v>
      </c>
      <c r="D65" s="264"/>
      <c r="E65" s="163" t="str">
        <f t="shared" si="3"/>
        <v/>
      </c>
      <c r="F65" s="164" t="str">
        <f t="shared" si="4"/>
        <v/>
      </c>
      <c r="G65">
        <f t="shared" si="0"/>
        <v>1032</v>
      </c>
      <c r="H65" s="161"/>
      <c r="I65" s="161"/>
      <c r="J65" s="162" t="str">
        <f t="shared" si="5"/>
        <v/>
      </c>
      <c r="K65" s="162" t="str">
        <f t="shared" si="6"/>
        <v/>
      </c>
    </row>
    <row r="66" spans="1:24" ht="14">
      <c r="A66" s="43"/>
      <c r="B66" s="44" t="s">
        <v>266</v>
      </c>
      <c r="C66" s="9" t="s">
        <v>13</v>
      </c>
      <c r="D66" s="264"/>
      <c r="E66" s="163" t="str">
        <f t="shared" si="3"/>
        <v/>
      </c>
      <c r="F66" s="164" t="str">
        <f t="shared" si="4"/>
        <v/>
      </c>
      <c r="G66">
        <f t="shared" si="0"/>
        <v>1033</v>
      </c>
      <c r="H66" s="161"/>
      <c r="I66" s="161"/>
      <c r="J66" s="162" t="str">
        <f t="shared" si="5"/>
        <v/>
      </c>
      <c r="K66" s="162" t="str">
        <f t="shared" si="6"/>
        <v/>
      </c>
    </row>
    <row r="67" spans="1:24" ht="14">
      <c r="A67" s="43"/>
      <c r="B67" s="44" t="s">
        <v>276</v>
      </c>
      <c r="C67" s="9" t="s">
        <v>13</v>
      </c>
      <c r="D67" s="264"/>
      <c r="E67" s="163" t="str">
        <f t="shared" si="3"/>
        <v/>
      </c>
      <c r="F67" s="164" t="str">
        <f t="shared" si="4"/>
        <v/>
      </c>
      <c r="G67">
        <f t="shared" si="0"/>
        <v>1034</v>
      </c>
      <c r="H67" s="161"/>
      <c r="I67" s="161"/>
      <c r="J67" s="162" t="str">
        <f t="shared" si="5"/>
        <v/>
      </c>
      <c r="K67" s="162" t="str">
        <f t="shared" si="6"/>
        <v/>
      </c>
    </row>
    <row r="68" spans="1:24" ht="14">
      <c r="A68" s="43"/>
      <c r="B68" s="44" t="s">
        <v>277</v>
      </c>
      <c r="C68" s="9" t="s">
        <v>13</v>
      </c>
      <c r="D68" s="264"/>
      <c r="E68" s="163" t="str">
        <f t="shared" si="3"/>
        <v/>
      </c>
      <c r="F68" s="164" t="str">
        <f t="shared" si="4"/>
        <v/>
      </c>
      <c r="G68">
        <f t="shared" si="0"/>
        <v>1035</v>
      </c>
      <c r="H68" s="161"/>
      <c r="I68" s="161"/>
      <c r="J68" s="162" t="str">
        <f t="shared" si="5"/>
        <v/>
      </c>
      <c r="K68" s="162" t="str">
        <f t="shared" si="6"/>
        <v/>
      </c>
    </row>
    <row r="69" spans="1:24" ht="14">
      <c r="A69" s="43"/>
      <c r="B69" s="128"/>
      <c r="C69" s="9"/>
      <c r="D69" s="264"/>
      <c r="E69" s="163" t="str">
        <f t="shared" si="3"/>
        <v/>
      </c>
      <c r="F69" s="164" t="str">
        <f t="shared" si="4"/>
        <v/>
      </c>
      <c r="G69">
        <f t="shared" si="0"/>
        <v>1036</v>
      </c>
      <c r="H69" s="161"/>
      <c r="I69" s="161"/>
      <c r="J69" s="162" t="str">
        <f t="shared" si="5"/>
        <v/>
      </c>
      <c r="K69" s="162" t="str">
        <f t="shared" si="6"/>
        <v/>
      </c>
    </row>
    <row r="70" spans="1:24" ht="14">
      <c r="A70" s="43"/>
      <c r="B70" s="44" t="s">
        <v>167</v>
      </c>
      <c r="C70" s="9" t="s">
        <v>13</v>
      </c>
      <c r="D70" s="264">
        <v>1</v>
      </c>
      <c r="E70" s="163">
        <f t="shared" si="3"/>
        <v>0</v>
      </c>
      <c r="F70" s="164">
        <f t="shared" si="4"/>
        <v>0</v>
      </c>
      <c r="G70">
        <f t="shared" si="0"/>
        <v>1037</v>
      </c>
      <c r="H70" s="161"/>
      <c r="I70" s="161"/>
      <c r="J70" s="162">
        <f t="shared" si="5"/>
        <v>0</v>
      </c>
      <c r="K70" s="162">
        <f t="shared" si="6"/>
        <v>0</v>
      </c>
    </row>
    <row r="71" spans="1:24" ht="14">
      <c r="A71" s="43"/>
      <c r="B71" s="44"/>
      <c r="C71" s="9"/>
      <c r="D71" s="264"/>
      <c r="E71" s="163" t="str">
        <f t="shared" si="3"/>
        <v/>
      </c>
      <c r="F71" s="164" t="str">
        <f t="shared" si="4"/>
        <v/>
      </c>
      <c r="G71">
        <f t="shared" si="0"/>
        <v>1038</v>
      </c>
      <c r="H71" s="161"/>
      <c r="I71" s="161"/>
      <c r="J71" s="162" t="str">
        <f t="shared" si="5"/>
        <v/>
      </c>
      <c r="K71" s="162" t="str">
        <f t="shared" si="6"/>
        <v/>
      </c>
    </row>
    <row r="72" spans="1:24" ht="14">
      <c r="A72" s="2"/>
      <c r="B72" s="132" t="s">
        <v>442</v>
      </c>
      <c r="C72" s="9" t="s">
        <v>13</v>
      </c>
      <c r="D72" s="264">
        <f>18/D79</f>
        <v>1.3846153846153846</v>
      </c>
      <c r="E72" s="163">
        <f t="shared" si="3"/>
        <v>0</v>
      </c>
      <c r="F72" s="164">
        <f t="shared" si="4"/>
        <v>0</v>
      </c>
      <c r="G72">
        <f t="shared" si="0"/>
        <v>1039</v>
      </c>
      <c r="H72" s="161"/>
      <c r="I72" s="161"/>
      <c r="J72" s="162">
        <f t="shared" si="5"/>
        <v>0</v>
      </c>
      <c r="K72" s="162">
        <f t="shared" si="6"/>
        <v>0</v>
      </c>
    </row>
    <row r="73" spans="1:24" ht="14">
      <c r="A73" s="2"/>
      <c r="B73" s="132" t="s">
        <v>264</v>
      </c>
      <c r="C73" s="9" t="s">
        <v>13</v>
      </c>
      <c r="D73" s="264">
        <v>2</v>
      </c>
      <c r="E73" s="163">
        <f t="shared" si="3"/>
        <v>0</v>
      </c>
      <c r="F73" s="164">
        <f t="shared" si="4"/>
        <v>0</v>
      </c>
      <c r="G73">
        <f t="shared" si="0"/>
        <v>1040</v>
      </c>
      <c r="H73" s="161"/>
      <c r="I73" s="161"/>
      <c r="J73" s="162">
        <f t="shared" si="5"/>
        <v>0</v>
      </c>
      <c r="K73" s="162">
        <f t="shared" si="6"/>
        <v>0</v>
      </c>
    </row>
    <row r="74" spans="1:24" ht="14">
      <c r="A74" s="2"/>
      <c r="B74" s="132" t="s">
        <v>265</v>
      </c>
      <c r="C74" s="9" t="s">
        <v>13</v>
      </c>
      <c r="D74" s="264">
        <v>2</v>
      </c>
      <c r="E74" s="163">
        <f t="shared" si="3"/>
        <v>0</v>
      </c>
      <c r="F74" s="164">
        <f t="shared" si="4"/>
        <v>0</v>
      </c>
      <c r="G74">
        <f t="shared" si="0"/>
        <v>1041</v>
      </c>
      <c r="H74" s="161"/>
      <c r="I74" s="161"/>
      <c r="J74" s="162">
        <f t="shared" si="5"/>
        <v>0</v>
      </c>
      <c r="K74" s="162">
        <f t="shared" si="6"/>
        <v>0</v>
      </c>
    </row>
    <row r="75" spans="1:24" ht="14">
      <c r="A75" s="2"/>
      <c r="B75" s="44"/>
      <c r="C75" s="9"/>
      <c r="D75" s="264"/>
      <c r="E75" s="163" t="str">
        <f t="shared" si="3"/>
        <v/>
      </c>
      <c r="F75" s="164" t="str">
        <f t="shared" si="4"/>
        <v/>
      </c>
      <c r="G75">
        <f t="shared" si="0"/>
        <v>1042</v>
      </c>
      <c r="H75" s="161"/>
      <c r="I75" s="161"/>
      <c r="J75" s="162" t="str">
        <f t="shared" si="5"/>
        <v/>
      </c>
      <c r="K75" s="162" t="str">
        <f t="shared" si="6"/>
        <v/>
      </c>
    </row>
    <row r="76" spans="1:24" ht="14">
      <c r="A76" s="2"/>
      <c r="B76" s="44" t="s">
        <v>166</v>
      </c>
      <c r="C76" s="9" t="s">
        <v>13</v>
      </c>
      <c r="D76" s="264">
        <v>1</v>
      </c>
      <c r="E76" s="163">
        <f t="shared" si="3"/>
        <v>0</v>
      </c>
      <c r="F76" s="164">
        <f t="shared" si="4"/>
        <v>0</v>
      </c>
      <c r="G76">
        <f t="shared" si="0"/>
        <v>1043</v>
      </c>
      <c r="H76" s="161"/>
      <c r="I76" s="161"/>
      <c r="J76" s="162">
        <f t="shared" si="5"/>
        <v>0</v>
      </c>
      <c r="K76" s="162">
        <f t="shared" si="6"/>
        <v>0</v>
      </c>
    </row>
    <row r="77" spans="1:24" ht="14">
      <c r="A77" s="2"/>
      <c r="B77" s="40"/>
      <c r="C77" s="9"/>
      <c r="D77" s="264"/>
      <c r="E77" s="163" t="str">
        <f t="shared" si="3"/>
        <v/>
      </c>
      <c r="F77" s="164" t="str">
        <f t="shared" si="4"/>
        <v/>
      </c>
      <c r="G77">
        <f t="shared" si="0"/>
        <v>1044</v>
      </c>
      <c r="H77" s="161"/>
      <c r="I77" s="161"/>
      <c r="J77" s="162" t="str">
        <f t="shared" si="5"/>
        <v/>
      </c>
      <c r="K77" s="162" t="str">
        <f t="shared" si="6"/>
        <v/>
      </c>
    </row>
    <row r="78" spans="1:24" ht="14">
      <c r="A78" s="2"/>
      <c r="B78" s="39" t="s">
        <v>233</v>
      </c>
      <c r="C78" s="27"/>
      <c r="D78" s="264"/>
      <c r="E78" s="163" t="str">
        <f t="shared" si="3"/>
        <v/>
      </c>
      <c r="F78" s="164" t="str">
        <f t="shared" si="4"/>
        <v/>
      </c>
      <c r="G78">
        <f t="shared" si="0"/>
        <v>1045</v>
      </c>
      <c r="H78" s="161"/>
      <c r="I78" s="161"/>
      <c r="J78" s="162" t="str">
        <f t="shared" si="5"/>
        <v/>
      </c>
      <c r="K78" s="162" t="str">
        <f t="shared" si="6"/>
        <v/>
      </c>
    </row>
    <row r="79" spans="1:24" ht="14">
      <c r="A79" s="2"/>
      <c r="B79" s="39" t="s">
        <v>234</v>
      </c>
      <c r="C79" s="27" t="s">
        <v>12</v>
      </c>
      <c r="D79" s="264">
        <f>D24</f>
        <v>13</v>
      </c>
      <c r="E79" s="163">
        <f t="shared" si="3"/>
        <v>0</v>
      </c>
      <c r="F79" s="164">
        <f t="shared" si="4"/>
        <v>0</v>
      </c>
      <c r="G79">
        <f t="shared" si="0"/>
        <v>1046</v>
      </c>
      <c r="H79" s="161"/>
      <c r="I79" s="161"/>
      <c r="J79" s="162">
        <f t="shared" si="5"/>
        <v>0</v>
      </c>
      <c r="K79" s="162">
        <f t="shared" si="6"/>
        <v>0</v>
      </c>
    </row>
    <row r="80" spans="1:24" ht="14">
      <c r="A80" s="19"/>
      <c r="B80" s="38"/>
      <c r="C80" s="9"/>
      <c r="D80" s="264"/>
      <c r="E80" s="163" t="str">
        <f t="shared" si="3"/>
        <v/>
      </c>
      <c r="F80" s="164" t="str">
        <f t="shared" si="4"/>
        <v/>
      </c>
      <c r="G80">
        <f t="shared" si="0"/>
        <v>1047</v>
      </c>
      <c r="H80" s="161"/>
      <c r="I80" s="161"/>
      <c r="J80" s="162" t="str">
        <f t="shared" si="5"/>
        <v/>
      </c>
      <c r="K80" s="162" t="str">
        <f t="shared" si="6"/>
        <v/>
      </c>
      <c r="X80" s="32"/>
    </row>
    <row r="81" spans="1:24" s="5" customFormat="1" ht="14">
      <c r="A81" s="2"/>
      <c r="B81" s="73" t="s">
        <v>375</v>
      </c>
      <c r="C81" s="72"/>
      <c r="D81" s="264"/>
      <c r="E81" s="163" t="str">
        <f t="shared" si="3"/>
        <v/>
      </c>
      <c r="F81" s="164" t="str">
        <f t="shared" si="4"/>
        <v/>
      </c>
      <c r="G81">
        <f t="shared" si="0"/>
        <v>1048</v>
      </c>
      <c r="H81" s="161"/>
      <c r="I81" s="161"/>
      <c r="J81" s="162" t="str">
        <f t="shared" si="5"/>
        <v/>
      </c>
      <c r="K81" s="162" t="str">
        <f t="shared" si="6"/>
        <v/>
      </c>
      <c r="X81" s="36"/>
    </row>
    <row r="82" spans="1:24" s="5" customFormat="1" ht="14">
      <c r="A82" s="2"/>
      <c r="B82" s="127"/>
      <c r="C82" s="9"/>
      <c r="D82" s="264"/>
      <c r="E82" s="163" t="str">
        <f t="shared" si="3"/>
        <v/>
      </c>
      <c r="F82" s="164" t="str">
        <f t="shared" si="4"/>
        <v/>
      </c>
      <c r="G82">
        <f t="shared" si="0"/>
        <v>1049</v>
      </c>
      <c r="H82" s="161"/>
      <c r="I82" s="161"/>
      <c r="J82" s="162" t="str">
        <f t="shared" si="5"/>
        <v/>
      </c>
      <c r="K82" s="162" t="str">
        <f t="shared" si="6"/>
        <v/>
      </c>
      <c r="X82" s="36"/>
    </row>
    <row r="83" spans="1:24" s="5" customFormat="1" ht="14">
      <c r="A83" s="2" t="s">
        <v>374</v>
      </c>
      <c r="B83" s="39" t="s">
        <v>235</v>
      </c>
      <c r="C83" s="9"/>
      <c r="D83" s="264"/>
      <c r="E83" s="163" t="str">
        <f t="shared" si="3"/>
        <v/>
      </c>
      <c r="F83" s="164" t="str">
        <f t="shared" si="4"/>
        <v/>
      </c>
      <c r="G83">
        <f t="shared" ref="G83:G146" si="7">G82+1</f>
        <v>1050</v>
      </c>
      <c r="H83" s="161"/>
      <c r="I83" s="161"/>
      <c r="J83" s="162" t="str">
        <f t="shared" si="5"/>
        <v/>
      </c>
      <c r="K83" s="162" t="str">
        <f t="shared" si="6"/>
        <v/>
      </c>
      <c r="X83" s="36"/>
    </row>
    <row r="84" spans="1:24" s="5" customFormat="1" ht="14">
      <c r="A84" s="2"/>
      <c r="B84" s="40"/>
      <c r="C84" s="9"/>
      <c r="D84" s="264"/>
      <c r="E84" s="163" t="str">
        <f t="shared" si="3"/>
        <v/>
      </c>
      <c r="F84" s="164" t="str">
        <f t="shared" si="4"/>
        <v/>
      </c>
      <c r="G84">
        <f t="shared" si="7"/>
        <v>1051</v>
      </c>
      <c r="H84" s="161"/>
      <c r="I84" s="161"/>
      <c r="J84" s="162" t="str">
        <f t="shared" si="5"/>
        <v/>
      </c>
      <c r="K84" s="162" t="str">
        <f t="shared" si="6"/>
        <v/>
      </c>
      <c r="X84" s="36"/>
    </row>
    <row r="85" spans="1:24" s="5" customFormat="1" ht="14">
      <c r="A85" s="2"/>
      <c r="B85" s="131" t="s">
        <v>262</v>
      </c>
      <c r="C85" s="9"/>
      <c r="D85" s="264"/>
      <c r="E85" s="163" t="str">
        <f t="shared" si="3"/>
        <v/>
      </c>
      <c r="F85" s="164" t="str">
        <f t="shared" si="4"/>
        <v/>
      </c>
      <c r="G85">
        <f t="shared" si="7"/>
        <v>1052</v>
      </c>
      <c r="H85" s="161"/>
      <c r="I85" s="161"/>
      <c r="J85" s="162" t="str">
        <f t="shared" si="5"/>
        <v/>
      </c>
      <c r="K85" s="162" t="str">
        <f t="shared" si="6"/>
        <v/>
      </c>
      <c r="X85" s="36"/>
    </row>
    <row r="86" spans="1:24" s="5" customFormat="1" ht="14">
      <c r="A86" s="43"/>
      <c r="B86" s="44" t="s">
        <v>52</v>
      </c>
      <c r="C86" s="9" t="s">
        <v>13</v>
      </c>
      <c r="D86" s="264">
        <v>5.1338582677165352</v>
      </c>
      <c r="E86" s="163">
        <f t="shared" si="3"/>
        <v>0</v>
      </c>
      <c r="F86" s="164">
        <f t="shared" si="4"/>
        <v>0</v>
      </c>
      <c r="G86">
        <f t="shared" si="7"/>
        <v>1053</v>
      </c>
      <c r="H86" s="161"/>
      <c r="I86" s="161"/>
      <c r="J86" s="162">
        <f t="shared" si="5"/>
        <v>0</v>
      </c>
      <c r="K86" s="162">
        <f t="shared" si="6"/>
        <v>0</v>
      </c>
      <c r="X86" s="36"/>
    </row>
    <row r="87" spans="1:24" s="5" customFormat="1" ht="14">
      <c r="A87" s="43"/>
      <c r="B87" s="44" t="s">
        <v>269</v>
      </c>
      <c r="C87" s="9" t="s">
        <v>13</v>
      </c>
      <c r="D87" s="264">
        <v>1</v>
      </c>
      <c r="E87" s="163">
        <f t="shared" si="3"/>
        <v>0</v>
      </c>
      <c r="F87" s="164">
        <f t="shared" si="4"/>
        <v>0</v>
      </c>
      <c r="G87">
        <f t="shared" si="7"/>
        <v>1054</v>
      </c>
      <c r="H87" s="161"/>
      <c r="I87" s="161"/>
      <c r="J87" s="162">
        <f t="shared" si="5"/>
        <v>0</v>
      </c>
      <c r="K87" s="162">
        <f t="shared" si="6"/>
        <v>0</v>
      </c>
      <c r="X87" s="36"/>
    </row>
    <row r="88" spans="1:24" s="5" customFormat="1" ht="14">
      <c r="A88" s="43"/>
      <c r="B88" s="44" t="s">
        <v>53</v>
      </c>
      <c r="C88" s="9" t="s">
        <v>13</v>
      </c>
      <c r="D88" s="264"/>
      <c r="E88" s="163" t="str">
        <f t="shared" si="3"/>
        <v/>
      </c>
      <c r="F88" s="164" t="str">
        <f t="shared" si="4"/>
        <v/>
      </c>
      <c r="G88">
        <f t="shared" si="7"/>
        <v>1055</v>
      </c>
      <c r="H88" s="161"/>
      <c r="I88" s="161"/>
      <c r="J88" s="162" t="str">
        <f t="shared" si="5"/>
        <v/>
      </c>
      <c r="K88" s="162" t="str">
        <f t="shared" si="6"/>
        <v/>
      </c>
      <c r="X88" s="36"/>
    </row>
    <row r="89" spans="1:24" s="5" customFormat="1" ht="14">
      <c r="A89" s="2"/>
      <c r="B89" s="44" t="s">
        <v>72</v>
      </c>
      <c r="C89" s="9" t="s">
        <v>13</v>
      </c>
      <c r="D89" s="264">
        <v>6</v>
      </c>
      <c r="E89" s="163">
        <f t="shared" ref="E89:E152" si="8">IF(D89="","",(((J89*$K$2)+(K89*$I$2*$I$3))*$K$3)/D89)</f>
        <v>0</v>
      </c>
      <c r="F89" s="164">
        <f t="shared" ref="F89:F152" si="9">IF(D89="","",D89*E89)</f>
        <v>0</v>
      </c>
      <c r="G89">
        <f t="shared" si="7"/>
        <v>1056</v>
      </c>
      <c r="H89" s="161"/>
      <c r="I89" s="161"/>
      <c r="J89" s="162">
        <f t="shared" ref="J89:J152" si="10">IF(D89="","",H89*D89)</f>
        <v>0</v>
      </c>
      <c r="K89" s="162">
        <f t="shared" ref="K89:K152" si="11">IF(D89="","",D89*I89)</f>
        <v>0</v>
      </c>
      <c r="X89" s="36"/>
    </row>
    <row r="90" spans="1:24" s="5" customFormat="1" ht="14">
      <c r="A90" s="2"/>
      <c r="B90" s="44" t="s">
        <v>275</v>
      </c>
      <c r="C90" s="9" t="s">
        <v>13</v>
      </c>
      <c r="D90" s="264"/>
      <c r="E90" s="163" t="str">
        <f t="shared" si="8"/>
        <v/>
      </c>
      <c r="F90" s="164" t="str">
        <f t="shared" si="9"/>
        <v/>
      </c>
      <c r="G90">
        <f t="shared" si="7"/>
        <v>1057</v>
      </c>
      <c r="H90" s="161"/>
      <c r="I90" s="161"/>
      <c r="J90" s="162" t="str">
        <f t="shared" si="10"/>
        <v/>
      </c>
      <c r="K90" s="162" t="str">
        <f t="shared" si="11"/>
        <v/>
      </c>
      <c r="X90" s="36"/>
    </row>
    <row r="91" spans="1:24" s="5" customFormat="1" ht="14">
      <c r="A91" s="43"/>
      <c r="B91" s="44" t="s">
        <v>447</v>
      </c>
      <c r="C91" s="9" t="s">
        <v>13</v>
      </c>
      <c r="D91" s="264">
        <v>1</v>
      </c>
      <c r="E91" s="163">
        <f t="shared" si="8"/>
        <v>0</v>
      </c>
      <c r="F91" s="164">
        <f t="shared" si="9"/>
        <v>0</v>
      </c>
      <c r="G91">
        <f t="shared" si="7"/>
        <v>1058</v>
      </c>
      <c r="H91" s="161"/>
      <c r="I91" s="161"/>
      <c r="J91" s="162">
        <f t="shared" si="10"/>
        <v>0</v>
      </c>
      <c r="K91" s="162">
        <f t="shared" si="11"/>
        <v>0</v>
      </c>
      <c r="X91" s="36"/>
    </row>
    <row r="92" spans="1:24" s="5" customFormat="1" ht="14">
      <c r="A92" s="43"/>
      <c r="B92" s="44" t="s">
        <v>54</v>
      </c>
      <c r="C92" s="9" t="s">
        <v>13</v>
      </c>
      <c r="D92" s="264">
        <f>11+5+1</f>
        <v>17</v>
      </c>
      <c r="E92" s="163">
        <f t="shared" si="8"/>
        <v>0</v>
      </c>
      <c r="F92" s="164">
        <f t="shared" si="9"/>
        <v>0</v>
      </c>
      <c r="G92">
        <f t="shared" si="7"/>
        <v>1059</v>
      </c>
      <c r="H92" s="161"/>
      <c r="I92" s="161"/>
      <c r="J92" s="162">
        <f t="shared" si="10"/>
        <v>0</v>
      </c>
      <c r="K92" s="162">
        <f t="shared" si="11"/>
        <v>0</v>
      </c>
      <c r="X92" s="36"/>
    </row>
    <row r="93" spans="1:24" s="5" customFormat="1" ht="14">
      <c r="A93" s="43"/>
      <c r="B93" s="44" t="s">
        <v>448</v>
      </c>
      <c r="C93" s="9" t="s">
        <v>13</v>
      </c>
      <c r="D93" s="264"/>
      <c r="E93" s="163" t="str">
        <f t="shared" si="8"/>
        <v/>
      </c>
      <c r="F93" s="164" t="str">
        <f t="shared" si="9"/>
        <v/>
      </c>
      <c r="G93">
        <f t="shared" si="7"/>
        <v>1060</v>
      </c>
      <c r="H93" s="161"/>
      <c r="I93" s="161"/>
      <c r="J93" s="162" t="str">
        <f t="shared" si="10"/>
        <v/>
      </c>
      <c r="K93" s="162" t="str">
        <f t="shared" si="11"/>
        <v/>
      </c>
      <c r="X93" s="36"/>
    </row>
    <row r="94" spans="1:24" s="5" customFormat="1" ht="14">
      <c r="A94" s="43"/>
      <c r="B94" s="44"/>
      <c r="C94" s="9"/>
      <c r="D94" s="264"/>
      <c r="E94" s="163" t="str">
        <f t="shared" si="8"/>
        <v/>
      </c>
      <c r="F94" s="164" t="str">
        <f t="shared" si="9"/>
        <v/>
      </c>
      <c r="G94">
        <f t="shared" si="7"/>
        <v>1061</v>
      </c>
      <c r="H94" s="161"/>
      <c r="I94" s="161"/>
      <c r="J94" s="162" t="str">
        <f t="shared" si="10"/>
        <v/>
      </c>
      <c r="K94" s="162" t="str">
        <f t="shared" si="11"/>
        <v/>
      </c>
      <c r="X94" s="36"/>
    </row>
    <row r="95" spans="1:24" s="5" customFormat="1" ht="14">
      <c r="A95" s="43"/>
      <c r="B95" s="131" t="s">
        <v>263</v>
      </c>
      <c r="C95" s="9"/>
      <c r="D95" s="264"/>
      <c r="E95" s="163" t="str">
        <f t="shared" si="8"/>
        <v/>
      </c>
      <c r="F95" s="164" t="str">
        <f t="shared" si="9"/>
        <v/>
      </c>
      <c r="G95">
        <f t="shared" si="7"/>
        <v>1062</v>
      </c>
      <c r="H95" s="161"/>
      <c r="I95" s="161"/>
      <c r="J95" s="162" t="str">
        <f t="shared" si="10"/>
        <v/>
      </c>
      <c r="K95" s="162" t="str">
        <f t="shared" si="11"/>
        <v/>
      </c>
      <c r="X95" s="36"/>
    </row>
    <row r="96" spans="1:24" s="5" customFormat="1" ht="14">
      <c r="A96" s="43"/>
      <c r="B96" s="44" t="s">
        <v>52</v>
      </c>
      <c r="C96" s="9" t="s">
        <v>13</v>
      </c>
      <c r="D96" s="264"/>
      <c r="E96" s="163" t="str">
        <f t="shared" si="8"/>
        <v/>
      </c>
      <c r="F96" s="164" t="str">
        <f t="shared" si="9"/>
        <v/>
      </c>
      <c r="G96">
        <f t="shared" si="7"/>
        <v>1063</v>
      </c>
      <c r="H96" s="161"/>
      <c r="I96" s="161"/>
      <c r="J96" s="162" t="str">
        <f t="shared" si="10"/>
        <v/>
      </c>
      <c r="K96" s="162" t="str">
        <f t="shared" si="11"/>
        <v/>
      </c>
      <c r="X96" s="36"/>
    </row>
    <row r="97" spans="1:24" s="5" customFormat="1" ht="14">
      <c r="A97" s="43"/>
      <c r="B97" s="44" t="s">
        <v>269</v>
      </c>
      <c r="C97" s="9" t="s">
        <v>13</v>
      </c>
      <c r="D97" s="264"/>
      <c r="E97" s="163" t="str">
        <f t="shared" si="8"/>
        <v/>
      </c>
      <c r="F97" s="164" t="str">
        <f t="shared" si="9"/>
        <v/>
      </c>
      <c r="G97">
        <f t="shared" si="7"/>
        <v>1064</v>
      </c>
      <c r="H97" s="161"/>
      <c r="I97" s="161"/>
      <c r="J97" s="162" t="str">
        <f t="shared" si="10"/>
        <v/>
      </c>
      <c r="K97" s="162" t="str">
        <f t="shared" si="11"/>
        <v/>
      </c>
      <c r="X97" s="36"/>
    </row>
    <row r="98" spans="1:24" s="5" customFormat="1" ht="14">
      <c r="A98" s="43"/>
      <c r="B98" s="44" t="s">
        <v>53</v>
      </c>
      <c r="C98" s="9" t="s">
        <v>13</v>
      </c>
      <c r="D98" s="264"/>
      <c r="E98" s="163" t="str">
        <f t="shared" si="8"/>
        <v/>
      </c>
      <c r="F98" s="164" t="str">
        <f t="shared" si="9"/>
        <v/>
      </c>
      <c r="G98">
        <f t="shared" si="7"/>
        <v>1065</v>
      </c>
      <c r="H98" s="161"/>
      <c r="I98" s="161"/>
      <c r="J98" s="162" t="str">
        <f t="shared" si="10"/>
        <v/>
      </c>
      <c r="K98" s="162" t="str">
        <f t="shared" si="11"/>
        <v/>
      </c>
      <c r="X98" s="36"/>
    </row>
    <row r="99" spans="1:24" s="5" customFormat="1" ht="14">
      <c r="A99" s="43"/>
      <c r="B99" s="44" t="s">
        <v>72</v>
      </c>
      <c r="C99" s="9" t="s">
        <v>13</v>
      </c>
      <c r="D99" s="264"/>
      <c r="E99" s="163" t="str">
        <f t="shared" si="8"/>
        <v/>
      </c>
      <c r="F99" s="164" t="str">
        <f t="shared" si="9"/>
        <v/>
      </c>
      <c r="G99">
        <f t="shared" si="7"/>
        <v>1066</v>
      </c>
      <c r="H99" s="161"/>
      <c r="I99" s="161"/>
      <c r="J99" s="162" t="str">
        <f t="shared" si="10"/>
        <v/>
      </c>
      <c r="K99" s="162" t="str">
        <f t="shared" si="11"/>
        <v/>
      </c>
      <c r="X99" s="36"/>
    </row>
    <row r="100" spans="1:24" s="5" customFormat="1" ht="14">
      <c r="A100" s="43"/>
      <c r="B100" s="44" t="s">
        <v>275</v>
      </c>
      <c r="C100" s="9" t="s">
        <v>13</v>
      </c>
      <c r="D100" s="264"/>
      <c r="E100" s="163" t="str">
        <f t="shared" si="8"/>
        <v/>
      </c>
      <c r="F100" s="164" t="str">
        <f t="shared" si="9"/>
        <v/>
      </c>
      <c r="G100">
        <f t="shared" si="7"/>
        <v>1067</v>
      </c>
      <c r="H100" s="161"/>
      <c r="I100" s="161"/>
      <c r="J100" s="162" t="str">
        <f t="shared" si="10"/>
        <v/>
      </c>
      <c r="K100" s="162" t="str">
        <f t="shared" si="11"/>
        <v/>
      </c>
      <c r="X100" s="36"/>
    </row>
    <row r="101" spans="1:24" s="5" customFormat="1" ht="14">
      <c r="A101" s="43"/>
      <c r="B101" s="44" t="s">
        <v>447</v>
      </c>
      <c r="C101" s="9" t="s">
        <v>13</v>
      </c>
      <c r="D101" s="264"/>
      <c r="E101" s="163" t="str">
        <f t="shared" si="8"/>
        <v/>
      </c>
      <c r="F101" s="164" t="str">
        <f t="shared" si="9"/>
        <v/>
      </c>
      <c r="G101">
        <f t="shared" si="7"/>
        <v>1068</v>
      </c>
      <c r="H101" s="161"/>
      <c r="I101" s="161"/>
      <c r="J101" s="162" t="str">
        <f t="shared" si="10"/>
        <v/>
      </c>
      <c r="K101" s="162" t="str">
        <f t="shared" si="11"/>
        <v/>
      </c>
      <c r="X101" s="36"/>
    </row>
    <row r="102" spans="1:24" s="5" customFormat="1" ht="14">
      <c r="A102" s="43"/>
      <c r="B102" s="44" t="s">
        <v>54</v>
      </c>
      <c r="C102" s="9" t="s">
        <v>13</v>
      </c>
      <c r="D102" s="264"/>
      <c r="E102" s="163" t="str">
        <f t="shared" si="8"/>
        <v/>
      </c>
      <c r="F102" s="164" t="str">
        <f t="shared" si="9"/>
        <v/>
      </c>
      <c r="G102">
        <f t="shared" si="7"/>
        <v>1069</v>
      </c>
      <c r="H102" s="161"/>
      <c r="I102" s="161"/>
      <c r="J102" s="162" t="str">
        <f t="shared" si="10"/>
        <v/>
      </c>
      <c r="K102" s="162" t="str">
        <f t="shared" si="11"/>
        <v/>
      </c>
      <c r="X102" s="36"/>
    </row>
    <row r="103" spans="1:24" s="5" customFormat="1" ht="14">
      <c r="A103" s="43"/>
      <c r="B103" s="44" t="s">
        <v>448</v>
      </c>
      <c r="C103" s="9" t="s">
        <v>13</v>
      </c>
      <c r="D103" s="264"/>
      <c r="E103" s="163" t="str">
        <f t="shared" si="8"/>
        <v/>
      </c>
      <c r="F103" s="164" t="str">
        <f t="shared" si="9"/>
        <v/>
      </c>
      <c r="G103">
        <f t="shared" si="7"/>
        <v>1070</v>
      </c>
      <c r="H103" s="161"/>
      <c r="I103" s="161"/>
      <c r="J103" s="162" t="str">
        <f t="shared" si="10"/>
        <v/>
      </c>
      <c r="K103" s="162" t="str">
        <f t="shared" si="11"/>
        <v/>
      </c>
      <c r="X103" s="36"/>
    </row>
    <row r="104" spans="1:24" s="5" customFormat="1" ht="14">
      <c r="A104" s="43"/>
      <c r="B104" s="44"/>
      <c r="C104" s="9"/>
      <c r="D104" s="264"/>
      <c r="E104" s="163" t="str">
        <f t="shared" si="8"/>
        <v/>
      </c>
      <c r="F104" s="164" t="str">
        <f t="shared" si="9"/>
        <v/>
      </c>
      <c r="G104">
        <f t="shared" si="7"/>
        <v>1071</v>
      </c>
      <c r="H104" s="161"/>
      <c r="I104" s="161"/>
      <c r="J104" s="162" t="str">
        <f t="shared" si="10"/>
        <v/>
      </c>
      <c r="K104" s="162" t="str">
        <f t="shared" si="11"/>
        <v/>
      </c>
      <c r="X104" s="36"/>
    </row>
    <row r="105" spans="1:24" s="5" customFormat="1" ht="14">
      <c r="A105" s="43"/>
      <c r="B105" s="44" t="s">
        <v>266</v>
      </c>
      <c r="C105" s="9" t="s">
        <v>13</v>
      </c>
      <c r="D105" s="264">
        <v>3</v>
      </c>
      <c r="E105" s="163">
        <f t="shared" si="8"/>
        <v>0</v>
      </c>
      <c r="F105" s="164">
        <f t="shared" si="9"/>
        <v>0</v>
      </c>
      <c r="G105">
        <f t="shared" si="7"/>
        <v>1072</v>
      </c>
      <c r="H105" s="161"/>
      <c r="I105" s="161"/>
      <c r="J105" s="162">
        <f t="shared" si="10"/>
        <v>0</v>
      </c>
      <c r="K105" s="162">
        <f t="shared" si="11"/>
        <v>0</v>
      </c>
      <c r="X105" s="36"/>
    </row>
    <row r="106" spans="1:24" s="5" customFormat="1" ht="14">
      <c r="A106" s="43"/>
      <c r="B106" s="44" t="s">
        <v>449</v>
      </c>
      <c r="C106" s="9" t="s">
        <v>13</v>
      </c>
      <c r="D106" s="264"/>
      <c r="E106" s="163" t="str">
        <f t="shared" si="8"/>
        <v/>
      </c>
      <c r="F106" s="164" t="str">
        <f t="shared" si="9"/>
        <v/>
      </c>
      <c r="G106">
        <f t="shared" si="7"/>
        <v>1073</v>
      </c>
      <c r="H106" s="161"/>
      <c r="I106" s="161"/>
      <c r="J106" s="162" t="str">
        <f t="shared" si="10"/>
        <v/>
      </c>
      <c r="K106" s="162" t="str">
        <f t="shared" si="11"/>
        <v/>
      </c>
      <c r="X106" s="36"/>
    </row>
    <row r="107" spans="1:24" s="5" customFormat="1" ht="14">
      <c r="A107" s="43"/>
      <c r="B107" s="128"/>
      <c r="C107" s="9"/>
      <c r="D107" s="264"/>
      <c r="E107" s="163" t="str">
        <f t="shared" si="8"/>
        <v/>
      </c>
      <c r="F107" s="164" t="str">
        <f t="shared" si="9"/>
        <v/>
      </c>
      <c r="G107">
        <f t="shared" si="7"/>
        <v>1074</v>
      </c>
      <c r="H107" s="161"/>
      <c r="I107" s="161"/>
      <c r="J107" s="162" t="str">
        <f t="shared" si="10"/>
        <v/>
      </c>
      <c r="K107" s="162" t="str">
        <f t="shared" si="11"/>
        <v/>
      </c>
      <c r="X107" s="36"/>
    </row>
    <row r="108" spans="1:24" s="5" customFormat="1" ht="14">
      <c r="A108" s="43"/>
      <c r="B108" s="132" t="s">
        <v>450</v>
      </c>
      <c r="C108" s="9" t="s">
        <v>13</v>
      </c>
      <c r="D108" s="264"/>
      <c r="E108" s="163" t="str">
        <f t="shared" si="8"/>
        <v/>
      </c>
      <c r="F108" s="164" t="str">
        <f t="shared" si="9"/>
        <v/>
      </c>
      <c r="G108">
        <f t="shared" si="7"/>
        <v>1075</v>
      </c>
      <c r="H108" s="161"/>
      <c r="I108" s="161"/>
      <c r="J108" s="162" t="str">
        <f t="shared" si="10"/>
        <v/>
      </c>
      <c r="K108" s="162" t="str">
        <f t="shared" si="11"/>
        <v/>
      </c>
      <c r="X108" s="36"/>
    </row>
    <row r="109" spans="1:24" s="5" customFormat="1" ht="14">
      <c r="A109" s="2"/>
      <c r="B109" s="132" t="s">
        <v>451</v>
      </c>
      <c r="C109" s="9" t="s">
        <v>13</v>
      </c>
      <c r="D109" s="264"/>
      <c r="E109" s="163" t="str">
        <f t="shared" si="8"/>
        <v/>
      </c>
      <c r="F109" s="164" t="str">
        <f t="shared" si="9"/>
        <v/>
      </c>
      <c r="G109">
        <f t="shared" si="7"/>
        <v>1076</v>
      </c>
      <c r="H109" s="161"/>
      <c r="I109" s="161"/>
      <c r="J109" s="162" t="str">
        <f t="shared" si="10"/>
        <v/>
      </c>
      <c r="K109" s="162" t="str">
        <f t="shared" si="11"/>
        <v/>
      </c>
      <c r="X109" s="36"/>
    </row>
    <row r="110" spans="1:24" s="5" customFormat="1" ht="14">
      <c r="A110" s="2"/>
      <c r="B110" s="132" t="s">
        <v>388</v>
      </c>
      <c r="C110" s="9" t="s">
        <v>13</v>
      </c>
      <c r="D110" s="264"/>
      <c r="E110" s="163" t="str">
        <f t="shared" si="8"/>
        <v/>
      </c>
      <c r="F110" s="164" t="str">
        <f t="shared" si="9"/>
        <v/>
      </c>
      <c r="G110">
        <f t="shared" si="7"/>
        <v>1077</v>
      </c>
      <c r="H110" s="161"/>
      <c r="I110" s="161"/>
      <c r="J110" s="162" t="str">
        <f t="shared" si="10"/>
        <v/>
      </c>
      <c r="K110" s="162" t="str">
        <f t="shared" si="11"/>
        <v/>
      </c>
      <c r="X110" s="36"/>
    </row>
    <row r="111" spans="1:24" s="5" customFormat="1" ht="14">
      <c r="A111" s="2"/>
      <c r="B111" s="44"/>
      <c r="C111" s="9" t="s">
        <v>13</v>
      </c>
      <c r="D111" s="264"/>
      <c r="E111" s="163" t="str">
        <f t="shared" si="8"/>
        <v/>
      </c>
      <c r="F111" s="164" t="str">
        <f t="shared" si="9"/>
        <v/>
      </c>
      <c r="G111">
        <f t="shared" si="7"/>
        <v>1078</v>
      </c>
      <c r="H111" s="161"/>
      <c r="I111" s="161"/>
      <c r="J111" s="162" t="str">
        <f t="shared" si="10"/>
        <v/>
      </c>
      <c r="K111" s="162" t="str">
        <f t="shared" si="11"/>
        <v/>
      </c>
      <c r="X111" s="36"/>
    </row>
    <row r="112" spans="1:24" s="5" customFormat="1" ht="14">
      <c r="A112" s="2"/>
      <c r="B112" s="39" t="s">
        <v>236</v>
      </c>
      <c r="C112" s="9"/>
      <c r="D112" s="264"/>
      <c r="E112" s="163" t="str">
        <f t="shared" si="8"/>
        <v/>
      </c>
      <c r="F112" s="164" t="str">
        <f t="shared" si="9"/>
        <v/>
      </c>
      <c r="G112">
        <f t="shared" si="7"/>
        <v>1079</v>
      </c>
      <c r="H112" s="161"/>
      <c r="I112" s="161"/>
      <c r="J112" s="162" t="str">
        <f t="shared" si="10"/>
        <v/>
      </c>
      <c r="K112" s="162" t="str">
        <f t="shared" si="11"/>
        <v/>
      </c>
      <c r="X112" s="36"/>
    </row>
    <row r="113" spans="1:24" s="5" customFormat="1" ht="14">
      <c r="A113" s="2"/>
      <c r="B113" s="39" t="s">
        <v>237</v>
      </c>
      <c r="C113" s="27" t="s">
        <v>12</v>
      </c>
      <c r="D113" s="264">
        <f>D25</f>
        <v>3</v>
      </c>
      <c r="E113" s="163">
        <f t="shared" si="8"/>
        <v>0</v>
      </c>
      <c r="F113" s="164">
        <f t="shared" si="9"/>
        <v>0</v>
      </c>
      <c r="G113">
        <f t="shared" si="7"/>
        <v>1080</v>
      </c>
      <c r="H113" s="161"/>
      <c r="I113" s="161"/>
      <c r="J113" s="162">
        <f t="shared" si="10"/>
        <v>0</v>
      </c>
      <c r="K113" s="162">
        <f t="shared" si="11"/>
        <v>0</v>
      </c>
      <c r="X113" s="36"/>
    </row>
    <row r="114" spans="1:24" s="5" customFormat="1" ht="14">
      <c r="A114" s="19"/>
      <c r="B114" s="38"/>
      <c r="C114" s="9"/>
      <c r="D114" s="264"/>
      <c r="E114" s="163" t="str">
        <f t="shared" si="8"/>
        <v/>
      </c>
      <c r="F114" s="164" t="str">
        <f t="shared" si="9"/>
        <v/>
      </c>
      <c r="G114">
        <f t="shared" si="7"/>
        <v>1081</v>
      </c>
      <c r="H114" s="161"/>
      <c r="I114" s="161"/>
      <c r="J114" s="162" t="str">
        <f t="shared" si="10"/>
        <v/>
      </c>
      <c r="K114" s="162" t="str">
        <f t="shared" si="11"/>
        <v/>
      </c>
      <c r="X114" s="36"/>
    </row>
    <row r="115" spans="1:24" s="5" customFormat="1" ht="14">
      <c r="A115" s="2"/>
      <c r="B115" s="73" t="s">
        <v>376</v>
      </c>
      <c r="C115" s="72"/>
      <c r="D115" s="264"/>
      <c r="E115" s="163" t="str">
        <f t="shared" si="8"/>
        <v/>
      </c>
      <c r="F115" s="164" t="str">
        <f t="shared" si="9"/>
        <v/>
      </c>
      <c r="G115">
        <f t="shared" si="7"/>
        <v>1082</v>
      </c>
      <c r="H115" s="161"/>
      <c r="I115" s="161"/>
      <c r="J115" s="162" t="str">
        <f t="shared" si="10"/>
        <v/>
      </c>
      <c r="K115" s="162" t="str">
        <f t="shared" si="11"/>
        <v/>
      </c>
      <c r="X115" s="36"/>
    </row>
    <row r="116" spans="1:24" s="5" customFormat="1" ht="12.75" customHeight="1">
      <c r="A116" s="2"/>
      <c r="B116" s="127"/>
      <c r="C116" s="9"/>
      <c r="D116" s="264"/>
      <c r="E116" s="163" t="str">
        <f t="shared" si="8"/>
        <v/>
      </c>
      <c r="F116" s="164" t="str">
        <f t="shared" si="9"/>
        <v/>
      </c>
      <c r="G116">
        <f t="shared" si="7"/>
        <v>1083</v>
      </c>
      <c r="H116" s="161"/>
      <c r="I116" s="161"/>
      <c r="J116" s="162" t="str">
        <f t="shared" si="10"/>
        <v/>
      </c>
      <c r="K116" s="162" t="str">
        <f t="shared" si="11"/>
        <v/>
      </c>
      <c r="X116" s="36"/>
    </row>
    <row r="117" spans="1:24" s="5" customFormat="1" ht="14">
      <c r="A117" s="2"/>
      <c r="B117" s="35" t="s">
        <v>377</v>
      </c>
      <c r="C117" s="9"/>
      <c r="D117" s="264"/>
      <c r="E117" s="163" t="str">
        <f t="shared" si="8"/>
        <v/>
      </c>
      <c r="F117" s="164" t="str">
        <f t="shared" si="9"/>
        <v/>
      </c>
      <c r="G117">
        <f t="shared" si="7"/>
        <v>1084</v>
      </c>
      <c r="H117" s="161"/>
      <c r="I117" s="161"/>
      <c r="J117" s="162" t="str">
        <f t="shared" si="10"/>
        <v/>
      </c>
      <c r="K117" s="162" t="str">
        <f t="shared" si="11"/>
        <v/>
      </c>
      <c r="X117" s="36"/>
    </row>
    <row r="118" spans="1:24" s="5" customFormat="1" ht="14">
      <c r="A118" s="2"/>
      <c r="B118" s="35"/>
      <c r="C118" s="9"/>
      <c r="D118" s="264"/>
      <c r="E118" s="163" t="str">
        <f t="shared" si="8"/>
        <v/>
      </c>
      <c r="F118" s="164" t="str">
        <f t="shared" si="9"/>
        <v/>
      </c>
      <c r="G118">
        <f t="shared" si="7"/>
        <v>1085</v>
      </c>
      <c r="H118" s="161"/>
      <c r="I118" s="161"/>
      <c r="J118" s="162" t="str">
        <f t="shared" si="10"/>
        <v/>
      </c>
      <c r="K118" s="162" t="str">
        <f t="shared" si="11"/>
        <v/>
      </c>
      <c r="X118" s="36"/>
    </row>
    <row r="119" spans="1:24" s="5" customFormat="1" ht="14">
      <c r="A119" s="19" t="s">
        <v>378</v>
      </c>
      <c r="B119" s="37" t="s">
        <v>380</v>
      </c>
      <c r="C119" s="9"/>
      <c r="D119" s="264"/>
      <c r="E119" s="163" t="str">
        <f t="shared" si="8"/>
        <v/>
      </c>
      <c r="F119" s="164" t="str">
        <f t="shared" si="9"/>
        <v/>
      </c>
      <c r="G119">
        <f t="shared" si="7"/>
        <v>1086</v>
      </c>
      <c r="H119" s="161"/>
      <c r="I119" s="161"/>
      <c r="J119" s="162" t="str">
        <f t="shared" si="10"/>
        <v/>
      </c>
      <c r="K119" s="162" t="str">
        <f t="shared" si="11"/>
        <v/>
      </c>
      <c r="X119" s="36"/>
    </row>
    <row r="120" spans="1:24" s="5" customFormat="1" ht="14">
      <c r="A120" s="19"/>
      <c r="B120" s="37"/>
      <c r="C120" s="9"/>
      <c r="D120" s="264"/>
      <c r="E120" s="163" t="str">
        <f t="shared" si="8"/>
        <v/>
      </c>
      <c r="F120" s="164" t="str">
        <f t="shared" si="9"/>
        <v/>
      </c>
      <c r="G120">
        <f t="shared" si="7"/>
        <v>1087</v>
      </c>
      <c r="H120" s="161"/>
      <c r="I120" s="161"/>
      <c r="J120" s="162" t="str">
        <f t="shared" si="10"/>
        <v/>
      </c>
      <c r="K120" s="162" t="str">
        <f t="shared" si="11"/>
        <v/>
      </c>
      <c r="X120" s="36"/>
    </row>
    <row r="121" spans="1:24" s="5" customFormat="1" ht="14">
      <c r="A121" s="43"/>
      <c r="B121" s="131" t="s">
        <v>262</v>
      </c>
      <c r="C121" s="9"/>
      <c r="D121" s="264"/>
      <c r="E121" s="163" t="str">
        <f t="shared" si="8"/>
        <v/>
      </c>
      <c r="F121" s="164" t="str">
        <f t="shared" si="9"/>
        <v/>
      </c>
      <c r="G121">
        <f t="shared" si="7"/>
        <v>1088</v>
      </c>
      <c r="H121" s="161"/>
      <c r="I121" s="161"/>
      <c r="J121" s="162" t="str">
        <f t="shared" si="10"/>
        <v/>
      </c>
      <c r="K121" s="162" t="str">
        <f t="shared" si="11"/>
        <v/>
      </c>
      <c r="X121" s="36"/>
    </row>
    <row r="122" spans="1:24" s="5" customFormat="1" ht="14">
      <c r="A122" s="43"/>
      <c r="B122" s="44" t="s">
        <v>52</v>
      </c>
      <c r="C122" s="9" t="s">
        <v>13</v>
      </c>
      <c r="D122" s="264"/>
      <c r="E122" s="163" t="str">
        <f t="shared" si="8"/>
        <v/>
      </c>
      <c r="F122" s="164" t="str">
        <f t="shared" si="9"/>
        <v/>
      </c>
      <c r="G122">
        <f t="shared" si="7"/>
        <v>1089</v>
      </c>
      <c r="H122" s="161"/>
      <c r="I122" s="161"/>
      <c r="J122" s="162" t="str">
        <f t="shared" si="10"/>
        <v/>
      </c>
      <c r="K122" s="162" t="str">
        <f t="shared" si="11"/>
        <v/>
      </c>
      <c r="X122" s="36"/>
    </row>
    <row r="123" spans="1:24" s="5" customFormat="1" ht="14">
      <c r="A123" s="43"/>
      <c r="B123" s="44" t="s">
        <v>269</v>
      </c>
      <c r="C123" s="9" t="s">
        <v>13</v>
      </c>
      <c r="D123" s="264"/>
      <c r="E123" s="163" t="str">
        <f t="shared" si="8"/>
        <v/>
      </c>
      <c r="F123" s="164" t="str">
        <f t="shared" si="9"/>
        <v/>
      </c>
      <c r="G123">
        <f t="shared" si="7"/>
        <v>1090</v>
      </c>
      <c r="H123" s="161"/>
      <c r="I123" s="161"/>
      <c r="J123" s="162" t="str">
        <f t="shared" si="10"/>
        <v/>
      </c>
      <c r="K123" s="162" t="str">
        <f t="shared" si="11"/>
        <v/>
      </c>
      <c r="X123" s="36"/>
    </row>
    <row r="124" spans="1:24" s="5" customFormat="1" ht="14">
      <c r="A124" s="43"/>
      <c r="B124" s="44" t="s">
        <v>53</v>
      </c>
      <c r="C124" s="9" t="s">
        <v>13</v>
      </c>
      <c r="D124" s="264"/>
      <c r="E124" s="163" t="str">
        <f t="shared" si="8"/>
        <v/>
      </c>
      <c r="F124" s="164" t="str">
        <f t="shared" si="9"/>
        <v/>
      </c>
      <c r="G124">
        <f t="shared" si="7"/>
        <v>1091</v>
      </c>
      <c r="H124" s="161"/>
      <c r="I124" s="161"/>
      <c r="J124" s="162" t="str">
        <f t="shared" si="10"/>
        <v/>
      </c>
      <c r="K124" s="162" t="str">
        <f t="shared" si="11"/>
        <v/>
      </c>
      <c r="X124" s="36"/>
    </row>
    <row r="125" spans="1:24" s="5" customFormat="1" ht="14">
      <c r="A125" s="43"/>
      <c r="B125" s="44" t="s">
        <v>72</v>
      </c>
      <c r="C125" s="9" t="s">
        <v>13</v>
      </c>
      <c r="D125" s="264"/>
      <c r="E125" s="163" t="str">
        <f t="shared" si="8"/>
        <v/>
      </c>
      <c r="F125" s="164" t="str">
        <f t="shared" si="9"/>
        <v/>
      </c>
      <c r="G125">
        <f t="shared" si="7"/>
        <v>1092</v>
      </c>
      <c r="H125" s="161"/>
      <c r="I125" s="161"/>
      <c r="J125" s="162" t="str">
        <f t="shared" si="10"/>
        <v/>
      </c>
      <c r="K125" s="162" t="str">
        <f t="shared" si="11"/>
        <v/>
      </c>
      <c r="X125" s="36"/>
    </row>
    <row r="126" spans="1:24" s="5" customFormat="1" ht="14">
      <c r="A126" s="43"/>
      <c r="B126" s="44" t="s">
        <v>275</v>
      </c>
      <c r="C126" s="9" t="s">
        <v>13</v>
      </c>
      <c r="D126" s="264"/>
      <c r="E126" s="163" t="str">
        <f t="shared" si="8"/>
        <v/>
      </c>
      <c r="F126" s="164" t="str">
        <f t="shared" si="9"/>
        <v/>
      </c>
      <c r="G126">
        <f t="shared" si="7"/>
        <v>1093</v>
      </c>
      <c r="H126" s="161"/>
      <c r="I126" s="161"/>
      <c r="J126" s="162" t="str">
        <f t="shared" si="10"/>
        <v/>
      </c>
      <c r="K126" s="162" t="str">
        <f t="shared" si="11"/>
        <v/>
      </c>
      <c r="X126" s="36"/>
    </row>
    <row r="127" spans="1:24" s="5" customFormat="1" ht="14">
      <c r="A127" s="43"/>
      <c r="B127" s="44" t="s">
        <v>447</v>
      </c>
      <c r="C127" s="9" t="s">
        <v>13</v>
      </c>
      <c r="D127" s="264">
        <v>1</v>
      </c>
      <c r="E127" s="163">
        <f t="shared" si="8"/>
        <v>0</v>
      </c>
      <c r="F127" s="164">
        <f t="shared" si="9"/>
        <v>0</v>
      </c>
      <c r="G127">
        <f t="shared" si="7"/>
        <v>1094</v>
      </c>
      <c r="H127" s="161"/>
      <c r="I127" s="161"/>
      <c r="J127" s="162">
        <f t="shared" si="10"/>
        <v>0</v>
      </c>
      <c r="K127" s="162">
        <f t="shared" si="11"/>
        <v>0</v>
      </c>
      <c r="X127" s="36"/>
    </row>
    <row r="128" spans="1:24" s="5" customFormat="1" ht="14">
      <c r="A128" s="43"/>
      <c r="B128" s="44" t="s">
        <v>54</v>
      </c>
      <c r="C128" s="9" t="s">
        <v>13</v>
      </c>
      <c r="D128" s="264"/>
      <c r="E128" s="163" t="str">
        <f t="shared" si="8"/>
        <v/>
      </c>
      <c r="F128" s="164" t="str">
        <f t="shared" si="9"/>
        <v/>
      </c>
      <c r="G128">
        <f t="shared" si="7"/>
        <v>1095</v>
      </c>
      <c r="H128" s="161"/>
      <c r="I128" s="161"/>
      <c r="J128" s="162" t="str">
        <f t="shared" si="10"/>
        <v/>
      </c>
      <c r="K128" s="162" t="str">
        <f t="shared" si="11"/>
        <v/>
      </c>
      <c r="X128" s="36"/>
    </row>
    <row r="129" spans="1:24" s="5" customFormat="1" ht="14">
      <c r="A129" s="43"/>
      <c r="B129" s="44" t="s">
        <v>448</v>
      </c>
      <c r="C129" s="9" t="s">
        <v>13</v>
      </c>
      <c r="D129" s="264">
        <v>1</v>
      </c>
      <c r="E129" s="163">
        <f t="shared" si="8"/>
        <v>0</v>
      </c>
      <c r="F129" s="164">
        <f t="shared" si="9"/>
        <v>0</v>
      </c>
      <c r="G129">
        <f t="shared" si="7"/>
        <v>1096</v>
      </c>
      <c r="H129" s="161"/>
      <c r="I129" s="161"/>
      <c r="J129" s="162">
        <f t="shared" si="10"/>
        <v>0</v>
      </c>
      <c r="K129" s="162">
        <f t="shared" si="11"/>
        <v>0</v>
      </c>
      <c r="X129" s="36"/>
    </row>
    <row r="130" spans="1:24" s="5" customFormat="1" ht="14">
      <c r="A130" s="43"/>
      <c r="B130" s="44"/>
      <c r="C130" s="9"/>
      <c r="D130" s="264"/>
      <c r="E130" s="163" t="str">
        <f t="shared" si="8"/>
        <v/>
      </c>
      <c r="F130" s="164" t="str">
        <f t="shared" si="9"/>
        <v/>
      </c>
      <c r="G130">
        <f t="shared" si="7"/>
        <v>1097</v>
      </c>
      <c r="H130" s="161"/>
      <c r="I130" s="161"/>
      <c r="J130" s="162" t="str">
        <f t="shared" si="10"/>
        <v/>
      </c>
      <c r="K130" s="162" t="str">
        <f t="shared" si="11"/>
        <v/>
      </c>
      <c r="X130" s="36"/>
    </row>
    <row r="131" spans="1:24" s="5" customFormat="1" ht="14">
      <c r="A131" s="43"/>
      <c r="B131" s="131" t="s">
        <v>263</v>
      </c>
      <c r="C131" s="9"/>
      <c r="D131" s="264"/>
      <c r="E131" s="163" t="str">
        <f t="shared" si="8"/>
        <v/>
      </c>
      <c r="F131" s="164" t="str">
        <f t="shared" si="9"/>
        <v/>
      </c>
      <c r="G131">
        <f t="shared" si="7"/>
        <v>1098</v>
      </c>
      <c r="H131" s="161"/>
      <c r="I131" s="161"/>
      <c r="J131" s="162" t="str">
        <f t="shared" si="10"/>
        <v/>
      </c>
      <c r="K131" s="162" t="str">
        <f t="shared" si="11"/>
        <v/>
      </c>
      <c r="X131" s="36"/>
    </row>
    <row r="132" spans="1:24" s="5" customFormat="1" ht="14">
      <c r="A132" s="43"/>
      <c r="B132" s="44" t="s">
        <v>52</v>
      </c>
      <c r="C132" s="9" t="s">
        <v>13</v>
      </c>
      <c r="D132" s="264"/>
      <c r="E132" s="163" t="str">
        <f t="shared" si="8"/>
        <v/>
      </c>
      <c r="F132" s="164" t="str">
        <f t="shared" si="9"/>
        <v/>
      </c>
      <c r="G132">
        <f t="shared" si="7"/>
        <v>1099</v>
      </c>
      <c r="H132" s="161"/>
      <c r="I132" s="161"/>
      <c r="J132" s="162" t="str">
        <f t="shared" si="10"/>
        <v/>
      </c>
      <c r="K132" s="162" t="str">
        <f t="shared" si="11"/>
        <v/>
      </c>
      <c r="X132" s="36"/>
    </row>
    <row r="133" spans="1:24" s="5" customFormat="1" ht="14">
      <c r="A133" s="43"/>
      <c r="B133" s="44" t="s">
        <v>269</v>
      </c>
      <c r="C133" s="9" t="s">
        <v>13</v>
      </c>
      <c r="D133" s="264"/>
      <c r="E133" s="163" t="str">
        <f t="shared" si="8"/>
        <v/>
      </c>
      <c r="F133" s="164" t="str">
        <f t="shared" si="9"/>
        <v/>
      </c>
      <c r="G133">
        <f t="shared" si="7"/>
        <v>1100</v>
      </c>
      <c r="H133" s="161"/>
      <c r="I133" s="161"/>
      <c r="J133" s="162" t="str">
        <f t="shared" si="10"/>
        <v/>
      </c>
      <c r="K133" s="162" t="str">
        <f t="shared" si="11"/>
        <v/>
      </c>
      <c r="X133" s="36"/>
    </row>
    <row r="134" spans="1:24" s="5" customFormat="1" ht="14">
      <c r="A134" s="43"/>
      <c r="B134" s="44" t="s">
        <v>53</v>
      </c>
      <c r="C134" s="9" t="s">
        <v>13</v>
      </c>
      <c r="D134" s="264"/>
      <c r="E134" s="163" t="str">
        <f t="shared" si="8"/>
        <v/>
      </c>
      <c r="F134" s="164" t="str">
        <f t="shared" si="9"/>
        <v/>
      </c>
      <c r="G134">
        <f t="shared" si="7"/>
        <v>1101</v>
      </c>
      <c r="H134" s="161"/>
      <c r="I134" s="161"/>
      <c r="J134" s="162" t="str">
        <f t="shared" si="10"/>
        <v/>
      </c>
      <c r="K134" s="162" t="str">
        <f t="shared" si="11"/>
        <v/>
      </c>
      <c r="X134" s="36"/>
    </row>
    <row r="135" spans="1:24" s="5" customFormat="1" ht="14">
      <c r="A135" s="43"/>
      <c r="B135" s="44" t="s">
        <v>72</v>
      </c>
      <c r="C135" s="9" t="s">
        <v>13</v>
      </c>
      <c r="D135" s="264"/>
      <c r="E135" s="163" t="str">
        <f t="shared" si="8"/>
        <v/>
      </c>
      <c r="F135" s="164" t="str">
        <f t="shared" si="9"/>
        <v/>
      </c>
      <c r="G135">
        <f t="shared" si="7"/>
        <v>1102</v>
      </c>
      <c r="H135" s="161"/>
      <c r="I135" s="161"/>
      <c r="J135" s="162" t="str">
        <f t="shared" si="10"/>
        <v/>
      </c>
      <c r="K135" s="162" t="str">
        <f t="shared" si="11"/>
        <v/>
      </c>
      <c r="X135" s="36"/>
    </row>
    <row r="136" spans="1:24" s="5" customFormat="1" ht="14">
      <c r="A136" s="43"/>
      <c r="B136" s="44" t="s">
        <v>275</v>
      </c>
      <c r="C136" s="9" t="s">
        <v>13</v>
      </c>
      <c r="D136" s="264"/>
      <c r="E136" s="163" t="str">
        <f t="shared" si="8"/>
        <v/>
      </c>
      <c r="F136" s="164" t="str">
        <f t="shared" si="9"/>
        <v/>
      </c>
      <c r="G136">
        <f t="shared" si="7"/>
        <v>1103</v>
      </c>
      <c r="H136" s="161"/>
      <c r="I136" s="161"/>
      <c r="J136" s="162" t="str">
        <f t="shared" si="10"/>
        <v/>
      </c>
      <c r="K136" s="162" t="str">
        <f t="shared" si="11"/>
        <v/>
      </c>
      <c r="X136" s="36"/>
    </row>
    <row r="137" spans="1:24" s="5" customFormat="1" ht="14">
      <c r="A137" s="43"/>
      <c r="B137" s="44" t="s">
        <v>447</v>
      </c>
      <c r="C137" s="9" t="s">
        <v>13</v>
      </c>
      <c r="D137" s="264"/>
      <c r="E137" s="163" t="str">
        <f t="shared" si="8"/>
        <v/>
      </c>
      <c r="F137" s="164" t="str">
        <f t="shared" si="9"/>
        <v/>
      </c>
      <c r="G137">
        <f t="shared" si="7"/>
        <v>1104</v>
      </c>
      <c r="H137" s="161"/>
      <c r="I137" s="161"/>
      <c r="J137" s="162" t="str">
        <f t="shared" si="10"/>
        <v/>
      </c>
      <c r="K137" s="162" t="str">
        <f t="shared" si="11"/>
        <v/>
      </c>
      <c r="X137" s="36"/>
    </row>
    <row r="138" spans="1:24" s="5" customFormat="1" ht="14">
      <c r="A138" s="43"/>
      <c r="B138" s="44" t="s">
        <v>54</v>
      </c>
      <c r="C138" s="9" t="s">
        <v>13</v>
      </c>
      <c r="D138" s="264"/>
      <c r="E138" s="163" t="str">
        <f t="shared" si="8"/>
        <v/>
      </c>
      <c r="F138" s="164" t="str">
        <f t="shared" si="9"/>
        <v/>
      </c>
      <c r="G138">
        <f t="shared" si="7"/>
        <v>1105</v>
      </c>
      <c r="H138" s="161"/>
      <c r="I138" s="161"/>
      <c r="J138" s="162" t="str">
        <f t="shared" si="10"/>
        <v/>
      </c>
      <c r="K138" s="162" t="str">
        <f t="shared" si="11"/>
        <v/>
      </c>
      <c r="X138" s="36"/>
    </row>
    <row r="139" spans="1:24" s="5" customFormat="1" ht="14">
      <c r="A139" s="43"/>
      <c r="B139" s="44" t="s">
        <v>448</v>
      </c>
      <c r="C139" s="9" t="s">
        <v>13</v>
      </c>
      <c r="D139" s="264"/>
      <c r="E139" s="163" t="str">
        <f t="shared" si="8"/>
        <v/>
      </c>
      <c r="F139" s="164" t="str">
        <f t="shared" si="9"/>
        <v/>
      </c>
      <c r="G139">
        <f t="shared" si="7"/>
        <v>1106</v>
      </c>
      <c r="H139" s="161"/>
      <c r="I139" s="161"/>
      <c r="J139" s="162" t="str">
        <f t="shared" si="10"/>
        <v/>
      </c>
      <c r="K139" s="162" t="str">
        <f t="shared" si="11"/>
        <v/>
      </c>
      <c r="X139" s="36"/>
    </row>
    <row r="140" spans="1:24" s="5" customFormat="1" ht="14">
      <c r="A140" s="43"/>
      <c r="B140" s="44"/>
      <c r="C140" s="9"/>
      <c r="D140" s="264"/>
      <c r="E140" s="163" t="str">
        <f t="shared" si="8"/>
        <v/>
      </c>
      <c r="F140" s="164" t="str">
        <f t="shared" si="9"/>
        <v/>
      </c>
      <c r="G140">
        <f t="shared" si="7"/>
        <v>1107</v>
      </c>
      <c r="H140" s="161"/>
      <c r="I140" s="161"/>
      <c r="J140" s="162" t="str">
        <f t="shared" si="10"/>
        <v/>
      </c>
      <c r="K140" s="162" t="str">
        <f t="shared" si="11"/>
        <v/>
      </c>
      <c r="X140" s="36"/>
    </row>
    <row r="141" spans="1:24" s="5" customFormat="1" ht="14">
      <c r="A141" s="43"/>
      <c r="B141" s="44" t="s">
        <v>266</v>
      </c>
      <c r="C141" s="9" t="s">
        <v>13</v>
      </c>
      <c r="D141" s="264"/>
      <c r="E141" s="163" t="str">
        <f t="shared" si="8"/>
        <v/>
      </c>
      <c r="F141" s="164" t="str">
        <f t="shared" si="9"/>
        <v/>
      </c>
      <c r="G141">
        <f t="shared" si="7"/>
        <v>1108</v>
      </c>
      <c r="H141" s="161"/>
      <c r="I141" s="161"/>
      <c r="J141" s="162" t="str">
        <f t="shared" si="10"/>
        <v/>
      </c>
      <c r="K141" s="162" t="str">
        <f t="shared" si="11"/>
        <v/>
      </c>
      <c r="X141" s="36"/>
    </row>
    <row r="142" spans="1:24" s="5" customFormat="1" ht="14">
      <c r="A142" s="43"/>
      <c r="B142" s="44" t="s">
        <v>449</v>
      </c>
      <c r="C142" s="9" t="s">
        <v>13</v>
      </c>
      <c r="D142" s="264">
        <f>30/D149</f>
        <v>2.1428571428571428</v>
      </c>
      <c r="E142" s="163">
        <f t="shared" si="8"/>
        <v>0</v>
      </c>
      <c r="F142" s="164">
        <f t="shared" si="9"/>
        <v>0</v>
      </c>
      <c r="G142">
        <f t="shared" si="7"/>
        <v>1109</v>
      </c>
      <c r="H142" s="161"/>
      <c r="I142" s="161"/>
      <c r="J142" s="162">
        <f t="shared" si="10"/>
        <v>0</v>
      </c>
      <c r="K142" s="162">
        <f t="shared" si="11"/>
        <v>0</v>
      </c>
      <c r="X142" s="36"/>
    </row>
    <row r="143" spans="1:24" s="5" customFormat="1" ht="14">
      <c r="A143" s="43"/>
      <c r="B143" s="128"/>
      <c r="C143" s="9"/>
      <c r="D143" s="264"/>
      <c r="E143" s="163" t="str">
        <f t="shared" si="8"/>
        <v/>
      </c>
      <c r="F143" s="164" t="str">
        <f t="shared" si="9"/>
        <v/>
      </c>
      <c r="G143">
        <f t="shared" si="7"/>
        <v>1110</v>
      </c>
      <c r="H143" s="161"/>
      <c r="I143" s="161"/>
      <c r="J143" s="162" t="str">
        <f t="shared" si="10"/>
        <v/>
      </c>
      <c r="K143" s="162" t="str">
        <f t="shared" si="11"/>
        <v/>
      </c>
      <c r="X143" s="36"/>
    </row>
    <row r="144" spans="1:24" s="5" customFormat="1" ht="14">
      <c r="A144" s="43"/>
      <c r="B144" s="132" t="s">
        <v>450</v>
      </c>
      <c r="C144" s="9" t="s">
        <v>13</v>
      </c>
      <c r="D144" s="264"/>
      <c r="E144" s="163" t="str">
        <f t="shared" si="8"/>
        <v/>
      </c>
      <c r="F144" s="164" t="str">
        <f t="shared" si="9"/>
        <v/>
      </c>
      <c r="G144">
        <f t="shared" si="7"/>
        <v>1111</v>
      </c>
      <c r="H144" s="161"/>
      <c r="I144" s="161"/>
      <c r="J144" s="162" t="str">
        <f t="shared" si="10"/>
        <v/>
      </c>
      <c r="K144" s="162" t="str">
        <f t="shared" si="11"/>
        <v/>
      </c>
      <c r="X144" s="36"/>
    </row>
    <row r="145" spans="1:24" s="5" customFormat="1" ht="14">
      <c r="A145" s="2"/>
      <c r="B145" s="132" t="s">
        <v>451</v>
      </c>
      <c r="C145" s="9" t="s">
        <v>13</v>
      </c>
      <c r="D145" s="264"/>
      <c r="E145" s="163" t="str">
        <f t="shared" si="8"/>
        <v/>
      </c>
      <c r="F145" s="164" t="str">
        <f t="shared" si="9"/>
        <v/>
      </c>
      <c r="G145">
        <f t="shared" si="7"/>
        <v>1112</v>
      </c>
      <c r="H145" s="161"/>
      <c r="I145" s="161"/>
      <c r="J145" s="162" t="str">
        <f t="shared" si="10"/>
        <v/>
      </c>
      <c r="K145" s="162" t="str">
        <f t="shared" si="11"/>
        <v/>
      </c>
      <c r="X145" s="36"/>
    </row>
    <row r="146" spans="1:24" s="5" customFormat="1" ht="14">
      <c r="A146" s="2"/>
      <c r="B146" s="132" t="s">
        <v>388</v>
      </c>
      <c r="C146" s="9" t="s">
        <v>13</v>
      </c>
      <c r="D146" s="264"/>
      <c r="E146" s="163" t="str">
        <f t="shared" si="8"/>
        <v/>
      </c>
      <c r="F146" s="164" t="str">
        <f t="shared" si="9"/>
        <v/>
      </c>
      <c r="G146">
        <f t="shared" si="7"/>
        <v>1113</v>
      </c>
      <c r="H146" s="161"/>
      <c r="I146" s="161"/>
      <c r="J146" s="162" t="str">
        <f t="shared" si="10"/>
        <v/>
      </c>
      <c r="K146" s="162" t="str">
        <f t="shared" si="11"/>
        <v/>
      </c>
      <c r="X146" s="36"/>
    </row>
    <row r="147" spans="1:24" s="5" customFormat="1" ht="14">
      <c r="A147" s="43"/>
      <c r="B147" s="44"/>
      <c r="C147" s="9"/>
      <c r="D147" s="264"/>
      <c r="E147" s="163" t="str">
        <f t="shared" si="8"/>
        <v/>
      </c>
      <c r="F147" s="164" t="str">
        <f t="shared" si="9"/>
        <v/>
      </c>
      <c r="G147">
        <f t="shared" ref="G147:G186" si="12">G146+1</f>
        <v>1114</v>
      </c>
      <c r="H147" s="161"/>
      <c r="I147" s="161"/>
      <c r="J147" s="162" t="str">
        <f t="shared" si="10"/>
        <v/>
      </c>
      <c r="K147" s="162" t="str">
        <f t="shared" si="11"/>
        <v/>
      </c>
      <c r="X147" s="36"/>
    </row>
    <row r="148" spans="1:24" s="5" customFormat="1" ht="14">
      <c r="A148" s="43"/>
      <c r="B148" s="39" t="s">
        <v>543</v>
      </c>
      <c r="C148" s="9"/>
      <c r="D148" s="264"/>
      <c r="E148" s="163" t="str">
        <f t="shared" si="8"/>
        <v/>
      </c>
      <c r="F148" s="164" t="str">
        <f t="shared" si="9"/>
        <v/>
      </c>
      <c r="G148">
        <f t="shared" si="12"/>
        <v>1115</v>
      </c>
      <c r="H148" s="161"/>
      <c r="I148" s="161"/>
      <c r="J148" s="162" t="str">
        <f t="shared" si="10"/>
        <v/>
      </c>
      <c r="K148" s="162" t="str">
        <f t="shared" si="11"/>
        <v/>
      </c>
      <c r="X148" s="36"/>
    </row>
    <row r="149" spans="1:24" s="5" customFormat="1" ht="14">
      <c r="A149" s="43"/>
      <c r="B149" s="39" t="s">
        <v>544</v>
      </c>
      <c r="C149" s="27" t="s">
        <v>12</v>
      </c>
      <c r="D149" s="264">
        <f>D31</f>
        <v>14</v>
      </c>
      <c r="E149" s="163">
        <f t="shared" si="8"/>
        <v>0</v>
      </c>
      <c r="F149" s="164">
        <f t="shared" si="9"/>
        <v>0</v>
      </c>
      <c r="G149">
        <f t="shared" si="12"/>
        <v>1116</v>
      </c>
      <c r="H149" s="161"/>
      <c r="I149" s="161"/>
      <c r="J149" s="162">
        <f t="shared" si="10"/>
        <v>0</v>
      </c>
      <c r="K149" s="162">
        <f t="shared" si="11"/>
        <v>0</v>
      </c>
      <c r="X149" s="36"/>
    </row>
    <row r="150" spans="1:24" s="5" customFormat="1" ht="14">
      <c r="A150" s="2"/>
      <c r="B150" s="127"/>
      <c r="C150" s="9"/>
      <c r="D150" s="264"/>
      <c r="E150" s="163" t="str">
        <f t="shared" si="8"/>
        <v/>
      </c>
      <c r="F150" s="164" t="str">
        <f t="shared" si="9"/>
        <v/>
      </c>
      <c r="G150">
        <f t="shared" si="12"/>
        <v>1117</v>
      </c>
      <c r="H150" s="161"/>
      <c r="I150" s="161"/>
      <c r="J150" s="162" t="str">
        <f t="shared" si="10"/>
        <v/>
      </c>
      <c r="K150" s="162" t="str">
        <f t="shared" si="11"/>
        <v/>
      </c>
      <c r="X150" s="36"/>
    </row>
    <row r="151" spans="1:24" s="5" customFormat="1" ht="14">
      <c r="A151" s="2"/>
      <c r="B151" s="35" t="s">
        <v>381</v>
      </c>
      <c r="C151" s="9"/>
      <c r="D151" s="264"/>
      <c r="E151" s="163" t="str">
        <f t="shared" si="8"/>
        <v/>
      </c>
      <c r="F151" s="164" t="str">
        <f t="shared" si="9"/>
        <v/>
      </c>
      <c r="G151">
        <f t="shared" si="12"/>
        <v>1118</v>
      </c>
      <c r="H151" s="161"/>
      <c r="I151" s="161"/>
      <c r="J151" s="162" t="str">
        <f t="shared" si="10"/>
        <v/>
      </c>
      <c r="K151" s="162" t="str">
        <f t="shared" si="11"/>
        <v/>
      </c>
      <c r="X151" s="36"/>
    </row>
    <row r="152" spans="1:24" s="5" customFormat="1" ht="14">
      <c r="A152" s="2"/>
      <c r="B152" s="35"/>
      <c r="C152" s="9"/>
      <c r="D152" s="264"/>
      <c r="E152" s="163" t="str">
        <f t="shared" si="8"/>
        <v/>
      </c>
      <c r="F152" s="164" t="str">
        <f t="shared" si="9"/>
        <v/>
      </c>
      <c r="G152">
        <f t="shared" si="12"/>
        <v>1119</v>
      </c>
      <c r="H152" s="161"/>
      <c r="I152" s="161"/>
      <c r="J152" s="162" t="str">
        <f t="shared" si="10"/>
        <v/>
      </c>
      <c r="K152" s="162" t="str">
        <f t="shared" si="11"/>
        <v/>
      </c>
      <c r="X152" s="36"/>
    </row>
    <row r="153" spans="1:24" ht="14">
      <c r="A153" s="2" t="s">
        <v>411</v>
      </c>
      <c r="B153" s="41" t="s">
        <v>60</v>
      </c>
      <c r="C153" s="9"/>
      <c r="D153" s="264"/>
      <c r="E153" s="163" t="str">
        <f t="shared" ref="E153:E185" si="13">IF(D153="","",(((J153*$K$2)+(K153*$I$2*$I$3))*$K$3)/D153)</f>
        <v/>
      </c>
      <c r="F153" s="164" t="str">
        <f t="shared" ref="F153:F185" si="14">IF(D153="","",D153*E153)</f>
        <v/>
      </c>
      <c r="G153">
        <f t="shared" si="12"/>
        <v>1120</v>
      </c>
      <c r="H153" s="161"/>
      <c r="I153" s="161"/>
      <c r="J153" s="162" t="str">
        <f t="shared" ref="J153:J185" si="15">IF(D153="","",H153*D153)</f>
        <v/>
      </c>
      <c r="K153" s="162" t="str">
        <f t="shared" ref="K153:K185" si="16">IF(D153="","",D153*I153)</f>
        <v/>
      </c>
    </row>
    <row r="154" spans="1:24" ht="12.75" customHeight="1">
      <c r="A154" s="2"/>
      <c r="B154" s="42"/>
      <c r="C154" s="9"/>
      <c r="D154" s="264"/>
      <c r="E154" s="163" t="str">
        <f t="shared" si="13"/>
        <v/>
      </c>
      <c r="F154" s="164" t="str">
        <f t="shared" si="14"/>
        <v/>
      </c>
      <c r="G154">
        <f t="shared" si="12"/>
        <v>1121</v>
      </c>
      <c r="H154" s="161"/>
      <c r="I154" s="161"/>
      <c r="J154" s="162" t="str">
        <f t="shared" si="15"/>
        <v/>
      </c>
      <c r="K154" s="162" t="str">
        <f t="shared" si="16"/>
        <v/>
      </c>
    </row>
    <row r="155" spans="1:24" ht="12.75" customHeight="1">
      <c r="A155" s="69"/>
      <c r="B155" s="42" t="s">
        <v>391</v>
      </c>
      <c r="C155" s="9" t="s">
        <v>13</v>
      </c>
      <c r="D155" s="264">
        <f>D24+D25</f>
        <v>16</v>
      </c>
      <c r="E155" s="163">
        <f t="shared" si="13"/>
        <v>0</v>
      </c>
      <c r="F155" s="164">
        <f t="shared" si="14"/>
        <v>0</v>
      </c>
      <c r="G155">
        <f t="shared" si="12"/>
        <v>1122</v>
      </c>
      <c r="H155" s="161"/>
      <c r="I155" s="161"/>
      <c r="J155" s="162">
        <f t="shared" si="15"/>
        <v>0</v>
      </c>
      <c r="K155" s="162">
        <f t="shared" si="16"/>
        <v>0</v>
      </c>
    </row>
    <row r="156" spans="1:24" ht="12.75" customHeight="1">
      <c r="A156" s="69"/>
      <c r="B156" s="42" t="s">
        <v>392</v>
      </c>
      <c r="C156" s="9" t="s">
        <v>12</v>
      </c>
      <c r="D156" s="264">
        <v>1</v>
      </c>
      <c r="E156" s="163">
        <f t="shared" si="13"/>
        <v>0</v>
      </c>
      <c r="F156" s="164">
        <f t="shared" si="14"/>
        <v>0</v>
      </c>
      <c r="G156">
        <f t="shared" si="12"/>
        <v>1123</v>
      </c>
      <c r="H156" s="161"/>
      <c r="I156" s="161"/>
      <c r="J156" s="162">
        <f t="shared" si="15"/>
        <v>0</v>
      </c>
      <c r="K156" s="162">
        <f t="shared" si="16"/>
        <v>0</v>
      </c>
    </row>
    <row r="157" spans="1:24" ht="14">
      <c r="A157" s="69"/>
      <c r="B157" s="42" t="s">
        <v>56</v>
      </c>
      <c r="C157" s="14" t="s">
        <v>12</v>
      </c>
      <c r="D157" s="264">
        <v>1</v>
      </c>
      <c r="E157" s="163">
        <f t="shared" si="13"/>
        <v>0</v>
      </c>
      <c r="F157" s="164">
        <f t="shared" si="14"/>
        <v>0</v>
      </c>
      <c r="G157">
        <f t="shared" si="12"/>
        <v>1124</v>
      </c>
      <c r="H157" s="161"/>
      <c r="I157" s="161"/>
      <c r="J157" s="162">
        <f t="shared" si="15"/>
        <v>0</v>
      </c>
      <c r="K157" s="162">
        <f t="shared" si="16"/>
        <v>0</v>
      </c>
    </row>
    <row r="158" spans="1:24" ht="14">
      <c r="A158" s="69"/>
      <c r="B158" s="42"/>
      <c r="C158" s="14"/>
      <c r="D158" s="264"/>
      <c r="E158" s="163" t="str">
        <f t="shared" si="13"/>
        <v/>
      </c>
      <c r="F158" s="164" t="str">
        <f t="shared" si="14"/>
        <v/>
      </c>
      <c r="G158">
        <f t="shared" si="12"/>
        <v>1125</v>
      </c>
      <c r="H158" s="161"/>
      <c r="I158" s="161"/>
      <c r="J158" s="162" t="str">
        <f t="shared" si="15"/>
        <v/>
      </c>
      <c r="K158" s="162" t="str">
        <f t="shared" si="16"/>
        <v/>
      </c>
    </row>
    <row r="159" spans="1:24" ht="25">
      <c r="A159" s="69"/>
      <c r="B159" s="42" t="s">
        <v>454</v>
      </c>
      <c r="C159" s="9" t="s">
        <v>12</v>
      </c>
      <c r="D159" s="264">
        <v>1</v>
      </c>
      <c r="E159" s="163">
        <f t="shared" si="13"/>
        <v>0</v>
      </c>
      <c r="F159" s="164">
        <f t="shared" si="14"/>
        <v>0</v>
      </c>
      <c r="G159">
        <f t="shared" si="12"/>
        <v>1126</v>
      </c>
      <c r="H159" s="161"/>
      <c r="I159" s="161"/>
      <c r="J159" s="162">
        <f t="shared" si="15"/>
        <v>0</v>
      </c>
      <c r="K159" s="162">
        <f t="shared" si="16"/>
        <v>0</v>
      </c>
    </row>
    <row r="160" spans="1:24" ht="14">
      <c r="A160" s="70"/>
      <c r="B160" s="38"/>
      <c r="C160" s="9"/>
      <c r="D160" s="264"/>
      <c r="E160" s="163" t="str">
        <f t="shared" si="13"/>
        <v/>
      </c>
      <c r="F160" s="164" t="str">
        <f t="shared" si="14"/>
        <v/>
      </c>
      <c r="G160">
        <f t="shared" si="12"/>
        <v>1127</v>
      </c>
      <c r="H160" s="161"/>
      <c r="I160" s="161"/>
      <c r="J160" s="162" t="str">
        <f t="shared" si="15"/>
        <v/>
      </c>
      <c r="K160" s="162" t="str">
        <f t="shared" si="16"/>
        <v/>
      </c>
      <c r="X160" s="32"/>
    </row>
    <row r="161" spans="1:24" s="5" customFormat="1" ht="14">
      <c r="A161" s="2"/>
      <c r="B161" s="35" t="s">
        <v>415</v>
      </c>
      <c r="C161" s="9"/>
      <c r="D161" s="264"/>
      <c r="E161" s="163" t="str">
        <f t="shared" si="13"/>
        <v/>
      </c>
      <c r="F161" s="164" t="str">
        <f t="shared" si="14"/>
        <v/>
      </c>
      <c r="G161">
        <f t="shared" si="12"/>
        <v>1128</v>
      </c>
      <c r="H161" s="161"/>
      <c r="I161" s="161"/>
      <c r="J161" s="162" t="str">
        <f t="shared" si="15"/>
        <v/>
      </c>
      <c r="K161" s="162" t="str">
        <f t="shared" si="16"/>
        <v/>
      </c>
      <c r="X161" s="36"/>
    </row>
    <row r="162" spans="1:24" s="5" customFormat="1" ht="14">
      <c r="A162" s="2"/>
      <c r="B162" s="35"/>
      <c r="C162" s="9"/>
      <c r="D162" s="264"/>
      <c r="E162" s="163" t="str">
        <f t="shared" si="13"/>
        <v/>
      </c>
      <c r="F162" s="164" t="str">
        <f t="shared" si="14"/>
        <v/>
      </c>
      <c r="G162">
        <f t="shared" si="12"/>
        <v>1129</v>
      </c>
      <c r="H162" s="161"/>
      <c r="I162" s="161"/>
      <c r="J162" s="162" t="str">
        <f t="shared" si="15"/>
        <v/>
      </c>
      <c r="K162" s="162" t="str">
        <f t="shared" si="16"/>
        <v/>
      </c>
      <c r="X162" s="36"/>
    </row>
    <row r="163" spans="1:24" s="5" customFormat="1" ht="14">
      <c r="A163" s="19" t="s">
        <v>416</v>
      </c>
      <c r="B163" s="87" t="s">
        <v>92</v>
      </c>
      <c r="C163" s="33"/>
      <c r="D163" s="264"/>
      <c r="E163" s="163" t="str">
        <f t="shared" si="13"/>
        <v/>
      </c>
      <c r="F163" s="164" t="str">
        <f t="shared" si="14"/>
        <v/>
      </c>
      <c r="G163">
        <f t="shared" si="12"/>
        <v>1130</v>
      </c>
      <c r="H163" s="161"/>
      <c r="I163" s="161"/>
      <c r="J163" s="162" t="str">
        <f t="shared" si="15"/>
        <v/>
      </c>
      <c r="K163" s="162" t="str">
        <f t="shared" si="16"/>
        <v/>
      </c>
      <c r="X163" s="36"/>
    </row>
    <row r="164" spans="1:24" s="5" customFormat="1" ht="14">
      <c r="A164" s="19"/>
      <c r="B164" s="86"/>
      <c r="C164" s="33"/>
      <c r="D164" s="264"/>
      <c r="E164" s="163" t="str">
        <f t="shared" si="13"/>
        <v/>
      </c>
      <c r="F164" s="164" t="str">
        <f t="shared" si="14"/>
        <v/>
      </c>
      <c r="G164">
        <f t="shared" si="12"/>
        <v>1131</v>
      </c>
      <c r="H164" s="161"/>
      <c r="I164" s="161"/>
      <c r="J164" s="162" t="str">
        <f t="shared" si="15"/>
        <v/>
      </c>
      <c r="K164" s="162" t="str">
        <f t="shared" si="16"/>
        <v/>
      </c>
      <c r="X164" s="36"/>
    </row>
    <row r="165" spans="1:24" s="5" customFormat="1" ht="14">
      <c r="A165" s="19"/>
      <c r="B165" s="86" t="s">
        <v>93</v>
      </c>
      <c r="C165" s="33" t="s">
        <v>12</v>
      </c>
      <c r="D165" s="264">
        <f>QTE!J205</f>
        <v>12</v>
      </c>
      <c r="E165" s="163">
        <f t="shared" si="13"/>
        <v>0</v>
      </c>
      <c r="F165" s="164">
        <f t="shared" si="14"/>
        <v>0</v>
      </c>
      <c r="G165">
        <f t="shared" si="12"/>
        <v>1132</v>
      </c>
      <c r="H165" s="161"/>
      <c r="I165" s="161"/>
      <c r="J165" s="162">
        <f t="shared" si="15"/>
        <v>0</v>
      </c>
      <c r="K165" s="162">
        <f t="shared" si="16"/>
        <v>0</v>
      </c>
      <c r="X165" s="36"/>
    </row>
    <row r="166" spans="1:24" s="5" customFormat="1" ht="14">
      <c r="A166" s="19"/>
      <c r="B166" s="88"/>
      <c r="C166" s="33"/>
      <c r="D166" s="264"/>
      <c r="E166" s="163" t="str">
        <f t="shared" si="13"/>
        <v/>
      </c>
      <c r="F166" s="164" t="str">
        <f t="shared" si="14"/>
        <v/>
      </c>
      <c r="G166">
        <f t="shared" si="12"/>
        <v>1133</v>
      </c>
      <c r="H166" s="161"/>
      <c r="I166" s="161"/>
      <c r="J166" s="162" t="str">
        <f t="shared" si="15"/>
        <v/>
      </c>
      <c r="K166" s="162" t="str">
        <f t="shared" si="16"/>
        <v/>
      </c>
      <c r="X166" s="36"/>
    </row>
    <row r="167" spans="1:24" s="5" customFormat="1" ht="14">
      <c r="A167" s="19"/>
      <c r="B167" s="86" t="s">
        <v>94</v>
      </c>
      <c r="C167" s="33" t="s">
        <v>13</v>
      </c>
      <c r="D167" s="264">
        <f>1*D213</f>
        <v>58</v>
      </c>
      <c r="E167" s="163">
        <f t="shared" si="13"/>
        <v>0</v>
      </c>
      <c r="F167" s="164">
        <f t="shared" si="14"/>
        <v>0</v>
      </c>
      <c r="G167">
        <f t="shared" si="12"/>
        <v>1134</v>
      </c>
      <c r="H167" s="161"/>
      <c r="I167" s="161"/>
      <c r="J167" s="162">
        <f t="shared" si="15"/>
        <v>0</v>
      </c>
      <c r="K167" s="162">
        <f t="shared" si="16"/>
        <v>0</v>
      </c>
      <c r="X167" s="36"/>
    </row>
    <row r="168" spans="1:24" s="5" customFormat="1" ht="14">
      <c r="A168" s="19"/>
      <c r="B168" s="86" t="s">
        <v>95</v>
      </c>
      <c r="C168" s="33" t="s">
        <v>13</v>
      </c>
      <c r="D168" s="264">
        <f>1*D213</f>
        <v>58</v>
      </c>
      <c r="E168" s="163">
        <f t="shared" si="13"/>
        <v>0</v>
      </c>
      <c r="F168" s="164">
        <f t="shared" si="14"/>
        <v>0</v>
      </c>
      <c r="G168">
        <f t="shared" si="12"/>
        <v>1135</v>
      </c>
      <c r="H168" s="161"/>
      <c r="I168" s="161"/>
      <c r="J168" s="162">
        <f t="shared" si="15"/>
        <v>0</v>
      </c>
      <c r="K168" s="162">
        <f t="shared" si="16"/>
        <v>0</v>
      </c>
      <c r="X168" s="36"/>
    </row>
    <row r="169" spans="1:24" s="5" customFormat="1" ht="14">
      <c r="A169" s="19"/>
      <c r="B169" s="86" t="s">
        <v>96</v>
      </c>
      <c r="C169" s="33" t="s">
        <v>12</v>
      </c>
      <c r="D169" s="264">
        <v>1</v>
      </c>
      <c r="E169" s="163">
        <f t="shared" si="13"/>
        <v>0</v>
      </c>
      <c r="F169" s="164">
        <f t="shared" si="14"/>
        <v>0</v>
      </c>
      <c r="G169">
        <f t="shared" si="12"/>
        <v>1136</v>
      </c>
      <c r="H169" s="161"/>
      <c r="I169" s="161"/>
      <c r="J169" s="162">
        <f t="shared" si="15"/>
        <v>0</v>
      </c>
      <c r="K169" s="162">
        <f t="shared" si="16"/>
        <v>0</v>
      </c>
      <c r="X169" s="36"/>
    </row>
    <row r="170" spans="1:24" s="5" customFormat="1" ht="14">
      <c r="A170" s="19"/>
      <c r="B170" s="86" t="s">
        <v>189</v>
      </c>
      <c r="C170" s="33" t="s">
        <v>12</v>
      </c>
      <c r="D170" s="264">
        <v>1</v>
      </c>
      <c r="E170" s="163">
        <f t="shared" si="13"/>
        <v>0</v>
      </c>
      <c r="F170" s="164">
        <f t="shared" si="14"/>
        <v>0</v>
      </c>
      <c r="G170">
        <f t="shared" si="12"/>
        <v>1137</v>
      </c>
      <c r="H170" s="161"/>
      <c r="I170" s="161"/>
      <c r="J170" s="162">
        <f t="shared" si="15"/>
        <v>0</v>
      </c>
      <c r="K170" s="162">
        <f t="shared" si="16"/>
        <v>0</v>
      </c>
      <c r="X170" s="36"/>
    </row>
    <row r="171" spans="1:24" s="5" customFormat="1" ht="14">
      <c r="A171" s="19"/>
      <c r="B171" s="26"/>
      <c r="C171" s="33"/>
      <c r="D171" s="264"/>
      <c r="E171" s="163" t="str">
        <f t="shared" si="13"/>
        <v/>
      </c>
      <c r="F171" s="164" t="str">
        <f t="shared" si="14"/>
        <v/>
      </c>
      <c r="G171">
        <f t="shared" si="12"/>
        <v>1138</v>
      </c>
      <c r="H171" s="161"/>
      <c r="I171" s="161"/>
      <c r="J171" s="162" t="str">
        <f t="shared" si="15"/>
        <v/>
      </c>
      <c r="K171" s="162" t="str">
        <f t="shared" si="16"/>
        <v/>
      </c>
      <c r="X171" s="36"/>
    </row>
    <row r="172" spans="1:24" s="5" customFormat="1" ht="14">
      <c r="A172" s="19"/>
      <c r="B172" s="83" t="s">
        <v>414</v>
      </c>
      <c r="C172" s="33"/>
      <c r="D172" s="264"/>
      <c r="E172" s="163" t="str">
        <f t="shared" si="13"/>
        <v/>
      </c>
      <c r="F172" s="164" t="str">
        <f t="shared" si="14"/>
        <v/>
      </c>
      <c r="G172">
        <f t="shared" si="12"/>
        <v>1139</v>
      </c>
      <c r="H172" s="161"/>
      <c r="I172" s="161"/>
      <c r="J172" s="162" t="str">
        <f t="shared" si="15"/>
        <v/>
      </c>
      <c r="K172" s="162" t="str">
        <f t="shared" si="16"/>
        <v/>
      </c>
      <c r="X172" s="36"/>
    </row>
    <row r="173" spans="1:24" s="5" customFormat="1" ht="14">
      <c r="A173" s="19"/>
      <c r="B173" s="83"/>
      <c r="C173" s="33"/>
      <c r="D173" s="264"/>
      <c r="E173" s="163" t="str">
        <f t="shared" si="13"/>
        <v/>
      </c>
      <c r="F173" s="164" t="str">
        <f t="shared" si="14"/>
        <v/>
      </c>
      <c r="G173">
        <f t="shared" si="12"/>
        <v>1140</v>
      </c>
      <c r="H173" s="161"/>
      <c r="I173" s="161"/>
      <c r="J173" s="162" t="str">
        <f t="shared" si="15"/>
        <v/>
      </c>
      <c r="K173" s="162" t="str">
        <f t="shared" si="16"/>
        <v/>
      </c>
      <c r="X173" s="36"/>
    </row>
    <row r="174" spans="1:24" s="5" customFormat="1" ht="14">
      <c r="A174" s="19" t="s">
        <v>427</v>
      </c>
      <c r="B174" s="87" t="s">
        <v>426</v>
      </c>
      <c r="C174" s="33"/>
      <c r="D174" s="264"/>
      <c r="E174" s="163" t="str">
        <f t="shared" si="13"/>
        <v/>
      </c>
      <c r="F174" s="164" t="str">
        <f t="shared" si="14"/>
        <v/>
      </c>
      <c r="G174">
        <f t="shared" si="12"/>
        <v>1141</v>
      </c>
      <c r="H174" s="161"/>
      <c r="I174" s="161"/>
      <c r="J174" s="162" t="str">
        <f t="shared" si="15"/>
        <v/>
      </c>
      <c r="K174" s="162" t="str">
        <f t="shared" si="16"/>
        <v/>
      </c>
      <c r="X174" s="36"/>
    </row>
    <row r="175" spans="1:24" s="5" customFormat="1" ht="14">
      <c r="A175" s="19"/>
      <c r="B175" s="26"/>
      <c r="C175" s="33"/>
      <c r="D175" s="264"/>
      <c r="E175" s="163" t="str">
        <f t="shared" si="13"/>
        <v/>
      </c>
      <c r="F175" s="164" t="str">
        <f t="shared" si="14"/>
        <v/>
      </c>
      <c r="G175">
        <f t="shared" si="12"/>
        <v>1142</v>
      </c>
      <c r="H175" s="161"/>
      <c r="I175" s="161"/>
      <c r="J175" s="162" t="str">
        <f t="shared" si="15"/>
        <v/>
      </c>
      <c r="K175" s="162" t="str">
        <f t="shared" si="16"/>
        <v/>
      </c>
      <c r="X175" s="36"/>
    </row>
    <row r="176" spans="1:24" s="5" customFormat="1" ht="14">
      <c r="A176" s="19"/>
      <c r="B176" s="90" t="s">
        <v>433</v>
      </c>
      <c r="C176" s="57" t="s">
        <v>12</v>
      </c>
      <c r="D176" s="283"/>
      <c r="E176" s="163" t="str">
        <f t="shared" si="13"/>
        <v/>
      </c>
      <c r="F176" s="164" t="str">
        <f t="shared" si="14"/>
        <v/>
      </c>
      <c r="G176">
        <f t="shared" si="12"/>
        <v>1143</v>
      </c>
      <c r="H176" s="161"/>
      <c r="I176" s="161"/>
      <c r="J176" s="162" t="str">
        <f t="shared" si="15"/>
        <v/>
      </c>
      <c r="K176" s="162" t="str">
        <f t="shared" si="16"/>
        <v/>
      </c>
      <c r="X176" s="36"/>
    </row>
    <row r="177" spans="1:24" s="5" customFormat="1" ht="14">
      <c r="A177" s="19"/>
      <c r="B177" s="90" t="s">
        <v>434</v>
      </c>
      <c r="C177" s="57" t="s">
        <v>13</v>
      </c>
      <c r="D177" s="283"/>
      <c r="E177" s="163" t="str">
        <f t="shared" si="13"/>
        <v/>
      </c>
      <c r="F177" s="164" t="str">
        <f t="shared" si="14"/>
        <v/>
      </c>
      <c r="G177">
        <f t="shared" si="12"/>
        <v>1144</v>
      </c>
      <c r="H177" s="161"/>
      <c r="I177" s="161"/>
      <c r="J177" s="162" t="str">
        <f t="shared" si="15"/>
        <v/>
      </c>
      <c r="K177" s="162" t="str">
        <f t="shared" si="16"/>
        <v/>
      </c>
      <c r="X177" s="36"/>
    </row>
    <row r="178" spans="1:24" s="5" customFormat="1" ht="14">
      <c r="A178" s="19"/>
      <c r="B178" s="90" t="s">
        <v>435</v>
      </c>
      <c r="C178" s="57" t="s">
        <v>13</v>
      </c>
      <c r="D178" s="283"/>
      <c r="E178" s="163" t="str">
        <f t="shared" si="13"/>
        <v/>
      </c>
      <c r="F178" s="164" t="str">
        <f t="shared" si="14"/>
        <v/>
      </c>
      <c r="G178">
        <f t="shared" si="12"/>
        <v>1145</v>
      </c>
      <c r="H178" s="161"/>
      <c r="I178" s="161"/>
      <c r="J178" s="162" t="str">
        <f t="shared" si="15"/>
        <v/>
      </c>
      <c r="K178" s="162" t="str">
        <f t="shared" si="16"/>
        <v/>
      </c>
      <c r="X178" s="36"/>
    </row>
    <row r="179" spans="1:24" s="5" customFormat="1" ht="14">
      <c r="A179" s="19"/>
      <c r="B179" s="90" t="s">
        <v>441</v>
      </c>
      <c r="C179" s="57" t="s">
        <v>13</v>
      </c>
      <c r="D179" s="283"/>
      <c r="E179" s="163" t="str">
        <f t="shared" si="13"/>
        <v/>
      </c>
      <c r="F179" s="164" t="str">
        <f t="shared" si="14"/>
        <v/>
      </c>
      <c r="G179">
        <f t="shared" si="12"/>
        <v>1146</v>
      </c>
      <c r="H179" s="161"/>
      <c r="I179" s="161"/>
      <c r="J179" s="162" t="str">
        <f t="shared" si="15"/>
        <v/>
      </c>
      <c r="K179" s="162" t="str">
        <f t="shared" si="16"/>
        <v/>
      </c>
      <c r="X179" s="36"/>
    </row>
    <row r="180" spans="1:24" ht="14">
      <c r="A180" s="19"/>
      <c r="B180" s="90" t="s">
        <v>436</v>
      </c>
      <c r="C180" s="57" t="s">
        <v>12</v>
      </c>
      <c r="D180" s="283"/>
      <c r="E180" s="163" t="str">
        <f t="shared" si="13"/>
        <v/>
      </c>
      <c r="F180" s="164" t="str">
        <f t="shared" si="14"/>
        <v/>
      </c>
      <c r="G180">
        <f t="shared" si="12"/>
        <v>1147</v>
      </c>
      <c r="H180" s="161"/>
      <c r="I180" s="161"/>
      <c r="J180" s="162" t="str">
        <f t="shared" si="15"/>
        <v/>
      </c>
      <c r="K180" s="162" t="str">
        <f t="shared" si="16"/>
        <v/>
      </c>
    </row>
    <row r="181" spans="1:24" ht="14">
      <c r="A181" s="19"/>
      <c r="B181" s="90" t="s">
        <v>437</v>
      </c>
      <c r="C181" s="57" t="s">
        <v>12</v>
      </c>
      <c r="D181" s="283"/>
      <c r="E181" s="163" t="str">
        <f t="shared" si="13"/>
        <v/>
      </c>
      <c r="F181" s="164" t="str">
        <f t="shared" si="14"/>
        <v/>
      </c>
      <c r="G181">
        <f t="shared" si="12"/>
        <v>1148</v>
      </c>
      <c r="H181" s="161"/>
      <c r="I181" s="161"/>
      <c r="J181" s="162" t="str">
        <f t="shared" si="15"/>
        <v/>
      </c>
      <c r="K181" s="162" t="str">
        <f t="shared" si="16"/>
        <v/>
      </c>
    </row>
    <row r="182" spans="1:24" ht="14">
      <c r="A182" s="19"/>
      <c r="B182" s="90" t="s">
        <v>438</v>
      </c>
      <c r="C182" s="57" t="s">
        <v>12</v>
      </c>
      <c r="D182" s="283"/>
      <c r="E182" s="163" t="str">
        <f t="shared" si="13"/>
        <v/>
      </c>
      <c r="F182" s="164" t="str">
        <f t="shared" si="14"/>
        <v/>
      </c>
      <c r="G182">
        <f t="shared" si="12"/>
        <v>1149</v>
      </c>
      <c r="H182" s="161"/>
      <c r="I182" s="161"/>
      <c r="J182" s="162" t="str">
        <f t="shared" si="15"/>
        <v/>
      </c>
      <c r="K182" s="162" t="str">
        <f t="shared" si="16"/>
        <v/>
      </c>
    </row>
    <row r="183" spans="1:24" ht="14">
      <c r="A183" s="19"/>
      <c r="B183" s="90" t="s">
        <v>439</v>
      </c>
      <c r="C183" s="57" t="s">
        <v>12</v>
      </c>
      <c r="D183" s="283"/>
      <c r="E183" s="163" t="str">
        <f t="shared" si="13"/>
        <v/>
      </c>
      <c r="F183" s="164" t="str">
        <f t="shared" si="14"/>
        <v/>
      </c>
      <c r="G183">
        <f t="shared" si="12"/>
        <v>1150</v>
      </c>
      <c r="H183" s="161"/>
      <c r="I183" s="161"/>
      <c r="J183" s="162" t="str">
        <f t="shared" si="15"/>
        <v/>
      </c>
      <c r="K183" s="162" t="str">
        <f t="shared" si="16"/>
        <v/>
      </c>
    </row>
    <row r="184" spans="1:24" ht="12.75" customHeight="1">
      <c r="A184" s="19"/>
      <c r="B184" s="90" t="s">
        <v>440</v>
      </c>
      <c r="C184" s="57" t="s">
        <v>12</v>
      </c>
      <c r="D184" s="283"/>
      <c r="E184" s="163" t="str">
        <f t="shared" si="13"/>
        <v/>
      </c>
      <c r="F184" s="164" t="str">
        <f t="shared" si="14"/>
        <v/>
      </c>
      <c r="G184">
        <f t="shared" si="12"/>
        <v>1151</v>
      </c>
      <c r="H184" s="161"/>
      <c r="I184" s="161"/>
      <c r="J184" s="162" t="str">
        <f t="shared" si="15"/>
        <v/>
      </c>
      <c r="K184" s="162" t="str">
        <f t="shared" si="16"/>
        <v/>
      </c>
    </row>
    <row r="185" spans="1:24" ht="14.5" thickBot="1">
      <c r="A185" s="19"/>
      <c r="B185" s="140"/>
      <c r="C185" s="33"/>
      <c r="D185" s="264"/>
      <c r="E185" s="163" t="str">
        <f t="shared" si="13"/>
        <v/>
      </c>
      <c r="F185" s="164" t="str">
        <f t="shared" si="14"/>
        <v/>
      </c>
      <c r="G185">
        <f t="shared" si="12"/>
        <v>1152</v>
      </c>
      <c r="H185" s="161"/>
      <c r="I185" s="161"/>
      <c r="J185" s="162" t="str">
        <f t="shared" si="15"/>
        <v/>
      </c>
      <c r="K185" s="162" t="str">
        <f t="shared" si="16"/>
        <v/>
      </c>
    </row>
    <row r="186" spans="1:24" s="5" customFormat="1" ht="14.5" thickBot="1">
      <c r="A186" s="65"/>
      <c r="B186" s="66" t="s">
        <v>428</v>
      </c>
      <c r="C186" s="74"/>
      <c r="D186" s="265"/>
      <c r="E186" s="75"/>
      <c r="F186" s="120"/>
      <c r="G186">
        <f t="shared" si="12"/>
        <v>1153</v>
      </c>
      <c r="X186" s="36"/>
    </row>
    <row r="187" spans="1:24" s="5" customFormat="1" ht="14.5" thickBot="1">
      <c r="A187" s="62"/>
      <c r="B187" s="64"/>
      <c r="C187" s="55"/>
      <c r="D187" s="266"/>
      <c r="E187" s="13"/>
      <c r="F187" s="58"/>
      <c r="G187"/>
      <c r="Q187" s="36"/>
    </row>
    <row r="188" spans="1:24" ht="24" customHeight="1" thickBot="1">
      <c r="A188" s="60" t="s">
        <v>452</v>
      </c>
      <c r="B188" s="63"/>
      <c r="C188" s="63"/>
      <c r="D188" s="258"/>
      <c r="E188" s="138"/>
      <c r="F188" s="112"/>
    </row>
    <row r="189" spans="1:24" ht="13">
      <c r="A189" s="60"/>
      <c r="B189" s="12"/>
      <c r="C189" s="12"/>
      <c r="D189" s="267"/>
      <c r="E189" s="13"/>
      <c r="F189" s="58"/>
    </row>
    <row r="190" spans="1:24" ht="14.25" customHeight="1">
      <c r="A190" s="326" t="s">
        <v>131</v>
      </c>
      <c r="B190" s="326"/>
      <c r="C190" s="326"/>
      <c r="D190" s="326"/>
      <c r="E190" s="334"/>
      <c r="F190" s="118"/>
    </row>
    <row r="191" spans="1:24" ht="13">
      <c r="A191" s="60"/>
      <c r="B191" s="61"/>
      <c r="C191" s="12"/>
      <c r="D191" s="267"/>
      <c r="E191" s="13"/>
      <c r="F191" s="58"/>
    </row>
    <row r="192" spans="1:24" ht="14.25" customHeight="1">
      <c r="A192" s="326" t="s">
        <v>453</v>
      </c>
      <c r="B192" s="326"/>
      <c r="C192" s="326"/>
      <c r="D192" s="326"/>
      <c r="E192" s="334"/>
      <c r="F192" s="118"/>
    </row>
    <row r="199" spans="1:24" ht="14">
      <c r="A199" s="43"/>
      <c r="B199" s="167" t="s">
        <v>536</v>
      </c>
      <c r="C199" s="9" t="s">
        <v>13</v>
      </c>
      <c r="D199" s="264">
        <v>1</v>
      </c>
      <c r="E199" s="289">
        <f t="shared" ref="E199:E212" si="17">IF(D199="","",(((J199*$K$2)+(K199*$I$2*$I$3))*$K$3)/D199)</f>
        <v>0</v>
      </c>
      <c r="F199" s="164">
        <f t="shared" ref="F199:F212" si="18">IF(D199="","",D199*E199)</f>
        <v>0</v>
      </c>
      <c r="H199" s="161"/>
      <c r="I199" s="161"/>
      <c r="J199" s="162">
        <f t="shared" ref="J199:J212" si="19">IF(D199="","",H199*D199)</f>
        <v>0</v>
      </c>
      <c r="K199" s="162">
        <f t="shared" ref="K199:K212" si="20">IF(D199="","",D199*I199)</f>
        <v>0</v>
      </c>
    </row>
    <row r="201" spans="1:24" ht="14">
      <c r="A201" s="2"/>
      <c r="B201" s="167" t="s">
        <v>538</v>
      </c>
      <c r="C201" s="9" t="s">
        <v>13</v>
      </c>
      <c r="D201" s="264">
        <v>8</v>
      </c>
      <c r="E201" s="289">
        <f>IF(D201="","",(((J201*$K$2)+(K201*$I$2*$I$3))*$K$3)/D201)</f>
        <v>0</v>
      </c>
      <c r="F201" s="164">
        <f>IF(D201="","",D201*E201)</f>
        <v>0</v>
      </c>
      <c r="H201" s="161"/>
      <c r="I201" s="161"/>
      <c r="J201" s="162">
        <f>IF(D201="","",H201*D201)</f>
        <v>0</v>
      </c>
      <c r="K201" s="162">
        <f>IF(D201="","",D201*I201)</f>
        <v>0</v>
      </c>
    </row>
    <row r="202" spans="1:24" ht="14">
      <c r="A202" s="2"/>
      <c r="B202" s="167" t="s">
        <v>539</v>
      </c>
      <c r="C202" s="9" t="s">
        <v>13</v>
      </c>
      <c r="D202" s="264">
        <v>8</v>
      </c>
      <c r="E202" s="289">
        <f>IF(D202="","",(((J202*$K$2)+(K202*$I$2*$I$3))*$K$3)/D202)</f>
        <v>0</v>
      </c>
      <c r="F202" s="164">
        <f>IF(D202="","",D202*E202)</f>
        <v>0</v>
      </c>
      <c r="H202" s="161"/>
      <c r="I202" s="161"/>
      <c r="J202" s="162">
        <f>IF(D202="","",H202*D202)</f>
        <v>0</v>
      </c>
      <c r="K202" s="162">
        <f>IF(D202="","",D202*I202)</f>
        <v>0</v>
      </c>
    </row>
    <row r="203" spans="1:24" ht="14">
      <c r="A203" s="2"/>
      <c r="B203" s="167" t="s">
        <v>540</v>
      </c>
      <c r="C203" s="9" t="s">
        <v>13</v>
      </c>
      <c r="D203" s="264">
        <v>1</v>
      </c>
      <c r="E203" s="289">
        <f t="shared" si="17"/>
        <v>0</v>
      </c>
      <c r="F203" s="164">
        <f t="shared" si="18"/>
        <v>0</v>
      </c>
      <c r="H203" s="161"/>
      <c r="I203" s="161"/>
      <c r="J203" s="162">
        <f t="shared" si="19"/>
        <v>0</v>
      </c>
      <c r="K203" s="162">
        <f t="shared" si="20"/>
        <v>0</v>
      </c>
    </row>
    <row r="204" spans="1:24" ht="14">
      <c r="A204" s="43"/>
      <c r="B204" s="167" t="s">
        <v>542</v>
      </c>
      <c r="C204" s="9" t="s">
        <v>13</v>
      </c>
      <c r="D204" s="264">
        <v>1</v>
      </c>
      <c r="E204" s="289">
        <f t="shared" si="17"/>
        <v>0</v>
      </c>
      <c r="F204" s="164">
        <f t="shared" si="18"/>
        <v>0</v>
      </c>
      <c r="H204" s="161"/>
      <c r="I204" s="161"/>
      <c r="J204" s="162">
        <f t="shared" si="19"/>
        <v>0</v>
      </c>
      <c r="K204" s="162">
        <f t="shared" si="20"/>
        <v>0</v>
      </c>
    </row>
    <row r="205" spans="1:24" ht="14">
      <c r="A205" s="43"/>
      <c r="B205" s="167" t="s">
        <v>541</v>
      </c>
      <c r="C205" s="9" t="s">
        <v>13</v>
      </c>
      <c r="D205" s="264">
        <v>1</v>
      </c>
      <c r="E205" s="289">
        <f t="shared" si="17"/>
        <v>0</v>
      </c>
      <c r="F205" s="164">
        <f t="shared" si="18"/>
        <v>0</v>
      </c>
      <c r="H205" s="161"/>
      <c r="I205" s="161"/>
      <c r="J205" s="162">
        <f t="shared" si="19"/>
        <v>0</v>
      </c>
      <c r="K205" s="162">
        <f t="shared" si="20"/>
        <v>0</v>
      </c>
    </row>
    <row r="206" spans="1:24" ht="14">
      <c r="A206" s="43"/>
      <c r="B206" s="167" t="s">
        <v>537</v>
      </c>
      <c r="C206" s="9" t="s">
        <v>13</v>
      </c>
      <c r="D206" s="264">
        <v>1</v>
      </c>
      <c r="E206" s="289">
        <f t="shared" ref="E206" si="21">IF(D206="","",(((J206*$K$2)+(K206*$I$2*$I$3))*$K$3)/D206)</f>
        <v>0</v>
      </c>
      <c r="F206" s="164">
        <f t="shared" ref="F206" si="22">IF(D206="","",D206*E206)</f>
        <v>0</v>
      </c>
      <c r="H206" s="161"/>
      <c r="I206" s="161"/>
      <c r="J206" s="162">
        <f t="shared" ref="J206" si="23">IF(D206="","",H206*D206)</f>
        <v>0</v>
      </c>
      <c r="K206" s="162">
        <f t="shared" ref="K206" si="24">IF(D206="","",D206*I206)</f>
        <v>0</v>
      </c>
    </row>
    <row r="207" spans="1:24" ht="14">
      <c r="A207" s="43"/>
      <c r="B207" s="167"/>
      <c r="C207" s="9"/>
      <c r="D207" s="264"/>
      <c r="E207" s="289"/>
      <c r="F207" s="164"/>
      <c r="H207" s="161"/>
      <c r="I207" s="161"/>
      <c r="J207" s="162"/>
      <c r="K207" s="162"/>
    </row>
    <row r="208" spans="1:24" s="5" customFormat="1" ht="14">
      <c r="A208" s="2"/>
      <c r="B208" s="167" t="s">
        <v>556</v>
      </c>
      <c r="C208" s="9" t="s">
        <v>13</v>
      </c>
      <c r="D208" s="264">
        <f>+QTE!J7</f>
        <v>14</v>
      </c>
      <c r="E208" s="289">
        <f t="shared" ref="E208" si="25">IF(D208="","",(((J208*$K$2)+(K208*$I$2*$I$3))*$K$3)/D208)</f>
        <v>0</v>
      </c>
      <c r="F208" s="164">
        <f t="shared" ref="F208" si="26">IF(D208="","",D208*E208)</f>
        <v>0</v>
      </c>
      <c r="G208"/>
      <c r="H208" s="161"/>
      <c r="I208" s="161"/>
      <c r="J208" s="162">
        <f t="shared" ref="J208" si="27">IF(D208="","",H208*D208)</f>
        <v>0</v>
      </c>
      <c r="K208" s="162">
        <f t="shared" ref="K208" si="28">IF(D208="","",D208*I208)</f>
        <v>0</v>
      </c>
      <c r="X208" s="36"/>
    </row>
    <row r="209" spans="1:24" s="5" customFormat="1" ht="14">
      <c r="A209" s="2"/>
      <c r="B209" s="167" t="s">
        <v>555</v>
      </c>
      <c r="C209" s="9" t="s">
        <v>13</v>
      </c>
      <c r="D209" s="264">
        <f>+QTE!J16</f>
        <v>4</v>
      </c>
      <c r="E209" s="289">
        <f t="shared" ref="E209" si="29">IF(D209="","",(((J209*$K$2)+(K209*$I$2*$I$3))*$K$3)/D209)</f>
        <v>0</v>
      </c>
      <c r="F209" s="164">
        <f t="shared" ref="F209" si="30">IF(D209="","",D209*E209)</f>
        <v>0</v>
      </c>
      <c r="G209"/>
      <c r="H209" s="161"/>
      <c r="I209" s="161"/>
      <c r="J209" s="162">
        <f t="shared" ref="J209" si="31">IF(D209="","",H209*D209)</f>
        <v>0</v>
      </c>
      <c r="K209" s="162">
        <f t="shared" ref="K209" si="32">IF(D209="","",D209*I209)</f>
        <v>0</v>
      </c>
      <c r="X209" s="36"/>
    </row>
    <row r="210" spans="1:24" s="5" customFormat="1" ht="14">
      <c r="A210" s="2"/>
      <c r="B210" s="167" t="s">
        <v>554</v>
      </c>
      <c r="C210" s="9" t="s">
        <v>13</v>
      </c>
      <c r="D210" s="264">
        <f>+QTE!J25</f>
        <v>14</v>
      </c>
      <c r="E210" s="289">
        <f t="shared" ref="E210" si="33">IF(D210="","",(((J210*$K$2)+(K210*$I$2*$I$3))*$K$3)/D210)</f>
        <v>0</v>
      </c>
      <c r="F210" s="164">
        <f t="shared" ref="F210" si="34">IF(D210="","",D210*E210)</f>
        <v>0</v>
      </c>
      <c r="G210"/>
      <c r="H210" s="161"/>
      <c r="I210" s="161"/>
      <c r="J210" s="162">
        <f t="shared" ref="J210" si="35">IF(D210="","",H210*D210)</f>
        <v>0</v>
      </c>
      <c r="K210" s="162">
        <f t="shared" ref="K210" si="36">IF(D210="","",D210*I210)</f>
        <v>0</v>
      </c>
      <c r="X210" s="36"/>
    </row>
    <row r="211" spans="1:24" s="5" customFormat="1" ht="14">
      <c r="A211" s="2"/>
      <c r="B211" s="167" t="s">
        <v>553</v>
      </c>
      <c r="C211" s="9" t="s">
        <v>13</v>
      </c>
      <c r="D211" s="264">
        <f>94</f>
        <v>94</v>
      </c>
      <c r="E211" s="289">
        <f t="shared" si="17"/>
        <v>0</v>
      </c>
      <c r="F211" s="164">
        <f t="shared" si="18"/>
        <v>0</v>
      </c>
      <c r="G211"/>
      <c r="H211" s="161"/>
      <c r="I211" s="161"/>
      <c r="J211" s="162">
        <f t="shared" si="19"/>
        <v>0</v>
      </c>
      <c r="K211" s="162">
        <f t="shared" si="20"/>
        <v>0</v>
      </c>
      <c r="X211" s="36"/>
    </row>
    <row r="212" spans="1:24" s="5" customFormat="1" ht="14">
      <c r="A212" s="43"/>
      <c r="B212" s="167" t="s">
        <v>545</v>
      </c>
      <c r="C212" s="9" t="s">
        <v>13</v>
      </c>
      <c r="D212" s="264">
        <f>25</f>
        <v>25</v>
      </c>
      <c r="E212" s="289">
        <f t="shared" si="17"/>
        <v>0</v>
      </c>
      <c r="F212" s="164">
        <f t="shared" si="18"/>
        <v>0</v>
      </c>
      <c r="G212"/>
      <c r="H212" s="161"/>
      <c r="I212" s="161"/>
      <c r="J212" s="162">
        <f t="shared" si="19"/>
        <v>0</v>
      </c>
      <c r="K212" s="162">
        <f t="shared" si="20"/>
        <v>0</v>
      </c>
      <c r="X212" s="36"/>
    </row>
    <row r="213" spans="1:24" s="5" customFormat="1" ht="14">
      <c r="A213" s="43"/>
      <c r="B213" s="167" t="s">
        <v>546</v>
      </c>
      <c r="C213" s="9" t="s">
        <v>13</v>
      </c>
      <c r="D213" s="264">
        <f>QTE!J144</f>
        <v>58</v>
      </c>
      <c r="E213" s="289">
        <f t="shared" ref="E213" si="37">IF(D213="","",(((J213*$K$2)+(K213*$I$2*$I$3))*$K$3)/D213)</f>
        <v>0</v>
      </c>
      <c r="F213" s="164">
        <f t="shared" ref="F213" si="38">IF(D213="","",D213*E213)</f>
        <v>0</v>
      </c>
      <c r="G213"/>
      <c r="H213" s="161"/>
      <c r="I213" s="161"/>
      <c r="J213" s="162">
        <f t="shared" ref="J213" si="39">IF(D213="","",H213*D213)</f>
        <v>0</v>
      </c>
      <c r="K213" s="162">
        <f t="shared" ref="K213" si="40">IF(D213="","",D213*I213)</f>
        <v>0</v>
      </c>
      <c r="X213" s="36"/>
    </row>
    <row r="214" spans="1:24" s="5" customFormat="1" ht="14">
      <c r="A214" s="43"/>
      <c r="B214" s="167" t="s">
        <v>547</v>
      </c>
      <c r="C214" s="9" t="s">
        <v>13</v>
      </c>
      <c r="D214" s="264">
        <v>124</v>
      </c>
      <c r="E214" s="289">
        <f t="shared" ref="E214:E215" si="41">IF(D214="","",(((J214*$K$2)+(K214*$I$2*$I$3))*$K$3)/D214)</f>
        <v>0</v>
      </c>
      <c r="F214" s="164">
        <f t="shared" ref="F214:F215" si="42">IF(D214="","",D214*E214)</f>
        <v>0</v>
      </c>
      <c r="G214"/>
      <c r="H214" s="161"/>
      <c r="I214" s="161"/>
      <c r="J214" s="162">
        <f t="shared" ref="J214:J215" si="43">IF(D214="","",H214*D214)</f>
        <v>0</v>
      </c>
      <c r="K214" s="162">
        <f t="shared" ref="K214:K215" si="44">IF(D214="","",D214*I214)</f>
        <v>0</v>
      </c>
      <c r="X214" s="36"/>
    </row>
    <row r="215" spans="1:24" s="172" customFormat="1" ht="14">
      <c r="A215" s="2"/>
      <c r="B215" s="206" t="s">
        <v>201</v>
      </c>
      <c r="C215" s="189" t="s">
        <v>13</v>
      </c>
      <c r="D215" s="252">
        <f>D149</f>
        <v>14</v>
      </c>
      <c r="E215" s="289">
        <f t="shared" si="41"/>
        <v>0</v>
      </c>
      <c r="F215" s="164">
        <f t="shared" si="42"/>
        <v>0</v>
      </c>
      <c r="G215"/>
      <c r="H215" s="161"/>
      <c r="I215" s="161"/>
      <c r="J215" s="162">
        <f t="shared" si="43"/>
        <v>0</v>
      </c>
      <c r="K215" s="162">
        <f t="shared" si="44"/>
        <v>0</v>
      </c>
    </row>
  </sheetData>
  <mergeCells count="8">
    <mergeCell ref="F14:F15"/>
    <mergeCell ref="A192:E192"/>
    <mergeCell ref="A190:E190"/>
    <mergeCell ref="A14:A15"/>
    <mergeCell ref="B14:B15"/>
    <mergeCell ref="C14:C15"/>
    <mergeCell ref="D14:D15"/>
    <mergeCell ref="E14:E15"/>
  </mergeCells>
  <conditionalFormatting sqref="H4 J4:K4 I1:K1 H2:K3">
    <cfRule type="cellIs" dxfId="2"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1" manualBreakCount="1">
    <brk id="17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154"/>
  <sheetViews>
    <sheetView workbookViewId="0">
      <selection activeCell="E18" sqref="E18"/>
    </sheetView>
  </sheetViews>
  <sheetFormatPr baseColWidth="10" defaultRowHeight="12.5"/>
  <cols>
    <col min="2" max="2" width="49.54296875" customWidth="1"/>
  </cols>
  <sheetData>
    <row r="2" spans="1:8" ht="13">
      <c r="A2" s="179"/>
      <c r="B2" s="180" t="s">
        <v>2</v>
      </c>
      <c r="C2" s="181"/>
      <c r="D2" s="252"/>
      <c r="E2" s="58"/>
      <c r="F2" s="182"/>
      <c r="G2" s="303">
        <v>1</v>
      </c>
      <c r="H2" t="s">
        <v>580</v>
      </c>
    </row>
    <row r="3" spans="1:8" ht="13">
      <c r="A3" s="183"/>
      <c r="B3" s="180"/>
      <c r="C3" s="184"/>
      <c r="D3" s="252"/>
      <c r="E3" s="58"/>
      <c r="F3" s="182"/>
      <c r="G3" s="303">
        <v>2</v>
      </c>
      <c r="H3" t="s">
        <v>580</v>
      </c>
    </row>
    <row r="4" spans="1:8" ht="14">
      <c r="A4" s="183"/>
      <c r="B4" s="185" t="s">
        <v>343</v>
      </c>
      <c r="C4" s="184"/>
      <c r="D4" s="252"/>
      <c r="E4" s="58"/>
      <c r="F4" s="182"/>
      <c r="G4" s="303">
        <v>3</v>
      </c>
      <c r="H4" t="s">
        <v>580</v>
      </c>
    </row>
    <row r="5" spans="1:8" ht="13">
      <c r="A5" s="2"/>
      <c r="B5" s="186"/>
      <c r="C5" s="187"/>
      <c r="D5" s="253"/>
      <c r="E5" s="13"/>
      <c r="F5" s="182"/>
      <c r="G5" s="303">
        <v>4</v>
      </c>
      <c r="H5" t="s">
        <v>580</v>
      </c>
    </row>
    <row r="6" spans="1:8" ht="13">
      <c r="A6" s="2">
        <v>2</v>
      </c>
      <c r="B6" s="188" t="s">
        <v>61</v>
      </c>
      <c r="C6" s="189"/>
      <c r="D6" s="253"/>
      <c r="E6" s="13"/>
      <c r="F6" s="182"/>
      <c r="G6" s="303">
        <v>5</v>
      </c>
      <c r="H6" t="s">
        <v>580</v>
      </c>
    </row>
    <row r="7" spans="1:8" ht="13">
      <c r="A7" s="2"/>
      <c r="B7" s="188"/>
      <c r="C7" s="189"/>
      <c r="D7" s="253"/>
      <c r="E7" s="13"/>
      <c r="F7" s="182"/>
      <c r="G7" s="303">
        <v>6</v>
      </c>
      <c r="H7" t="s">
        <v>580</v>
      </c>
    </row>
    <row r="8" spans="1:8" ht="26">
      <c r="A8" s="2"/>
      <c r="B8" s="191" t="s">
        <v>154</v>
      </c>
      <c r="C8" s="189"/>
      <c r="D8" s="253"/>
      <c r="E8" s="13"/>
      <c r="F8" s="182"/>
      <c r="G8" s="303">
        <v>7</v>
      </c>
      <c r="H8" t="s">
        <v>580</v>
      </c>
    </row>
    <row r="9" spans="1:8" ht="13">
      <c r="A9" s="2"/>
      <c r="B9" s="190"/>
      <c r="C9" s="189"/>
      <c r="D9" s="253"/>
      <c r="E9" s="13"/>
      <c r="F9" s="182"/>
      <c r="G9" s="303">
        <v>8</v>
      </c>
      <c r="H9" t="s">
        <v>580</v>
      </c>
    </row>
    <row r="10" spans="1:8" ht="14">
      <c r="A10" s="2" t="s">
        <v>3</v>
      </c>
      <c r="B10" s="192" t="s">
        <v>122</v>
      </c>
      <c r="C10" s="189"/>
      <c r="D10" s="252"/>
      <c r="E10" s="289" t="str">
        <f>IF(D10="","",(((J10*$K$2)+(K10*$I$2*$I$3))*$K$3)/D10)</f>
        <v/>
      </c>
      <c r="F10" s="164" t="str">
        <f>IF(D10="","",D10*E10)</f>
        <v/>
      </c>
      <c r="G10" s="303">
        <v>9</v>
      </c>
      <c r="H10" t="s">
        <v>580</v>
      </c>
    </row>
    <row r="11" spans="1:8" ht="14">
      <c r="A11" s="2"/>
      <c r="B11" s="194"/>
      <c r="C11" s="189"/>
      <c r="D11" s="252"/>
      <c r="E11" s="289" t="str">
        <f t="shared" ref="E11:E74" si="0">IF(D11="","",(((J11*$K$2)+(K11*$I$2*$I$3))*$K$3)/D11)</f>
        <v/>
      </c>
      <c r="F11" s="164" t="str">
        <f t="shared" ref="F11:F74" si="1">IF(D11="","",D11*E11)</f>
        <v/>
      </c>
      <c r="G11" s="303">
        <v>10</v>
      </c>
      <c r="H11" t="s">
        <v>580</v>
      </c>
    </row>
    <row r="12" spans="1:8" ht="25">
      <c r="A12" s="195"/>
      <c r="B12" s="196" t="s">
        <v>136</v>
      </c>
      <c r="C12" s="197" t="s">
        <v>12</v>
      </c>
      <c r="D12" s="254" t="s">
        <v>492</v>
      </c>
      <c r="E12" s="289"/>
      <c r="F12" s="164"/>
      <c r="G12" s="303">
        <v>11</v>
      </c>
      <c r="H12" t="s">
        <v>580</v>
      </c>
    </row>
    <row r="13" spans="1:8" ht="25">
      <c r="A13" s="195"/>
      <c r="B13" s="196" t="s">
        <v>137</v>
      </c>
      <c r="C13" s="197" t="s">
        <v>33</v>
      </c>
      <c r="D13" s="252"/>
      <c r="E13" s="289" t="str">
        <f t="shared" si="0"/>
        <v/>
      </c>
      <c r="F13" s="164" t="str">
        <f t="shared" si="1"/>
        <v/>
      </c>
      <c r="G13" s="303">
        <v>12</v>
      </c>
      <c r="H13" t="s">
        <v>580</v>
      </c>
    </row>
    <row r="14" spans="1:8" ht="14">
      <c r="A14" s="195"/>
      <c r="B14" s="199" t="s">
        <v>123</v>
      </c>
      <c r="C14" s="197" t="s">
        <v>12</v>
      </c>
      <c r="D14" s="254" t="s">
        <v>492</v>
      </c>
      <c r="E14" s="289"/>
      <c r="F14" s="164"/>
      <c r="G14" s="303">
        <v>13</v>
      </c>
      <c r="H14" t="s">
        <v>580</v>
      </c>
    </row>
    <row r="15" spans="1:8" ht="14">
      <c r="A15" s="2"/>
      <c r="B15" s="188"/>
      <c r="C15" s="189"/>
      <c r="D15" s="252"/>
      <c r="E15" s="289" t="str">
        <f t="shared" si="0"/>
        <v/>
      </c>
      <c r="F15" s="164" t="str">
        <f t="shared" si="1"/>
        <v/>
      </c>
      <c r="G15" s="303">
        <v>14</v>
      </c>
      <c r="H15" t="s">
        <v>580</v>
      </c>
    </row>
    <row r="16" spans="1:8" ht="37.5">
      <c r="A16" s="2"/>
      <c r="B16" s="200" t="s">
        <v>219</v>
      </c>
      <c r="C16" s="197" t="s">
        <v>12</v>
      </c>
      <c r="D16" s="254" t="str">
        <f>QTE!C257</f>
        <v>TT</v>
      </c>
      <c r="E16" s="289" t="e">
        <f t="shared" si="0"/>
        <v>#VALUE!</v>
      </c>
      <c r="F16" s="164" t="e">
        <f t="shared" si="1"/>
        <v>#VALUE!</v>
      </c>
      <c r="G16" s="303">
        <v>15</v>
      </c>
      <c r="H16" t="s">
        <v>580</v>
      </c>
    </row>
    <row r="17" spans="1:8" ht="14">
      <c r="A17" s="2"/>
      <c r="B17" s="200"/>
      <c r="C17" s="197"/>
      <c r="D17" s="252"/>
      <c r="E17" s="289" t="str">
        <f t="shared" si="0"/>
        <v/>
      </c>
      <c r="F17" s="164" t="str">
        <f t="shared" si="1"/>
        <v/>
      </c>
      <c r="G17" s="303">
        <v>16</v>
      </c>
      <c r="H17" t="s">
        <v>580</v>
      </c>
    </row>
    <row r="18" spans="1:8" ht="37.5">
      <c r="A18" s="2"/>
      <c r="B18" s="200" t="s">
        <v>218</v>
      </c>
      <c r="C18" s="197" t="s">
        <v>12</v>
      </c>
      <c r="D18" s="252">
        <v>2</v>
      </c>
      <c r="E18" s="289">
        <f t="shared" si="0"/>
        <v>0</v>
      </c>
      <c r="F18" s="164">
        <f t="shared" si="1"/>
        <v>0</v>
      </c>
      <c r="G18" s="303">
        <v>17</v>
      </c>
      <c r="H18" t="s">
        <v>580</v>
      </c>
    </row>
    <row r="19" spans="1:8" ht="14">
      <c r="A19" s="2"/>
      <c r="B19" s="200"/>
      <c r="C19" s="197"/>
      <c r="D19" s="252"/>
      <c r="E19" s="289" t="str">
        <f t="shared" si="0"/>
        <v/>
      </c>
      <c r="F19" s="164" t="str">
        <f t="shared" si="1"/>
        <v/>
      </c>
      <c r="G19" s="303">
        <v>18</v>
      </c>
      <c r="H19" t="s">
        <v>580</v>
      </c>
    </row>
    <row r="20" spans="1:8" ht="25">
      <c r="A20" s="2"/>
      <c r="B20" s="200" t="s">
        <v>243</v>
      </c>
      <c r="C20" s="197" t="s">
        <v>12</v>
      </c>
      <c r="D20" s="252">
        <v>1</v>
      </c>
      <c r="E20" s="289">
        <f t="shared" si="0"/>
        <v>0</v>
      </c>
      <c r="F20" s="164">
        <f t="shared" si="1"/>
        <v>0</v>
      </c>
      <c r="G20" s="303">
        <v>19</v>
      </c>
      <c r="H20" t="s">
        <v>580</v>
      </c>
    </row>
    <row r="21" spans="1:8" ht="14">
      <c r="A21" s="2"/>
      <c r="B21" s="200"/>
      <c r="C21" s="197"/>
      <c r="D21" s="252"/>
      <c r="E21" s="289" t="str">
        <f t="shared" si="0"/>
        <v/>
      </c>
      <c r="F21" s="164" t="str">
        <f t="shared" si="1"/>
        <v/>
      </c>
      <c r="G21" s="303">
        <v>20</v>
      </c>
      <c r="H21" t="s">
        <v>580</v>
      </c>
    </row>
    <row r="22" spans="1:8" ht="25">
      <c r="A22" s="202"/>
      <c r="B22" s="196" t="s">
        <v>245</v>
      </c>
      <c r="C22" s="197" t="s">
        <v>12</v>
      </c>
      <c r="D22" s="252">
        <v>1</v>
      </c>
      <c r="E22" s="289">
        <f t="shared" si="0"/>
        <v>0</v>
      </c>
      <c r="F22" s="164">
        <f t="shared" si="1"/>
        <v>0</v>
      </c>
      <c r="G22" s="303">
        <v>21</v>
      </c>
      <c r="H22" t="s">
        <v>580</v>
      </c>
    </row>
    <row r="23" spans="1:8" ht="14">
      <c r="A23" s="202"/>
      <c r="B23" s="196"/>
      <c r="C23" s="197"/>
      <c r="D23" s="252"/>
      <c r="E23" s="289" t="str">
        <f t="shared" si="0"/>
        <v/>
      </c>
      <c r="F23" s="164" t="str">
        <f t="shared" si="1"/>
        <v/>
      </c>
      <c r="G23" s="303">
        <v>22</v>
      </c>
      <c r="H23" t="s">
        <v>580</v>
      </c>
    </row>
    <row r="24" spans="1:8" ht="25">
      <c r="A24" s="202"/>
      <c r="B24" s="196" t="s">
        <v>244</v>
      </c>
      <c r="C24" s="197" t="s">
        <v>12</v>
      </c>
      <c r="D24" s="252">
        <v>1</v>
      </c>
      <c r="E24" s="289">
        <f t="shared" si="0"/>
        <v>0</v>
      </c>
      <c r="F24" s="164">
        <f t="shared" si="1"/>
        <v>0</v>
      </c>
      <c r="G24" s="303">
        <v>23</v>
      </c>
      <c r="H24" t="s">
        <v>580</v>
      </c>
    </row>
    <row r="25" spans="1:8" ht="14">
      <c r="A25" s="202"/>
      <c r="B25" s="196"/>
      <c r="C25" s="197"/>
      <c r="D25" s="252"/>
      <c r="E25" s="289" t="str">
        <f t="shared" si="0"/>
        <v/>
      </c>
      <c r="F25" s="164" t="str">
        <f t="shared" si="1"/>
        <v/>
      </c>
      <c r="G25" s="303">
        <v>24</v>
      </c>
      <c r="H25" t="s">
        <v>580</v>
      </c>
    </row>
    <row r="26" spans="1:8" ht="37.5">
      <c r="A26" s="202"/>
      <c r="B26" s="196" t="s">
        <v>249</v>
      </c>
      <c r="C26" s="203" t="s">
        <v>254</v>
      </c>
      <c r="D26" s="252"/>
      <c r="E26" s="289" t="str">
        <f t="shared" si="0"/>
        <v/>
      </c>
      <c r="F26" s="164" t="str">
        <f t="shared" si="1"/>
        <v/>
      </c>
      <c r="G26" s="303">
        <v>25</v>
      </c>
      <c r="H26" t="s">
        <v>580</v>
      </c>
    </row>
    <row r="27" spans="1:8" ht="14">
      <c r="A27" s="202"/>
      <c r="B27" s="196"/>
      <c r="C27" s="197"/>
      <c r="D27" s="252"/>
      <c r="E27" s="289" t="str">
        <f t="shared" si="0"/>
        <v/>
      </c>
      <c r="F27" s="164" t="str">
        <f t="shared" si="1"/>
        <v/>
      </c>
      <c r="G27" s="303">
        <v>26</v>
      </c>
      <c r="H27" t="s">
        <v>580</v>
      </c>
    </row>
    <row r="28" spans="1:8" ht="25">
      <c r="A28" s="202"/>
      <c r="B28" s="204" t="s">
        <v>214</v>
      </c>
      <c r="C28" s="197" t="s">
        <v>13</v>
      </c>
      <c r="D28" s="252">
        <v>1</v>
      </c>
      <c r="E28" s="289">
        <f t="shared" si="0"/>
        <v>0</v>
      </c>
      <c r="F28" s="164">
        <f t="shared" si="1"/>
        <v>0</v>
      </c>
      <c r="G28" s="303">
        <v>27</v>
      </c>
      <c r="H28" t="s">
        <v>580</v>
      </c>
    </row>
    <row r="29" spans="1:8" ht="25">
      <c r="A29" s="202"/>
      <c r="B29" s="204" t="s">
        <v>216</v>
      </c>
      <c r="C29" s="197" t="s">
        <v>13</v>
      </c>
      <c r="D29" s="252">
        <v>1</v>
      </c>
      <c r="E29" s="289">
        <f t="shared" si="0"/>
        <v>0</v>
      </c>
      <c r="F29" s="164">
        <f t="shared" si="1"/>
        <v>0</v>
      </c>
      <c r="G29" s="303">
        <v>28</v>
      </c>
      <c r="H29" t="s">
        <v>580</v>
      </c>
    </row>
    <row r="30" spans="1:8" ht="14">
      <c r="A30" s="202"/>
      <c r="B30" s="205"/>
      <c r="C30" s="197"/>
      <c r="D30" s="252"/>
      <c r="E30" s="289" t="str">
        <f t="shared" si="0"/>
        <v/>
      </c>
      <c r="F30" s="164" t="str">
        <f t="shared" si="1"/>
        <v/>
      </c>
      <c r="G30" s="303">
        <v>29</v>
      </c>
      <c r="H30" t="s">
        <v>580</v>
      </c>
    </row>
    <row r="31" spans="1:8" ht="25">
      <c r="A31" s="202"/>
      <c r="B31" s="200" t="s">
        <v>247</v>
      </c>
      <c r="C31" s="197" t="s">
        <v>1</v>
      </c>
      <c r="D31" s="252">
        <v>20</v>
      </c>
      <c r="E31" s="289">
        <f t="shared" si="0"/>
        <v>0</v>
      </c>
      <c r="F31" s="164">
        <f t="shared" si="1"/>
        <v>0</v>
      </c>
      <c r="G31" s="303">
        <v>30</v>
      </c>
      <c r="H31" t="s">
        <v>580</v>
      </c>
    </row>
    <row r="32" spans="1:8" ht="25">
      <c r="A32" s="202"/>
      <c r="B32" s="200" t="s">
        <v>248</v>
      </c>
      <c r="C32" s="197" t="s">
        <v>1</v>
      </c>
      <c r="D32" s="252">
        <v>65</v>
      </c>
      <c r="E32" s="289">
        <f t="shared" si="0"/>
        <v>0</v>
      </c>
      <c r="F32" s="164">
        <f t="shared" si="1"/>
        <v>0</v>
      </c>
      <c r="G32" s="303">
        <v>31</v>
      </c>
      <c r="H32" t="s">
        <v>580</v>
      </c>
    </row>
    <row r="33" spans="1:8" ht="25">
      <c r="A33" s="202"/>
      <c r="B33" s="196" t="s">
        <v>215</v>
      </c>
      <c r="C33" s="197" t="s">
        <v>1</v>
      </c>
      <c r="D33" s="252">
        <v>5</v>
      </c>
      <c r="E33" s="289">
        <f t="shared" si="0"/>
        <v>0</v>
      </c>
      <c r="F33" s="164">
        <f t="shared" si="1"/>
        <v>0</v>
      </c>
      <c r="G33" s="303">
        <v>32</v>
      </c>
      <c r="H33" t="s">
        <v>580</v>
      </c>
    </row>
    <row r="34" spans="1:8" ht="25">
      <c r="A34" s="202"/>
      <c r="B34" s="196" t="s">
        <v>217</v>
      </c>
      <c r="C34" s="197" t="s">
        <v>1</v>
      </c>
      <c r="D34" s="252">
        <v>5</v>
      </c>
      <c r="E34" s="289">
        <f t="shared" si="0"/>
        <v>0</v>
      </c>
      <c r="F34" s="164">
        <f t="shared" si="1"/>
        <v>0</v>
      </c>
      <c r="G34" s="303">
        <v>33</v>
      </c>
      <c r="H34" t="s">
        <v>580</v>
      </c>
    </row>
    <row r="35" spans="1:8" ht="14">
      <c r="A35" s="202"/>
      <c r="B35" s="196"/>
      <c r="C35" s="197"/>
      <c r="D35" s="252"/>
      <c r="E35" s="289" t="str">
        <f t="shared" si="0"/>
        <v/>
      </c>
      <c r="F35" s="164" t="str">
        <f t="shared" si="1"/>
        <v/>
      </c>
      <c r="G35" s="303">
        <v>34</v>
      </c>
      <c r="H35" t="s">
        <v>580</v>
      </c>
    </row>
    <row r="36" spans="1:8" ht="14">
      <c r="A36" s="202"/>
      <c r="B36" s="199" t="s">
        <v>123</v>
      </c>
      <c r="C36" s="197" t="s">
        <v>12</v>
      </c>
      <c r="D36" s="252">
        <v>1</v>
      </c>
      <c r="E36" s="289">
        <f t="shared" si="0"/>
        <v>0</v>
      </c>
      <c r="F36" s="164">
        <f t="shared" si="1"/>
        <v>0</v>
      </c>
      <c r="G36" s="303">
        <v>35</v>
      </c>
      <c r="H36" t="s">
        <v>580</v>
      </c>
    </row>
    <row r="37" spans="1:8" ht="14">
      <c r="A37" s="202"/>
      <c r="B37" s="206" t="s">
        <v>124</v>
      </c>
      <c r="C37" s="189" t="s">
        <v>12</v>
      </c>
      <c r="D37" s="252">
        <v>1</v>
      </c>
      <c r="E37" s="289">
        <f t="shared" si="0"/>
        <v>0</v>
      </c>
      <c r="F37" s="164">
        <f t="shared" si="1"/>
        <v>0</v>
      </c>
      <c r="G37" s="303">
        <v>36</v>
      </c>
      <c r="H37" t="s">
        <v>580</v>
      </c>
    </row>
    <row r="38" spans="1:8" ht="14">
      <c r="A38" s="202"/>
      <c r="B38" s="206"/>
      <c r="C38" s="189"/>
      <c r="D38" s="252"/>
      <c r="E38" s="289" t="str">
        <f t="shared" si="0"/>
        <v/>
      </c>
      <c r="F38" s="164" t="str">
        <f t="shared" si="1"/>
        <v/>
      </c>
      <c r="G38" s="303">
        <v>37</v>
      </c>
      <c r="H38" t="s">
        <v>580</v>
      </c>
    </row>
    <row r="39" spans="1:8" ht="25">
      <c r="A39" s="202"/>
      <c r="B39" s="206" t="s">
        <v>143</v>
      </c>
      <c r="C39" s="189" t="s">
        <v>13</v>
      </c>
      <c r="D39" s="252">
        <v>8</v>
      </c>
      <c r="E39" s="289">
        <f t="shared" si="0"/>
        <v>0</v>
      </c>
      <c r="F39" s="164">
        <f t="shared" si="1"/>
        <v>0</v>
      </c>
      <c r="G39" s="303">
        <v>38</v>
      </c>
      <c r="H39" t="s">
        <v>580</v>
      </c>
    </row>
    <row r="40" spans="1:8" ht="14">
      <c r="A40" s="202"/>
      <c r="B40" s="206"/>
      <c r="C40" s="189"/>
      <c r="D40" s="252"/>
      <c r="E40" s="289" t="str">
        <f t="shared" si="0"/>
        <v/>
      </c>
      <c r="F40" s="164" t="str">
        <f t="shared" si="1"/>
        <v/>
      </c>
      <c r="G40" s="303">
        <v>39</v>
      </c>
      <c r="H40" t="s">
        <v>580</v>
      </c>
    </row>
    <row r="41" spans="1:8" ht="14">
      <c r="A41" s="202"/>
      <c r="B41" s="206" t="s">
        <v>124</v>
      </c>
      <c r="C41" s="189" t="s">
        <v>12</v>
      </c>
      <c r="D41" s="252">
        <v>1</v>
      </c>
      <c r="E41" s="289">
        <f t="shared" si="0"/>
        <v>0</v>
      </c>
      <c r="F41" s="164">
        <f t="shared" si="1"/>
        <v>0</v>
      </c>
      <c r="G41" s="303">
        <v>40</v>
      </c>
      <c r="H41" t="s">
        <v>580</v>
      </c>
    </row>
    <row r="42" spans="1:8" ht="14">
      <c r="A42" s="202"/>
      <c r="B42" s="206"/>
      <c r="C42" s="189"/>
      <c r="D42" s="252"/>
      <c r="E42" s="289" t="str">
        <f t="shared" si="0"/>
        <v/>
      </c>
      <c r="F42" s="164" t="str">
        <f t="shared" si="1"/>
        <v/>
      </c>
      <c r="G42" s="303">
        <v>41</v>
      </c>
      <c r="H42" t="s">
        <v>580</v>
      </c>
    </row>
    <row r="43" spans="1:8" ht="25">
      <c r="A43" s="202"/>
      <c r="B43" s="206" t="s">
        <v>143</v>
      </c>
      <c r="C43" s="189" t="s">
        <v>13</v>
      </c>
      <c r="D43" s="252">
        <v>11</v>
      </c>
      <c r="E43" s="289">
        <f t="shared" si="0"/>
        <v>0</v>
      </c>
      <c r="F43" s="164">
        <f t="shared" si="1"/>
        <v>0</v>
      </c>
      <c r="G43" s="303">
        <v>42</v>
      </c>
      <c r="H43" t="s">
        <v>580</v>
      </c>
    </row>
    <row r="44" spans="1:8" ht="14">
      <c r="A44" s="202"/>
      <c r="B44" s="206"/>
      <c r="C44" s="189"/>
      <c r="D44" s="252"/>
      <c r="E44" s="289" t="str">
        <f t="shared" si="0"/>
        <v/>
      </c>
      <c r="F44" s="164" t="str">
        <f t="shared" si="1"/>
        <v/>
      </c>
      <c r="G44" s="303">
        <v>43</v>
      </c>
      <c r="H44" t="s">
        <v>580</v>
      </c>
    </row>
    <row r="45" spans="1:8" ht="25">
      <c r="A45" s="2" t="s">
        <v>155</v>
      </c>
      <c r="B45" s="207" t="s">
        <v>466</v>
      </c>
      <c r="C45" s="208" t="s">
        <v>138</v>
      </c>
      <c r="D45" s="252">
        <v>17</v>
      </c>
      <c r="E45" s="289">
        <f t="shared" si="0"/>
        <v>0</v>
      </c>
      <c r="F45" s="164">
        <f t="shared" si="1"/>
        <v>0</v>
      </c>
      <c r="G45" s="303">
        <v>44</v>
      </c>
      <c r="H45" t="s">
        <v>580</v>
      </c>
    </row>
    <row r="46" spans="1:8" ht="25">
      <c r="A46" s="2"/>
      <c r="B46" s="207" t="s">
        <v>467</v>
      </c>
      <c r="C46" s="208" t="s">
        <v>138</v>
      </c>
      <c r="D46" s="252">
        <v>54</v>
      </c>
      <c r="E46" s="289">
        <f t="shared" si="0"/>
        <v>0</v>
      </c>
      <c r="F46" s="164">
        <f t="shared" si="1"/>
        <v>0</v>
      </c>
      <c r="G46" s="303">
        <v>45</v>
      </c>
      <c r="H46" t="s">
        <v>580</v>
      </c>
    </row>
    <row r="47" spans="1:8" ht="25">
      <c r="A47" s="2"/>
      <c r="B47" s="207" t="s">
        <v>468</v>
      </c>
      <c r="C47" s="208" t="s">
        <v>138</v>
      </c>
      <c r="D47" s="252">
        <v>62</v>
      </c>
      <c r="E47" s="289">
        <f t="shared" si="0"/>
        <v>0</v>
      </c>
      <c r="F47" s="164">
        <f t="shared" si="1"/>
        <v>0</v>
      </c>
      <c r="G47" s="303">
        <v>46</v>
      </c>
      <c r="H47" t="s">
        <v>580</v>
      </c>
    </row>
    <row r="48" spans="1:8" ht="25">
      <c r="A48" s="2"/>
      <c r="B48" s="207" t="s">
        <v>469</v>
      </c>
      <c r="C48" s="208" t="s">
        <v>138</v>
      </c>
      <c r="D48" s="252">
        <v>19</v>
      </c>
      <c r="E48" s="289">
        <f t="shared" si="0"/>
        <v>0</v>
      </c>
      <c r="F48" s="164">
        <f t="shared" si="1"/>
        <v>0</v>
      </c>
      <c r="G48" s="303">
        <v>47</v>
      </c>
      <c r="H48" t="s">
        <v>580</v>
      </c>
    </row>
    <row r="49" spans="1:8" ht="25">
      <c r="A49" s="2"/>
      <c r="B49" s="207" t="s">
        <v>250</v>
      </c>
      <c r="C49" s="208" t="s">
        <v>138</v>
      </c>
      <c r="D49" s="252">
        <v>0</v>
      </c>
      <c r="E49" s="289"/>
      <c r="F49" s="164"/>
      <c r="G49" s="303">
        <v>48</v>
      </c>
      <c r="H49" t="s">
        <v>580</v>
      </c>
    </row>
    <row r="50" spans="1:8" ht="14">
      <c r="A50" s="2"/>
      <c r="B50" s="207"/>
      <c r="C50" s="209"/>
      <c r="D50" s="252"/>
      <c r="E50" s="289" t="str">
        <f t="shared" si="0"/>
        <v/>
      </c>
      <c r="F50" s="164" t="str">
        <f t="shared" si="1"/>
        <v/>
      </c>
      <c r="G50" s="303">
        <v>49</v>
      </c>
      <c r="H50" t="s">
        <v>580</v>
      </c>
    </row>
    <row r="51" spans="1:8" ht="14">
      <c r="A51" s="2"/>
      <c r="B51" s="196" t="s">
        <v>253</v>
      </c>
      <c r="C51" s="197" t="s">
        <v>12</v>
      </c>
      <c r="D51" s="252">
        <v>2</v>
      </c>
      <c r="E51" s="289">
        <f t="shared" si="0"/>
        <v>0</v>
      </c>
      <c r="F51" s="164">
        <f t="shared" si="1"/>
        <v>0</v>
      </c>
      <c r="G51" s="303">
        <v>50</v>
      </c>
      <c r="H51" t="s">
        <v>580</v>
      </c>
    </row>
    <row r="52" spans="1:8" ht="14">
      <c r="A52" s="2"/>
      <c r="B52" s="196"/>
      <c r="C52" s="197"/>
      <c r="D52" s="252"/>
      <c r="E52" s="289" t="str">
        <f t="shared" si="0"/>
        <v/>
      </c>
      <c r="F52" s="164" t="str">
        <f t="shared" si="1"/>
        <v/>
      </c>
      <c r="G52" s="303">
        <v>51</v>
      </c>
      <c r="H52" t="s">
        <v>580</v>
      </c>
    </row>
    <row r="53" spans="1:8" ht="25">
      <c r="A53" s="2"/>
      <c r="B53" s="196" t="s">
        <v>256</v>
      </c>
      <c r="C53" s="197" t="s">
        <v>13</v>
      </c>
      <c r="D53" s="252">
        <f>D31+D32</f>
        <v>85</v>
      </c>
      <c r="E53" s="289">
        <f t="shared" si="0"/>
        <v>0</v>
      </c>
      <c r="F53" s="164">
        <f t="shared" si="1"/>
        <v>0</v>
      </c>
      <c r="G53" s="303">
        <v>52</v>
      </c>
      <c r="H53" t="s">
        <v>580</v>
      </c>
    </row>
    <row r="54" spans="1:8" ht="25">
      <c r="A54" s="2"/>
      <c r="B54" s="196" t="s">
        <v>255</v>
      </c>
      <c r="C54" s="208" t="s">
        <v>1</v>
      </c>
      <c r="D54" s="252">
        <f>+D31+D32</f>
        <v>85</v>
      </c>
      <c r="E54" s="289">
        <f t="shared" si="0"/>
        <v>0</v>
      </c>
      <c r="F54" s="164">
        <f t="shared" si="1"/>
        <v>0</v>
      </c>
      <c r="G54" s="303">
        <v>53</v>
      </c>
      <c r="H54" t="s">
        <v>580</v>
      </c>
    </row>
    <row r="55" spans="1:8" ht="14">
      <c r="A55" s="2"/>
      <c r="B55" s="210"/>
      <c r="C55" s="209"/>
      <c r="D55" s="252"/>
      <c r="E55" s="289" t="str">
        <f t="shared" si="0"/>
        <v/>
      </c>
      <c r="F55" s="164" t="str">
        <f t="shared" si="1"/>
        <v/>
      </c>
      <c r="G55" s="303">
        <v>54</v>
      </c>
      <c r="H55" t="s">
        <v>580</v>
      </c>
    </row>
    <row r="56" spans="1:8" ht="37.5">
      <c r="A56" s="2" t="s">
        <v>156</v>
      </c>
      <c r="B56" s="207" t="s">
        <v>465</v>
      </c>
      <c r="C56" s="197" t="s">
        <v>12</v>
      </c>
      <c r="D56" s="252">
        <v>22</v>
      </c>
      <c r="E56" s="289">
        <f t="shared" si="0"/>
        <v>0</v>
      </c>
      <c r="F56" s="164">
        <f t="shared" si="1"/>
        <v>0</v>
      </c>
      <c r="G56" s="303">
        <v>55</v>
      </c>
      <c r="H56" t="s">
        <v>580</v>
      </c>
    </row>
    <row r="57" spans="1:8" ht="14">
      <c r="A57" s="2"/>
      <c r="B57" s="207"/>
      <c r="C57" s="197"/>
      <c r="D57" s="252"/>
      <c r="E57" s="289" t="str">
        <f t="shared" si="0"/>
        <v/>
      </c>
      <c r="F57" s="164" t="str">
        <f t="shared" si="1"/>
        <v/>
      </c>
      <c r="G57" s="303">
        <v>56</v>
      </c>
      <c r="H57" t="s">
        <v>580</v>
      </c>
    </row>
    <row r="58" spans="1:8" ht="37.5">
      <c r="A58" s="2"/>
      <c r="B58" s="207" t="s">
        <v>460</v>
      </c>
      <c r="C58" s="197" t="s">
        <v>12</v>
      </c>
      <c r="D58" s="252">
        <v>57</v>
      </c>
      <c r="E58" s="289">
        <f t="shared" si="0"/>
        <v>0</v>
      </c>
      <c r="F58" s="164">
        <f t="shared" si="1"/>
        <v>0</v>
      </c>
      <c r="G58" s="303">
        <v>57</v>
      </c>
      <c r="H58" t="s">
        <v>580</v>
      </c>
    </row>
    <row r="59" spans="1:8" ht="14">
      <c r="A59" s="2"/>
      <c r="B59" s="207"/>
      <c r="C59" s="197"/>
      <c r="D59" s="252"/>
      <c r="E59" s="289" t="str">
        <f t="shared" si="0"/>
        <v/>
      </c>
      <c r="F59" s="164" t="str">
        <f t="shared" si="1"/>
        <v/>
      </c>
      <c r="G59" s="303">
        <v>58</v>
      </c>
      <c r="H59" t="s">
        <v>580</v>
      </c>
    </row>
    <row r="60" spans="1:8" ht="14">
      <c r="A60" s="2"/>
      <c r="B60" s="199" t="s">
        <v>461</v>
      </c>
      <c r="C60" s="208" t="s">
        <v>12</v>
      </c>
      <c r="D60" s="252">
        <v>2</v>
      </c>
      <c r="E60" s="289">
        <f t="shared" si="0"/>
        <v>0</v>
      </c>
      <c r="F60" s="164">
        <f t="shared" si="1"/>
        <v>0</v>
      </c>
      <c r="G60" s="303">
        <v>59</v>
      </c>
      <c r="H60" t="s">
        <v>580</v>
      </c>
    </row>
    <row r="61" spans="1:8" ht="14">
      <c r="A61" s="2"/>
      <c r="B61" s="207" t="s">
        <v>462</v>
      </c>
      <c r="C61" s="208" t="s">
        <v>13</v>
      </c>
      <c r="D61" s="252">
        <f>9+11</f>
        <v>20</v>
      </c>
      <c r="E61" s="289">
        <f t="shared" si="0"/>
        <v>0</v>
      </c>
      <c r="F61" s="164">
        <f t="shared" si="1"/>
        <v>0</v>
      </c>
      <c r="G61" s="303">
        <v>60</v>
      </c>
      <c r="H61" t="s">
        <v>580</v>
      </c>
    </row>
    <row r="62" spans="1:8" ht="14">
      <c r="A62" s="2"/>
      <c r="B62" s="211"/>
      <c r="C62" s="208"/>
      <c r="D62" s="252"/>
      <c r="E62" s="289" t="str">
        <f t="shared" si="0"/>
        <v/>
      </c>
      <c r="F62" s="164" t="str">
        <f t="shared" si="1"/>
        <v/>
      </c>
      <c r="G62" s="303">
        <v>61</v>
      </c>
      <c r="H62" t="s">
        <v>580</v>
      </c>
    </row>
    <row r="63" spans="1:8" ht="14">
      <c r="A63" s="212" t="s">
        <v>152</v>
      </c>
      <c r="B63" s="210" t="s">
        <v>139</v>
      </c>
      <c r="C63" s="208" t="s">
        <v>13</v>
      </c>
      <c r="D63" s="252"/>
      <c r="E63" s="289" t="str">
        <f t="shared" si="0"/>
        <v/>
      </c>
      <c r="F63" s="164" t="str">
        <f t="shared" si="1"/>
        <v/>
      </c>
      <c r="G63" s="303">
        <v>62</v>
      </c>
      <c r="H63" t="s">
        <v>580</v>
      </c>
    </row>
    <row r="64" spans="1:8" ht="14">
      <c r="A64" s="2"/>
      <c r="B64" s="210" t="s">
        <v>140</v>
      </c>
      <c r="C64" s="208" t="s">
        <v>13</v>
      </c>
      <c r="D64" s="252">
        <f>+QTE!D255+QTE!E255+QTE!J255+QTE!K255+QTE!P255+QTE!Q255+QTE!V255+QTE!W255</f>
        <v>0</v>
      </c>
      <c r="E64" s="289" t="e">
        <f t="shared" si="0"/>
        <v>#DIV/0!</v>
      </c>
      <c r="F64" s="164" t="e">
        <f t="shared" si="1"/>
        <v>#DIV/0!</v>
      </c>
      <c r="G64" s="303">
        <v>63</v>
      </c>
      <c r="H64" t="s">
        <v>580</v>
      </c>
    </row>
    <row r="65" spans="1:8" ht="14">
      <c r="A65" s="2"/>
      <c r="B65" s="210" t="s">
        <v>141</v>
      </c>
      <c r="C65" s="208" t="s">
        <v>13</v>
      </c>
      <c r="D65" s="252">
        <f>+QTE!F255+QTE!G255+QTE!H255+QTE!L255+QTE!M255+QTE!N255+QTE!R255+QTE!S255+QTE!T255+QTE!X255+QTE!Y255+QTE!Z255</f>
        <v>0</v>
      </c>
      <c r="E65" s="289" t="e">
        <f t="shared" si="0"/>
        <v>#DIV/0!</v>
      </c>
      <c r="F65" s="164" t="e">
        <f t="shared" si="1"/>
        <v>#DIV/0!</v>
      </c>
      <c r="G65" s="303">
        <v>64</v>
      </c>
      <c r="H65" t="s">
        <v>580</v>
      </c>
    </row>
    <row r="66" spans="1:8" ht="14">
      <c r="A66" s="2"/>
      <c r="B66" s="210" t="s">
        <v>142</v>
      </c>
      <c r="C66" s="208" t="s">
        <v>13</v>
      </c>
      <c r="D66" s="252"/>
      <c r="E66" s="289" t="str">
        <f t="shared" si="0"/>
        <v/>
      </c>
      <c r="F66" s="164" t="str">
        <f t="shared" si="1"/>
        <v/>
      </c>
      <c r="G66" s="303">
        <v>65</v>
      </c>
      <c r="H66" t="s">
        <v>580</v>
      </c>
    </row>
    <row r="67" spans="1:8" ht="14">
      <c r="A67" s="2"/>
      <c r="B67" s="213"/>
      <c r="C67" s="209"/>
      <c r="D67" s="252"/>
      <c r="E67" s="289" t="str">
        <f t="shared" si="0"/>
        <v/>
      </c>
      <c r="F67" s="164" t="str">
        <f t="shared" si="1"/>
        <v/>
      </c>
      <c r="G67" s="303">
        <v>66</v>
      </c>
      <c r="H67" t="s">
        <v>580</v>
      </c>
    </row>
    <row r="68" spans="1:8" ht="14">
      <c r="A68" s="2" t="s">
        <v>151</v>
      </c>
      <c r="B68" s="210" t="s">
        <v>144</v>
      </c>
      <c r="C68" s="208" t="s">
        <v>13</v>
      </c>
      <c r="D68" s="252">
        <f>+D61+D60</f>
        <v>22</v>
      </c>
      <c r="E68" s="289">
        <f t="shared" si="0"/>
        <v>0</v>
      </c>
      <c r="F68" s="164">
        <f t="shared" si="1"/>
        <v>0</v>
      </c>
      <c r="G68" s="303">
        <v>67</v>
      </c>
      <c r="H68" t="s">
        <v>580</v>
      </c>
    </row>
    <row r="69" spans="1:8" ht="14">
      <c r="A69" s="2"/>
      <c r="B69" s="210"/>
      <c r="C69" s="208"/>
      <c r="D69" s="252"/>
      <c r="E69" s="289" t="str">
        <f t="shared" si="0"/>
        <v/>
      </c>
      <c r="F69" s="164" t="str">
        <f t="shared" si="1"/>
        <v/>
      </c>
      <c r="G69" s="303">
        <v>68</v>
      </c>
      <c r="H69" t="s">
        <v>580</v>
      </c>
    </row>
    <row r="70" spans="1:8" ht="14">
      <c r="A70" s="2"/>
      <c r="B70" s="210" t="s">
        <v>145</v>
      </c>
      <c r="C70" s="208" t="s">
        <v>13</v>
      </c>
      <c r="D70" s="252"/>
      <c r="E70" s="289" t="str">
        <f t="shared" si="0"/>
        <v/>
      </c>
      <c r="F70" s="164" t="str">
        <f t="shared" si="1"/>
        <v/>
      </c>
      <c r="G70" s="303">
        <v>69</v>
      </c>
      <c r="H70" t="s">
        <v>580</v>
      </c>
    </row>
    <row r="71" spans="1:8" ht="14">
      <c r="A71" s="2"/>
      <c r="B71" s="210" t="s">
        <v>146</v>
      </c>
      <c r="C71" s="208" t="s">
        <v>13</v>
      </c>
      <c r="D71" s="252"/>
      <c r="E71" s="289" t="str">
        <f t="shared" si="0"/>
        <v/>
      </c>
      <c r="F71" s="164" t="str">
        <f t="shared" si="1"/>
        <v/>
      </c>
      <c r="G71" s="303">
        <v>70</v>
      </c>
      <c r="H71" t="s">
        <v>580</v>
      </c>
    </row>
    <row r="72" spans="1:8" ht="14">
      <c r="A72" s="2"/>
      <c r="B72" s="214"/>
      <c r="C72" s="208"/>
      <c r="D72" s="252"/>
      <c r="E72" s="289" t="str">
        <f t="shared" si="0"/>
        <v/>
      </c>
      <c r="F72" s="164" t="str">
        <f t="shared" si="1"/>
        <v/>
      </c>
      <c r="G72" s="303">
        <v>71</v>
      </c>
      <c r="H72" t="s">
        <v>580</v>
      </c>
    </row>
    <row r="73" spans="1:8" ht="25">
      <c r="A73" s="2"/>
      <c r="B73" s="210" t="s">
        <v>147</v>
      </c>
      <c r="C73" s="208" t="s">
        <v>12</v>
      </c>
      <c r="D73" s="252">
        <v>1</v>
      </c>
      <c r="E73" s="289">
        <f t="shared" si="0"/>
        <v>0</v>
      </c>
      <c r="F73" s="164">
        <f t="shared" si="1"/>
        <v>0</v>
      </c>
      <c r="G73" s="303">
        <v>72</v>
      </c>
      <c r="H73" t="s">
        <v>580</v>
      </c>
    </row>
    <row r="74" spans="1:8" ht="14">
      <c r="A74" s="2"/>
      <c r="B74" s="210"/>
      <c r="C74" s="208"/>
      <c r="D74" s="252"/>
      <c r="E74" s="289" t="str">
        <f t="shared" si="0"/>
        <v/>
      </c>
      <c r="F74" s="164" t="str">
        <f t="shared" si="1"/>
        <v/>
      </c>
      <c r="G74" s="303">
        <v>73</v>
      </c>
      <c r="H74" t="s">
        <v>580</v>
      </c>
    </row>
    <row r="75" spans="1:8" ht="25">
      <c r="A75" s="2"/>
      <c r="B75" s="210" t="s">
        <v>148</v>
      </c>
      <c r="C75" s="208" t="s">
        <v>12</v>
      </c>
      <c r="D75" s="252">
        <v>1</v>
      </c>
      <c r="E75" s="289">
        <f t="shared" ref="E75:E138" si="2">IF(D75="","",(((J75*$K$2)+(K75*$I$2*$I$3))*$K$3)/D75)</f>
        <v>0</v>
      </c>
      <c r="F75" s="164">
        <f t="shared" ref="F75:F138" si="3">IF(D75="","",D75*E75)</f>
        <v>0</v>
      </c>
      <c r="G75" s="303">
        <v>74</v>
      </c>
      <c r="H75" t="s">
        <v>580</v>
      </c>
    </row>
    <row r="76" spans="1:8" ht="14">
      <c r="A76" s="2"/>
      <c r="B76" s="210"/>
      <c r="C76" s="208"/>
      <c r="D76" s="252"/>
      <c r="E76" s="289" t="str">
        <f t="shared" si="2"/>
        <v/>
      </c>
      <c r="F76" s="164" t="str">
        <f t="shared" si="3"/>
        <v/>
      </c>
      <c r="G76" s="303">
        <v>75</v>
      </c>
      <c r="H76" t="s">
        <v>580</v>
      </c>
    </row>
    <row r="77" spans="1:8" ht="37.5">
      <c r="A77" s="2"/>
      <c r="B77" s="210" t="s">
        <v>213</v>
      </c>
      <c r="C77" s="208" t="s">
        <v>12</v>
      </c>
      <c r="D77" s="252">
        <v>1</v>
      </c>
      <c r="E77" s="289">
        <f t="shared" si="2"/>
        <v>0</v>
      </c>
      <c r="F77" s="164">
        <f t="shared" si="3"/>
        <v>0</v>
      </c>
      <c r="G77" s="303">
        <v>76</v>
      </c>
      <c r="H77" t="s">
        <v>580</v>
      </c>
    </row>
    <row r="78" spans="1:8" ht="14">
      <c r="A78" s="2"/>
      <c r="B78" s="213"/>
      <c r="C78" s="209"/>
      <c r="D78" s="252"/>
      <c r="E78" s="289" t="str">
        <f t="shared" si="2"/>
        <v/>
      </c>
      <c r="F78" s="164" t="str">
        <f t="shared" si="3"/>
        <v/>
      </c>
      <c r="G78" s="303">
        <v>77</v>
      </c>
      <c r="H78" t="s">
        <v>580</v>
      </c>
    </row>
    <row r="79" spans="1:8" ht="14">
      <c r="A79" s="2"/>
      <c r="B79" s="210" t="s">
        <v>149</v>
      </c>
      <c r="C79" s="208" t="s">
        <v>12</v>
      </c>
      <c r="D79" s="252">
        <f>+(8+11)*3</f>
        <v>57</v>
      </c>
      <c r="E79" s="289">
        <f t="shared" si="2"/>
        <v>0</v>
      </c>
      <c r="F79" s="164">
        <f t="shared" si="3"/>
        <v>0</v>
      </c>
      <c r="G79" s="303">
        <v>78</v>
      </c>
      <c r="H79" t="s">
        <v>580</v>
      </c>
    </row>
    <row r="80" spans="1:8" ht="14">
      <c r="A80" s="2"/>
      <c r="B80" s="210"/>
      <c r="C80" s="208"/>
      <c r="D80" s="252"/>
      <c r="E80" s="289" t="str">
        <f t="shared" si="2"/>
        <v/>
      </c>
      <c r="F80" s="164" t="str">
        <f t="shared" si="3"/>
        <v/>
      </c>
      <c r="G80" s="303">
        <v>79</v>
      </c>
      <c r="H80" t="s">
        <v>580</v>
      </c>
    </row>
    <row r="81" spans="1:8" ht="25">
      <c r="A81" s="2"/>
      <c r="B81" s="210" t="s">
        <v>150</v>
      </c>
      <c r="C81" s="208" t="s">
        <v>12</v>
      </c>
      <c r="D81" s="252">
        <f>105*10</f>
        <v>1050</v>
      </c>
      <c r="E81" s="289">
        <f t="shared" si="2"/>
        <v>0</v>
      </c>
      <c r="F81" s="164">
        <f t="shared" si="3"/>
        <v>0</v>
      </c>
      <c r="G81" s="303">
        <v>80</v>
      </c>
      <c r="H81" t="s">
        <v>580</v>
      </c>
    </row>
    <row r="82" spans="1:8" ht="14">
      <c r="A82" s="2"/>
      <c r="B82" s="215"/>
      <c r="C82" s="216"/>
      <c r="D82" s="252"/>
      <c r="E82" s="289" t="str">
        <f t="shared" si="2"/>
        <v/>
      </c>
      <c r="F82" s="164" t="str">
        <f t="shared" si="3"/>
        <v/>
      </c>
      <c r="G82" s="303">
        <v>81</v>
      </c>
      <c r="H82" t="s">
        <v>580</v>
      </c>
    </row>
    <row r="83" spans="1:8" ht="14">
      <c r="A83" s="2"/>
      <c r="B83" s="217" t="s">
        <v>103</v>
      </c>
      <c r="C83" s="216"/>
      <c r="D83" s="252"/>
      <c r="E83" s="289" t="str">
        <f t="shared" si="2"/>
        <v/>
      </c>
      <c r="F83" s="164" t="str">
        <f t="shared" si="3"/>
        <v/>
      </c>
      <c r="G83" s="303">
        <v>82</v>
      </c>
      <c r="H83" t="s">
        <v>580</v>
      </c>
    </row>
    <row r="84" spans="1:8" ht="14">
      <c r="A84" s="2"/>
      <c r="B84" s="194"/>
      <c r="C84" s="216"/>
      <c r="D84" s="252"/>
      <c r="E84" s="289" t="str">
        <f t="shared" si="2"/>
        <v/>
      </c>
      <c r="F84" s="164" t="str">
        <f t="shared" si="3"/>
        <v/>
      </c>
      <c r="G84" s="303">
        <v>83</v>
      </c>
      <c r="H84" t="s">
        <v>580</v>
      </c>
    </row>
    <row r="85" spans="1:8" ht="14">
      <c r="A85" s="2" t="s">
        <v>4</v>
      </c>
      <c r="B85" s="192" t="s">
        <v>29</v>
      </c>
      <c r="C85" s="216"/>
      <c r="D85" s="252"/>
      <c r="E85" s="289" t="str">
        <f t="shared" si="2"/>
        <v/>
      </c>
      <c r="F85" s="164" t="str">
        <f t="shared" si="3"/>
        <v/>
      </c>
      <c r="G85" s="303">
        <v>84</v>
      </c>
      <c r="H85" t="s">
        <v>580</v>
      </c>
    </row>
    <row r="86" spans="1:8" ht="14">
      <c r="A86" s="2"/>
      <c r="B86" s="194"/>
      <c r="C86" s="216"/>
      <c r="D86" s="252"/>
      <c r="E86" s="289" t="str">
        <f t="shared" si="2"/>
        <v/>
      </c>
      <c r="F86" s="164" t="str">
        <f t="shared" si="3"/>
        <v/>
      </c>
      <c r="G86" s="303">
        <v>85</v>
      </c>
      <c r="H86" t="s">
        <v>580</v>
      </c>
    </row>
    <row r="87" spans="1:8" ht="14">
      <c r="A87" s="2"/>
      <c r="B87" s="220" t="s">
        <v>14</v>
      </c>
      <c r="C87" s="216" t="s">
        <v>13</v>
      </c>
      <c r="D87" s="252">
        <v>1</v>
      </c>
      <c r="E87" s="289">
        <f t="shared" si="2"/>
        <v>0</v>
      </c>
      <c r="F87" s="164">
        <f t="shared" si="3"/>
        <v>0</v>
      </c>
      <c r="G87" s="303">
        <v>86</v>
      </c>
      <c r="H87" t="s">
        <v>580</v>
      </c>
    </row>
    <row r="88" spans="1:8" ht="14.5">
      <c r="A88" s="2"/>
      <c r="B88" s="220" t="s">
        <v>15</v>
      </c>
      <c r="C88" s="216" t="s">
        <v>12</v>
      </c>
      <c r="D88" s="252">
        <v>1</v>
      </c>
      <c r="E88" s="289">
        <f t="shared" si="2"/>
        <v>0</v>
      </c>
      <c r="F88" s="164">
        <f t="shared" si="3"/>
        <v>0</v>
      </c>
      <c r="G88" s="303">
        <v>87</v>
      </c>
      <c r="H88" t="s">
        <v>580</v>
      </c>
    </row>
    <row r="89" spans="1:8" ht="14">
      <c r="A89" s="2"/>
      <c r="B89" s="220" t="s">
        <v>16</v>
      </c>
      <c r="C89" s="216" t="s">
        <v>12</v>
      </c>
      <c r="D89" s="252">
        <v>1</v>
      </c>
      <c r="E89" s="289">
        <f t="shared" si="2"/>
        <v>0</v>
      </c>
      <c r="F89" s="164">
        <f t="shared" si="3"/>
        <v>0</v>
      </c>
      <c r="G89" s="303">
        <v>88</v>
      </c>
      <c r="H89" t="s">
        <v>580</v>
      </c>
    </row>
    <row r="90" spans="1:8" ht="14">
      <c r="A90" s="2"/>
      <c r="B90" s="220" t="s">
        <v>30</v>
      </c>
      <c r="C90" s="216" t="s">
        <v>12</v>
      </c>
      <c r="D90" s="252">
        <v>1</v>
      </c>
      <c r="E90" s="289">
        <f t="shared" si="2"/>
        <v>0</v>
      </c>
      <c r="F90" s="164">
        <f t="shared" si="3"/>
        <v>0</v>
      </c>
      <c r="G90" s="303">
        <v>89</v>
      </c>
      <c r="H90" t="s">
        <v>580</v>
      </c>
    </row>
    <row r="91" spans="1:8" ht="27">
      <c r="A91" s="2"/>
      <c r="B91" s="221" t="s">
        <v>125</v>
      </c>
      <c r="C91" s="216" t="s">
        <v>13</v>
      </c>
      <c r="D91" s="252">
        <v>105</v>
      </c>
      <c r="E91" s="289">
        <f t="shared" si="2"/>
        <v>0</v>
      </c>
      <c r="F91" s="164">
        <f t="shared" si="3"/>
        <v>0</v>
      </c>
      <c r="G91" s="303">
        <v>90</v>
      </c>
      <c r="H91" t="s">
        <v>580</v>
      </c>
    </row>
    <row r="92" spans="1:8" ht="14">
      <c r="A92" s="2"/>
      <c r="B92" s="221" t="s">
        <v>31</v>
      </c>
      <c r="C92" s="216" t="s">
        <v>13</v>
      </c>
      <c r="D92" s="252">
        <f>QTE!J148-'BATIMENT SOHO-ELEC 1'!D65</f>
        <v>118</v>
      </c>
      <c r="E92" s="289">
        <f t="shared" si="2"/>
        <v>0</v>
      </c>
      <c r="F92" s="164">
        <f t="shared" si="3"/>
        <v>0</v>
      </c>
      <c r="G92" s="303">
        <v>91</v>
      </c>
      <c r="H92" t="s">
        <v>580</v>
      </c>
    </row>
    <row r="93" spans="1:8" ht="14">
      <c r="A93" s="2"/>
      <c r="B93" s="194"/>
      <c r="C93" s="216"/>
      <c r="D93" s="252"/>
      <c r="E93" s="289" t="str">
        <f t="shared" si="2"/>
        <v/>
      </c>
      <c r="F93" s="164" t="str">
        <f t="shared" si="3"/>
        <v/>
      </c>
      <c r="G93" s="303">
        <v>92</v>
      </c>
      <c r="H93" t="s">
        <v>580</v>
      </c>
    </row>
    <row r="94" spans="1:8" ht="14">
      <c r="A94" s="2"/>
      <c r="B94" s="217" t="s">
        <v>106</v>
      </c>
      <c r="C94" s="216"/>
      <c r="D94" s="252"/>
      <c r="E94" s="289" t="str">
        <f t="shared" si="2"/>
        <v/>
      </c>
      <c r="F94" s="164" t="str">
        <f t="shared" si="3"/>
        <v/>
      </c>
      <c r="G94" s="303">
        <v>93</v>
      </c>
      <c r="H94" t="s">
        <v>580</v>
      </c>
    </row>
    <row r="95" spans="1:8" ht="14">
      <c r="A95" s="2"/>
      <c r="B95" s="194"/>
      <c r="C95" s="216"/>
      <c r="D95" s="252"/>
      <c r="E95" s="289" t="str">
        <f t="shared" si="2"/>
        <v/>
      </c>
      <c r="F95" s="164" t="str">
        <f t="shared" si="3"/>
        <v/>
      </c>
      <c r="G95" s="303">
        <v>94</v>
      </c>
      <c r="H95" t="s">
        <v>580</v>
      </c>
    </row>
    <row r="96" spans="1:8" ht="14">
      <c r="A96" s="2" t="s">
        <v>5</v>
      </c>
      <c r="B96" s="222" t="s">
        <v>157</v>
      </c>
      <c r="C96" s="189"/>
      <c r="D96" s="252"/>
      <c r="E96" s="289" t="str">
        <f t="shared" si="2"/>
        <v/>
      </c>
      <c r="F96" s="164" t="str">
        <f t="shared" si="3"/>
        <v/>
      </c>
      <c r="G96" s="303">
        <v>95</v>
      </c>
      <c r="H96" t="s">
        <v>580</v>
      </c>
    </row>
    <row r="97" spans="1:8" ht="14">
      <c r="A97" s="2"/>
      <c r="B97" s="222"/>
      <c r="C97" s="189"/>
      <c r="D97" s="252"/>
      <c r="E97" s="289" t="str">
        <f t="shared" si="2"/>
        <v/>
      </c>
      <c r="F97" s="164" t="str">
        <f t="shared" si="3"/>
        <v/>
      </c>
      <c r="G97" s="303">
        <v>96</v>
      </c>
      <c r="H97" t="s">
        <v>580</v>
      </c>
    </row>
    <row r="98" spans="1:8" ht="14">
      <c r="A98" s="2"/>
      <c r="B98" s="223" t="s">
        <v>158</v>
      </c>
      <c r="C98" s="189"/>
      <c r="D98" s="252"/>
      <c r="E98" s="289" t="str">
        <f t="shared" si="2"/>
        <v/>
      </c>
      <c r="F98" s="164" t="str">
        <f t="shared" si="3"/>
        <v/>
      </c>
      <c r="G98" s="303">
        <v>97</v>
      </c>
      <c r="H98" t="s">
        <v>580</v>
      </c>
    </row>
    <row r="99" spans="1:8" ht="14">
      <c r="A99" s="2"/>
      <c r="B99" s="224" t="s">
        <v>80</v>
      </c>
      <c r="C99" s="189" t="s">
        <v>1</v>
      </c>
      <c r="D99" s="252"/>
      <c r="E99" s="289" t="str">
        <f t="shared" si="2"/>
        <v/>
      </c>
      <c r="F99" s="164" t="str">
        <f t="shared" si="3"/>
        <v/>
      </c>
      <c r="G99" s="303">
        <v>98</v>
      </c>
      <c r="H99" t="s">
        <v>580</v>
      </c>
    </row>
    <row r="100" spans="1:8" ht="14">
      <c r="A100" s="2"/>
      <c r="B100" s="224" t="s">
        <v>81</v>
      </c>
      <c r="C100" s="189" t="s">
        <v>1</v>
      </c>
      <c r="D100" s="252">
        <f>(50+72+16)+(48.5*2)</f>
        <v>235</v>
      </c>
      <c r="E100" s="289">
        <f t="shared" si="2"/>
        <v>0</v>
      </c>
      <c r="F100" s="164">
        <f t="shared" si="3"/>
        <v>0</v>
      </c>
      <c r="G100" s="303">
        <v>99</v>
      </c>
      <c r="H100" t="s">
        <v>580</v>
      </c>
    </row>
    <row r="101" spans="1:8" ht="14">
      <c r="A101" s="2"/>
      <c r="B101" s="224" t="s">
        <v>82</v>
      </c>
      <c r="C101" s="189" t="s">
        <v>1</v>
      </c>
      <c r="D101" s="252">
        <f>(35)+22.5</f>
        <v>57.5</v>
      </c>
      <c r="E101" s="289">
        <f t="shared" si="2"/>
        <v>0</v>
      </c>
      <c r="F101" s="164">
        <f t="shared" si="3"/>
        <v>0</v>
      </c>
      <c r="G101" s="303">
        <v>100</v>
      </c>
      <c r="H101" t="s">
        <v>580</v>
      </c>
    </row>
    <row r="102" spans="1:8" ht="14">
      <c r="A102" s="2"/>
      <c r="B102" s="224" t="s">
        <v>220</v>
      </c>
      <c r="C102" s="225" t="s">
        <v>257</v>
      </c>
      <c r="D102" s="252"/>
      <c r="E102" s="289" t="str">
        <f t="shared" si="2"/>
        <v/>
      </c>
      <c r="F102" s="164" t="str">
        <f t="shared" si="3"/>
        <v/>
      </c>
      <c r="G102" s="303">
        <v>101</v>
      </c>
      <c r="H102" t="s">
        <v>580</v>
      </c>
    </row>
    <row r="103" spans="1:8" ht="14">
      <c r="A103" s="2"/>
      <c r="B103" s="224" t="s">
        <v>160</v>
      </c>
      <c r="C103" s="189" t="s">
        <v>1</v>
      </c>
      <c r="D103" s="252">
        <f>(8+11)*3.5</f>
        <v>66.5</v>
      </c>
      <c r="E103" s="289">
        <f t="shared" si="2"/>
        <v>0</v>
      </c>
      <c r="F103" s="164">
        <f t="shared" si="3"/>
        <v>0</v>
      </c>
      <c r="G103" s="303">
        <v>102</v>
      </c>
      <c r="H103" t="s">
        <v>580</v>
      </c>
    </row>
    <row r="104" spans="1:8" ht="14">
      <c r="A104" s="2"/>
      <c r="B104" s="224" t="s">
        <v>83</v>
      </c>
      <c r="C104" s="189" t="s">
        <v>12</v>
      </c>
      <c r="D104" s="252">
        <v>1</v>
      </c>
      <c r="E104" s="289">
        <f t="shared" si="2"/>
        <v>0</v>
      </c>
      <c r="F104" s="164">
        <f t="shared" si="3"/>
        <v>0</v>
      </c>
      <c r="G104" s="303">
        <v>103</v>
      </c>
      <c r="H104" t="s">
        <v>580</v>
      </c>
    </row>
    <row r="105" spans="1:8" ht="14">
      <c r="A105" s="2"/>
      <c r="B105" s="224"/>
      <c r="C105" s="189"/>
      <c r="D105" s="252"/>
      <c r="E105" s="289" t="str">
        <f t="shared" si="2"/>
        <v/>
      </c>
      <c r="F105" s="164" t="str">
        <f t="shared" si="3"/>
        <v/>
      </c>
      <c r="G105" s="303">
        <v>104</v>
      </c>
      <c r="H105" t="s">
        <v>580</v>
      </c>
    </row>
    <row r="106" spans="1:8" ht="14">
      <c r="A106" s="2"/>
      <c r="B106" s="223" t="s">
        <v>159</v>
      </c>
      <c r="C106" s="189"/>
      <c r="D106" s="252"/>
      <c r="E106" s="289" t="str">
        <f t="shared" si="2"/>
        <v/>
      </c>
      <c r="F106" s="164" t="str">
        <f t="shared" si="3"/>
        <v/>
      </c>
      <c r="G106" s="303">
        <v>105</v>
      </c>
      <c r="H106" t="s">
        <v>580</v>
      </c>
    </row>
    <row r="107" spans="1:8" ht="14">
      <c r="A107" s="2"/>
      <c r="B107" s="224" t="s">
        <v>81</v>
      </c>
      <c r="C107" s="189" t="s">
        <v>1</v>
      </c>
      <c r="D107" s="252"/>
      <c r="E107" s="289" t="str">
        <f t="shared" si="2"/>
        <v/>
      </c>
      <c r="F107" s="164" t="str">
        <f t="shared" si="3"/>
        <v/>
      </c>
      <c r="G107" s="303">
        <v>106</v>
      </c>
      <c r="H107" t="s">
        <v>580</v>
      </c>
    </row>
    <row r="108" spans="1:8" ht="14">
      <c r="A108" s="2"/>
      <c r="B108" s="224" t="s">
        <v>82</v>
      </c>
      <c r="C108" s="189" t="s">
        <v>1</v>
      </c>
      <c r="D108" s="252">
        <f>(113)</f>
        <v>113</v>
      </c>
      <c r="E108" s="289">
        <f t="shared" si="2"/>
        <v>0</v>
      </c>
      <c r="F108" s="164">
        <f t="shared" si="3"/>
        <v>0</v>
      </c>
      <c r="G108" s="303">
        <v>107</v>
      </c>
      <c r="H108" t="s">
        <v>580</v>
      </c>
    </row>
    <row r="109" spans="1:8" ht="14">
      <c r="A109" s="2"/>
      <c r="B109" s="224" t="s">
        <v>160</v>
      </c>
      <c r="C109" s="189" t="s">
        <v>1</v>
      </c>
      <c r="D109" s="252">
        <f>(8+11)*3.5</f>
        <v>66.5</v>
      </c>
      <c r="E109" s="289">
        <f t="shared" si="2"/>
        <v>0</v>
      </c>
      <c r="F109" s="164">
        <f t="shared" si="3"/>
        <v>0</v>
      </c>
      <c r="G109" s="303">
        <v>108</v>
      </c>
      <c r="H109" t="s">
        <v>580</v>
      </c>
    </row>
    <row r="110" spans="1:8" ht="14">
      <c r="A110" s="2"/>
      <c r="B110" s="224" t="s">
        <v>83</v>
      </c>
      <c r="C110" s="189" t="s">
        <v>12</v>
      </c>
      <c r="D110" s="252">
        <v>1</v>
      </c>
      <c r="E110" s="289">
        <f t="shared" si="2"/>
        <v>0</v>
      </c>
      <c r="F110" s="164">
        <f t="shared" si="3"/>
        <v>0</v>
      </c>
      <c r="G110" s="303">
        <v>109</v>
      </c>
      <c r="H110" t="s">
        <v>580</v>
      </c>
    </row>
    <row r="111" spans="1:8" ht="14">
      <c r="A111" s="2"/>
      <c r="B111" s="224"/>
      <c r="C111" s="189"/>
      <c r="D111" s="252"/>
      <c r="E111" s="289" t="str">
        <f t="shared" si="2"/>
        <v/>
      </c>
      <c r="F111" s="164" t="str">
        <f t="shared" si="3"/>
        <v/>
      </c>
      <c r="G111" s="303">
        <v>110</v>
      </c>
      <c r="H111" t="s">
        <v>580</v>
      </c>
    </row>
    <row r="112" spans="1:8" ht="14">
      <c r="A112" s="2"/>
      <c r="B112" s="226" t="s">
        <v>107</v>
      </c>
      <c r="C112" s="216"/>
      <c r="D112" s="252"/>
      <c r="E112" s="289" t="str">
        <f t="shared" si="2"/>
        <v/>
      </c>
      <c r="F112" s="164" t="str">
        <f t="shared" si="3"/>
        <v/>
      </c>
      <c r="G112" s="303">
        <v>111</v>
      </c>
      <c r="H112" t="s">
        <v>580</v>
      </c>
    </row>
    <row r="113" spans="1:8" ht="14">
      <c r="A113" s="2"/>
      <c r="B113" s="227"/>
      <c r="C113" s="216"/>
      <c r="D113" s="252"/>
      <c r="E113" s="289" t="str">
        <f t="shared" si="2"/>
        <v/>
      </c>
      <c r="F113" s="164" t="str">
        <f t="shared" si="3"/>
        <v/>
      </c>
      <c r="G113" s="303">
        <v>112</v>
      </c>
      <c r="H113" t="s">
        <v>580</v>
      </c>
    </row>
    <row r="114" spans="1:8" ht="14">
      <c r="A114" s="2" t="s">
        <v>28</v>
      </c>
      <c r="B114" s="222" t="s">
        <v>73</v>
      </c>
      <c r="C114" s="216"/>
      <c r="D114" s="252"/>
      <c r="E114" s="289" t="str">
        <f t="shared" si="2"/>
        <v/>
      </c>
      <c r="F114" s="164" t="str">
        <f t="shared" si="3"/>
        <v/>
      </c>
      <c r="G114" s="303">
        <v>113</v>
      </c>
      <c r="H114" t="s">
        <v>580</v>
      </c>
    </row>
    <row r="115" spans="1:8" ht="14">
      <c r="A115" s="2"/>
      <c r="B115" s="227"/>
      <c r="C115" s="216"/>
      <c r="D115" s="252"/>
      <c r="E115" s="289" t="str">
        <f t="shared" si="2"/>
        <v/>
      </c>
      <c r="F115" s="164" t="str">
        <f t="shared" si="3"/>
        <v/>
      </c>
      <c r="G115" s="303">
        <v>114</v>
      </c>
      <c r="H115" t="s">
        <v>580</v>
      </c>
    </row>
    <row r="116" spans="1:8" ht="25">
      <c r="A116" s="2"/>
      <c r="B116" s="221" t="s">
        <v>224</v>
      </c>
      <c r="C116" s="193" t="s">
        <v>12</v>
      </c>
      <c r="D116" s="252">
        <v>1</v>
      </c>
      <c r="E116" s="289">
        <f t="shared" si="2"/>
        <v>0</v>
      </c>
      <c r="F116" s="164">
        <f t="shared" si="3"/>
        <v>0</v>
      </c>
      <c r="G116" s="303">
        <v>115</v>
      </c>
      <c r="H116" t="s">
        <v>580</v>
      </c>
    </row>
    <row r="117" spans="1:8" ht="25">
      <c r="A117" s="2"/>
      <c r="B117" s="221" t="s">
        <v>221</v>
      </c>
      <c r="C117" s="193" t="s">
        <v>12</v>
      </c>
      <c r="D117" s="252">
        <v>1</v>
      </c>
      <c r="E117" s="289">
        <f t="shared" si="2"/>
        <v>0</v>
      </c>
      <c r="F117" s="164">
        <f t="shared" si="3"/>
        <v>0</v>
      </c>
      <c r="G117" s="303">
        <v>116</v>
      </c>
      <c r="H117" t="s">
        <v>580</v>
      </c>
    </row>
    <row r="118" spans="1:8" ht="25">
      <c r="A118" s="2"/>
      <c r="B118" s="221" t="s">
        <v>222</v>
      </c>
      <c r="C118" s="193" t="s">
        <v>12</v>
      </c>
      <c r="D118" s="252">
        <v>1</v>
      </c>
      <c r="E118" s="289">
        <f t="shared" si="2"/>
        <v>0</v>
      </c>
      <c r="F118" s="164">
        <f t="shared" si="3"/>
        <v>0</v>
      </c>
      <c r="G118" s="303">
        <v>117</v>
      </c>
      <c r="H118" t="s">
        <v>580</v>
      </c>
    </row>
    <row r="119" spans="1:8" ht="14">
      <c r="A119" s="2"/>
      <c r="B119" s="221"/>
      <c r="C119" s="193"/>
      <c r="D119" s="252"/>
      <c r="E119" s="289" t="str">
        <f t="shared" si="2"/>
        <v/>
      </c>
      <c r="F119" s="164" t="str">
        <f t="shared" si="3"/>
        <v/>
      </c>
      <c r="G119" s="303">
        <v>118</v>
      </c>
      <c r="H119" t="s">
        <v>580</v>
      </c>
    </row>
    <row r="120" spans="1:8" ht="14">
      <c r="A120" s="2"/>
      <c r="B120" s="221" t="s">
        <v>225</v>
      </c>
      <c r="C120" s="193" t="s">
        <v>12</v>
      </c>
      <c r="D120" s="252">
        <v>1</v>
      </c>
      <c r="E120" s="289">
        <f t="shared" si="2"/>
        <v>0</v>
      </c>
      <c r="F120" s="164">
        <f t="shared" si="3"/>
        <v>0</v>
      </c>
      <c r="G120" s="303">
        <v>119</v>
      </c>
      <c r="H120" t="s">
        <v>580</v>
      </c>
    </row>
    <row r="121" spans="1:8" ht="14">
      <c r="A121" s="2"/>
      <c r="B121" s="221" t="s">
        <v>226</v>
      </c>
      <c r="C121" s="193" t="s">
        <v>12</v>
      </c>
      <c r="D121" s="252">
        <v>1</v>
      </c>
      <c r="E121" s="289">
        <f t="shared" si="2"/>
        <v>0</v>
      </c>
      <c r="F121" s="164">
        <f t="shared" si="3"/>
        <v>0</v>
      </c>
      <c r="G121" s="303">
        <v>120</v>
      </c>
      <c r="H121" t="s">
        <v>580</v>
      </c>
    </row>
    <row r="122" spans="1:8" ht="25">
      <c r="A122" s="2"/>
      <c r="B122" s="228" t="s">
        <v>74</v>
      </c>
      <c r="C122" s="216" t="s">
        <v>12</v>
      </c>
      <c r="D122" s="252">
        <v>1</v>
      </c>
      <c r="E122" s="289">
        <f t="shared" si="2"/>
        <v>0</v>
      </c>
      <c r="F122" s="164">
        <f t="shared" si="3"/>
        <v>0</v>
      </c>
      <c r="G122" s="303">
        <v>121</v>
      </c>
      <c r="H122" t="s">
        <v>580</v>
      </c>
    </row>
    <row r="123" spans="1:8" ht="14">
      <c r="A123" s="2"/>
      <c r="B123" s="228"/>
      <c r="C123" s="216"/>
      <c r="D123" s="252"/>
      <c r="E123" s="289" t="str">
        <f t="shared" si="2"/>
        <v/>
      </c>
      <c r="F123" s="164" t="str">
        <f t="shared" si="3"/>
        <v/>
      </c>
      <c r="G123" s="303">
        <v>122</v>
      </c>
      <c r="H123" t="s">
        <v>580</v>
      </c>
    </row>
    <row r="124" spans="1:8" ht="14">
      <c r="A124" s="2"/>
      <c r="B124" s="217" t="s">
        <v>108</v>
      </c>
      <c r="C124" s="216"/>
      <c r="D124" s="252"/>
      <c r="E124" s="289" t="str">
        <f t="shared" si="2"/>
        <v/>
      </c>
      <c r="F124" s="164" t="str">
        <f t="shared" si="3"/>
        <v/>
      </c>
      <c r="G124" s="303">
        <v>123</v>
      </c>
      <c r="H124" t="s">
        <v>580</v>
      </c>
    </row>
    <row r="125" spans="1:8" ht="14">
      <c r="A125" s="2"/>
      <c r="B125" s="228"/>
      <c r="C125" s="216"/>
      <c r="D125" s="252"/>
      <c r="E125" s="289" t="str">
        <f t="shared" si="2"/>
        <v/>
      </c>
      <c r="F125" s="164" t="str">
        <f t="shared" si="3"/>
        <v/>
      </c>
      <c r="G125" s="303">
        <v>124</v>
      </c>
      <c r="H125" t="s">
        <v>580</v>
      </c>
    </row>
    <row r="126" spans="1:8" ht="14">
      <c r="A126" s="2" t="s">
        <v>75</v>
      </c>
      <c r="B126" s="222" t="s">
        <v>258</v>
      </c>
      <c r="C126" s="216"/>
      <c r="D126" s="252"/>
      <c r="E126" s="289" t="str">
        <f t="shared" si="2"/>
        <v/>
      </c>
      <c r="F126" s="164" t="str">
        <f t="shared" si="3"/>
        <v/>
      </c>
      <c r="G126" s="303">
        <v>125</v>
      </c>
      <c r="H126" t="s">
        <v>580</v>
      </c>
    </row>
    <row r="127" spans="1:8" ht="14">
      <c r="A127" s="2"/>
      <c r="B127" s="229"/>
      <c r="C127" s="216"/>
      <c r="D127" s="252"/>
      <c r="E127" s="289" t="str">
        <f t="shared" si="2"/>
        <v/>
      </c>
      <c r="F127" s="164" t="str">
        <f t="shared" si="3"/>
        <v/>
      </c>
      <c r="G127" s="303">
        <v>126</v>
      </c>
      <c r="H127" t="s">
        <v>580</v>
      </c>
    </row>
    <row r="128" spans="1:8" ht="14">
      <c r="A128" s="2"/>
      <c r="B128" s="206" t="s">
        <v>259</v>
      </c>
      <c r="C128" s="193" t="s">
        <v>12</v>
      </c>
      <c r="D128" s="252">
        <v>3</v>
      </c>
      <c r="E128" s="289">
        <f t="shared" si="2"/>
        <v>0</v>
      </c>
      <c r="F128" s="164">
        <f t="shared" si="3"/>
        <v>0</v>
      </c>
      <c r="G128" s="303">
        <v>127</v>
      </c>
      <c r="H128" t="s">
        <v>580</v>
      </c>
    </row>
    <row r="129" spans="1:8" ht="14">
      <c r="A129" s="2"/>
      <c r="B129" s="229"/>
      <c r="C129" s="216"/>
      <c r="D129" s="252"/>
      <c r="E129" s="289" t="str">
        <f t="shared" si="2"/>
        <v/>
      </c>
      <c r="F129" s="164" t="str">
        <f t="shared" si="3"/>
        <v/>
      </c>
      <c r="G129" s="303">
        <v>128</v>
      </c>
      <c r="H129" t="s">
        <v>580</v>
      </c>
    </row>
    <row r="130" spans="1:8" ht="14">
      <c r="A130" s="2"/>
      <c r="B130" s="226" t="s">
        <v>109</v>
      </c>
      <c r="C130" s="216"/>
      <c r="D130" s="252"/>
      <c r="E130" s="289" t="str">
        <f t="shared" si="2"/>
        <v/>
      </c>
      <c r="F130" s="164" t="str">
        <f t="shared" si="3"/>
        <v/>
      </c>
      <c r="G130" s="303">
        <v>129</v>
      </c>
      <c r="H130" t="s">
        <v>580</v>
      </c>
    </row>
    <row r="131" spans="1:8" ht="14">
      <c r="A131" s="2"/>
      <c r="B131" s="227"/>
      <c r="C131" s="216"/>
      <c r="D131" s="252"/>
      <c r="E131" s="289" t="str">
        <f t="shared" si="2"/>
        <v/>
      </c>
      <c r="F131" s="164" t="str">
        <f t="shared" si="3"/>
        <v/>
      </c>
      <c r="G131" s="303">
        <v>130</v>
      </c>
      <c r="H131" t="s">
        <v>580</v>
      </c>
    </row>
    <row r="132" spans="1:8" ht="14">
      <c r="A132" s="2" t="s">
        <v>78</v>
      </c>
      <c r="B132" s="222" t="s">
        <v>34</v>
      </c>
      <c r="C132" s="216"/>
      <c r="D132" s="252"/>
      <c r="E132" s="289" t="str">
        <f t="shared" si="2"/>
        <v/>
      </c>
      <c r="F132" s="164" t="str">
        <f t="shared" si="3"/>
        <v/>
      </c>
      <c r="G132" s="303">
        <v>131</v>
      </c>
      <c r="H132" t="s">
        <v>580</v>
      </c>
    </row>
    <row r="133" spans="1:8" ht="14">
      <c r="A133" s="2"/>
      <c r="B133" s="224"/>
      <c r="C133" s="216"/>
      <c r="D133" s="252"/>
      <c r="E133" s="289" t="str">
        <f t="shared" si="2"/>
        <v/>
      </c>
      <c r="F133" s="164" t="str">
        <f t="shared" si="3"/>
        <v/>
      </c>
      <c r="G133" s="303">
        <v>132</v>
      </c>
      <c r="H133" t="s">
        <v>580</v>
      </c>
    </row>
    <row r="134" spans="1:8" ht="14">
      <c r="A134" s="2" t="s">
        <v>561</v>
      </c>
      <c r="B134" s="224" t="s">
        <v>241</v>
      </c>
      <c r="C134" s="216" t="s">
        <v>12</v>
      </c>
      <c r="D134" s="252">
        <v>1</v>
      </c>
      <c r="E134" s="289">
        <f t="shared" si="2"/>
        <v>0</v>
      </c>
      <c r="F134" s="164">
        <f t="shared" si="3"/>
        <v>0</v>
      </c>
      <c r="G134" s="303">
        <v>133</v>
      </c>
      <c r="H134" t="s">
        <v>580</v>
      </c>
    </row>
    <row r="135" spans="1:8" ht="14">
      <c r="A135" s="2" t="s">
        <v>561</v>
      </c>
      <c r="B135" s="224" t="s">
        <v>242</v>
      </c>
      <c r="C135" s="216" t="s">
        <v>12</v>
      </c>
      <c r="D135" s="252">
        <v>1</v>
      </c>
      <c r="E135" s="289">
        <f t="shared" si="2"/>
        <v>0</v>
      </c>
      <c r="F135" s="164">
        <f t="shared" si="3"/>
        <v>0</v>
      </c>
      <c r="G135" s="303">
        <v>134</v>
      </c>
      <c r="H135" t="s">
        <v>580</v>
      </c>
    </row>
    <row r="136" spans="1:8" ht="14">
      <c r="A136" s="2" t="s">
        <v>560</v>
      </c>
      <c r="B136" s="224" t="s">
        <v>283</v>
      </c>
      <c r="C136" s="216" t="s">
        <v>12</v>
      </c>
      <c r="D136" s="252">
        <v>2</v>
      </c>
      <c r="E136" s="289">
        <f t="shared" si="2"/>
        <v>0</v>
      </c>
      <c r="F136" s="164">
        <f t="shared" si="3"/>
        <v>0</v>
      </c>
      <c r="G136" s="303">
        <v>135</v>
      </c>
      <c r="H136" t="s">
        <v>580</v>
      </c>
    </row>
    <row r="137" spans="1:8" ht="14">
      <c r="A137" s="2" t="s">
        <v>560</v>
      </c>
      <c r="B137" s="224" t="s">
        <v>284</v>
      </c>
      <c r="C137" s="216" t="s">
        <v>12</v>
      </c>
      <c r="D137" s="252">
        <v>3</v>
      </c>
      <c r="E137" s="289">
        <f t="shared" si="2"/>
        <v>0</v>
      </c>
      <c r="F137" s="164">
        <f t="shared" si="3"/>
        <v>0</v>
      </c>
      <c r="G137" s="303">
        <v>136</v>
      </c>
      <c r="H137" t="s">
        <v>580</v>
      </c>
    </row>
    <row r="138" spans="1:8" ht="14">
      <c r="A138" s="2" t="s">
        <v>558</v>
      </c>
      <c r="B138" s="224" t="s">
        <v>285</v>
      </c>
      <c r="C138" s="216" t="s">
        <v>12</v>
      </c>
      <c r="D138" s="252">
        <v>2</v>
      </c>
      <c r="E138" s="289">
        <f t="shared" si="2"/>
        <v>0</v>
      </c>
      <c r="F138" s="164">
        <f t="shared" si="3"/>
        <v>0</v>
      </c>
      <c r="G138" s="303">
        <v>137</v>
      </c>
      <c r="H138" t="s">
        <v>580</v>
      </c>
    </row>
    <row r="139" spans="1:8" ht="14">
      <c r="A139" s="2"/>
      <c r="B139" s="224" t="s">
        <v>32</v>
      </c>
      <c r="C139" s="216" t="s">
        <v>12</v>
      </c>
      <c r="D139" s="252">
        <v>1</v>
      </c>
      <c r="E139" s="289">
        <f t="shared" ref="E139:E202" si="4">IF(D139="","",(((J139*$K$2)+(K139*$I$2*$I$3))*$K$3)/D139)</f>
        <v>0</v>
      </c>
      <c r="F139" s="164">
        <f t="shared" ref="F139:F202" si="5">IF(D139="","",D139*E139)</f>
        <v>0</v>
      </c>
      <c r="G139" s="303">
        <v>138</v>
      </c>
      <c r="H139" t="s">
        <v>580</v>
      </c>
    </row>
    <row r="140" spans="1:8" ht="14">
      <c r="A140" s="2" t="s">
        <v>563</v>
      </c>
      <c r="B140" s="224" t="s">
        <v>286</v>
      </c>
      <c r="C140" s="189" t="s">
        <v>12</v>
      </c>
      <c r="D140" s="252">
        <v>1</v>
      </c>
      <c r="E140" s="289">
        <f t="shared" si="4"/>
        <v>0</v>
      </c>
      <c r="F140" s="164">
        <f t="shared" si="5"/>
        <v>0</v>
      </c>
      <c r="G140" s="303">
        <v>139</v>
      </c>
      <c r="H140" t="s">
        <v>580</v>
      </c>
    </row>
    <row r="141" spans="1:8" ht="14">
      <c r="A141" s="2" t="s">
        <v>563</v>
      </c>
      <c r="B141" s="224" t="s">
        <v>287</v>
      </c>
      <c r="C141" s="189" t="s">
        <v>12</v>
      </c>
      <c r="D141" s="252">
        <v>1</v>
      </c>
      <c r="E141" s="289">
        <f t="shared" si="4"/>
        <v>0</v>
      </c>
      <c r="F141" s="164">
        <f t="shared" si="5"/>
        <v>0</v>
      </c>
      <c r="G141" s="303">
        <v>140</v>
      </c>
      <c r="H141" t="s">
        <v>580</v>
      </c>
    </row>
    <row r="142" spans="1:8" ht="14">
      <c r="A142" s="2" t="s">
        <v>561</v>
      </c>
      <c r="B142" s="224" t="s">
        <v>288</v>
      </c>
      <c r="C142" s="189" t="s">
        <v>12</v>
      </c>
      <c r="D142" s="252">
        <v>1</v>
      </c>
      <c r="E142" s="289">
        <f t="shared" si="4"/>
        <v>0</v>
      </c>
      <c r="F142" s="164">
        <f t="shared" si="5"/>
        <v>0</v>
      </c>
      <c r="G142" s="303">
        <v>141</v>
      </c>
      <c r="H142" t="s">
        <v>580</v>
      </c>
    </row>
    <row r="143" spans="1:8" ht="14">
      <c r="A143" s="2" t="s">
        <v>566</v>
      </c>
      <c r="B143" s="224" t="s">
        <v>289</v>
      </c>
      <c r="C143" s="189" t="s">
        <v>12</v>
      </c>
      <c r="D143" s="252">
        <v>1</v>
      </c>
      <c r="E143" s="289">
        <f t="shared" si="4"/>
        <v>0</v>
      </c>
      <c r="F143" s="164">
        <f t="shared" si="5"/>
        <v>0</v>
      </c>
      <c r="G143" s="303">
        <v>142</v>
      </c>
      <c r="H143" t="s">
        <v>580</v>
      </c>
    </row>
    <row r="144" spans="1:8" ht="14">
      <c r="A144" s="2"/>
      <c r="B144" s="224" t="s">
        <v>290</v>
      </c>
      <c r="C144" s="216" t="s">
        <v>12</v>
      </c>
      <c r="D144" s="252">
        <v>1</v>
      </c>
      <c r="E144" s="289">
        <f t="shared" si="4"/>
        <v>0</v>
      </c>
      <c r="F144" s="164">
        <f t="shared" si="5"/>
        <v>0</v>
      </c>
      <c r="G144" s="303">
        <v>143</v>
      </c>
      <c r="H144" t="s">
        <v>580</v>
      </c>
    </row>
    <row r="145" spans="1:8" ht="14">
      <c r="A145" s="2"/>
      <c r="B145" s="224" t="s">
        <v>291</v>
      </c>
      <c r="C145" s="216" t="s">
        <v>12</v>
      </c>
      <c r="D145" s="252">
        <v>1</v>
      </c>
      <c r="E145" s="289">
        <f t="shared" si="4"/>
        <v>0</v>
      </c>
      <c r="F145" s="164">
        <f t="shared" si="5"/>
        <v>0</v>
      </c>
      <c r="G145" s="303">
        <v>144</v>
      </c>
      <c r="H145" t="s">
        <v>580</v>
      </c>
    </row>
    <row r="146" spans="1:8" ht="14">
      <c r="A146" s="2"/>
      <c r="B146" s="224" t="s">
        <v>292</v>
      </c>
      <c r="C146" s="216" t="s">
        <v>12</v>
      </c>
      <c r="D146" s="252">
        <v>1</v>
      </c>
      <c r="E146" s="289">
        <f t="shared" si="4"/>
        <v>0</v>
      </c>
      <c r="F146" s="164">
        <f t="shared" si="5"/>
        <v>0</v>
      </c>
      <c r="G146" s="303">
        <v>145</v>
      </c>
      <c r="H146" t="s">
        <v>580</v>
      </c>
    </row>
    <row r="147" spans="1:8" ht="14">
      <c r="A147" s="2"/>
      <c r="B147" s="224" t="s">
        <v>293</v>
      </c>
      <c r="C147" s="216" t="s">
        <v>12</v>
      </c>
      <c r="D147" s="252">
        <v>1</v>
      </c>
      <c r="E147" s="289">
        <f t="shared" si="4"/>
        <v>0</v>
      </c>
      <c r="F147" s="164">
        <f t="shared" si="5"/>
        <v>0</v>
      </c>
      <c r="G147" s="303">
        <v>146</v>
      </c>
      <c r="H147" t="s">
        <v>580</v>
      </c>
    </row>
    <row r="148" spans="1:8" ht="14">
      <c r="A148" s="2"/>
      <c r="B148" s="224" t="s">
        <v>294</v>
      </c>
      <c r="C148" s="216" t="s">
        <v>12</v>
      </c>
      <c r="D148" s="252">
        <v>1</v>
      </c>
      <c r="E148" s="289">
        <f t="shared" si="4"/>
        <v>0</v>
      </c>
      <c r="F148" s="164">
        <f t="shared" si="5"/>
        <v>0</v>
      </c>
      <c r="G148" s="303">
        <v>147</v>
      </c>
      <c r="H148" t="s">
        <v>580</v>
      </c>
    </row>
    <row r="149" spans="1:8" ht="25">
      <c r="A149" s="2"/>
      <c r="B149" s="206" t="s">
        <v>295</v>
      </c>
      <c r="C149" s="216" t="s">
        <v>12</v>
      </c>
      <c r="D149" s="252">
        <v>1</v>
      </c>
      <c r="E149" s="289">
        <f t="shared" si="4"/>
        <v>0</v>
      </c>
      <c r="F149" s="164">
        <f t="shared" si="5"/>
        <v>0</v>
      </c>
      <c r="G149" s="303">
        <v>148</v>
      </c>
      <c r="H149" t="s">
        <v>580</v>
      </c>
    </row>
    <row r="150" spans="1:8" ht="25">
      <c r="A150" s="2"/>
      <c r="B150" s="206" t="s">
        <v>296</v>
      </c>
      <c r="C150" s="216" t="s">
        <v>12</v>
      </c>
      <c r="D150" s="252">
        <v>1</v>
      </c>
      <c r="E150" s="289">
        <f t="shared" si="4"/>
        <v>0</v>
      </c>
      <c r="F150" s="164">
        <f t="shared" si="5"/>
        <v>0</v>
      </c>
      <c r="G150" s="303">
        <v>149</v>
      </c>
      <c r="H150" t="s">
        <v>580</v>
      </c>
    </row>
    <row r="151" spans="1:8" ht="14">
      <c r="A151" s="2"/>
      <c r="B151" s="224" t="s">
        <v>297</v>
      </c>
      <c r="C151" s="216" t="s">
        <v>12</v>
      </c>
      <c r="D151" s="252">
        <v>1</v>
      </c>
      <c r="E151" s="289">
        <f t="shared" si="4"/>
        <v>0</v>
      </c>
      <c r="F151" s="164">
        <f t="shared" si="5"/>
        <v>0</v>
      </c>
      <c r="G151" s="303">
        <v>150</v>
      </c>
      <c r="H151" t="s">
        <v>580</v>
      </c>
    </row>
    <row r="152" spans="1:8" ht="14">
      <c r="A152" s="2" t="s">
        <v>562</v>
      </c>
      <c r="B152" s="224" t="s">
        <v>298</v>
      </c>
      <c r="C152" s="189" t="s">
        <v>12</v>
      </c>
      <c r="D152" s="252">
        <v>1</v>
      </c>
      <c r="E152" s="289">
        <f t="shared" si="4"/>
        <v>0</v>
      </c>
      <c r="F152" s="164">
        <f t="shared" si="5"/>
        <v>0</v>
      </c>
      <c r="G152" s="303">
        <v>151</v>
      </c>
      <c r="H152" t="s">
        <v>580</v>
      </c>
    </row>
    <row r="153" spans="1:8" ht="14">
      <c r="A153" s="2" t="s">
        <v>562</v>
      </c>
      <c r="B153" s="224" t="s">
        <v>299</v>
      </c>
      <c r="C153" s="189" t="s">
        <v>12</v>
      </c>
      <c r="D153" s="252">
        <v>1</v>
      </c>
      <c r="E153" s="289">
        <f t="shared" si="4"/>
        <v>0</v>
      </c>
      <c r="F153" s="164">
        <f t="shared" si="5"/>
        <v>0</v>
      </c>
      <c r="G153" s="303">
        <v>152</v>
      </c>
      <c r="H153" t="s">
        <v>580</v>
      </c>
    </row>
    <row r="154" spans="1:8" ht="14">
      <c r="A154" s="2"/>
      <c r="B154" s="224" t="s">
        <v>400</v>
      </c>
      <c r="C154" s="189" t="s">
        <v>12</v>
      </c>
      <c r="D154" s="252">
        <v>1</v>
      </c>
      <c r="E154" s="289">
        <f t="shared" si="4"/>
        <v>0</v>
      </c>
      <c r="F154" s="164">
        <f t="shared" si="5"/>
        <v>0</v>
      </c>
      <c r="G154" s="303">
        <v>153</v>
      </c>
      <c r="H154" t="s">
        <v>580</v>
      </c>
    </row>
    <row r="155" spans="1:8" ht="14">
      <c r="A155" s="2"/>
      <c r="B155" s="224" t="s">
        <v>401</v>
      </c>
      <c r="C155" s="189" t="s">
        <v>12</v>
      </c>
      <c r="D155" s="252">
        <v>1</v>
      </c>
      <c r="E155" s="289">
        <f t="shared" si="4"/>
        <v>0</v>
      </c>
      <c r="F155" s="164">
        <f t="shared" si="5"/>
        <v>0</v>
      </c>
      <c r="G155" s="303">
        <v>154</v>
      </c>
      <c r="H155" t="s">
        <v>580</v>
      </c>
    </row>
    <row r="156" spans="1:8" ht="14">
      <c r="A156" s="2"/>
      <c r="B156" s="224" t="s">
        <v>300</v>
      </c>
      <c r="C156" s="189" t="s">
        <v>12</v>
      </c>
      <c r="D156" s="252">
        <v>1</v>
      </c>
      <c r="E156" s="289">
        <f t="shared" si="4"/>
        <v>0</v>
      </c>
      <c r="F156" s="164">
        <f t="shared" si="5"/>
        <v>0</v>
      </c>
      <c r="G156" s="303">
        <v>155</v>
      </c>
      <c r="H156" t="s">
        <v>580</v>
      </c>
    </row>
    <row r="157" spans="1:8" ht="14">
      <c r="A157" s="2"/>
      <c r="B157" s="230" t="s">
        <v>301</v>
      </c>
      <c r="C157" s="189" t="s">
        <v>12</v>
      </c>
      <c r="D157" s="252">
        <v>1</v>
      </c>
      <c r="E157" s="289">
        <f t="shared" si="4"/>
        <v>0</v>
      </c>
      <c r="F157" s="164">
        <f t="shared" si="5"/>
        <v>0</v>
      </c>
      <c r="G157" s="303">
        <v>156</v>
      </c>
      <c r="H157" t="s">
        <v>580</v>
      </c>
    </row>
    <row r="158" spans="1:8" ht="14">
      <c r="A158" s="2" t="s">
        <v>561</v>
      </c>
      <c r="B158" s="224" t="s">
        <v>302</v>
      </c>
      <c r="C158" s="189" t="s">
        <v>12</v>
      </c>
      <c r="D158" s="252">
        <v>1</v>
      </c>
      <c r="E158" s="289">
        <f t="shared" si="4"/>
        <v>0</v>
      </c>
      <c r="F158" s="164">
        <f t="shared" si="5"/>
        <v>0</v>
      </c>
      <c r="G158" s="303">
        <v>157</v>
      </c>
      <c r="H158" t="s">
        <v>580</v>
      </c>
    </row>
    <row r="159" spans="1:8" ht="14">
      <c r="A159" s="2" t="s">
        <v>561</v>
      </c>
      <c r="B159" s="224" t="s">
        <v>303</v>
      </c>
      <c r="C159" s="189" t="s">
        <v>12</v>
      </c>
      <c r="D159" s="252">
        <v>2</v>
      </c>
      <c r="E159" s="289">
        <f t="shared" si="4"/>
        <v>0</v>
      </c>
      <c r="F159" s="164">
        <f t="shared" si="5"/>
        <v>0</v>
      </c>
      <c r="G159" s="303">
        <v>158</v>
      </c>
      <c r="H159" t="s">
        <v>580</v>
      </c>
    </row>
    <row r="160" spans="1:8" ht="14">
      <c r="A160" s="2" t="s">
        <v>564</v>
      </c>
      <c r="B160" s="224" t="s">
        <v>394</v>
      </c>
      <c r="C160" s="189" t="s">
        <v>12</v>
      </c>
      <c r="D160" s="252">
        <v>1</v>
      </c>
      <c r="E160" s="289">
        <f t="shared" si="4"/>
        <v>0</v>
      </c>
      <c r="F160" s="164">
        <f t="shared" si="5"/>
        <v>0</v>
      </c>
      <c r="G160" s="303">
        <v>159</v>
      </c>
      <c r="H160" t="s">
        <v>580</v>
      </c>
    </row>
    <row r="161" spans="1:8" ht="14">
      <c r="A161" s="2">
        <v>0.1</v>
      </c>
      <c r="B161" s="224" t="s">
        <v>395</v>
      </c>
      <c r="C161" s="189" t="s">
        <v>12</v>
      </c>
      <c r="D161" s="252">
        <v>1</v>
      </c>
      <c r="E161" s="289">
        <f t="shared" si="4"/>
        <v>0</v>
      </c>
      <c r="F161" s="164">
        <f t="shared" si="5"/>
        <v>0</v>
      </c>
      <c r="G161" s="303">
        <v>160</v>
      </c>
      <c r="H161" t="s">
        <v>580</v>
      </c>
    </row>
    <row r="162" spans="1:8" ht="28">
      <c r="A162" s="2"/>
      <c r="B162" s="224" t="s">
        <v>38</v>
      </c>
      <c r="C162" s="216" t="s">
        <v>12</v>
      </c>
      <c r="D162" s="252">
        <v>0</v>
      </c>
      <c r="E162" s="289"/>
      <c r="F162" s="164" t="s">
        <v>527</v>
      </c>
      <c r="G162" s="303">
        <v>161</v>
      </c>
      <c r="H162" t="s">
        <v>580</v>
      </c>
    </row>
    <row r="163" spans="1:8" ht="14">
      <c r="A163" s="2"/>
      <c r="B163" s="194"/>
      <c r="C163" s="216"/>
      <c r="D163" s="252"/>
      <c r="E163" s="289" t="str">
        <f t="shared" si="4"/>
        <v/>
      </c>
      <c r="F163" s="164" t="str">
        <f t="shared" si="5"/>
        <v/>
      </c>
      <c r="G163" s="303">
        <v>162</v>
      </c>
      <c r="H163" t="s">
        <v>580</v>
      </c>
    </row>
    <row r="164" spans="1:8" ht="14">
      <c r="A164" s="2"/>
      <c r="B164" s="217" t="s">
        <v>112</v>
      </c>
      <c r="C164" s="216"/>
      <c r="D164" s="252"/>
      <c r="E164" s="289" t="str">
        <f t="shared" si="4"/>
        <v/>
      </c>
      <c r="F164" s="164" t="str">
        <f t="shared" si="5"/>
        <v/>
      </c>
      <c r="G164" s="303">
        <v>163</v>
      </c>
      <c r="H164" t="s">
        <v>580</v>
      </c>
    </row>
    <row r="165" spans="1:8" ht="14">
      <c r="A165" s="2"/>
      <c r="B165" s="194"/>
      <c r="C165" s="216"/>
      <c r="D165" s="252"/>
      <c r="E165" s="289" t="str">
        <f t="shared" si="4"/>
        <v/>
      </c>
      <c r="F165" s="164" t="str">
        <f t="shared" si="5"/>
        <v/>
      </c>
      <c r="G165" s="303">
        <v>164</v>
      </c>
      <c r="H165" t="s">
        <v>580</v>
      </c>
    </row>
    <row r="166" spans="1:8" ht="14">
      <c r="A166" s="2" t="s">
        <v>79</v>
      </c>
      <c r="B166" s="231" t="s">
        <v>25</v>
      </c>
      <c r="C166" s="216"/>
      <c r="D166" s="252"/>
      <c r="E166" s="289" t="str">
        <f t="shared" si="4"/>
        <v/>
      </c>
      <c r="F166" s="164" t="str">
        <f t="shared" si="5"/>
        <v/>
      </c>
      <c r="G166" s="303">
        <v>165</v>
      </c>
      <c r="H166" t="s">
        <v>580</v>
      </c>
    </row>
    <row r="167" spans="1:8" ht="14">
      <c r="A167" s="2"/>
      <c r="B167" s="221"/>
      <c r="C167" s="216"/>
      <c r="D167" s="252"/>
      <c r="E167" s="289" t="str">
        <f t="shared" si="4"/>
        <v/>
      </c>
      <c r="F167" s="164" t="str">
        <f t="shared" si="5"/>
        <v/>
      </c>
      <c r="G167" s="303">
        <v>166</v>
      </c>
      <c r="H167" t="s">
        <v>580</v>
      </c>
    </row>
    <row r="168" spans="1:8" ht="25">
      <c r="A168" s="2"/>
      <c r="B168" s="221" t="s">
        <v>305</v>
      </c>
      <c r="C168" s="216" t="s">
        <v>12</v>
      </c>
      <c r="D168" s="252">
        <v>1</v>
      </c>
      <c r="E168" s="289">
        <f t="shared" si="4"/>
        <v>0</v>
      </c>
      <c r="F168" s="164">
        <f t="shared" si="5"/>
        <v>0</v>
      </c>
      <c r="G168" s="303">
        <v>167</v>
      </c>
      <c r="H168" t="s">
        <v>580</v>
      </c>
    </row>
    <row r="169" spans="1:8" ht="25">
      <c r="A169" s="2"/>
      <c r="B169" s="221" t="s">
        <v>306</v>
      </c>
      <c r="C169" s="216" t="s">
        <v>12</v>
      </c>
      <c r="D169" s="252">
        <v>1</v>
      </c>
      <c r="E169" s="289">
        <f t="shared" si="4"/>
        <v>0</v>
      </c>
      <c r="F169" s="164">
        <f t="shared" si="5"/>
        <v>0</v>
      </c>
      <c r="G169" s="303">
        <v>168</v>
      </c>
      <c r="H169" t="s">
        <v>580</v>
      </c>
    </row>
    <row r="170" spans="1:8" ht="25">
      <c r="A170" s="2"/>
      <c r="B170" s="221" t="s">
        <v>308</v>
      </c>
      <c r="C170" s="216" t="s">
        <v>12</v>
      </c>
      <c r="D170" s="252">
        <v>1</v>
      </c>
      <c r="E170" s="289">
        <f t="shared" si="4"/>
        <v>0</v>
      </c>
      <c r="F170" s="164">
        <f t="shared" si="5"/>
        <v>0</v>
      </c>
      <c r="G170" s="303">
        <v>169</v>
      </c>
      <c r="H170" t="s">
        <v>580</v>
      </c>
    </row>
    <row r="171" spans="1:8" ht="27">
      <c r="A171" s="2"/>
      <c r="B171" s="221" t="s">
        <v>20</v>
      </c>
      <c r="C171" s="216" t="s">
        <v>12</v>
      </c>
      <c r="D171" s="252">
        <v>1</v>
      </c>
      <c r="E171" s="289">
        <f t="shared" si="4"/>
        <v>0</v>
      </c>
      <c r="F171" s="164">
        <f t="shared" si="5"/>
        <v>0</v>
      </c>
      <c r="G171" s="303">
        <v>170</v>
      </c>
      <c r="H171" t="s">
        <v>580</v>
      </c>
    </row>
    <row r="172" spans="1:8" ht="14">
      <c r="A172" s="2"/>
      <c r="B172" s="194"/>
      <c r="C172" s="216"/>
      <c r="D172" s="252"/>
      <c r="E172" s="289" t="str">
        <f t="shared" si="4"/>
        <v/>
      </c>
      <c r="F172" s="164" t="str">
        <f t="shared" si="5"/>
        <v/>
      </c>
      <c r="G172" s="303">
        <v>171</v>
      </c>
      <c r="H172" t="s">
        <v>580</v>
      </c>
    </row>
    <row r="173" spans="1:8" ht="14">
      <c r="A173" s="2"/>
      <c r="B173" s="217" t="s">
        <v>113</v>
      </c>
      <c r="C173" s="216"/>
      <c r="D173" s="252"/>
      <c r="E173" s="289" t="str">
        <f t="shared" si="4"/>
        <v/>
      </c>
      <c r="F173" s="164" t="str">
        <f t="shared" si="5"/>
        <v/>
      </c>
      <c r="G173" s="303">
        <v>172</v>
      </c>
      <c r="H173" t="s">
        <v>580</v>
      </c>
    </row>
    <row r="174" spans="1:8" ht="14">
      <c r="A174" s="2"/>
      <c r="B174" s="224"/>
      <c r="C174" s="216"/>
      <c r="D174" s="252"/>
      <c r="E174" s="289" t="str">
        <f t="shared" si="4"/>
        <v/>
      </c>
      <c r="F174" s="164" t="str">
        <f t="shared" si="5"/>
        <v/>
      </c>
      <c r="G174" s="303">
        <v>173</v>
      </c>
      <c r="H174" t="s">
        <v>580</v>
      </c>
    </row>
    <row r="175" spans="1:8" ht="14">
      <c r="A175" s="2" t="s">
        <v>170</v>
      </c>
      <c r="B175" s="188" t="s">
        <v>132</v>
      </c>
      <c r="C175" s="216"/>
      <c r="D175" s="252"/>
      <c r="E175" s="289" t="str">
        <f t="shared" si="4"/>
        <v/>
      </c>
      <c r="F175" s="164" t="str">
        <f t="shared" si="5"/>
        <v/>
      </c>
      <c r="G175" s="303">
        <v>174</v>
      </c>
      <c r="H175" t="s">
        <v>580</v>
      </c>
    </row>
    <row r="176" spans="1:8" ht="14">
      <c r="A176" s="2"/>
      <c r="B176" s="232"/>
      <c r="C176" s="216"/>
      <c r="D176" s="252"/>
      <c r="E176" s="289" t="str">
        <f t="shared" si="4"/>
        <v/>
      </c>
      <c r="F176" s="164" t="str">
        <f t="shared" si="5"/>
        <v/>
      </c>
      <c r="G176" s="303">
        <v>175</v>
      </c>
      <c r="H176" t="s">
        <v>580</v>
      </c>
    </row>
    <row r="177" spans="1:8" ht="14">
      <c r="A177" s="2"/>
      <c r="B177" s="206" t="s">
        <v>382</v>
      </c>
      <c r="C177" s="216"/>
      <c r="D177" s="252"/>
      <c r="E177" s="289" t="str">
        <f t="shared" si="4"/>
        <v/>
      </c>
      <c r="F177" s="164" t="str">
        <f t="shared" si="5"/>
        <v/>
      </c>
      <c r="G177" s="303">
        <v>176</v>
      </c>
      <c r="H177" t="s">
        <v>580</v>
      </c>
    </row>
    <row r="178" spans="1:8" ht="14">
      <c r="A178" s="2"/>
      <c r="B178" s="221" t="s">
        <v>328</v>
      </c>
      <c r="C178" s="216" t="s">
        <v>12</v>
      </c>
      <c r="D178" s="252">
        <v>2</v>
      </c>
      <c r="E178" s="289">
        <f t="shared" si="4"/>
        <v>0</v>
      </c>
      <c r="F178" s="164">
        <f t="shared" si="5"/>
        <v>0</v>
      </c>
      <c r="G178" s="303">
        <v>177</v>
      </c>
      <c r="H178" t="s">
        <v>580</v>
      </c>
    </row>
    <row r="179" spans="1:8" ht="14">
      <c r="A179" s="2"/>
      <c r="B179" s="221" t="s">
        <v>329</v>
      </c>
      <c r="C179" s="216" t="s">
        <v>12</v>
      </c>
      <c r="D179" s="252">
        <v>2</v>
      </c>
      <c r="E179" s="289">
        <f t="shared" si="4"/>
        <v>0</v>
      </c>
      <c r="F179" s="164">
        <f t="shared" si="5"/>
        <v>0</v>
      </c>
      <c r="G179" s="303">
        <v>178</v>
      </c>
      <c r="H179" t="s">
        <v>580</v>
      </c>
    </row>
    <row r="180" spans="1:8" ht="14">
      <c r="A180" s="2"/>
      <c r="B180" s="221" t="s">
        <v>330</v>
      </c>
      <c r="C180" s="216" t="s">
        <v>13</v>
      </c>
      <c r="D180" s="252">
        <f>QTE!J202</f>
        <v>4</v>
      </c>
      <c r="E180" s="289">
        <f t="shared" si="4"/>
        <v>0</v>
      </c>
      <c r="F180" s="164">
        <f t="shared" si="5"/>
        <v>0</v>
      </c>
      <c r="G180" s="303">
        <v>179</v>
      </c>
      <c r="H180" t="s">
        <v>580</v>
      </c>
    </row>
    <row r="181" spans="1:8" ht="14">
      <c r="A181" s="2"/>
      <c r="B181" s="221" t="s">
        <v>331</v>
      </c>
      <c r="C181" s="216" t="s">
        <v>13</v>
      </c>
      <c r="D181" s="252">
        <f>QTE!J193</f>
        <v>209</v>
      </c>
      <c r="E181" s="289">
        <f t="shared" si="4"/>
        <v>0</v>
      </c>
      <c r="F181" s="164">
        <f t="shared" si="5"/>
        <v>0</v>
      </c>
      <c r="G181" s="303">
        <v>180</v>
      </c>
      <c r="H181" t="s">
        <v>580</v>
      </c>
    </row>
    <row r="182" spans="1:8" ht="14">
      <c r="A182" s="2"/>
      <c r="B182" s="221" t="s">
        <v>332</v>
      </c>
      <c r="C182" s="216" t="s">
        <v>13</v>
      </c>
      <c r="D182" s="252">
        <v>2</v>
      </c>
      <c r="E182" s="289">
        <f t="shared" si="4"/>
        <v>0</v>
      </c>
      <c r="F182" s="164">
        <f t="shared" si="5"/>
        <v>0</v>
      </c>
      <c r="G182" s="303">
        <v>181</v>
      </c>
      <c r="H182" t="s">
        <v>580</v>
      </c>
    </row>
    <row r="183" spans="1:8" ht="25">
      <c r="A183" s="2"/>
      <c r="B183" s="221" t="s">
        <v>169</v>
      </c>
      <c r="C183" s="216" t="s">
        <v>12</v>
      </c>
      <c r="D183" s="252">
        <v>1</v>
      </c>
      <c r="E183" s="289">
        <f t="shared" si="4"/>
        <v>0</v>
      </c>
      <c r="F183" s="164">
        <f t="shared" si="5"/>
        <v>0</v>
      </c>
      <c r="G183" s="303">
        <v>182</v>
      </c>
      <c r="H183" t="s">
        <v>580</v>
      </c>
    </row>
    <row r="184" spans="1:8" ht="25">
      <c r="A184" s="2"/>
      <c r="B184" s="221" t="s">
        <v>168</v>
      </c>
      <c r="C184" s="216" t="s">
        <v>12</v>
      </c>
      <c r="D184" s="252">
        <v>1</v>
      </c>
      <c r="E184" s="289">
        <f t="shared" si="4"/>
        <v>0</v>
      </c>
      <c r="F184" s="164">
        <f t="shared" si="5"/>
        <v>0</v>
      </c>
      <c r="G184" s="303">
        <v>183</v>
      </c>
      <c r="H184" t="s">
        <v>580</v>
      </c>
    </row>
    <row r="185" spans="1:8" ht="25">
      <c r="A185" s="2"/>
      <c r="B185" s="221" t="s">
        <v>66</v>
      </c>
      <c r="C185" s="216" t="s">
        <v>12</v>
      </c>
      <c r="D185" s="252">
        <v>1</v>
      </c>
      <c r="E185" s="289">
        <f t="shared" si="4"/>
        <v>0</v>
      </c>
      <c r="F185" s="164">
        <f t="shared" si="5"/>
        <v>0</v>
      </c>
      <c r="G185" s="303">
        <v>184</v>
      </c>
      <c r="H185" t="s">
        <v>580</v>
      </c>
    </row>
    <row r="186" spans="1:8" ht="14">
      <c r="A186" s="2"/>
      <c r="B186" s="194"/>
      <c r="C186" s="216"/>
      <c r="D186" s="252"/>
      <c r="E186" s="289" t="str">
        <f t="shared" si="4"/>
        <v/>
      </c>
      <c r="F186" s="164" t="str">
        <f t="shared" si="5"/>
        <v/>
      </c>
      <c r="G186" s="303">
        <v>185</v>
      </c>
      <c r="H186" t="s">
        <v>580</v>
      </c>
    </row>
    <row r="187" spans="1:8" ht="14">
      <c r="A187" s="2"/>
      <c r="B187" s="217" t="s">
        <v>120</v>
      </c>
      <c r="C187" s="216"/>
      <c r="D187" s="252"/>
      <c r="E187" s="289" t="str">
        <f t="shared" si="4"/>
        <v/>
      </c>
      <c r="F187" s="164" t="str">
        <f t="shared" si="5"/>
        <v/>
      </c>
      <c r="G187" s="303">
        <v>186</v>
      </c>
      <c r="H187" t="s">
        <v>580</v>
      </c>
    </row>
    <row r="188" spans="1:8" ht="14">
      <c r="A188" s="2"/>
      <c r="B188" s="194"/>
      <c r="C188" s="216"/>
      <c r="D188" s="252"/>
      <c r="E188" s="289" t="str">
        <f t="shared" si="4"/>
        <v/>
      </c>
      <c r="F188" s="164" t="str">
        <f t="shared" si="5"/>
        <v/>
      </c>
      <c r="G188" s="303">
        <v>187</v>
      </c>
      <c r="H188" t="s">
        <v>580</v>
      </c>
    </row>
    <row r="189" spans="1:8" ht="14">
      <c r="A189" s="2" t="s">
        <v>385</v>
      </c>
      <c r="B189" s="188" t="s">
        <v>87</v>
      </c>
      <c r="C189" s="216"/>
      <c r="D189" s="252"/>
      <c r="E189" s="289" t="str">
        <f t="shared" si="4"/>
        <v/>
      </c>
      <c r="F189" s="164" t="str">
        <f t="shared" si="5"/>
        <v/>
      </c>
      <c r="G189" s="303">
        <v>188</v>
      </c>
      <c r="H189" t="s">
        <v>580</v>
      </c>
    </row>
    <row r="190" spans="1:8" ht="14">
      <c r="A190" s="2"/>
      <c r="B190" s="188"/>
      <c r="C190" s="216"/>
      <c r="D190" s="252"/>
      <c r="E190" s="289" t="str">
        <f t="shared" si="4"/>
        <v/>
      </c>
      <c r="F190" s="164" t="str">
        <f t="shared" si="5"/>
        <v/>
      </c>
      <c r="G190" s="303">
        <v>189</v>
      </c>
      <c r="H190" t="s">
        <v>580</v>
      </c>
    </row>
    <row r="191" spans="1:8" ht="14">
      <c r="A191" s="2"/>
      <c r="B191" s="206" t="s">
        <v>383</v>
      </c>
      <c r="C191" s="216"/>
      <c r="D191" s="252"/>
      <c r="E191" s="289" t="str">
        <f t="shared" si="4"/>
        <v/>
      </c>
      <c r="F191" s="164" t="str">
        <f t="shared" si="5"/>
        <v/>
      </c>
      <c r="G191" s="303">
        <v>190</v>
      </c>
      <c r="H191" t="s">
        <v>580</v>
      </c>
    </row>
    <row r="192" spans="1:8" ht="14">
      <c r="A192" s="2"/>
      <c r="B192" s="206" t="s">
        <v>67</v>
      </c>
      <c r="C192" s="216" t="s">
        <v>13</v>
      </c>
      <c r="D192" s="252">
        <f>QTE!J159</f>
        <v>3</v>
      </c>
      <c r="E192" s="289">
        <f t="shared" si="4"/>
        <v>0</v>
      </c>
      <c r="F192" s="164">
        <f t="shared" si="5"/>
        <v>0</v>
      </c>
      <c r="G192" s="303">
        <v>191</v>
      </c>
      <c r="H192" t="s">
        <v>580</v>
      </c>
    </row>
    <row r="193" spans="1:8" ht="14">
      <c r="A193" s="2"/>
      <c r="B193" s="206" t="s">
        <v>62</v>
      </c>
      <c r="C193" s="216" t="s">
        <v>13</v>
      </c>
      <c r="D193" s="252">
        <f>QTE!J156+QTE!J157</f>
        <v>36</v>
      </c>
      <c r="E193" s="289">
        <f t="shared" si="4"/>
        <v>0</v>
      </c>
      <c r="F193" s="164">
        <f t="shared" si="5"/>
        <v>0</v>
      </c>
      <c r="G193" s="303">
        <v>192</v>
      </c>
      <c r="H193" t="s">
        <v>580</v>
      </c>
    </row>
    <row r="194" spans="1:8" ht="14">
      <c r="A194" s="2"/>
      <c r="B194" s="206" t="s">
        <v>88</v>
      </c>
      <c r="C194" s="216" t="s">
        <v>13</v>
      </c>
      <c r="D194" s="252">
        <f>QTE!J161-'BATIMENT SOHO-ELEC 1'!D116</f>
        <v>2</v>
      </c>
      <c r="E194" s="289">
        <f t="shared" si="4"/>
        <v>0</v>
      </c>
      <c r="F194" s="164">
        <f t="shared" si="5"/>
        <v>0</v>
      </c>
      <c r="G194" s="303">
        <v>193</v>
      </c>
      <c r="H194" t="s">
        <v>580</v>
      </c>
    </row>
    <row r="195" spans="1:8" ht="14">
      <c r="A195" s="2"/>
      <c r="B195" s="206" t="s">
        <v>36</v>
      </c>
      <c r="C195" s="216" t="s">
        <v>12</v>
      </c>
      <c r="D195" s="252">
        <v>3</v>
      </c>
      <c r="E195" s="289">
        <f t="shared" si="4"/>
        <v>0</v>
      </c>
      <c r="F195" s="164">
        <f t="shared" si="5"/>
        <v>0</v>
      </c>
      <c r="G195" s="303">
        <v>194</v>
      </c>
      <c r="H195" t="s">
        <v>580</v>
      </c>
    </row>
    <row r="196" spans="1:8" ht="14">
      <c r="A196" s="2"/>
      <c r="B196" s="206" t="s">
        <v>37</v>
      </c>
      <c r="C196" s="216" t="s">
        <v>12</v>
      </c>
      <c r="D196" s="252">
        <v>1</v>
      </c>
      <c r="E196" s="289">
        <f t="shared" si="4"/>
        <v>0</v>
      </c>
      <c r="F196" s="164">
        <f t="shared" si="5"/>
        <v>0</v>
      </c>
      <c r="G196" s="303">
        <v>195</v>
      </c>
      <c r="H196" t="s">
        <v>580</v>
      </c>
    </row>
    <row r="197" spans="1:8" ht="14">
      <c r="A197" s="2"/>
      <c r="B197" s="206" t="s">
        <v>314</v>
      </c>
      <c r="C197" s="216" t="s">
        <v>13</v>
      </c>
      <c r="D197" s="252">
        <f>QTE!J157</f>
        <v>36</v>
      </c>
      <c r="E197" s="289">
        <f t="shared" si="4"/>
        <v>0</v>
      </c>
      <c r="F197" s="164">
        <f t="shared" si="5"/>
        <v>0</v>
      </c>
      <c r="G197" s="303">
        <v>196</v>
      </c>
      <c r="H197" t="s">
        <v>580</v>
      </c>
    </row>
    <row r="198" spans="1:8" ht="14">
      <c r="A198" s="2"/>
      <c r="B198" s="206" t="s">
        <v>313</v>
      </c>
      <c r="C198" s="216" t="s">
        <v>1</v>
      </c>
      <c r="D198" s="252">
        <f>(D193)*3</f>
        <v>108</v>
      </c>
      <c r="E198" s="289">
        <f t="shared" si="4"/>
        <v>0</v>
      </c>
      <c r="F198" s="164">
        <f t="shared" si="5"/>
        <v>0</v>
      </c>
      <c r="G198" s="303">
        <v>197</v>
      </c>
      <c r="H198" t="s">
        <v>580</v>
      </c>
    </row>
    <row r="199" spans="1:8" ht="14">
      <c r="A199" s="2"/>
      <c r="B199" s="194"/>
      <c r="C199" s="216"/>
      <c r="D199" s="252"/>
      <c r="E199" s="289" t="str">
        <f t="shared" si="4"/>
        <v/>
      </c>
      <c r="F199" s="164" t="str">
        <f t="shared" si="5"/>
        <v/>
      </c>
      <c r="G199" s="303">
        <v>198</v>
      </c>
      <c r="H199" t="s">
        <v>580</v>
      </c>
    </row>
    <row r="200" spans="1:8" ht="14">
      <c r="A200" s="2"/>
      <c r="B200" s="217" t="s">
        <v>173</v>
      </c>
      <c r="C200" s="216"/>
      <c r="D200" s="252"/>
      <c r="E200" s="289" t="str">
        <f t="shared" si="4"/>
        <v/>
      </c>
      <c r="F200" s="164" t="str">
        <f t="shared" si="5"/>
        <v/>
      </c>
      <c r="G200" s="303">
        <v>199</v>
      </c>
      <c r="H200" t="s">
        <v>580</v>
      </c>
    </row>
    <row r="201" spans="1:8" ht="14">
      <c r="A201" s="2"/>
      <c r="B201" s="224"/>
      <c r="C201" s="216"/>
      <c r="D201" s="252"/>
      <c r="E201" s="289" t="str">
        <f t="shared" si="4"/>
        <v/>
      </c>
      <c r="F201" s="164" t="str">
        <f t="shared" si="5"/>
        <v/>
      </c>
      <c r="G201" s="303">
        <v>200</v>
      </c>
      <c r="H201" t="s">
        <v>580</v>
      </c>
    </row>
    <row r="202" spans="1:8" ht="14">
      <c r="A202" s="2" t="s">
        <v>190</v>
      </c>
      <c r="B202" s="188" t="s">
        <v>60</v>
      </c>
      <c r="C202" s="216"/>
      <c r="D202" s="252"/>
      <c r="E202" s="289" t="str">
        <f t="shared" si="4"/>
        <v/>
      </c>
      <c r="F202" s="164" t="str">
        <f t="shared" si="5"/>
        <v/>
      </c>
      <c r="G202" s="303">
        <v>201</v>
      </c>
      <c r="H202" t="s">
        <v>580</v>
      </c>
    </row>
    <row r="203" spans="1:8" ht="14">
      <c r="A203" s="2"/>
      <c r="B203" s="206"/>
      <c r="C203" s="216"/>
      <c r="D203" s="252"/>
      <c r="E203" s="289" t="str">
        <f t="shared" ref="E203:E266" si="6">IF(D203="","",(((J203*$K$2)+(K203*$I$2*$I$3))*$K$3)/D203)</f>
        <v/>
      </c>
      <c r="F203" s="164" t="str">
        <f t="shared" ref="F203:F266" si="7">IF(D203="","",D203*E203)</f>
        <v/>
      </c>
      <c r="G203" s="303">
        <v>202</v>
      </c>
      <c r="H203" t="s">
        <v>580</v>
      </c>
    </row>
    <row r="204" spans="1:8" ht="14">
      <c r="A204" s="2" t="s">
        <v>386</v>
      </c>
      <c r="B204" s="188" t="s">
        <v>26</v>
      </c>
      <c r="C204" s="216"/>
      <c r="D204" s="252"/>
      <c r="E204" s="289" t="str">
        <f t="shared" si="6"/>
        <v/>
      </c>
      <c r="F204" s="164" t="str">
        <f t="shared" si="7"/>
        <v/>
      </c>
      <c r="G204" s="303">
        <v>203</v>
      </c>
      <c r="H204" t="s">
        <v>580</v>
      </c>
    </row>
    <row r="205" spans="1:8" ht="25">
      <c r="A205" s="2"/>
      <c r="B205" s="206" t="s">
        <v>181</v>
      </c>
      <c r="C205" s="216" t="s">
        <v>33</v>
      </c>
      <c r="D205" s="252"/>
      <c r="E205" s="289" t="str">
        <f t="shared" si="6"/>
        <v/>
      </c>
      <c r="F205" s="164" t="str">
        <f t="shared" si="7"/>
        <v/>
      </c>
      <c r="G205" s="303">
        <v>204</v>
      </c>
      <c r="H205" t="s">
        <v>580</v>
      </c>
    </row>
    <row r="206" spans="1:8" ht="25">
      <c r="A206" s="2"/>
      <c r="B206" s="206" t="s">
        <v>183</v>
      </c>
      <c r="C206" s="216" t="s">
        <v>138</v>
      </c>
      <c r="D206" s="252" t="e">
        <f>QTE!C257*10</f>
        <v>#VALUE!</v>
      </c>
      <c r="E206" s="289" t="e">
        <f t="shared" si="6"/>
        <v>#VALUE!</v>
      </c>
      <c r="F206" s="164" t="e">
        <f t="shared" si="7"/>
        <v>#VALUE!</v>
      </c>
      <c r="G206" s="303">
        <v>205</v>
      </c>
      <c r="H206" t="s">
        <v>580</v>
      </c>
    </row>
    <row r="207" spans="1:8" ht="14">
      <c r="A207" s="43"/>
      <c r="B207" s="206" t="s">
        <v>171</v>
      </c>
      <c r="C207" s="216" t="s">
        <v>12</v>
      </c>
      <c r="D207" s="252">
        <v>1</v>
      </c>
      <c r="E207" s="289">
        <f t="shared" si="6"/>
        <v>0</v>
      </c>
      <c r="F207" s="164">
        <f t="shared" si="7"/>
        <v>0</v>
      </c>
      <c r="G207" s="303">
        <v>206</v>
      </c>
      <c r="H207" t="s">
        <v>580</v>
      </c>
    </row>
    <row r="208" spans="1:8" ht="14">
      <c r="A208" s="43"/>
      <c r="B208" s="206" t="s">
        <v>90</v>
      </c>
      <c r="C208" s="216" t="s">
        <v>12</v>
      </c>
      <c r="D208" s="252">
        <v>1</v>
      </c>
      <c r="E208" s="289">
        <f t="shared" si="6"/>
        <v>0</v>
      </c>
      <c r="F208" s="164">
        <f t="shared" si="7"/>
        <v>0</v>
      </c>
      <c r="G208" s="303">
        <v>207</v>
      </c>
      <c r="H208" t="s">
        <v>580</v>
      </c>
    </row>
    <row r="209" spans="1:8" ht="14">
      <c r="A209" s="43"/>
      <c r="B209" s="206" t="s">
        <v>182</v>
      </c>
      <c r="C209" s="216" t="s">
        <v>12</v>
      </c>
      <c r="D209" s="252">
        <v>1</v>
      </c>
      <c r="E209" s="289">
        <f t="shared" si="6"/>
        <v>0</v>
      </c>
      <c r="F209" s="164">
        <f t="shared" si="7"/>
        <v>0</v>
      </c>
      <c r="G209" s="303">
        <v>208</v>
      </c>
      <c r="H209" t="s">
        <v>580</v>
      </c>
    </row>
    <row r="210" spans="1:8" ht="14">
      <c r="A210" s="43"/>
      <c r="B210" s="206" t="s">
        <v>333</v>
      </c>
      <c r="C210" s="216" t="s">
        <v>33</v>
      </c>
      <c r="D210" s="252"/>
      <c r="E210" s="289" t="str">
        <f t="shared" si="6"/>
        <v/>
      </c>
      <c r="F210" s="164" t="str">
        <f t="shared" si="7"/>
        <v/>
      </c>
      <c r="G210" s="303">
        <v>209</v>
      </c>
      <c r="H210" t="s">
        <v>580</v>
      </c>
    </row>
    <row r="211" spans="1:8" ht="14">
      <c r="A211" s="43"/>
      <c r="B211" s="206" t="s">
        <v>174</v>
      </c>
      <c r="C211" s="216" t="s">
        <v>33</v>
      </c>
      <c r="D211" s="252"/>
      <c r="E211" s="289" t="str">
        <f t="shared" si="6"/>
        <v/>
      </c>
      <c r="F211" s="164" t="str">
        <f t="shared" si="7"/>
        <v/>
      </c>
      <c r="G211" s="303">
        <v>210</v>
      </c>
      <c r="H211" t="s">
        <v>580</v>
      </c>
    </row>
    <row r="212" spans="1:8" ht="25">
      <c r="A212" s="43"/>
      <c r="B212" s="206" t="s">
        <v>317</v>
      </c>
      <c r="C212" s="216" t="s">
        <v>13</v>
      </c>
      <c r="D212" s="252">
        <f>(8+11)*3</f>
        <v>57</v>
      </c>
      <c r="E212" s="289">
        <f t="shared" si="6"/>
        <v>0</v>
      </c>
      <c r="F212" s="164">
        <f t="shared" si="7"/>
        <v>0</v>
      </c>
      <c r="G212" s="303">
        <v>211</v>
      </c>
      <c r="H212" t="s">
        <v>580</v>
      </c>
    </row>
    <row r="213" spans="1:8" ht="14">
      <c r="A213" s="43"/>
      <c r="B213" s="206" t="s">
        <v>334</v>
      </c>
      <c r="C213" s="216" t="s">
        <v>12</v>
      </c>
      <c r="D213" s="252">
        <v>1</v>
      </c>
      <c r="E213" s="289">
        <f t="shared" si="6"/>
        <v>0</v>
      </c>
      <c r="F213" s="164">
        <f t="shared" si="7"/>
        <v>0</v>
      </c>
      <c r="G213" s="303">
        <v>212</v>
      </c>
      <c r="H213" t="s">
        <v>580</v>
      </c>
    </row>
    <row r="214" spans="1:8" ht="14">
      <c r="A214" s="43"/>
      <c r="B214" s="206" t="s">
        <v>43</v>
      </c>
      <c r="C214" s="216" t="s">
        <v>12</v>
      </c>
      <c r="D214" s="252">
        <v>1</v>
      </c>
      <c r="E214" s="289">
        <f t="shared" si="6"/>
        <v>0</v>
      </c>
      <c r="F214" s="164">
        <f t="shared" si="7"/>
        <v>0</v>
      </c>
      <c r="G214" s="303">
        <v>213</v>
      </c>
      <c r="H214" t="s">
        <v>580</v>
      </c>
    </row>
    <row r="215" spans="1:8" ht="14">
      <c r="A215" s="43"/>
      <c r="B215" s="206" t="s">
        <v>319</v>
      </c>
      <c r="C215" s="216" t="s">
        <v>12</v>
      </c>
      <c r="D215" s="252">
        <v>1</v>
      </c>
      <c r="E215" s="289">
        <f t="shared" si="6"/>
        <v>0</v>
      </c>
      <c r="F215" s="164">
        <f t="shared" si="7"/>
        <v>0</v>
      </c>
      <c r="G215" s="303">
        <v>214</v>
      </c>
      <c r="H215" t="s">
        <v>580</v>
      </c>
    </row>
    <row r="216" spans="1:8" ht="14">
      <c r="A216" s="43"/>
      <c r="B216" s="206" t="s">
        <v>318</v>
      </c>
      <c r="C216" s="216" t="s">
        <v>12</v>
      </c>
      <c r="D216" s="252">
        <v>1</v>
      </c>
      <c r="E216" s="289">
        <f t="shared" si="6"/>
        <v>0</v>
      </c>
      <c r="F216" s="164">
        <f t="shared" si="7"/>
        <v>0</v>
      </c>
      <c r="G216" s="303">
        <v>215</v>
      </c>
      <c r="H216" t="s">
        <v>580</v>
      </c>
    </row>
    <row r="217" spans="1:8" ht="14">
      <c r="A217" s="43"/>
      <c r="B217" s="206" t="s">
        <v>320</v>
      </c>
      <c r="C217" s="216" t="s">
        <v>12</v>
      </c>
      <c r="D217" s="252">
        <v>1</v>
      </c>
      <c r="E217" s="289">
        <f t="shared" si="6"/>
        <v>0</v>
      </c>
      <c r="F217" s="164">
        <f t="shared" si="7"/>
        <v>0</v>
      </c>
      <c r="G217" s="303">
        <v>216</v>
      </c>
      <c r="H217" t="s">
        <v>580</v>
      </c>
    </row>
    <row r="218" spans="1:8" ht="14">
      <c r="A218" s="43"/>
      <c r="B218" s="206"/>
      <c r="C218" s="216"/>
      <c r="D218" s="252"/>
      <c r="E218" s="289" t="str">
        <f t="shared" si="6"/>
        <v/>
      </c>
      <c r="F218" s="164" t="str">
        <f t="shared" si="7"/>
        <v/>
      </c>
      <c r="G218" s="303">
        <v>217</v>
      </c>
      <c r="H218" t="s">
        <v>580</v>
      </c>
    </row>
    <row r="219" spans="1:8" ht="37.5">
      <c r="A219" s="43"/>
      <c r="B219" s="206" t="s">
        <v>315</v>
      </c>
      <c r="C219" s="189" t="s">
        <v>12</v>
      </c>
      <c r="D219" s="252">
        <v>1</v>
      </c>
      <c r="E219" s="289">
        <f t="shared" si="6"/>
        <v>0</v>
      </c>
      <c r="F219" s="164">
        <f t="shared" si="7"/>
        <v>0</v>
      </c>
      <c r="G219" s="303">
        <v>218</v>
      </c>
      <c r="H219" t="s">
        <v>580</v>
      </c>
    </row>
    <row r="220" spans="1:8" ht="14">
      <c r="A220" s="2"/>
      <c r="B220" s="206"/>
      <c r="C220" s="216"/>
      <c r="D220" s="252"/>
      <c r="E220" s="289" t="str">
        <f t="shared" si="6"/>
        <v/>
      </c>
      <c r="F220" s="164" t="str">
        <f t="shared" si="7"/>
        <v/>
      </c>
      <c r="G220" s="303">
        <v>219</v>
      </c>
      <c r="H220" t="s">
        <v>580</v>
      </c>
    </row>
    <row r="221" spans="1:8" ht="14">
      <c r="A221" s="2" t="s">
        <v>387</v>
      </c>
      <c r="B221" s="293" t="s">
        <v>63</v>
      </c>
      <c r="C221" s="216"/>
      <c r="D221" s="252"/>
      <c r="E221" s="289" t="str">
        <f t="shared" si="6"/>
        <v/>
      </c>
      <c r="F221" s="164" t="str">
        <f t="shared" si="7"/>
        <v/>
      </c>
      <c r="G221" s="303">
        <v>220</v>
      </c>
      <c r="H221" t="s">
        <v>580</v>
      </c>
    </row>
    <row r="222" spans="1:8" ht="14">
      <c r="A222" s="2"/>
      <c r="B222" s="231"/>
      <c r="C222" s="189"/>
      <c r="D222" s="252"/>
      <c r="E222" s="289" t="str">
        <f t="shared" si="6"/>
        <v/>
      </c>
      <c r="F222" s="164" t="str">
        <f t="shared" si="7"/>
        <v/>
      </c>
      <c r="G222" s="303">
        <v>221</v>
      </c>
      <c r="H222" t="s">
        <v>580</v>
      </c>
    </row>
    <row r="223" spans="1:8" ht="25">
      <c r="A223" s="2"/>
      <c r="B223" s="206" t="s">
        <v>181</v>
      </c>
      <c r="C223" s="189" t="s">
        <v>33</v>
      </c>
      <c r="D223" s="252"/>
      <c r="E223" s="289" t="str">
        <f t="shared" si="6"/>
        <v/>
      </c>
      <c r="F223" s="164" t="str">
        <f t="shared" si="7"/>
        <v/>
      </c>
      <c r="G223" s="303">
        <v>222</v>
      </c>
      <c r="H223" t="s">
        <v>580</v>
      </c>
    </row>
    <row r="224" spans="1:8" ht="25">
      <c r="A224" s="2"/>
      <c r="B224" s="206" t="s">
        <v>183</v>
      </c>
      <c r="C224" s="216" t="s">
        <v>138</v>
      </c>
      <c r="D224" s="252">
        <f>(8+11)*3</f>
        <v>57</v>
      </c>
      <c r="E224" s="289">
        <f t="shared" si="6"/>
        <v>0</v>
      </c>
      <c r="F224" s="164">
        <f t="shared" si="7"/>
        <v>0</v>
      </c>
      <c r="G224" s="303">
        <v>223</v>
      </c>
      <c r="H224" t="s">
        <v>580</v>
      </c>
    </row>
    <row r="225" spans="1:8" ht="14">
      <c r="A225" s="2"/>
      <c r="B225" s="206"/>
      <c r="C225" s="189"/>
      <c r="D225" s="252"/>
      <c r="E225" s="289" t="str">
        <f t="shared" si="6"/>
        <v/>
      </c>
      <c r="F225" s="164" t="str">
        <f t="shared" si="7"/>
        <v/>
      </c>
      <c r="G225" s="303">
        <v>224</v>
      </c>
      <c r="H225" t="s">
        <v>580</v>
      </c>
    </row>
    <row r="226" spans="1:8" ht="14">
      <c r="A226" s="2"/>
      <c r="B226" s="206" t="s">
        <v>333</v>
      </c>
      <c r="C226" s="216" t="s">
        <v>33</v>
      </c>
      <c r="D226" s="252"/>
      <c r="E226" s="289" t="str">
        <f t="shared" si="6"/>
        <v/>
      </c>
      <c r="F226" s="164" t="str">
        <f t="shared" si="7"/>
        <v/>
      </c>
      <c r="G226" s="303">
        <v>225</v>
      </c>
      <c r="H226" t="s">
        <v>580</v>
      </c>
    </row>
    <row r="227" spans="1:8" ht="14">
      <c r="A227" s="2"/>
      <c r="B227" s="206" t="s">
        <v>174</v>
      </c>
      <c r="C227" s="189" t="s">
        <v>33</v>
      </c>
      <c r="D227" s="252"/>
      <c r="E227" s="289" t="str">
        <f t="shared" si="6"/>
        <v/>
      </c>
      <c r="F227" s="164" t="str">
        <f t="shared" si="7"/>
        <v/>
      </c>
      <c r="G227" s="303">
        <v>226</v>
      </c>
      <c r="H227" t="s">
        <v>580</v>
      </c>
    </row>
    <row r="228" spans="1:8" ht="14">
      <c r="A228" s="2"/>
      <c r="B228" s="206" t="s">
        <v>175</v>
      </c>
      <c r="C228" s="189" t="s">
        <v>13</v>
      </c>
      <c r="D228" s="252">
        <v>1</v>
      </c>
      <c r="E228" s="289">
        <f t="shared" si="6"/>
        <v>0</v>
      </c>
      <c r="F228" s="164">
        <f t="shared" si="7"/>
        <v>0</v>
      </c>
      <c r="G228" s="303">
        <v>227</v>
      </c>
      <c r="H228" t="s">
        <v>580</v>
      </c>
    </row>
    <row r="229" spans="1:8" ht="14">
      <c r="A229" s="2"/>
      <c r="B229" s="206" t="s">
        <v>176</v>
      </c>
      <c r="C229" s="189" t="s">
        <v>138</v>
      </c>
      <c r="D229" s="255"/>
      <c r="E229" s="289" t="str">
        <f t="shared" si="6"/>
        <v/>
      </c>
      <c r="F229" s="164" t="str">
        <f t="shared" si="7"/>
        <v/>
      </c>
      <c r="G229" s="303">
        <v>228</v>
      </c>
      <c r="H229" t="s">
        <v>580</v>
      </c>
    </row>
    <row r="230" spans="1:8" ht="14">
      <c r="A230" s="2"/>
      <c r="B230" s="206" t="s">
        <v>177</v>
      </c>
      <c r="C230" s="189" t="s">
        <v>12</v>
      </c>
      <c r="D230" s="255"/>
      <c r="E230" s="289" t="str">
        <f t="shared" si="6"/>
        <v/>
      </c>
      <c r="F230" s="164" t="str">
        <f t="shared" si="7"/>
        <v/>
      </c>
      <c r="G230" s="303">
        <v>229</v>
      </c>
      <c r="H230" t="s">
        <v>580</v>
      </c>
    </row>
    <row r="231" spans="1:8" ht="14">
      <c r="A231" s="2"/>
      <c r="B231" s="206"/>
      <c r="C231" s="189"/>
      <c r="D231" s="252"/>
      <c r="E231" s="289" t="str">
        <f t="shared" si="6"/>
        <v/>
      </c>
      <c r="F231" s="164" t="str">
        <f t="shared" si="7"/>
        <v/>
      </c>
      <c r="G231" s="303">
        <v>230</v>
      </c>
      <c r="H231" t="s">
        <v>580</v>
      </c>
    </row>
    <row r="232" spans="1:8" ht="50">
      <c r="A232" s="2"/>
      <c r="B232" s="206" t="s">
        <v>336</v>
      </c>
      <c r="C232" s="189" t="s">
        <v>12</v>
      </c>
      <c r="D232" s="252">
        <v>1</v>
      </c>
      <c r="E232" s="289">
        <f t="shared" si="6"/>
        <v>0</v>
      </c>
      <c r="F232" s="164">
        <f t="shared" si="7"/>
        <v>0</v>
      </c>
      <c r="G232" s="303">
        <v>231</v>
      </c>
      <c r="H232" t="s">
        <v>580</v>
      </c>
    </row>
    <row r="233" spans="1:8" ht="14">
      <c r="A233" s="2"/>
      <c r="B233" s="206"/>
      <c r="C233" s="189"/>
      <c r="D233" s="252"/>
      <c r="E233" s="289" t="str">
        <f t="shared" si="6"/>
        <v/>
      </c>
      <c r="F233" s="164" t="str">
        <f t="shared" si="7"/>
        <v/>
      </c>
      <c r="G233" s="303">
        <v>232</v>
      </c>
      <c r="H233" t="s">
        <v>580</v>
      </c>
    </row>
    <row r="234" spans="1:8" ht="37.5">
      <c r="A234" s="2"/>
      <c r="B234" s="206" t="s">
        <v>337</v>
      </c>
      <c r="C234" s="189" t="s">
        <v>12</v>
      </c>
      <c r="D234" s="252">
        <v>1</v>
      </c>
      <c r="E234" s="289">
        <f t="shared" si="6"/>
        <v>0</v>
      </c>
      <c r="F234" s="164">
        <f t="shared" si="7"/>
        <v>0</v>
      </c>
      <c r="G234" s="303">
        <v>233</v>
      </c>
      <c r="H234" t="s">
        <v>580</v>
      </c>
    </row>
    <row r="235" spans="1:8" ht="14">
      <c r="A235" s="2"/>
      <c r="B235" s="206"/>
      <c r="C235" s="189"/>
      <c r="D235" s="252"/>
      <c r="E235" s="289" t="str">
        <f t="shared" si="6"/>
        <v/>
      </c>
      <c r="F235" s="164" t="str">
        <f t="shared" si="7"/>
        <v/>
      </c>
      <c r="G235" s="303">
        <v>234</v>
      </c>
      <c r="H235" t="s">
        <v>580</v>
      </c>
    </row>
    <row r="236" spans="1:8" ht="37.5">
      <c r="A236" s="2"/>
      <c r="B236" s="206" t="s">
        <v>338</v>
      </c>
      <c r="C236" s="189" t="s">
        <v>12</v>
      </c>
      <c r="D236" s="252">
        <v>1</v>
      </c>
      <c r="E236" s="289">
        <f t="shared" si="6"/>
        <v>0</v>
      </c>
      <c r="F236" s="164">
        <f t="shared" si="7"/>
        <v>0</v>
      </c>
      <c r="G236" s="303">
        <v>235</v>
      </c>
      <c r="H236" t="s">
        <v>580</v>
      </c>
    </row>
    <row r="237" spans="1:8" ht="14">
      <c r="A237" s="2"/>
      <c r="B237" s="206"/>
      <c r="C237" s="189"/>
      <c r="D237" s="252"/>
      <c r="E237" s="289" t="str">
        <f t="shared" si="6"/>
        <v/>
      </c>
      <c r="F237" s="164" t="str">
        <f t="shared" si="7"/>
        <v/>
      </c>
      <c r="G237" s="303">
        <v>236</v>
      </c>
      <c r="H237" t="s">
        <v>580</v>
      </c>
    </row>
    <row r="238" spans="1:8" ht="14">
      <c r="A238" s="2"/>
      <c r="B238" s="206" t="s">
        <v>339</v>
      </c>
      <c r="C238" s="189" t="s">
        <v>12</v>
      </c>
      <c r="D238" s="252">
        <v>1</v>
      </c>
      <c r="E238" s="289">
        <f t="shared" si="6"/>
        <v>0</v>
      </c>
      <c r="F238" s="164">
        <f t="shared" si="7"/>
        <v>0</v>
      </c>
      <c r="G238" s="303">
        <v>237</v>
      </c>
      <c r="H238" t="s">
        <v>580</v>
      </c>
    </row>
    <row r="239" spans="1:8" ht="14">
      <c r="A239" s="2"/>
      <c r="B239" s="206"/>
      <c r="C239" s="189"/>
      <c r="D239" s="252"/>
      <c r="E239" s="289" t="str">
        <f t="shared" si="6"/>
        <v/>
      </c>
      <c r="F239" s="164" t="str">
        <f t="shared" si="7"/>
        <v/>
      </c>
      <c r="G239" s="303">
        <v>238</v>
      </c>
      <c r="H239" t="s">
        <v>580</v>
      </c>
    </row>
    <row r="240" spans="1:8" ht="37.5">
      <c r="A240" s="2"/>
      <c r="B240" s="206" t="s">
        <v>315</v>
      </c>
      <c r="C240" s="189" t="s">
        <v>12</v>
      </c>
      <c r="D240" s="252">
        <v>1</v>
      </c>
      <c r="E240" s="289">
        <f t="shared" si="6"/>
        <v>0</v>
      </c>
      <c r="F240" s="164">
        <f t="shared" si="7"/>
        <v>0</v>
      </c>
      <c r="G240" s="303">
        <v>239</v>
      </c>
      <c r="H240" t="s">
        <v>580</v>
      </c>
    </row>
    <row r="241" spans="1:8" ht="37.5">
      <c r="A241" s="2"/>
      <c r="B241" s="206" t="s">
        <v>188</v>
      </c>
      <c r="C241" s="189" t="s">
        <v>12</v>
      </c>
      <c r="D241" s="252">
        <v>1</v>
      </c>
      <c r="E241" s="289">
        <f t="shared" si="6"/>
        <v>0</v>
      </c>
      <c r="F241" s="164">
        <f t="shared" si="7"/>
        <v>0</v>
      </c>
      <c r="G241" s="303">
        <v>240</v>
      </c>
      <c r="H241" t="s">
        <v>580</v>
      </c>
    </row>
    <row r="242" spans="1:8" ht="14">
      <c r="A242" s="2"/>
      <c r="B242" s="206"/>
      <c r="C242" s="189"/>
      <c r="D242" s="252"/>
      <c r="E242" s="289" t="str">
        <f t="shared" si="6"/>
        <v/>
      </c>
      <c r="F242" s="164" t="str">
        <f t="shared" si="7"/>
        <v/>
      </c>
      <c r="G242" s="303">
        <v>241</v>
      </c>
      <c r="H242" t="s">
        <v>580</v>
      </c>
    </row>
    <row r="243" spans="1:8" ht="14">
      <c r="A243" s="2"/>
      <c r="B243" s="206" t="s">
        <v>179</v>
      </c>
      <c r="C243" s="189" t="s">
        <v>12</v>
      </c>
      <c r="D243" s="252">
        <v>1</v>
      </c>
      <c r="E243" s="289">
        <f t="shared" si="6"/>
        <v>0</v>
      </c>
      <c r="F243" s="164">
        <f t="shared" si="7"/>
        <v>0</v>
      </c>
      <c r="G243" s="303">
        <v>242</v>
      </c>
      <c r="H243" t="s">
        <v>580</v>
      </c>
    </row>
    <row r="244" spans="1:8" ht="14">
      <c r="A244" s="2"/>
      <c r="B244" s="206" t="s">
        <v>180</v>
      </c>
      <c r="C244" s="189" t="s">
        <v>12</v>
      </c>
      <c r="D244" s="252">
        <v>1</v>
      </c>
      <c r="E244" s="289">
        <f t="shared" si="6"/>
        <v>0</v>
      </c>
      <c r="F244" s="164">
        <f t="shared" si="7"/>
        <v>0</v>
      </c>
      <c r="G244" s="303">
        <v>243</v>
      </c>
      <c r="H244" t="s">
        <v>580</v>
      </c>
    </row>
    <row r="245" spans="1:8" ht="14">
      <c r="A245" s="2"/>
      <c r="B245" s="233"/>
      <c r="C245" s="189"/>
      <c r="D245" s="252"/>
      <c r="E245" s="289" t="str">
        <f t="shared" si="6"/>
        <v/>
      </c>
      <c r="F245" s="164" t="str">
        <f t="shared" si="7"/>
        <v/>
      </c>
      <c r="G245" s="303">
        <v>244</v>
      </c>
      <c r="H245" t="s">
        <v>580</v>
      </c>
    </row>
    <row r="246" spans="1:8" ht="14">
      <c r="A246" s="2"/>
      <c r="B246" s="217" t="s">
        <v>191</v>
      </c>
      <c r="C246" s="216"/>
      <c r="D246" s="252"/>
      <c r="E246" s="289" t="str">
        <f t="shared" si="6"/>
        <v/>
      </c>
      <c r="F246" s="164" t="str">
        <f t="shared" si="7"/>
        <v/>
      </c>
      <c r="G246" s="303">
        <v>245</v>
      </c>
      <c r="H246" t="s">
        <v>580</v>
      </c>
    </row>
    <row r="247" spans="1:8" ht="14">
      <c r="A247" s="2"/>
      <c r="B247" s="224"/>
      <c r="C247" s="216"/>
      <c r="D247" s="252"/>
      <c r="E247" s="289" t="str">
        <f t="shared" si="6"/>
        <v/>
      </c>
      <c r="F247" s="164" t="str">
        <f t="shared" si="7"/>
        <v/>
      </c>
      <c r="G247" s="303">
        <v>246</v>
      </c>
      <c r="H247" t="s">
        <v>580</v>
      </c>
    </row>
    <row r="248" spans="1:8" ht="14">
      <c r="A248" s="2" t="s">
        <v>84</v>
      </c>
      <c r="B248" s="222" t="s">
        <v>27</v>
      </c>
      <c r="C248" s="216"/>
      <c r="D248" s="252"/>
      <c r="E248" s="289" t="str">
        <f t="shared" si="6"/>
        <v/>
      </c>
      <c r="F248" s="164" t="str">
        <f t="shared" si="7"/>
        <v/>
      </c>
      <c r="G248" s="303">
        <v>247</v>
      </c>
      <c r="H248" t="s">
        <v>580</v>
      </c>
    </row>
    <row r="249" spans="1:8" ht="14">
      <c r="A249" s="2"/>
      <c r="B249" s="224"/>
      <c r="C249" s="216"/>
      <c r="D249" s="252"/>
      <c r="E249" s="289" t="str">
        <f t="shared" si="6"/>
        <v/>
      </c>
      <c r="F249" s="164" t="str">
        <f t="shared" si="7"/>
        <v/>
      </c>
      <c r="G249" s="303">
        <v>248</v>
      </c>
      <c r="H249" t="s">
        <v>580</v>
      </c>
    </row>
    <row r="250" spans="1:8" ht="14">
      <c r="A250" s="2"/>
      <c r="B250" s="224" t="s">
        <v>38</v>
      </c>
      <c r="C250" s="216" t="s">
        <v>33</v>
      </c>
      <c r="D250" s="252"/>
      <c r="E250" s="289" t="str">
        <f t="shared" si="6"/>
        <v/>
      </c>
      <c r="F250" s="164" t="str">
        <f t="shared" si="7"/>
        <v/>
      </c>
      <c r="G250" s="303">
        <v>249</v>
      </c>
      <c r="H250" t="s">
        <v>580</v>
      </c>
    </row>
    <row r="251" spans="1:8" ht="14">
      <c r="A251" s="2"/>
      <c r="B251" s="224" t="s">
        <v>133</v>
      </c>
      <c r="C251" s="216" t="s">
        <v>12</v>
      </c>
      <c r="D251" s="252">
        <v>1</v>
      </c>
      <c r="E251" s="289">
        <f t="shared" si="6"/>
        <v>0</v>
      </c>
      <c r="F251" s="164">
        <f t="shared" si="7"/>
        <v>0</v>
      </c>
      <c r="G251" s="303">
        <v>250</v>
      </c>
      <c r="H251" t="s">
        <v>580</v>
      </c>
    </row>
    <row r="252" spans="1:8" ht="14">
      <c r="A252" s="2"/>
      <c r="B252" s="224" t="s">
        <v>39</v>
      </c>
      <c r="C252" s="216" t="s">
        <v>12</v>
      </c>
      <c r="D252" s="252">
        <v>1</v>
      </c>
      <c r="E252" s="289">
        <f t="shared" si="6"/>
        <v>0</v>
      </c>
      <c r="F252" s="164">
        <f t="shared" si="7"/>
        <v>0</v>
      </c>
      <c r="G252" s="303">
        <v>251</v>
      </c>
      <c r="H252" t="s">
        <v>580</v>
      </c>
    </row>
    <row r="253" spans="1:8" ht="14">
      <c r="A253" s="2"/>
      <c r="B253" s="224" t="s">
        <v>40</v>
      </c>
      <c r="C253" s="216" t="s">
        <v>12</v>
      </c>
      <c r="D253" s="252">
        <v>1</v>
      </c>
      <c r="E253" s="289">
        <f t="shared" si="6"/>
        <v>0</v>
      </c>
      <c r="F253" s="164">
        <f t="shared" si="7"/>
        <v>0</v>
      </c>
      <c r="G253" s="303">
        <v>252</v>
      </c>
      <c r="H253" t="s">
        <v>580</v>
      </c>
    </row>
    <row r="254" spans="1:8" ht="14">
      <c r="A254" s="2"/>
      <c r="B254" s="224"/>
      <c r="C254" s="216"/>
      <c r="D254" s="252"/>
      <c r="E254" s="289" t="str">
        <f t="shared" si="6"/>
        <v/>
      </c>
      <c r="F254" s="164" t="str">
        <f t="shared" si="7"/>
        <v/>
      </c>
      <c r="G254" s="303">
        <v>253</v>
      </c>
      <c r="H254" t="s">
        <v>580</v>
      </c>
    </row>
    <row r="255" spans="1:8" ht="25">
      <c r="A255" s="2"/>
      <c r="B255" s="206" t="s">
        <v>393</v>
      </c>
      <c r="C255" s="216" t="s">
        <v>138</v>
      </c>
      <c r="D255" s="252">
        <f>(8+11)*3</f>
        <v>57</v>
      </c>
      <c r="E255" s="289">
        <f t="shared" si="6"/>
        <v>0</v>
      </c>
      <c r="F255" s="164">
        <f t="shared" si="7"/>
        <v>0</v>
      </c>
      <c r="G255" s="303">
        <v>254</v>
      </c>
      <c r="H255" t="s">
        <v>580</v>
      </c>
    </row>
    <row r="256" spans="1:8" ht="14">
      <c r="A256" s="2"/>
      <c r="B256" s="224" t="s">
        <v>41</v>
      </c>
      <c r="C256" s="216" t="s">
        <v>12</v>
      </c>
      <c r="D256" s="252">
        <v>1</v>
      </c>
      <c r="E256" s="289">
        <f t="shared" si="6"/>
        <v>0</v>
      </c>
      <c r="F256" s="164">
        <f t="shared" si="7"/>
        <v>0</v>
      </c>
      <c r="G256" s="303">
        <v>255</v>
      </c>
      <c r="H256" t="s">
        <v>580</v>
      </c>
    </row>
    <row r="257" spans="1:8" ht="14">
      <c r="A257" s="2"/>
      <c r="B257" s="224"/>
      <c r="C257" s="216"/>
      <c r="D257" s="252"/>
      <c r="E257" s="289" t="str">
        <f t="shared" si="6"/>
        <v/>
      </c>
      <c r="F257" s="164" t="str">
        <f t="shared" si="7"/>
        <v/>
      </c>
      <c r="G257" s="303">
        <v>256</v>
      </c>
      <c r="H257" t="s">
        <v>580</v>
      </c>
    </row>
    <row r="258" spans="1:8" ht="14">
      <c r="A258" s="2"/>
      <c r="B258" s="217" t="s">
        <v>114</v>
      </c>
      <c r="C258" s="216"/>
      <c r="D258" s="252"/>
      <c r="E258" s="289" t="str">
        <f t="shared" si="6"/>
        <v/>
      </c>
      <c r="F258" s="164" t="str">
        <f t="shared" si="7"/>
        <v/>
      </c>
      <c r="G258" s="303">
        <v>257</v>
      </c>
      <c r="H258" t="s">
        <v>580</v>
      </c>
    </row>
    <row r="259" spans="1:8" ht="14">
      <c r="A259" s="2"/>
      <c r="B259" s="224"/>
      <c r="C259" s="216"/>
      <c r="D259" s="252"/>
      <c r="E259" s="289" t="str">
        <f t="shared" si="6"/>
        <v/>
      </c>
      <c r="F259" s="164" t="str">
        <f t="shared" si="7"/>
        <v/>
      </c>
      <c r="G259" s="303">
        <v>258</v>
      </c>
      <c r="H259" t="s">
        <v>580</v>
      </c>
    </row>
    <row r="260" spans="1:8" ht="14">
      <c r="A260" s="2" t="s">
        <v>85</v>
      </c>
      <c r="B260" s="222" t="s">
        <v>192</v>
      </c>
      <c r="C260" s="216"/>
      <c r="D260" s="252"/>
      <c r="E260" s="289" t="str">
        <f t="shared" si="6"/>
        <v/>
      </c>
      <c r="F260" s="164" t="str">
        <f t="shared" si="7"/>
        <v/>
      </c>
      <c r="G260" s="303">
        <v>259</v>
      </c>
      <c r="H260" t="s">
        <v>580</v>
      </c>
    </row>
    <row r="261" spans="1:8" ht="14">
      <c r="A261" s="179"/>
      <c r="B261" s="224"/>
      <c r="C261" s="216"/>
      <c r="D261" s="252"/>
      <c r="E261" s="289" t="str">
        <f t="shared" si="6"/>
        <v/>
      </c>
      <c r="F261" s="164" t="str">
        <f t="shared" si="7"/>
        <v/>
      </c>
      <c r="G261" s="303">
        <v>260</v>
      </c>
      <c r="H261" t="s">
        <v>580</v>
      </c>
    </row>
    <row r="262" spans="1:8" ht="14">
      <c r="A262" s="179"/>
      <c r="B262" s="225" t="s">
        <v>21</v>
      </c>
      <c r="C262" s="216" t="s">
        <v>12</v>
      </c>
      <c r="D262" s="252">
        <v>1</v>
      </c>
      <c r="E262" s="289">
        <f t="shared" si="6"/>
        <v>0</v>
      </c>
      <c r="F262" s="164">
        <f t="shared" si="7"/>
        <v>0</v>
      </c>
      <c r="G262" s="303">
        <v>261</v>
      </c>
      <c r="H262" t="s">
        <v>580</v>
      </c>
    </row>
    <row r="263" spans="1:8" ht="14">
      <c r="A263" s="179"/>
      <c r="B263" s="234" t="s">
        <v>193</v>
      </c>
      <c r="C263" s="216"/>
      <c r="D263" s="252"/>
      <c r="E263" s="289" t="str">
        <f t="shared" si="6"/>
        <v/>
      </c>
      <c r="F263" s="164" t="str">
        <f t="shared" si="7"/>
        <v/>
      </c>
      <c r="G263" s="303">
        <v>262</v>
      </c>
      <c r="H263" t="s">
        <v>580</v>
      </c>
    </row>
    <row r="264" spans="1:8" ht="14">
      <c r="A264" s="179"/>
      <c r="B264" s="234" t="s">
        <v>194</v>
      </c>
      <c r="C264" s="216"/>
      <c r="D264" s="252"/>
      <c r="E264" s="289" t="str">
        <f t="shared" si="6"/>
        <v/>
      </c>
      <c r="F264" s="164" t="str">
        <f t="shared" si="7"/>
        <v/>
      </c>
      <c r="G264" s="303">
        <v>263</v>
      </c>
      <c r="H264" t="s">
        <v>580</v>
      </c>
    </row>
    <row r="265" spans="1:8" ht="14">
      <c r="A265" s="179"/>
      <c r="B265" s="234" t="s">
        <v>384</v>
      </c>
      <c r="C265" s="216"/>
      <c r="D265" s="252"/>
      <c r="E265" s="289" t="str">
        <f t="shared" si="6"/>
        <v/>
      </c>
      <c r="F265" s="164" t="str">
        <f t="shared" si="7"/>
        <v/>
      </c>
      <c r="G265" s="303">
        <v>264</v>
      </c>
      <c r="H265" t="s">
        <v>580</v>
      </c>
    </row>
    <row r="266" spans="1:8" ht="14">
      <c r="A266" s="179"/>
      <c r="B266" s="234" t="s">
        <v>195</v>
      </c>
      <c r="C266" s="216"/>
      <c r="D266" s="252"/>
      <c r="E266" s="289" t="str">
        <f t="shared" si="6"/>
        <v/>
      </c>
      <c r="F266" s="164" t="str">
        <f t="shared" si="7"/>
        <v/>
      </c>
      <c r="G266" s="303">
        <v>265</v>
      </c>
      <c r="H266" t="s">
        <v>580</v>
      </c>
    </row>
    <row r="267" spans="1:8" ht="14">
      <c r="A267" s="179"/>
      <c r="B267" s="234" t="s">
        <v>196</v>
      </c>
      <c r="C267" s="216"/>
      <c r="D267" s="252"/>
      <c r="E267" s="289" t="str">
        <f t="shared" ref="E267:E297" si="8">IF(D267="","",(((J267*$K$2)+(K267*$I$2*$I$3))*$K$3)/D267)</f>
        <v/>
      </c>
      <c r="F267" s="164" t="str">
        <f t="shared" ref="F267:F297" si="9">IF(D267="","",D267*E267)</f>
        <v/>
      </c>
      <c r="G267" s="303">
        <v>266</v>
      </c>
      <c r="H267" t="s">
        <v>580</v>
      </c>
    </row>
    <row r="268" spans="1:8" ht="14">
      <c r="A268" s="179"/>
      <c r="B268" s="225"/>
      <c r="C268" s="216"/>
      <c r="D268" s="252"/>
      <c r="E268" s="289" t="str">
        <f t="shared" si="8"/>
        <v/>
      </c>
      <c r="F268" s="164" t="str">
        <f t="shared" si="9"/>
        <v/>
      </c>
      <c r="G268" s="303">
        <v>267</v>
      </c>
      <c r="H268" t="s">
        <v>580</v>
      </c>
    </row>
    <row r="269" spans="1:8" ht="14">
      <c r="A269" s="179"/>
      <c r="B269" s="225" t="s">
        <v>42</v>
      </c>
      <c r="C269" s="216" t="s">
        <v>12</v>
      </c>
      <c r="D269" s="252">
        <v>1</v>
      </c>
      <c r="E269" s="289">
        <f t="shared" si="8"/>
        <v>0</v>
      </c>
      <c r="F269" s="164">
        <f t="shared" si="9"/>
        <v>0</v>
      </c>
      <c r="G269" s="303">
        <v>268</v>
      </c>
      <c r="H269" t="s">
        <v>580</v>
      </c>
    </row>
    <row r="270" spans="1:8" ht="14">
      <c r="A270" s="179"/>
      <c r="B270" s="225" t="s">
        <v>45</v>
      </c>
      <c r="C270" s="216" t="s">
        <v>12</v>
      </c>
      <c r="D270" s="252">
        <v>1</v>
      </c>
      <c r="E270" s="289">
        <f t="shared" si="8"/>
        <v>0</v>
      </c>
      <c r="F270" s="164">
        <f t="shared" si="9"/>
        <v>0</v>
      </c>
      <c r="G270" s="303">
        <v>269</v>
      </c>
      <c r="H270" t="s">
        <v>580</v>
      </c>
    </row>
    <row r="271" spans="1:8" ht="25">
      <c r="A271" s="235"/>
      <c r="B271" s="236" t="s">
        <v>22</v>
      </c>
      <c r="C271" s="237" t="s">
        <v>13</v>
      </c>
      <c r="D271" s="252">
        <f>QTE!J184-'BATIMENT SOHO-ELEC 1'!D189</f>
        <v>0</v>
      </c>
      <c r="E271" s="289" t="e">
        <f t="shared" si="8"/>
        <v>#DIV/0!</v>
      </c>
      <c r="F271" s="164" t="e">
        <f t="shared" si="9"/>
        <v>#DIV/0!</v>
      </c>
      <c r="G271" s="303">
        <v>270</v>
      </c>
      <c r="H271" t="s">
        <v>580</v>
      </c>
    </row>
    <row r="272" spans="1:8" ht="14">
      <c r="A272" s="179"/>
      <c r="B272" s="225"/>
      <c r="C272" s="216"/>
      <c r="D272" s="252"/>
      <c r="E272" s="289" t="str">
        <f t="shared" si="8"/>
        <v/>
      </c>
      <c r="F272" s="164" t="str">
        <f t="shared" si="9"/>
        <v/>
      </c>
      <c r="G272" s="303">
        <v>271</v>
      </c>
      <c r="H272" t="s">
        <v>580</v>
      </c>
    </row>
    <row r="273" spans="1:8" ht="14">
      <c r="A273" s="179"/>
      <c r="B273" s="225" t="s">
        <v>198</v>
      </c>
      <c r="C273" s="216" t="s">
        <v>13</v>
      </c>
      <c r="D273" s="252">
        <f>QTE!J189-'BATIMENT SOHO-ELEC 1'!D191</f>
        <v>0</v>
      </c>
      <c r="E273" s="289" t="e">
        <f t="shared" si="8"/>
        <v>#DIV/0!</v>
      </c>
      <c r="F273" s="164" t="e">
        <f t="shared" si="9"/>
        <v>#DIV/0!</v>
      </c>
      <c r="G273" s="303">
        <v>272</v>
      </c>
      <c r="H273" t="s">
        <v>580</v>
      </c>
    </row>
    <row r="274" spans="1:8" ht="14">
      <c r="A274" s="179"/>
      <c r="B274" s="225" t="s">
        <v>46</v>
      </c>
      <c r="C274" s="216" t="s">
        <v>13</v>
      </c>
      <c r="D274" s="255"/>
      <c r="E274" s="289" t="str">
        <f t="shared" si="8"/>
        <v/>
      </c>
      <c r="F274" s="164" t="str">
        <f t="shared" si="9"/>
        <v/>
      </c>
      <c r="G274" s="303">
        <v>273</v>
      </c>
      <c r="H274" t="s">
        <v>580</v>
      </c>
    </row>
    <row r="275" spans="1:8" ht="14">
      <c r="A275" s="179"/>
      <c r="B275" s="225" t="s">
        <v>135</v>
      </c>
      <c r="C275" s="216" t="s">
        <v>13</v>
      </c>
      <c r="D275" s="252">
        <f>QTE!J186-'BATIMENT SOHO-ELEC 1'!D193</f>
        <v>0</v>
      </c>
      <c r="E275" s="289" t="e">
        <f t="shared" si="8"/>
        <v>#DIV/0!</v>
      </c>
      <c r="F275" s="164" t="e">
        <f t="shared" si="9"/>
        <v>#DIV/0!</v>
      </c>
      <c r="G275" s="303">
        <v>274</v>
      </c>
      <c r="H275" t="s">
        <v>580</v>
      </c>
    </row>
    <row r="276" spans="1:8" ht="14">
      <c r="A276" s="179"/>
      <c r="B276" s="225" t="s">
        <v>68</v>
      </c>
      <c r="C276" s="216" t="s">
        <v>12</v>
      </c>
      <c r="D276" s="252">
        <f>QTE!J190-'BATIMENT SOHO-ELEC 1'!D194</f>
        <v>-1</v>
      </c>
      <c r="E276" s="289">
        <f t="shared" si="8"/>
        <v>0</v>
      </c>
      <c r="F276" s="164">
        <f t="shared" si="9"/>
        <v>0</v>
      </c>
      <c r="G276" s="303">
        <v>275</v>
      </c>
      <c r="H276" t="s">
        <v>580</v>
      </c>
    </row>
    <row r="277" spans="1:8" ht="14">
      <c r="A277" s="179"/>
      <c r="B277" s="225" t="s">
        <v>342</v>
      </c>
      <c r="C277" s="216" t="s">
        <v>33</v>
      </c>
      <c r="D277" s="252"/>
      <c r="E277" s="289" t="str">
        <f t="shared" si="8"/>
        <v/>
      </c>
      <c r="F277" s="164" t="str">
        <f t="shared" si="9"/>
        <v/>
      </c>
      <c r="G277" s="303">
        <v>276</v>
      </c>
      <c r="H277" t="s">
        <v>580</v>
      </c>
    </row>
    <row r="278" spans="1:8" ht="14">
      <c r="A278" s="179"/>
      <c r="B278" s="225" t="s">
        <v>341</v>
      </c>
      <c r="C278" s="216" t="s">
        <v>12</v>
      </c>
      <c r="D278" s="252">
        <v>1</v>
      </c>
      <c r="E278" s="289">
        <f t="shared" si="8"/>
        <v>0</v>
      </c>
      <c r="F278" s="164">
        <f t="shared" si="9"/>
        <v>0</v>
      </c>
      <c r="G278" s="303">
        <v>277</v>
      </c>
      <c r="H278" t="s">
        <v>580</v>
      </c>
    </row>
    <row r="279" spans="1:8" ht="14">
      <c r="A279" s="179"/>
      <c r="B279" s="225"/>
      <c r="C279" s="216"/>
      <c r="D279" s="252"/>
      <c r="E279" s="289" t="str">
        <f t="shared" si="8"/>
        <v/>
      </c>
      <c r="F279" s="164" t="str">
        <f t="shared" si="9"/>
        <v/>
      </c>
      <c r="G279" s="303">
        <v>278</v>
      </c>
      <c r="H279" t="s">
        <v>580</v>
      </c>
    </row>
    <row r="280" spans="1:8" ht="14">
      <c r="A280" s="179"/>
      <c r="B280" s="225" t="s">
        <v>47</v>
      </c>
      <c r="C280" s="216" t="s">
        <v>13</v>
      </c>
      <c r="D280" s="252">
        <f>(QTE!D255+QTE!J255+QTE!P255+QTE!V255+QTE!D264+QTE!D265+QTE!E255+QTE!K255+QTE!Q255+QTE!W255)*2+(QTE!F255+QTE!L255+QTE!R255+QTE!X255+QTE!F265)*3+(QTE!G255+QTE!M255+QTE!S255+QTE!Y255)*4+(QTE!H255+QTE!N255+QTE!T255+QTE!Z255)*5+15</f>
        <v>15</v>
      </c>
      <c r="E280" s="289">
        <f t="shared" si="8"/>
        <v>0</v>
      </c>
      <c r="F280" s="164">
        <f t="shared" si="9"/>
        <v>0</v>
      </c>
      <c r="G280" s="303">
        <v>279</v>
      </c>
      <c r="H280" t="s">
        <v>580</v>
      </c>
    </row>
    <row r="281" spans="1:8" ht="14">
      <c r="A281" s="179"/>
      <c r="B281" s="225"/>
      <c r="C281" s="216"/>
      <c r="D281" s="252"/>
      <c r="E281" s="289" t="str">
        <f t="shared" si="8"/>
        <v/>
      </c>
      <c r="F281" s="164" t="str">
        <f t="shared" si="9"/>
        <v/>
      </c>
      <c r="G281" s="303">
        <v>280</v>
      </c>
      <c r="H281" t="s">
        <v>580</v>
      </c>
    </row>
    <row r="282" spans="1:8" ht="14">
      <c r="A282" s="179"/>
      <c r="B282" s="225" t="s">
        <v>23</v>
      </c>
      <c r="C282" s="216" t="s">
        <v>12</v>
      </c>
      <c r="D282" s="252">
        <v>1</v>
      </c>
      <c r="E282" s="289">
        <f t="shared" si="8"/>
        <v>0</v>
      </c>
      <c r="F282" s="164">
        <f t="shared" si="9"/>
        <v>0</v>
      </c>
      <c r="G282" s="303">
        <v>281</v>
      </c>
      <c r="H282" t="s">
        <v>580</v>
      </c>
    </row>
    <row r="283" spans="1:8" ht="14">
      <c r="A283" s="179"/>
      <c r="B283" s="225" t="s">
        <v>24</v>
      </c>
      <c r="C283" s="216" t="s">
        <v>12</v>
      </c>
      <c r="D283" s="252">
        <v>1</v>
      </c>
      <c r="E283" s="289">
        <f t="shared" si="8"/>
        <v>0</v>
      </c>
      <c r="F283" s="164">
        <f t="shared" si="9"/>
        <v>0</v>
      </c>
      <c r="G283" s="303">
        <v>282</v>
      </c>
      <c r="H283" t="s">
        <v>580</v>
      </c>
    </row>
    <row r="284" spans="1:8" ht="14">
      <c r="A284" s="2"/>
      <c r="B284" s="194"/>
      <c r="C284" s="216"/>
      <c r="D284" s="252"/>
      <c r="E284" s="289" t="str">
        <f t="shared" si="8"/>
        <v/>
      </c>
      <c r="F284" s="164" t="str">
        <f t="shared" si="9"/>
        <v/>
      </c>
      <c r="G284" s="303">
        <v>283</v>
      </c>
      <c r="H284" t="s">
        <v>580</v>
      </c>
    </row>
    <row r="285" spans="1:8" ht="14">
      <c r="A285" s="2"/>
      <c r="B285" s="217" t="s">
        <v>115</v>
      </c>
      <c r="C285" s="216"/>
      <c r="D285" s="252"/>
      <c r="E285" s="289" t="str">
        <f t="shared" si="8"/>
        <v/>
      </c>
      <c r="F285" s="164" t="str">
        <f t="shared" si="9"/>
        <v/>
      </c>
      <c r="G285" s="303">
        <v>284</v>
      </c>
      <c r="H285" t="s">
        <v>580</v>
      </c>
    </row>
    <row r="286" spans="1:8" ht="14">
      <c r="A286" s="2" t="s">
        <v>86</v>
      </c>
      <c r="B286" s="188" t="s">
        <v>456</v>
      </c>
      <c r="C286" s="189"/>
      <c r="D286" s="252"/>
      <c r="E286" s="289" t="str">
        <f t="shared" si="8"/>
        <v/>
      </c>
      <c r="F286" s="164" t="str">
        <f t="shared" si="9"/>
        <v/>
      </c>
      <c r="G286" s="303">
        <v>285</v>
      </c>
      <c r="H286" t="s">
        <v>580</v>
      </c>
    </row>
    <row r="287" spans="1:8" ht="14">
      <c r="A287" s="2"/>
      <c r="B287" s="206"/>
      <c r="C287" s="189"/>
      <c r="D287" s="252"/>
      <c r="E287" s="289" t="str">
        <f t="shared" si="8"/>
        <v/>
      </c>
      <c r="F287" s="164" t="str">
        <f t="shared" si="9"/>
        <v/>
      </c>
      <c r="G287" s="303">
        <v>286</v>
      </c>
      <c r="H287" t="s">
        <v>580</v>
      </c>
    </row>
    <row r="288" spans="1:8" ht="14">
      <c r="A288" s="2"/>
      <c r="B288" s="206" t="s">
        <v>52</v>
      </c>
      <c r="C288" s="189" t="s">
        <v>13</v>
      </c>
      <c r="D288" s="252"/>
      <c r="E288" s="289" t="str">
        <f t="shared" si="8"/>
        <v/>
      </c>
      <c r="F288" s="164" t="str">
        <f t="shared" si="9"/>
        <v/>
      </c>
      <c r="G288" s="303">
        <v>287</v>
      </c>
      <c r="H288" t="s">
        <v>580</v>
      </c>
    </row>
    <row r="289" spans="1:8" ht="14">
      <c r="A289" s="2"/>
      <c r="B289" s="206" t="s">
        <v>344</v>
      </c>
      <c r="C289" s="189" t="s">
        <v>13</v>
      </c>
      <c r="D289" s="252">
        <f>QTE!J118-D299</f>
        <v>0</v>
      </c>
      <c r="E289" s="289" t="e">
        <f t="shared" si="8"/>
        <v>#DIV/0!</v>
      </c>
      <c r="F289" s="164" t="e">
        <f t="shared" si="9"/>
        <v>#DIV/0!</v>
      </c>
      <c r="G289" s="303">
        <v>288</v>
      </c>
      <c r="H289" t="s">
        <v>580</v>
      </c>
    </row>
    <row r="290" spans="1:8" ht="14">
      <c r="A290" s="2"/>
      <c r="B290" s="206" t="s">
        <v>199</v>
      </c>
      <c r="C290" s="189" t="s">
        <v>13</v>
      </c>
      <c r="D290" s="252"/>
      <c r="E290" s="289" t="str">
        <f t="shared" si="8"/>
        <v/>
      </c>
      <c r="F290" s="164" t="str">
        <f t="shared" si="9"/>
        <v/>
      </c>
      <c r="G290" s="303">
        <v>289</v>
      </c>
      <c r="H290" t="s">
        <v>580</v>
      </c>
    </row>
    <row r="291" spans="1:8" ht="14">
      <c r="A291" s="2"/>
      <c r="B291" s="206" t="s">
        <v>345</v>
      </c>
      <c r="C291" s="189" t="s">
        <v>13</v>
      </c>
      <c r="D291" s="252">
        <f>QTE!J121-D301</f>
        <v>0</v>
      </c>
      <c r="E291" s="289" t="e">
        <f t="shared" si="8"/>
        <v>#DIV/0!</v>
      </c>
      <c r="F291" s="164" t="e">
        <f t="shared" si="9"/>
        <v>#DIV/0!</v>
      </c>
      <c r="G291" s="303">
        <v>290</v>
      </c>
      <c r="H291" t="s">
        <v>580</v>
      </c>
    </row>
    <row r="292" spans="1:8" ht="14">
      <c r="A292" s="2"/>
      <c r="B292" s="206"/>
      <c r="C292" s="189"/>
      <c r="D292" s="252"/>
      <c r="E292" s="289" t="str">
        <f t="shared" si="8"/>
        <v/>
      </c>
      <c r="F292" s="164" t="str">
        <f t="shared" si="9"/>
        <v/>
      </c>
      <c r="G292" s="303">
        <v>291</v>
      </c>
      <c r="H292" t="s">
        <v>580</v>
      </c>
    </row>
    <row r="293" spans="1:8" ht="14">
      <c r="A293" s="2"/>
      <c r="B293" s="206" t="s">
        <v>205</v>
      </c>
      <c r="C293" s="189" t="s">
        <v>13</v>
      </c>
      <c r="D293" s="252">
        <f>QTE!J137-D303</f>
        <v>-1</v>
      </c>
      <c r="E293" s="289">
        <f t="shared" si="8"/>
        <v>0</v>
      </c>
      <c r="F293" s="164">
        <f t="shared" si="9"/>
        <v>0</v>
      </c>
      <c r="G293" s="303">
        <v>292</v>
      </c>
      <c r="H293" t="s">
        <v>580</v>
      </c>
    </row>
    <row r="294" spans="1:8" ht="14">
      <c r="A294" s="2"/>
      <c r="B294" s="206" t="s">
        <v>206</v>
      </c>
      <c r="C294" s="189" t="s">
        <v>13</v>
      </c>
      <c r="D294" s="252"/>
      <c r="E294" s="289" t="str">
        <f t="shared" si="8"/>
        <v/>
      </c>
      <c r="F294" s="164" t="str">
        <f t="shared" si="9"/>
        <v/>
      </c>
      <c r="G294" s="303">
        <v>293</v>
      </c>
      <c r="H294" t="s">
        <v>580</v>
      </c>
    </row>
    <row r="295" spans="1:8" ht="14">
      <c r="A295" s="2"/>
      <c r="B295" s="206" t="s">
        <v>207</v>
      </c>
      <c r="C295" s="189" t="s">
        <v>13</v>
      </c>
      <c r="D295" s="252">
        <f>QTE!J143</f>
        <v>0</v>
      </c>
      <c r="E295" s="289" t="e">
        <f t="shared" si="8"/>
        <v>#DIV/0!</v>
      </c>
      <c r="F295" s="164" t="e">
        <f t="shared" si="9"/>
        <v>#DIV/0!</v>
      </c>
      <c r="G295" s="303">
        <v>294</v>
      </c>
      <c r="H295" t="s">
        <v>580</v>
      </c>
    </row>
    <row r="296" spans="1:8" ht="14">
      <c r="A296" s="2"/>
      <c r="B296" s="206"/>
      <c r="C296" s="189"/>
      <c r="D296" s="252"/>
      <c r="E296" s="289" t="str">
        <f t="shared" si="8"/>
        <v/>
      </c>
      <c r="F296" s="164" t="str">
        <f t="shared" si="9"/>
        <v/>
      </c>
      <c r="G296" s="303">
        <v>295</v>
      </c>
      <c r="H296" t="s">
        <v>580</v>
      </c>
    </row>
    <row r="297" spans="1:8" ht="14">
      <c r="A297" s="2"/>
      <c r="B297" s="238" t="s">
        <v>458</v>
      </c>
      <c r="C297" s="189"/>
      <c r="D297" s="252"/>
      <c r="E297" s="289" t="str">
        <f t="shared" si="8"/>
        <v/>
      </c>
      <c r="F297" s="164" t="str">
        <f t="shared" si="9"/>
        <v/>
      </c>
      <c r="G297" s="303">
        <v>296</v>
      </c>
      <c r="H297" t="s">
        <v>580</v>
      </c>
    </row>
    <row r="298" spans="1:8" ht="14">
      <c r="A298" s="2"/>
      <c r="B298" s="206" t="s">
        <v>52</v>
      </c>
      <c r="C298" s="189" t="s">
        <v>13</v>
      </c>
      <c r="D298" s="247">
        <v>1</v>
      </c>
      <c r="E298" s="289"/>
      <c r="F298" s="164"/>
      <c r="G298" s="303">
        <v>297</v>
      </c>
      <c r="H298" t="s">
        <v>580</v>
      </c>
    </row>
    <row r="299" spans="1:8" ht="14">
      <c r="A299" s="2"/>
      <c r="B299" s="206" t="s">
        <v>344</v>
      </c>
      <c r="C299" s="189" t="s">
        <v>13</v>
      </c>
      <c r="D299" s="252"/>
      <c r="E299" s="289" t="str">
        <f t="shared" ref="E299:E344" si="10">IF(D299="","",(((J299*$K$2)+(K299*$I$2*$I$3))*$K$3)/D299)</f>
        <v/>
      </c>
      <c r="F299" s="164" t="str">
        <f t="shared" ref="F299:F344" si="11">IF(D299="","",D299*E299)</f>
        <v/>
      </c>
      <c r="G299" s="303">
        <v>298</v>
      </c>
      <c r="H299" t="s">
        <v>580</v>
      </c>
    </row>
    <row r="300" spans="1:8" ht="14">
      <c r="A300" s="2"/>
      <c r="B300" s="206" t="s">
        <v>199</v>
      </c>
      <c r="C300" s="189" t="s">
        <v>13</v>
      </c>
      <c r="D300" s="252"/>
      <c r="E300" s="289" t="str">
        <f t="shared" si="10"/>
        <v/>
      </c>
      <c r="F300" s="164" t="str">
        <f t="shared" si="11"/>
        <v/>
      </c>
      <c r="G300" s="303">
        <v>299</v>
      </c>
      <c r="H300" t="s">
        <v>580</v>
      </c>
    </row>
    <row r="301" spans="1:8" ht="14">
      <c r="A301" s="2"/>
      <c r="B301" s="206" t="s">
        <v>345</v>
      </c>
      <c r="C301" s="189" t="s">
        <v>13</v>
      </c>
      <c r="D301" s="252"/>
      <c r="E301" s="289" t="str">
        <f t="shared" si="10"/>
        <v/>
      </c>
      <c r="F301" s="164" t="str">
        <f t="shared" si="11"/>
        <v/>
      </c>
      <c r="G301" s="303">
        <v>300</v>
      </c>
      <c r="H301" t="s">
        <v>580</v>
      </c>
    </row>
    <row r="302" spans="1:8" ht="14">
      <c r="A302" s="2"/>
      <c r="B302" s="206"/>
      <c r="C302" s="189"/>
      <c r="D302" s="252"/>
      <c r="E302" s="289" t="str">
        <f t="shared" si="10"/>
        <v/>
      </c>
      <c r="F302" s="164" t="str">
        <f t="shared" si="11"/>
        <v/>
      </c>
      <c r="G302" s="303">
        <v>301</v>
      </c>
      <c r="H302" t="s">
        <v>580</v>
      </c>
    </row>
    <row r="303" spans="1:8" ht="14">
      <c r="A303" s="2"/>
      <c r="B303" s="206" t="s">
        <v>205</v>
      </c>
      <c r="C303" s="189" t="s">
        <v>13</v>
      </c>
      <c r="D303" s="252">
        <f>2</f>
        <v>2</v>
      </c>
      <c r="E303" s="289">
        <f t="shared" si="10"/>
        <v>0</v>
      </c>
      <c r="F303" s="164">
        <f t="shared" si="11"/>
        <v>0</v>
      </c>
      <c r="G303" s="303">
        <v>302</v>
      </c>
      <c r="H303" t="s">
        <v>580</v>
      </c>
    </row>
    <row r="304" spans="1:8" ht="14">
      <c r="A304" s="2"/>
      <c r="B304" s="206" t="s">
        <v>206</v>
      </c>
      <c r="C304" s="189" t="s">
        <v>13</v>
      </c>
      <c r="D304" s="252"/>
      <c r="E304" s="289" t="str">
        <f t="shared" si="10"/>
        <v/>
      </c>
      <c r="F304" s="164" t="str">
        <f t="shared" si="11"/>
        <v/>
      </c>
      <c r="G304" s="303">
        <v>303</v>
      </c>
      <c r="H304" t="s">
        <v>580</v>
      </c>
    </row>
    <row r="305" spans="1:8" ht="14">
      <c r="A305" s="2"/>
      <c r="B305" s="206" t="s">
        <v>207</v>
      </c>
      <c r="C305" s="189" t="s">
        <v>13</v>
      </c>
      <c r="D305" s="252"/>
      <c r="E305" s="289" t="str">
        <f t="shared" si="10"/>
        <v/>
      </c>
      <c r="F305" s="164" t="str">
        <f t="shared" si="11"/>
        <v/>
      </c>
      <c r="G305" s="303">
        <v>304</v>
      </c>
      <c r="H305" t="s">
        <v>580</v>
      </c>
    </row>
    <row r="306" spans="1:8" ht="14">
      <c r="A306" s="2"/>
      <c r="B306" s="206"/>
      <c r="C306" s="189"/>
      <c r="D306" s="252"/>
      <c r="E306" s="289" t="str">
        <f t="shared" si="10"/>
        <v/>
      </c>
      <c r="F306" s="164" t="str">
        <f t="shared" si="11"/>
        <v/>
      </c>
      <c r="G306" s="303">
        <v>305</v>
      </c>
      <c r="H306" t="s">
        <v>580</v>
      </c>
    </row>
    <row r="307" spans="1:8" ht="14">
      <c r="A307" s="2"/>
      <c r="B307" s="206"/>
      <c r="C307" s="189"/>
      <c r="D307" s="252"/>
      <c r="E307" s="289" t="str">
        <f t="shared" si="10"/>
        <v/>
      </c>
      <c r="F307" s="164" t="str">
        <f t="shared" si="11"/>
        <v/>
      </c>
      <c r="G307" s="303">
        <v>306</v>
      </c>
      <c r="H307" t="s">
        <v>580</v>
      </c>
    </row>
    <row r="308" spans="1:8" ht="14">
      <c r="A308" s="2"/>
      <c r="B308" s="206" t="s">
        <v>98</v>
      </c>
      <c r="C308" s="189" t="s">
        <v>13</v>
      </c>
      <c r="D308" s="252">
        <f>QTE!J126</f>
        <v>0</v>
      </c>
      <c r="E308" s="289" t="e">
        <f t="shared" si="10"/>
        <v>#DIV/0!</v>
      </c>
      <c r="F308" s="164" t="e">
        <f t="shared" si="11"/>
        <v>#DIV/0!</v>
      </c>
      <c r="G308" s="303">
        <v>307</v>
      </c>
      <c r="H308" t="s">
        <v>580</v>
      </c>
    </row>
    <row r="309" spans="1:8" ht="14">
      <c r="A309" s="2"/>
      <c r="B309" s="206" t="s">
        <v>201</v>
      </c>
      <c r="C309" s="189" t="s">
        <v>13</v>
      </c>
      <c r="D309" s="252">
        <f>QTE!J124-'BATIMENT SOHO-ELEC 2'!D201</f>
        <v>-8</v>
      </c>
      <c r="E309" s="289">
        <f t="shared" si="10"/>
        <v>0</v>
      </c>
      <c r="F309" s="164">
        <f t="shared" si="11"/>
        <v>0</v>
      </c>
      <c r="G309" s="303">
        <v>308</v>
      </c>
      <c r="H309" t="s">
        <v>580</v>
      </c>
    </row>
    <row r="310" spans="1:8" ht="14">
      <c r="A310" s="2"/>
      <c r="B310" s="206" t="s">
        <v>346</v>
      </c>
      <c r="C310" s="189" t="s">
        <v>13</v>
      </c>
      <c r="D310" s="252">
        <f>QTE!J123</f>
        <v>0</v>
      </c>
      <c r="E310" s="289" t="e">
        <f t="shared" si="10"/>
        <v>#DIV/0!</v>
      </c>
      <c r="F310" s="164" t="e">
        <f t="shared" si="11"/>
        <v>#DIV/0!</v>
      </c>
      <c r="G310" s="303">
        <v>309</v>
      </c>
      <c r="H310" t="s">
        <v>580</v>
      </c>
    </row>
    <row r="311" spans="1:8" ht="14">
      <c r="A311" s="2"/>
      <c r="B311" s="206" t="s">
        <v>203</v>
      </c>
      <c r="C311" s="189" t="s">
        <v>13</v>
      </c>
      <c r="D311" s="252">
        <f>QTE!J127-'BATIMENT SOHO-ELEC 1'!D213+QTE!J125</f>
        <v>-1</v>
      </c>
      <c r="E311" s="289">
        <f t="shared" si="10"/>
        <v>0</v>
      </c>
      <c r="F311" s="164">
        <f t="shared" si="11"/>
        <v>0</v>
      </c>
      <c r="G311" s="303">
        <v>310</v>
      </c>
      <c r="H311" t="s">
        <v>580</v>
      </c>
    </row>
    <row r="312" spans="1:8" ht="14">
      <c r="A312" s="2"/>
      <c r="B312" s="206" t="s">
        <v>202</v>
      </c>
      <c r="C312" s="189" t="s">
        <v>13</v>
      </c>
      <c r="D312" s="252">
        <f>QTE!J128</f>
        <v>0</v>
      </c>
      <c r="E312" s="289" t="e">
        <f t="shared" si="10"/>
        <v>#DIV/0!</v>
      </c>
      <c r="F312" s="164" t="e">
        <f t="shared" si="11"/>
        <v>#DIV/0!</v>
      </c>
      <c r="G312" s="303">
        <v>311</v>
      </c>
      <c r="H312" t="s">
        <v>580</v>
      </c>
    </row>
    <row r="313" spans="1:8" ht="14">
      <c r="A313" s="2"/>
      <c r="B313" s="206"/>
      <c r="C313" s="189" t="s">
        <v>13</v>
      </c>
      <c r="D313" s="252"/>
      <c r="E313" s="289" t="str">
        <f t="shared" si="10"/>
        <v/>
      </c>
      <c r="F313" s="164" t="str">
        <f t="shared" si="11"/>
        <v/>
      </c>
      <c r="G313" s="303">
        <v>312</v>
      </c>
      <c r="H313" t="s">
        <v>580</v>
      </c>
    </row>
    <row r="314" spans="1:8" ht="14">
      <c r="A314" s="2"/>
      <c r="B314" s="206" t="s">
        <v>204</v>
      </c>
      <c r="C314" s="189" t="s">
        <v>12</v>
      </c>
      <c r="D314" s="252"/>
      <c r="E314" s="289" t="str">
        <f t="shared" si="10"/>
        <v/>
      </c>
      <c r="F314" s="164" t="str">
        <f t="shared" si="11"/>
        <v/>
      </c>
      <c r="G314" s="303">
        <v>313</v>
      </c>
      <c r="H314" t="s">
        <v>580</v>
      </c>
    </row>
    <row r="315" spans="1:8" ht="14">
      <c r="A315" s="2"/>
      <c r="B315" s="206"/>
      <c r="C315" s="189"/>
      <c r="D315" s="252"/>
      <c r="E315" s="289" t="str">
        <f t="shared" si="10"/>
        <v/>
      </c>
      <c r="F315" s="164" t="str">
        <f t="shared" si="11"/>
        <v/>
      </c>
      <c r="G315" s="303">
        <v>314</v>
      </c>
      <c r="H315" t="s">
        <v>580</v>
      </c>
    </row>
    <row r="316" spans="1:8" ht="14">
      <c r="A316" s="2"/>
      <c r="B316" s="206"/>
      <c r="C316" s="189"/>
      <c r="D316" s="252"/>
      <c r="E316" s="289" t="str">
        <f t="shared" si="10"/>
        <v/>
      </c>
      <c r="F316" s="164" t="str">
        <f t="shared" si="11"/>
        <v/>
      </c>
      <c r="G316" s="303">
        <v>315</v>
      </c>
      <c r="H316" t="s">
        <v>580</v>
      </c>
    </row>
    <row r="317" spans="1:8" ht="14">
      <c r="A317" s="2"/>
      <c r="B317" s="194"/>
      <c r="C317" s="216"/>
      <c r="D317" s="252"/>
      <c r="E317" s="289" t="str">
        <f t="shared" si="10"/>
        <v/>
      </c>
      <c r="F317" s="164" t="str">
        <f t="shared" si="11"/>
        <v/>
      </c>
      <c r="G317" s="303">
        <v>316</v>
      </c>
      <c r="H317" t="s">
        <v>580</v>
      </c>
    </row>
    <row r="318" spans="1:8" ht="14">
      <c r="A318" s="2"/>
      <c r="B318" s="217" t="s">
        <v>116</v>
      </c>
      <c r="C318" s="216"/>
      <c r="D318" s="252"/>
      <c r="E318" s="289" t="str">
        <f t="shared" si="10"/>
        <v/>
      </c>
      <c r="F318" s="164" t="str">
        <f t="shared" si="11"/>
        <v/>
      </c>
      <c r="G318" s="303">
        <v>317</v>
      </c>
      <c r="H318" t="s">
        <v>580</v>
      </c>
    </row>
    <row r="319" spans="1:8" ht="14">
      <c r="A319" s="2"/>
      <c r="B319" s="224"/>
      <c r="C319" s="216"/>
      <c r="D319" s="252"/>
      <c r="E319" s="289" t="str">
        <f t="shared" si="10"/>
        <v/>
      </c>
      <c r="F319" s="164" t="str">
        <f t="shared" si="11"/>
        <v/>
      </c>
      <c r="G319" s="303">
        <v>318</v>
      </c>
      <c r="H319" t="s">
        <v>580</v>
      </c>
    </row>
    <row r="320" spans="1:8" ht="14">
      <c r="A320" s="2" t="s">
        <v>89</v>
      </c>
      <c r="B320" s="222" t="s">
        <v>457</v>
      </c>
      <c r="C320" s="189"/>
      <c r="D320" s="252"/>
      <c r="E320" s="289" t="str">
        <f t="shared" si="10"/>
        <v/>
      </c>
      <c r="F320" s="164" t="str">
        <f t="shared" si="11"/>
        <v/>
      </c>
      <c r="G320" s="303">
        <v>319</v>
      </c>
      <c r="H320" t="s">
        <v>580</v>
      </c>
    </row>
    <row r="321" spans="1:8" ht="14">
      <c r="A321" s="2"/>
      <c r="B321" s="224"/>
      <c r="C321" s="189"/>
      <c r="D321" s="252"/>
      <c r="E321" s="289" t="str">
        <f t="shared" si="10"/>
        <v/>
      </c>
      <c r="F321" s="164" t="str">
        <f t="shared" si="11"/>
        <v/>
      </c>
      <c r="G321" s="303">
        <v>320</v>
      </c>
      <c r="H321" t="s">
        <v>580</v>
      </c>
    </row>
    <row r="322" spans="1:8" ht="14">
      <c r="A322" s="2"/>
      <c r="B322" s="224" t="s">
        <v>100</v>
      </c>
      <c r="C322" s="189" t="s">
        <v>138</v>
      </c>
      <c r="D322" s="252"/>
      <c r="E322" s="289" t="str">
        <f t="shared" si="10"/>
        <v/>
      </c>
      <c r="F322" s="164" t="str">
        <f t="shared" si="11"/>
        <v/>
      </c>
      <c r="G322" s="303">
        <v>321</v>
      </c>
      <c r="H322" t="s">
        <v>580</v>
      </c>
    </row>
    <row r="323" spans="1:8" ht="14">
      <c r="A323" s="2"/>
      <c r="B323" s="224" t="s">
        <v>99</v>
      </c>
      <c r="C323" s="189" t="s">
        <v>13</v>
      </c>
      <c r="D323" s="252">
        <f>QTE!J42</f>
        <v>0</v>
      </c>
      <c r="E323" s="289" t="e">
        <f t="shared" si="10"/>
        <v>#DIV/0!</v>
      </c>
      <c r="F323" s="164" t="e">
        <f t="shared" si="11"/>
        <v>#DIV/0!</v>
      </c>
      <c r="G323" s="303">
        <v>322</v>
      </c>
      <c r="H323" t="s">
        <v>580</v>
      </c>
    </row>
    <row r="324" spans="1:8" ht="14">
      <c r="A324" s="2"/>
      <c r="B324" s="224" t="s">
        <v>70</v>
      </c>
      <c r="C324" s="189" t="s">
        <v>13</v>
      </c>
      <c r="D324" s="252">
        <f>1+2+2</f>
        <v>5</v>
      </c>
      <c r="E324" s="289">
        <f t="shared" si="10"/>
        <v>0</v>
      </c>
      <c r="F324" s="164">
        <f t="shared" si="11"/>
        <v>0</v>
      </c>
      <c r="G324" s="303">
        <v>323</v>
      </c>
      <c r="H324" t="s">
        <v>580</v>
      </c>
    </row>
    <row r="325" spans="1:8" ht="14">
      <c r="A325" s="2"/>
      <c r="B325" s="224" t="s">
        <v>71</v>
      </c>
      <c r="C325" s="189" t="s">
        <v>13</v>
      </c>
      <c r="D325" s="252">
        <f>QTE!J80+QTE!J81-'BATIMENT SOHO-ELEC 1'!D232</f>
        <v>0</v>
      </c>
      <c r="E325" s="289" t="e">
        <f t="shared" si="10"/>
        <v>#DIV/0!</v>
      </c>
      <c r="F325" s="164" t="e">
        <f t="shared" si="11"/>
        <v>#DIV/0!</v>
      </c>
      <c r="G325" s="303">
        <v>324</v>
      </c>
      <c r="H325" t="s">
        <v>580</v>
      </c>
    </row>
    <row r="326" spans="1:8" ht="14">
      <c r="A326" s="2"/>
      <c r="B326" s="224" t="s">
        <v>210</v>
      </c>
      <c r="C326" s="189" t="s">
        <v>13</v>
      </c>
      <c r="D326" s="252">
        <f>QTE!J90</f>
        <v>0</v>
      </c>
      <c r="E326" s="289" t="e">
        <f t="shared" si="10"/>
        <v>#DIV/0!</v>
      </c>
      <c r="F326" s="164" t="e">
        <f t="shared" si="11"/>
        <v>#DIV/0!</v>
      </c>
      <c r="G326" s="303">
        <v>325</v>
      </c>
      <c r="H326" t="s">
        <v>580</v>
      </c>
    </row>
    <row r="327" spans="1:8" ht="14">
      <c r="A327" s="2"/>
      <c r="B327" s="224"/>
      <c r="C327" s="189"/>
      <c r="D327" s="252"/>
      <c r="E327" s="289" t="str">
        <f t="shared" si="10"/>
        <v/>
      </c>
      <c r="F327" s="164" t="str">
        <f t="shared" si="11"/>
        <v/>
      </c>
      <c r="G327" s="303">
        <v>326</v>
      </c>
      <c r="H327" t="s">
        <v>580</v>
      </c>
    </row>
    <row r="328" spans="1:8" ht="14">
      <c r="A328" s="2"/>
      <c r="B328" s="224" t="s">
        <v>17</v>
      </c>
      <c r="C328" s="189" t="s">
        <v>12</v>
      </c>
      <c r="D328" s="252">
        <v>1</v>
      </c>
      <c r="E328" s="289">
        <f t="shared" si="10"/>
        <v>0</v>
      </c>
      <c r="F328" s="164">
        <f t="shared" si="11"/>
        <v>0</v>
      </c>
      <c r="G328" s="303">
        <v>327</v>
      </c>
      <c r="H328" t="s">
        <v>580</v>
      </c>
    </row>
    <row r="329" spans="1:8" ht="14">
      <c r="A329" s="2"/>
      <c r="B329" s="224" t="s">
        <v>18</v>
      </c>
      <c r="C329" s="189" t="s">
        <v>12</v>
      </c>
      <c r="D329" s="252"/>
      <c r="E329" s="289" t="str">
        <f t="shared" si="10"/>
        <v/>
      </c>
      <c r="F329" s="164" t="str">
        <f t="shared" si="11"/>
        <v/>
      </c>
      <c r="G329" s="303">
        <v>328</v>
      </c>
      <c r="H329" t="s">
        <v>580</v>
      </c>
    </row>
    <row r="330" spans="1:8" ht="14">
      <c r="A330" s="2"/>
      <c r="B330" s="224" t="s">
        <v>19</v>
      </c>
      <c r="C330" s="189" t="s">
        <v>12</v>
      </c>
      <c r="D330" s="252">
        <v>1</v>
      </c>
      <c r="E330" s="289">
        <f t="shared" si="10"/>
        <v>0</v>
      </c>
      <c r="F330" s="164">
        <f t="shared" si="11"/>
        <v>0</v>
      </c>
      <c r="G330" s="303">
        <v>329</v>
      </c>
      <c r="H330" t="s">
        <v>580</v>
      </c>
    </row>
    <row r="331" spans="1:8" ht="14">
      <c r="A331" s="2"/>
      <c r="B331" s="194"/>
      <c r="C331" s="216"/>
      <c r="D331" s="252"/>
      <c r="E331" s="289" t="str">
        <f t="shared" si="10"/>
        <v/>
      </c>
      <c r="F331" s="164" t="str">
        <f t="shared" si="11"/>
        <v/>
      </c>
      <c r="G331" s="303">
        <v>330</v>
      </c>
      <c r="H331" t="s">
        <v>580</v>
      </c>
    </row>
    <row r="332" spans="1:8" ht="14">
      <c r="A332" s="2"/>
      <c r="B332" s="217" t="s">
        <v>117</v>
      </c>
      <c r="C332" s="216"/>
      <c r="D332" s="252"/>
      <c r="E332" s="289" t="str">
        <f t="shared" si="10"/>
        <v/>
      </c>
      <c r="F332" s="164" t="str">
        <f t="shared" si="11"/>
        <v/>
      </c>
      <c r="G332" s="303">
        <v>331</v>
      </c>
      <c r="H332" t="s">
        <v>580</v>
      </c>
    </row>
    <row r="333" spans="1:8" ht="14">
      <c r="A333" s="2"/>
      <c r="B333" s="224"/>
      <c r="C333" s="216"/>
      <c r="D333" s="252"/>
      <c r="E333" s="289" t="str">
        <f t="shared" si="10"/>
        <v/>
      </c>
      <c r="F333" s="164" t="str">
        <f t="shared" si="11"/>
        <v/>
      </c>
      <c r="G333" s="303">
        <v>332</v>
      </c>
      <c r="H333" t="s">
        <v>580</v>
      </c>
    </row>
    <row r="334" spans="1:8" ht="14">
      <c r="A334" s="2" t="s">
        <v>91</v>
      </c>
      <c r="B334" s="222" t="s">
        <v>211</v>
      </c>
      <c r="C334" s="216"/>
      <c r="D334" s="252"/>
      <c r="E334" s="289" t="str">
        <f t="shared" si="10"/>
        <v/>
      </c>
      <c r="F334" s="164" t="str">
        <f t="shared" si="11"/>
        <v/>
      </c>
      <c r="G334" s="303">
        <v>333</v>
      </c>
      <c r="H334" t="s">
        <v>580</v>
      </c>
    </row>
    <row r="335" spans="1:8" ht="14">
      <c r="A335" s="179"/>
      <c r="B335" s="225"/>
      <c r="C335" s="216"/>
      <c r="D335" s="252"/>
      <c r="E335" s="289" t="str">
        <f t="shared" si="10"/>
        <v/>
      </c>
      <c r="F335" s="164" t="str">
        <f t="shared" si="11"/>
        <v/>
      </c>
      <c r="G335" s="303">
        <v>334</v>
      </c>
      <c r="H335" t="s">
        <v>580</v>
      </c>
    </row>
    <row r="336" spans="1:8" ht="14">
      <c r="A336" s="179"/>
      <c r="B336" s="225" t="s">
        <v>65</v>
      </c>
      <c r="C336" s="239" t="s">
        <v>347</v>
      </c>
      <c r="D336" s="252"/>
      <c r="E336" s="289" t="str">
        <f t="shared" si="10"/>
        <v/>
      </c>
      <c r="F336" s="164" t="str">
        <f t="shared" si="11"/>
        <v/>
      </c>
      <c r="G336" s="303">
        <v>335</v>
      </c>
      <c r="H336" t="s">
        <v>580</v>
      </c>
    </row>
    <row r="337" spans="1:8" ht="14">
      <c r="A337" s="179"/>
      <c r="B337" s="225"/>
      <c r="C337" s="216"/>
      <c r="D337" s="252"/>
      <c r="E337" s="289" t="str">
        <f t="shared" si="10"/>
        <v/>
      </c>
      <c r="F337" s="164" t="str">
        <f t="shared" si="11"/>
        <v/>
      </c>
      <c r="G337" s="303">
        <v>336</v>
      </c>
      <c r="H337" t="s">
        <v>580</v>
      </c>
    </row>
    <row r="338" spans="1:8" ht="14">
      <c r="A338" s="2"/>
      <c r="B338" s="217" t="s">
        <v>118</v>
      </c>
      <c r="C338" s="216"/>
      <c r="D338" s="252"/>
      <c r="E338" s="289" t="str">
        <f t="shared" si="10"/>
        <v/>
      </c>
      <c r="F338" s="164" t="str">
        <f t="shared" si="11"/>
        <v/>
      </c>
      <c r="G338" s="303">
        <v>337</v>
      </c>
      <c r="H338" t="s">
        <v>580</v>
      </c>
    </row>
    <row r="339" spans="1:8" ht="14">
      <c r="A339" s="2"/>
      <c r="B339" s="224"/>
      <c r="C339" s="216"/>
      <c r="D339" s="252"/>
      <c r="E339" s="289" t="str">
        <f t="shared" si="10"/>
        <v/>
      </c>
      <c r="F339" s="164" t="str">
        <f t="shared" si="11"/>
        <v/>
      </c>
      <c r="G339" s="303">
        <v>338</v>
      </c>
      <c r="H339" t="s">
        <v>580</v>
      </c>
    </row>
    <row r="340" spans="1:8" ht="14">
      <c r="A340" s="2" t="s">
        <v>97</v>
      </c>
      <c r="B340" s="222" t="s">
        <v>58</v>
      </c>
      <c r="C340" s="216"/>
      <c r="D340" s="252"/>
      <c r="E340" s="289" t="str">
        <f t="shared" si="10"/>
        <v/>
      </c>
      <c r="F340" s="164" t="str">
        <f t="shared" si="11"/>
        <v/>
      </c>
      <c r="G340" s="303">
        <v>339</v>
      </c>
      <c r="H340" t="s">
        <v>580</v>
      </c>
    </row>
    <row r="341" spans="1:8" ht="14">
      <c r="A341" s="2"/>
      <c r="B341" s="224"/>
      <c r="C341" s="216"/>
      <c r="D341" s="252"/>
      <c r="E341" s="289" t="str">
        <f t="shared" si="10"/>
        <v/>
      </c>
      <c r="F341" s="164" t="str">
        <f t="shared" si="11"/>
        <v/>
      </c>
      <c r="G341" s="303">
        <v>340</v>
      </c>
      <c r="H341" t="s">
        <v>580</v>
      </c>
    </row>
    <row r="342" spans="1:8" ht="14">
      <c r="A342" s="179"/>
      <c r="B342" s="225" t="s">
        <v>48</v>
      </c>
      <c r="C342" s="216" t="s">
        <v>12</v>
      </c>
      <c r="D342" s="252">
        <v>1</v>
      </c>
      <c r="E342" s="289">
        <f t="shared" si="10"/>
        <v>0</v>
      </c>
      <c r="F342" s="164">
        <f t="shared" si="11"/>
        <v>0</v>
      </c>
      <c r="G342" s="303">
        <v>341</v>
      </c>
      <c r="H342" t="s">
        <v>580</v>
      </c>
    </row>
    <row r="343" spans="1:8" ht="14">
      <c r="A343" s="179"/>
      <c r="B343" s="225" t="s">
        <v>49</v>
      </c>
      <c r="C343" s="216" t="s">
        <v>12</v>
      </c>
      <c r="D343" s="252">
        <v>1</v>
      </c>
      <c r="E343" s="289">
        <f t="shared" si="10"/>
        <v>0</v>
      </c>
      <c r="F343" s="164">
        <f t="shared" si="11"/>
        <v>0</v>
      </c>
      <c r="G343" s="303">
        <v>342</v>
      </c>
      <c r="H343" t="s">
        <v>580</v>
      </c>
    </row>
    <row r="344" spans="1:8" ht="14.5" thickBot="1">
      <c r="A344" s="2"/>
      <c r="B344" s="194"/>
      <c r="C344" s="216"/>
      <c r="D344" s="252"/>
      <c r="E344" s="289" t="str">
        <f t="shared" si="10"/>
        <v/>
      </c>
      <c r="F344" s="164" t="str">
        <f t="shared" si="11"/>
        <v/>
      </c>
      <c r="G344" s="303">
        <v>343</v>
      </c>
      <c r="H344" t="s">
        <v>580</v>
      </c>
    </row>
    <row r="345" spans="1:8" ht="13.5" thickBot="1">
      <c r="A345" s="65"/>
      <c r="B345" s="240" t="s">
        <v>119</v>
      </c>
      <c r="C345" s="241"/>
      <c r="D345" s="256"/>
      <c r="E345" s="68"/>
      <c r="F345" s="112"/>
      <c r="G345" s="303">
        <v>344</v>
      </c>
      <c r="H345" t="s">
        <v>580</v>
      </c>
    </row>
    <row r="346" spans="1:8" ht="13">
      <c r="A346" s="17"/>
      <c r="B346" s="52" t="s">
        <v>2</v>
      </c>
      <c r="C346" s="18"/>
      <c r="D346" s="262"/>
      <c r="E346" s="18"/>
      <c r="F346" s="119"/>
      <c r="G346" s="310">
        <v>345</v>
      </c>
      <c r="H346" t="s">
        <v>570</v>
      </c>
    </row>
    <row r="347" spans="1:8" ht="13">
      <c r="A347" s="17"/>
      <c r="B347" s="52"/>
      <c r="C347" s="18"/>
      <c r="D347" s="262"/>
      <c r="E347" s="18"/>
      <c r="F347" s="119"/>
      <c r="G347" s="310">
        <v>346</v>
      </c>
      <c r="H347" t="s">
        <v>570</v>
      </c>
    </row>
    <row r="348" spans="1:8" ht="14">
      <c r="A348" s="19"/>
      <c r="B348" s="139" t="s">
        <v>343</v>
      </c>
      <c r="C348" s="21"/>
      <c r="D348" s="263"/>
      <c r="E348" s="21"/>
      <c r="F348" s="115"/>
      <c r="G348" s="310">
        <v>347</v>
      </c>
      <c r="H348" t="s">
        <v>570</v>
      </c>
    </row>
    <row r="349" spans="1:8" ht="13">
      <c r="A349" s="19"/>
      <c r="B349" s="136"/>
      <c r="C349" s="21"/>
      <c r="D349" s="263"/>
      <c r="E349" s="21"/>
      <c r="F349" s="115"/>
      <c r="G349" s="310">
        <v>348</v>
      </c>
      <c r="H349" t="s">
        <v>570</v>
      </c>
    </row>
    <row r="350" spans="1:8" ht="13">
      <c r="A350" s="19">
        <v>2</v>
      </c>
      <c r="B350" s="23" t="s">
        <v>59</v>
      </c>
      <c r="C350" s="24"/>
      <c r="D350" s="263"/>
      <c r="E350" s="24"/>
      <c r="F350" s="116"/>
      <c r="G350" s="310">
        <v>349</v>
      </c>
      <c r="H350" t="s">
        <v>570</v>
      </c>
    </row>
    <row r="351" spans="1:8" ht="13">
      <c r="A351" s="19"/>
      <c r="B351" s="24"/>
      <c r="C351" s="24"/>
      <c r="D351" s="263"/>
      <c r="E351" s="24"/>
      <c r="F351" s="116"/>
      <c r="G351" s="310">
        <v>350</v>
      </c>
      <c r="H351" t="s">
        <v>570</v>
      </c>
    </row>
    <row r="352" spans="1:8" ht="13">
      <c r="A352" s="19" t="s">
        <v>76</v>
      </c>
      <c r="B352" s="37" t="s">
        <v>50</v>
      </c>
      <c r="C352" s="25"/>
      <c r="D352" s="262">
        <v>105</v>
      </c>
      <c r="E352" s="25"/>
      <c r="F352" s="117"/>
      <c r="G352" s="310">
        <v>351</v>
      </c>
      <c r="H352" t="s">
        <v>570</v>
      </c>
    </row>
    <row r="353" spans="1:8" ht="13">
      <c r="A353" s="19"/>
      <c r="B353" s="37"/>
      <c r="C353" s="25"/>
      <c r="D353" s="262"/>
      <c r="E353" s="25"/>
      <c r="F353" s="117"/>
      <c r="G353" s="310">
        <v>352</v>
      </c>
      <c r="H353" t="s">
        <v>570</v>
      </c>
    </row>
    <row r="354" spans="1:8" ht="14">
      <c r="A354" s="19"/>
      <c r="B354" s="114" t="s">
        <v>227</v>
      </c>
      <c r="C354" s="25" t="s">
        <v>13</v>
      </c>
      <c r="D354" s="264">
        <v>25</v>
      </c>
      <c r="E354" s="289">
        <v>0</v>
      </c>
      <c r="F354" s="164">
        <v>0</v>
      </c>
      <c r="G354" s="310">
        <v>353</v>
      </c>
      <c r="H354" t="s">
        <v>570</v>
      </c>
    </row>
    <row r="355" spans="1:8" ht="14">
      <c r="A355" s="45"/>
      <c r="B355" s="114" t="s">
        <v>228</v>
      </c>
      <c r="C355" s="48" t="s">
        <v>13</v>
      </c>
      <c r="D355" s="262">
        <v>14</v>
      </c>
      <c r="E355" s="289">
        <v>0</v>
      </c>
      <c r="F355" s="164">
        <v>0</v>
      </c>
      <c r="G355" s="310">
        <v>354</v>
      </c>
      <c r="H355" t="s">
        <v>570</v>
      </c>
    </row>
    <row r="356" spans="1:8" ht="14">
      <c r="A356" s="45"/>
      <c r="B356" s="114" t="s">
        <v>229</v>
      </c>
      <c r="C356" s="48" t="s">
        <v>13</v>
      </c>
      <c r="D356" s="262">
        <v>29</v>
      </c>
      <c r="E356" s="289">
        <v>0</v>
      </c>
      <c r="F356" s="164">
        <v>0</v>
      </c>
      <c r="G356" s="310">
        <v>355</v>
      </c>
      <c r="H356" t="s">
        <v>570</v>
      </c>
    </row>
    <row r="357" spans="1:8" ht="14">
      <c r="A357" s="45"/>
      <c r="B357" s="114" t="s">
        <v>230</v>
      </c>
      <c r="C357" s="48" t="s">
        <v>13</v>
      </c>
      <c r="D357" s="262">
        <v>21</v>
      </c>
      <c r="E357" s="289">
        <v>0</v>
      </c>
      <c r="F357" s="164">
        <v>0</v>
      </c>
      <c r="G357" s="310">
        <v>356</v>
      </c>
      <c r="H357" t="s">
        <v>570</v>
      </c>
    </row>
    <row r="358" spans="1:8" ht="14">
      <c r="A358" s="45"/>
      <c r="B358" s="114" t="s">
        <v>231</v>
      </c>
      <c r="C358" s="48" t="s">
        <v>13</v>
      </c>
      <c r="D358" s="262">
        <v>10</v>
      </c>
      <c r="E358" s="289">
        <v>0</v>
      </c>
      <c r="F358" s="164">
        <v>0</v>
      </c>
      <c r="G358" s="310">
        <v>357</v>
      </c>
      <c r="H358" t="s">
        <v>570</v>
      </c>
    </row>
    <row r="359" spans="1:8" ht="14">
      <c r="A359" s="45"/>
      <c r="B359" s="114" t="s">
        <v>267</v>
      </c>
      <c r="C359" s="48" t="s">
        <v>13</v>
      </c>
      <c r="D359" s="262">
        <v>6</v>
      </c>
      <c r="E359" s="289">
        <v>0</v>
      </c>
      <c r="F359" s="164">
        <v>0</v>
      </c>
      <c r="G359" s="310">
        <v>358</v>
      </c>
      <c r="H359" t="s">
        <v>570</v>
      </c>
    </row>
    <row r="360" spans="1:8" ht="14">
      <c r="A360" s="45"/>
      <c r="B360" s="130"/>
      <c r="C360" s="48"/>
      <c r="D360" s="262"/>
      <c r="E360" s="289" t="s">
        <v>571</v>
      </c>
      <c r="F360" s="164" t="s">
        <v>571</v>
      </c>
      <c r="G360" s="310">
        <v>359</v>
      </c>
      <c r="H360" t="s">
        <v>570</v>
      </c>
    </row>
    <row r="361" spans="1:8" ht="25">
      <c r="A361" s="45" t="s">
        <v>312</v>
      </c>
      <c r="B361" s="114" t="s">
        <v>310</v>
      </c>
      <c r="C361" s="48"/>
      <c r="D361" s="262"/>
      <c r="E361" s="289" t="s">
        <v>571</v>
      </c>
      <c r="F361" s="164" t="s">
        <v>571</v>
      </c>
      <c r="G361" s="310">
        <v>360</v>
      </c>
      <c r="H361" t="s">
        <v>570</v>
      </c>
    </row>
    <row r="362" spans="1:8" ht="14">
      <c r="A362" s="45"/>
      <c r="B362" s="134" t="s">
        <v>309</v>
      </c>
      <c r="C362" s="48" t="s">
        <v>13</v>
      </c>
      <c r="D362" s="262">
        <v>105</v>
      </c>
      <c r="E362" s="289">
        <v>0</v>
      </c>
      <c r="F362" s="164">
        <v>0</v>
      </c>
      <c r="G362" s="310">
        <v>361</v>
      </c>
      <c r="H362" t="s">
        <v>570</v>
      </c>
    </row>
    <row r="363" spans="1:8" ht="14">
      <c r="A363" s="45"/>
      <c r="B363" s="134" t="s">
        <v>311</v>
      </c>
      <c r="C363" s="48" t="s">
        <v>13</v>
      </c>
      <c r="D363" s="262">
        <v>105</v>
      </c>
      <c r="E363" s="289">
        <v>0</v>
      </c>
      <c r="F363" s="164">
        <v>0</v>
      </c>
      <c r="G363" s="310">
        <v>362</v>
      </c>
      <c r="H363" t="s">
        <v>570</v>
      </c>
    </row>
    <row r="364" spans="1:8" ht="14">
      <c r="A364" s="45"/>
      <c r="B364" s="135" t="s">
        <v>260</v>
      </c>
      <c r="C364" s="48" t="s">
        <v>12</v>
      </c>
      <c r="D364" s="262">
        <v>1</v>
      </c>
      <c r="E364" s="289">
        <v>0</v>
      </c>
      <c r="F364" s="164">
        <v>0</v>
      </c>
      <c r="G364" s="310">
        <v>363</v>
      </c>
      <c r="H364" t="s">
        <v>570</v>
      </c>
    </row>
    <row r="365" spans="1:8" ht="14">
      <c r="A365" s="19"/>
      <c r="B365" s="38"/>
      <c r="C365" s="9"/>
      <c r="D365" s="262"/>
      <c r="E365" s="289" t="s">
        <v>571</v>
      </c>
      <c r="F365" s="164" t="s">
        <v>571</v>
      </c>
      <c r="G365" s="310">
        <v>364</v>
      </c>
      <c r="H365" t="s">
        <v>570</v>
      </c>
    </row>
    <row r="366" spans="1:8" ht="14">
      <c r="A366" s="2"/>
      <c r="B366" s="35" t="s">
        <v>110</v>
      </c>
      <c r="C366" s="9"/>
      <c r="D366" s="262"/>
      <c r="E366" s="289" t="s">
        <v>571</v>
      </c>
      <c r="F366" s="164" t="s">
        <v>571</v>
      </c>
      <c r="G366" s="310">
        <v>365</v>
      </c>
      <c r="H366" t="s">
        <v>570</v>
      </c>
    </row>
    <row r="367" spans="1:8" ht="14">
      <c r="A367" s="19"/>
      <c r="B367" s="26"/>
      <c r="C367" s="25"/>
      <c r="D367" s="262"/>
      <c r="E367" s="289" t="s">
        <v>571</v>
      </c>
      <c r="F367" s="164" t="s">
        <v>571</v>
      </c>
      <c r="G367" s="310">
        <v>366</v>
      </c>
      <c r="H367" t="s">
        <v>570</v>
      </c>
    </row>
    <row r="368" spans="1:8" ht="14">
      <c r="A368" s="19" t="s">
        <v>77</v>
      </c>
      <c r="B368" s="37" t="s">
        <v>51</v>
      </c>
      <c r="C368" s="25"/>
      <c r="D368" s="262"/>
      <c r="E368" s="289" t="s">
        <v>571</v>
      </c>
      <c r="F368" s="164" t="s">
        <v>571</v>
      </c>
      <c r="G368" s="310">
        <v>367</v>
      </c>
      <c r="H368" t="s">
        <v>570</v>
      </c>
    </row>
    <row r="369" spans="1:8" ht="14">
      <c r="A369" s="2"/>
      <c r="B369" s="40"/>
      <c r="C369" s="9"/>
      <c r="D369" s="262"/>
      <c r="E369" s="289" t="s">
        <v>571</v>
      </c>
      <c r="F369" s="164" t="s">
        <v>571</v>
      </c>
      <c r="G369" s="310">
        <v>368</v>
      </c>
      <c r="H369" t="s">
        <v>570</v>
      </c>
    </row>
    <row r="370" spans="1:8" ht="14">
      <c r="A370" s="2" t="s">
        <v>261</v>
      </c>
      <c r="B370" s="39" t="s">
        <v>232</v>
      </c>
      <c r="C370" s="9"/>
      <c r="D370" s="262"/>
      <c r="E370" s="289" t="s">
        <v>571</v>
      </c>
      <c r="F370" s="164" t="s">
        <v>571</v>
      </c>
      <c r="G370" s="310">
        <v>369</v>
      </c>
      <c r="H370" t="s">
        <v>570</v>
      </c>
    </row>
    <row r="371" spans="1:8" ht="14">
      <c r="A371" s="2"/>
      <c r="B371" s="40"/>
      <c r="C371" s="9"/>
      <c r="D371" s="262"/>
      <c r="E371" s="289" t="s">
        <v>571</v>
      </c>
      <c r="F371" s="164" t="s">
        <v>571</v>
      </c>
      <c r="G371" s="310">
        <v>370</v>
      </c>
      <c r="H371" t="s">
        <v>570</v>
      </c>
    </row>
    <row r="372" spans="1:8" ht="14">
      <c r="A372" s="2"/>
      <c r="B372" s="131" t="s">
        <v>572</v>
      </c>
      <c r="C372" s="9"/>
      <c r="D372" s="262"/>
      <c r="E372" s="289" t="s">
        <v>571</v>
      </c>
      <c r="F372" s="164" t="s">
        <v>571</v>
      </c>
      <c r="G372" s="310">
        <v>371</v>
      </c>
      <c r="H372" t="s">
        <v>570</v>
      </c>
    </row>
    <row r="373" spans="1:8" ht="14">
      <c r="A373" s="43"/>
      <c r="B373" s="44" t="s">
        <v>52</v>
      </c>
      <c r="C373" s="9" t="s">
        <v>13</v>
      </c>
      <c r="D373" s="300">
        <v>1</v>
      </c>
      <c r="E373" s="289">
        <v>0</v>
      </c>
      <c r="F373" s="164">
        <v>0</v>
      </c>
      <c r="G373" s="310">
        <v>372</v>
      </c>
      <c r="H373" t="s">
        <v>570</v>
      </c>
    </row>
    <row r="374" spans="1:8" ht="14">
      <c r="A374" s="43"/>
      <c r="B374" s="132" t="s">
        <v>269</v>
      </c>
      <c r="C374" s="9" t="s">
        <v>13</v>
      </c>
      <c r="D374" s="262"/>
      <c r="E374" s="289" t="s">
        <v>571</v>
      </c>
      <c r="F374" s="164" t="s">
        <v>571</v>
      </c>
      <c r="G374" s="310">
        <v>373</v>
      </c>
      <c r="H374" t="s">
        <v>570</v>
      </c>
    </row>
    <row r="375" spans="1:8" ht="14">
      <c r="A375" s="43"/>
      <c r="B375" s="44" t="s">
        <v>53</v>
      </c>
      <c r="C375" s="9" t="s">
        <v>13</v>
      </c>
      <c r="D375" s="262">
        <v>2.9523809523809521</v>
      </c>
      <c r="E375" s="289">
        <v>0</v>
      </c>
      <c r="F375" s="164">
        <v>0</v>
      </c>
      <c r="G375" s="310">
        <v>374</v>
      </c>
      <c r="H375" t="s">
        <v>570</v>
      </c>
    </row>
    <row r="376" spans="1:8" ht="14">
      <c r="A376" s="43"/>
      <c r="B376" s="44" t="s">
        <v>72</v>
      </c>
      <c r="C376" s="9" t="s">
        <v>13</v>
      </c>
      <c r="D376" s="262">
        <v>1.5</v>
      </c>
      <c r="E376" s="289">
        <v>0</v>
      </c>
      <c r="F376" s="164">
        <v>0</v>
      </c>
      <c r="G376" s="310">
        <v>375</v>
      </c>
      <c r="H376" t="s">
        <v>570</v>
      </c>
    </row>
    <row r="377" spans="1:8" ht="14">
      <c r="A377" s="43"/>
      <c r="B377" s="44" t="s">
        <v>447</v>
      </c>
      <c r="C377" s="9" t="s">
        <v>13</v>
      </c>
      <c r="D377" s="262">
        <v>1</v>
      </c>
      <c r="E377" s="289">
        <v>0</v>
      </c>
      <c r="F377" s="164">
        <v>0</v>
      </c>
      <c r="G377" s="310">
        <v>376</v>
      </c>
      <c r="H377" t="s">
        <v>570</v>
      </c>
    </row>
    <row r="378" spans="1:8" ht="14">
      <c r="A378" s="43"/>
      <c r="B378" s="44"/>
      <c r="C378" s="9"/>
      <c r="D378" s="262"/>
      <c r="E378" s="289" t="s">
        <v>571</v>
      </c>
      <c r="F378" s="164" t="s">
        <v>571</v>
      </c>
      <c r="G378" s="310">
        <v>377</v>
      </c>
      <c r="H378" t="s">
        <v>570</v>
      </c>
    </row>
    <row r="379" spans="1:8" ht="14">
      <c r="A379" s="43"/>
      <c r="B379" s="44" t="s">
        <v>54</v>
      </c>
      <c r="C379" s="9" t="s">
        <v>13</v>
      </c>
      <c r="D379" s="262">
        <v>11</v>
      </c>
      <c r="E379" s="289">
        <v>0</v>
      </c>
      <c r="F379" s="164">
        <v>0</v>
      </c>
      <c r="G379" s="310">
        <v>378</v>
      </c>
      <c r="H379" t="s">
        <v>570</v>
      </c>
    </row>
    <row r="380" spans="1:8" ht="14">
      <c r="A380" s="43"/>
      <c r="B380" s="44" t="s">
        <v>55</v>
      </c>
      <c r="C380" s="9" t="s">
        <v>13</v>
      </c>
      <c r="D380" s="262">
        <v>3</v>
      </c>
      <c r="E380" s="289">
        <v>0</v>
      </c>
      <c r="F380" s="164">
        <v>0</v>
      </c>
      <c r="G380" s="310">
        <v>379</v>
      </c>
      <c r="H380" t="s">
        <v>570</v>
      </c>
    </row>
    <row r="381" spans="1:8" ht="14">
      <c r="A381" s="43"/>
      <c r="B381" s="44" t="s">
        <v>268</v>
      </c>
      <c r="C381" s="9" t="s">
        <v>13</v>
      </c>
      <c r="D381" s="262">
        <v>1</v>
      </c>
      <c r="E381" s="289">
        <v>0</v>
      </c>
      <c r="F381" s="164">
        <v>0</v>
      </c>
      <c r="G381" s="310">
        <v>380</v>
      </c>
      <c r="H381" t="s">
        <v>570</v>
      </c>
    </row>
    <row r="382" spans="1:8" ht="14">
      <c r="A382" s="43"/>
      <c r="B382" s="44" t="s">
        <v>126</v>
      </c>
      <c r="C382" s="9" t="s">
        <v>13</v>
      </c>
      <c r="D382" s="262">
        <v>1</v>
      </c>
      <c r="E382" s="289">
        <v>0</v>
      </c>
      <c r="F382" s="164">
        <v>0</v>
      </c>
      <c r="G382" s="310">
        <v>381</v>
      </c>
      <c r="H382" t="s">
        <v>570</v>
      </c>
    </row>
    <row r="383" spans="1:8" ht="14">
      <c r="A383" s="43"/>
      <c r="B383" s="44" t="s">
        <v>161</v>
      </c>
      <c r="C383" s="9" t="s">
        <v>13</v>
      </c>
      <c r="D383" s="262">
        <v>1</v>
      </c>
      <c r="E383" s="289">
        <v>0</v>
      </c>
      <c r="F383" s="164">
        <v>0</v>
      </c>
      <c r="G383" s="310">
        <v>382</v>
      </c>
      <c r="H383" t="s">
        <v>570</v>
      </c>
    </row>
    <row r="384" spans="1:8" ht="14">
      <c r="A384" s="43"/>
      <c r="B384" s="44" t="s">
        <v>101</v>
      </c>
      <c r="C384" s="9" t="s">
        <v>13</v>
      </c>
      <c r="D384" s="262">
        <v>1</v>
      </c>
      <c r="E384" s="289">
        <v>0</v>
      </c>
      <c r="F384" s="164">
        <v>0</v>
      </c>
      <c r="G384" s="310">
        <v>383</v>
      </c>
      <c r="H384" t="s">
        <v>570</v>
      </c>
    </row>
    <row r="385" spans="1:8" ht="14">
      <c r="A385" s="43"/>
      <c r="B385" s="44" t="s">
        <v>266</v>
      </c>
      <c r="C385" s="9" t="s">
        <v>13</v>
      </c>
      <c r="D385" s="262">
        <v>1</v>
      </c>
      <c r="E385" s="289">
        <v>0</v>
      </c>
      <c r="F385" s="164">
        <v>0</v>
      </c>
      <c r="G385" s="310">
        <v>384</v>
      </c>
      <c r="H385" t="s">
        <v>570</v>
      </c>
    </row>
    <row r="386" spans="1:8" ht="14">
      <c r="A386" s="43"/>
      <c r="B386" s="44" t="s">
        <v>276</v>
      </c>
      <c r="C386" s="9" t="s">
        <v>13</v>
      </c>
      <c r="D386" s="262">
        <v>1</v>
      </c>
      <c r="E386" s="289">
        <v>0</v>
      </c>
      <c r="F386" s="164">
        <v>0</v>
      </c>
      <c r="G386" s="310">
        <v>385</v>
      </c>
      <c r="H386" t="s">
        <v>570</v>
      </c>
    </row>
    <row r="387" spans="1:8" ht="14">
      <c r="A387" s="43"/>
      <c r="B387" s="44" t="s">
        <v>277</v>
      </c>
      <c r="C387" s="9" t="s">
        <v>13</v>
      </c>
      <c r="D387" s="262">
        <v>1</v>
      </c>
      <c r="E387" s="289">
        <v>0</v>
      </c>
      <c r="F387" s="164">
        <v>0</v>
      </c>
      <c r="G387" s="310">
        <v>386</v>
      </c>
      <c r="H387" t="s">
        <v>570</v>
      </c>
    </row>
    <row r="388" spans="1:8" ht="14">
      <c r="A388" s="43"/>
      <c r="B388" s="128"/>
      <c r="C388" s="9"/>
      <c r="D388" s="262"/>
      <c r="E388" s="289" t="s">
        <v>571</v>
      </c>
      <c r="F388" s="164" t="s">
        <v>571</v>
      </c>
      <c r="G388" s="310">
        <v>387</v>
      </c>
      <c r="H388" t="s">
        <v>570</v>
      </c>
    </row>
    <row r="389" spans="1:8" ht="14">
      <c r="A389" s="43"/>
      <c r="B389" s="131" t="s">
        <v>573</v>
      </c>
      <c r="C389" s="9"/>
      <c r="D389" s="262"/>
      <c r="E389" s="289" t="s">
        <v>571</v>
      </c>
      <c r="F389" s="164" t="s">
        <v>571</v>
      </c>
      <c r="G389" s="310">
        <v>388</v>
      </c>
      <c r="H389" t="s">
        <v>570</v>
      </c>
    </row>
    <row r="390" spans="1:8" ht="14">
      <c r="A390" s="43"/>
      <c r="B390" s="44" t="s">
        <v>52</v>
      </c>
      <c r="C390" s="9" t="s">
        <v>13</v>
      </c>
      <c r="D390" s="262"/>
      <c r="E390" s="289" t="s">
        <v>571</v>
      </c>
      <c r="F390" s="164" t="s">
        <v>571</v>
      </c>
      <c r="G390" s="310">
        <v>389</v>
      </c>
      <c r="H390" t="s">
        <v>570</v>
      </c>
    </row>
    <row r="391" spans="1:8" ht="14">
      <c r="A391" s="43"/>
      <c r="B391" s="132" t="s">
        <v>269</v>
      </c>
      <c r="C391" s="9" t="s">
        <v>13</v>
      </c>
      <c r="D391" s="262"/>
      <c r="E391" s="289" t="s">
        <v>571</v>
      </c>
      <c r="F391" s="164" t="s">
        <v>571</v>
      </c>
      <c r="G391" s="310">
        <v>390</v>
      </c>
      <c r="H391" t="s">
        <v>570</v>
      </c>
    </row>
    <row r="392" spans="1:8" ht="14">
      <c r="A392" s="43"/>
      <c r="B392" s="44" t="s">
        <v>53</v>
      </c>
      <c r="C392" s="9" t="s">
        <v>13</v>
      </c>
      <c r="D392" s="262"/>
      <c r="E392" s="289" t="s">
        <v>571</v>
      </c>
      <c r="F392" s="164" t="s">
        <v>571</v>
      </c>
      <c r="G392" s="310">
        <v>391</v>
      </c>
      <c r="H392" t="s">
        <v>570</v>
      </c>
    </row>
    <row r="393" spans="1:8" ht="14">
      <c r="A393" s="43"/>
      <c r="B393" s="44" t="s">
        <v>72</v>
      </c>
      <c r="C393" s="9" t="s">
        <v>13</v>
      </c>
      <c r="D393" s="262"/>
      <c r="E393" s="289" t="s">
        <v>571</v>
      </c>
      <c r="F393" s="164" t="s">
        <v>571</v>
      </c>
      <c r="G393" s="310">
        <v>392</v>
      </c>
      <c r="H393" t="s">
        <v>570</v>
      </c>
    </row>
    <row r="394" spans="1:8" ht="14">
      <c r="A394" s="43"/>
      <c r="B394" s="44" t="s">
        <v>447</v>
      </c>
      <c r="C394" s="9" t="s">
        <v>13</v>
      </c>
      <c r="D394" s="262"/>
      <c r="E394" s="289" t="s">
        <v>571</v>
      </c>
      <c r="F394" s="164" t="s">
        <v>571</v>
      </c>
      <c r="G394" s="310">
        <v>393</v>
      </c>
      <c r="H394" t="s">
        <v>570</v>
      </c>
    </row>
    <row r="395" spans="1:8" ht="14">
      <c r="A395" s="43"/>
      <c r="B395" s="44"/>
      <c r="C395" s="9"/>
      <c r="D395" s="262"/>
      <c r="E395" s="289" t="s">
        <v>571</v>
      </c>
      <c r="F395" s="164" t="s">
        <v>571</v>
      </c>
      <c r="G395" s="310">
        <v>394</v>
      </c>
      <c r="H395" t="s">
        <v>570</v>
      </c>
    </row>
    <row r="396" spans="1:8" ht="14">
      <c r="A396" s="43"/>
      <c r="B396" s="44" t="s">
        <v>54</v>
      </c>
      <c r="C396" s="9" t="s">
        <v>13</v>
      </c>
      <c r="D396" s="262"/>
      <c r="E396" s="289" t="s">
        <v>571</v>
      </c>
      <c r="F396" s="164" t="s">
        <v>571</v>
      </c>
      <c r="G396" s="310">
        <v>395</v>
      </c>
      <c r="H396" t="s">
        <v>570</v>
      </c>
    </row>
    <row r="397" spans="1:8" ht="14">
      <c r="A397" s="43"/>
      <c r="B397" s="44" t="s">
        <v>55</v>
      </c>
      <c r="C397" s="9" t="s">
        <v>13</v>
      </c>
      <c r="D397" s="262"/>
      <c r="E397" s="289" t="s">
        <v>571</v>
      </c>
      <c r="F397" s="164" t="s">
        <v>571</v>
      </c>
      <c r="G397" s="310">
        <v>396</v>
      </c>
      <c r="H397" t="s">
        <v>570</v>
      </c>
    </row>
    <row r="398" spans="1:8" ht="14">
      <c r="A398" s="43"/>
      <c r="B398" s="44" t="s">
        <v>268</v>
      </c>
      <c r="C398" s="9" t="s">
        <v>13</v>
      </c>
      <c r="D398" s="262"/>
      <c r="E398" s="289" t="s">
        <v>571</v>
      </c>
      <c r="F398" s="164" t="s">
        <v>571</v>
      </c>
      <c r="G398" s="310">
        <v>397</v>
      </c>
      <c r="H398" t="s">
        <v>570</v>
      </c>
    </row>
    <row r="399" spans="1:8" ht="14">
      <c r="A399" s="43"/>
      <c r="B399" s="44" t="s">
        <v>126</v>
      </c>
      <c r="C399" s="9" t="s">
        <v>13</v>
      </c>
      <c r="D399" s="262"/>
      <c r="E399" s="289" t="s">
        <v>571</v>
      </c>
      <c r="F399" s="164" t="s">
        <v>571</v>
      </c>
      <c r="G399" s="310">
        <v>398</v>
      </c>
      <c r="H399" t="s">
        <v>570</v>
      </c>
    </row>
    <row r="400" spans="1:8" ht="14">
      <c r="A400" s="43"/>
      <c r="B400" s="44" t="s">
        <v>101</v>
      </c>
      <c r="C400" s="9" t="s">
        <v>13</v>
      </c>
      <c r="D400" s="262"/>
      <c r="E400" s="289" t="s">
        <v>571</v>
      </c>
      <c r="F400" s="164" t="s">
        <v>571</v>
      </c>
      <c r="G400" s="310">
        <v>399</v>
      </c>
      <c r="H400" t="s">
        <v>570</v>
      </c>
    </row>
    <row r="401" spans="1:8" ht="14">
      <c r="A401" s="43"/>
      <c r="B401" s="44" t="s">
        <v>266</v>
      </c>
      <c r="C401" s="9" t="s">
        <v>13</v>
      </c>
      <c r="D401" s="262"/>
      <c r="E401" s="289" t="s">
        <v>571</v>
      </c>
      <c r="F401" s="164" t="s">
        <v>571</v>
      </c>
      <c r="G401" s="310">
        <v>400</v>
      </c>
      <c r="H401" t="s">
        <v>570</v>
      </c>
    </row>
    <row r="402" spans="1:8" ht="14">
      <c r="A402" s="43"/>
      <c r="B402" s="44" t="s">
        <v>276</v>
      </c>
      <c r="C402" s="9" t="s">
        <v>13</v>
      </c>
      <c r="D402" s="262"/>
      <c r="E402" s="289" t="s">
        <v>571</v>
      </c>
      <c r="F402" s="164" t="s">
        <v>571</v>
      </c>
      <c r="G402" s="310">
        <v>401</v>
      </c>
      <c r="H402" t="s">
        <v>570</v>
      </c>
    </row>
    <row r="403" spans="1:8" ht="14">
      <c r="A403" s="43"/>
      <c r="B403" s="44" t="s">
        <v>277</v>
      </c>
      <c r="C403" s="9" t="s">
        <v>13</v>
      </c>
      <c r="D403" s="262"/>
      <c r="E403" s="289" t="s">
        <v>571</v>
      </c>
      <c r="F403" s="164" t="s">
        <v>571</v>
      </c>
      <c r="G403" s="310">
        <v>402</v>
      </c>
      <c r="H403" t="s">
        <v>570</v>
      </c>
    </row>
    <row r="404" spans="1:8" ht="14">
      <c r="A404" s="43"/>
      <c r="B404" s="128"/>
      <c r="C404" s="9"/>
      <c r="D404" s="262"/>
      <c r="E404" s="289" t="s">
        <v>571</v>
      </c>
      <c r="F404" s="164" t="s">
        <v>571</v>
      </c>
      <c r="G404" s="310">
        <v>403</v>
      </c>
      <c r="H404" t="s">
        <v>570</v>
      </c>
    </row>
    <row r="405" spans="1:8" ht="14">
      <c r="A405" s="43"/>
      <c r="B405" s="44" t="s">
        <v>446</v>
      </c>
      <c r="C405" s="9" t="s">
        <v>1</v>
      </c>
      <c r="D405" s="262"/>
      <c r="E405" s="289" t="s">
        <v>571</v>
      </c>
      <c r="F405" s="164" t="s">
        <v>571</v>
      </c>
      <c r="G405" s="310">
        <v>404</v>
      </c>
      <c r="H405" t="s">
        <v>570</v>
      </c>
    </row>
    <row r="406" spans="1:8" ht="14">
      <c r="A406" s="43"/>
      <c r="B406" s="44" t="s">
        <v>167</v>
      </c>
      <c r="C406" s="9" t="s">
        <v>13</v>
      </c>
      <c r="D406" s="262">
        <v>1</v>
      </c>
      <c r="E406" s="289">
        <v>0</v>
      </c>
      <c r="F406" s="164">
        <v>0</v>
      </c>
      <c r="G406" s="310">
        <v>405</v>
      </c>
      <c r="H406" t="s">
        <v>570</v>
      </c>
    </row>
    <row r="407" spans="1:8" ht="14">
      <c r="A407" s="43"/>
      <c r="B407" s="44"/>
      <c r="C407" s="9"/>
      <c r="D407" s="262"/>
      <c r="E407" s="289" t="s">
        <v>571</v>
      </c>
      <c r="F407" s="164" t="s">
        <v>571</v>
      </c>
      <c r="G407" s="310">
        <v>406</v>
      </c>
      <c r="H407" t="s">
        <v>570</v>
      </c>
    </row>
    <row r="408" spans="1:8" ht="14">
      <c r="A408" s="2"/>
      <c r="B408" s="132" t="s">
        <v>444</v>
      </c>
      <c r="C408" s="9" t="s">
        <v>13</v>
      </c>
      <c r="D408" s="262"/>
      <c r="E408" s="289" t="s">
        <v>571</v>
      </c>
      <c r="F408" s="164" t="s">
        <v>571</v>
      </c>
      <c r="G408" s="310">
        <v>407</v>
      </c>
      <c r="H408" t="s">
        <v>570</v>
      </c>
    </row>
    <row r="409" spans="1:8" ht="14">
      <c r="A409" s="2"/>
      <c r="B409" s="132" t="s">
        <v>445</v>
      </c>
      <c r="C409" s="9" t="s">
        <v>13</v>
      </c>
      <c r="D409" s="262"/>
      <c r="E409" s="289" t="s">
        <v>571</v>
      </c>
      <c r="F409" s="164" t="s">
        <v>571</v>
      </c>
      <c r="G409" s="310">
        <v>408</v>
      </c>
      <c r="H409" t="s">
        <v>570</v>
      </c>
    </row>
    <row r="410" spans="1:8" ht="14">
      <c r="A410" s="2"/>
      <c r="B410" s="132" t="s">
        <v>443</v>
      </c>
      <c r="C410" s="9" t="s">
        <v>13</v>
      </c>
      <c r="D410" s="262"/>
      <c r="E410" s="289" t="s">
        <v>571</v>
      </c>
      <c r="F410" s="164" t="s">
        <v>571</v>
      </c>
      <c r="G410" s="310">
        <v>409</v>
      </c>
      <c r="H410" t="s">
        <v>570</v>
      </c>
    </row>
    <row r="411" spans="1:8" ht="14">
      <c r="A411" s="2"/>
      <c r="B411" s="132" t="s">
        <v>264</v>
      </c>
      <c r="C411" s="9" t="s">
        <v>13</v>
      </c>
      <c r="D411" s="262">
        <v>5</v>
      </c>
      <c r="E411" s="289">
        <v>0</v>
      </c>
      <c r="F411" s="164">
        <v>0</v>
      </c>
      <c r="G411" s="310">
        <v>410</v>
      </c>
      <c r="H411" t="s">
        <v>570</v>
      </c>
    </row>
    <row r="412" spans="1:8" ht="14">
      <c r="A412" s="2"/>
      <c r="B412" s="132" t="s">
        <v>265</v>
      </c>
      <c r="C412" s="9" t="s">
        <v>13</v>
      </c>
      <c r="D412" s="262">
        <v>5</v>
      </c>
      <c r="E412" s="289">
        <v>0</v>
      </c>
      <c r="F412" s="164">
        <v>0</v>
      </c>
      <c r="G412" s="310">
        <v>411</v>
      </c>
      <c r="H412" t="s">
        <v>570</v>
      </c>
    </row>
    <row r="413" spans="1:8" ht="14">
      <c r="A413" s="2"/>
      <c r="B413" s="44"/>
      <c r="C413" s="9"/>
      <c r="D413" s="262"/>
      <c r="E413" s="289" t="s">
        <v>571</v>
      </c>
      <c r="F413" s="164" t="s">
        <v>571</v>
      </c>
      <c r="G413" s="310">
        <v>412</v>
      </c>
      <c r="H413" t="s">
        <v>570</v>
      </c>
    </row>
    <row r="414" spans="1:8" ht="14">
      <c r="A414" s="2"/>
      <c r="B414" s="44" t="s">
        <v>166</v>
      </c>
      <c r="C414" s="9" t="s">
        <v>13</v>
      </c>
      <c r="D414" s="262">
        <v>1</v>
      </c>
      <c r="E414" s="289">
        <v>0</v>
      </c>
      <c r="F414" s="164">
        <v>0</v>
      </c>
      <c r="G414" s="310">
        <v>413</v>
      </c>
      <c r="H414" t="s">
        <v>570</v>
      </c>
    </row>
    <row r="415" spans="1:8" ht="14">
      <c r="A415" s="2"/>
      <c r="B415" s="40"/>
      <c r="C415" s="9"/>
      <c r="D415" s="262"/>
      <c r="E415" s="289" t="s">
        <v>571</v>
      </c>
      <c r="F415" s="164" t="s">
        <v>571</v>
      </c>
      <c r="G415" s="310">
        <v>414</v>
      </c>
      <c r="H415" t="s">
        <v>570</v>
      </c>
    </row>
    <row r="416" spans="1:8" ht="14">
      <c r="A416" s="2"/>
      <c r="B416" s="39" t="s">
        <v>233</v>
      </c>
      <c r="C416" s="27"/>
      <c r="D416" s="262"/>
      <c r="E416" s="289" t="s">
        <v>571</v>
      </c>
      <c r="F416" s="164" t="s">
        <v>571</v>
      </c>
      <c r="G416" s="310">
        <v>415</v>
      </c>
      <c r="H416" t="s">
        <v>570</v>
      </c>
    </row>
    <row r="417" spans="1:8" ht="14">
      <c r="A417" s="2"/>
      <c r="B417" s="39" t="s">
        <v>234</v>
      </c>
      <c r="C417" s="27" t="s">
        <v>12</v>
      </c>
      <c r="D417" s="262">
        <v>25</v>
      </c>
      <c r="E417" s="289">
        <v>0</v>
      </c>
      <c r="F417" s="164">
        <v>0</v>
      </c>
      <c r="G417" s="310">
        <v>416</v>
      </c>
      <c r="H417" t="s">
        <v>570</v>
      </c>
    </row>
    <row r="418" spans="1:8" ht="14">
      <c r="A418" s="19"/>
      <c r="B418" s="38"/>
      <c r="C418" s="9"/>
      <c r="D418" s="262"/>
      <c r="E418" s="289" t="s">
        <v>571</v>
      </c>
      <c r="F418" s="164" t="s">
        <v>571</v>
      </c>
      <c r="G418" s="310">
        <v>417</v>
      </c>
      <c r="H418" t="s">
        <v>570</v>
      </c>
    </row>
    <row r="419" spans="1:8" ht="14">
      <c r="A419" s="2"/>
      <c r="B419" s="73" t="s">
        <v>270</v>
      </c>
      <c r="C419" s="72"/>
      <c r="D419" s="262"/>
      <c r="E419" s="289" t="s">
        <v>571</v>
      </c>
      <c r="F419" s="164" t="s">
        <v>571</v>
      </c>
      <c r="G419" s="310">
        <v>418</v>
      </c>
      <c r="H419" t="s">
        <v>570</v>
      </c>
    </row>
    <row r="420" spans="1:8" ht="14">
      <c r="A420" s="2"/>
      <c r="B420" s="10"/>
      <c r="C420" s="9"/>
      <c r="D420" s="262"/>
      <c r="E420" s="289" t="s">
        <v>571</v>
      </c>
      <c r="F420" s="164" t="s">
        <v>571</v>
      </c>
      <c r="G420" s="310">
        <v>419</v>
      </c>
      <c r="H420" t="s">
        <v>570</v>
      </c>
    </row>
    <row r="421" spans="1:8" ht="14">
      <c r="A421" s="2" t="s">
        <v>261</v>
      </c>
      <c r="B421" s="39" t="s">
        <v>163</v>
      </c>
      <c r="C421" s="9"/>
      <c r="D421" s="262"/>
      <c r="E421" s="289" t="s">
        <v>571</v>
      </c>
      <c r="F421" s="164" t="s">
        <v>571</v>
      </c>
      <c r="G421" s="310">
        <v>420</v>
      </c>
      <c r="H421" t="s">
        <v>570</v>
      </c>
    </row>
    <row r="422" spans="1:8" ht="14">
      <c r="A422" s="2"/>
      <c r="B422" s="40"/>
      <c r="C422" s="9"/>
      <c r="D422" s="262"/>
      <c r="E422" s="289" t="s">
        <v>571</v>
      </c>
      <c r="F422" s="164" t="s">
        <v>571</v>
      </c>
      <c r="G422" s="310">
        <v>421</v>
      </c>
      <c r="H422" t="s">
        <v>570</v>
      </c>
    </row>
    <row r="423" spans="1:8" ht="14">
      <c r="A423" s="2"/>
      <c r="B423" s="131" t="s">
        <v>572</v>
      </c>
      <c r="C423" s="9"/>
      <c r="D423" s="262"/>
      <c r="E423" s="289" t="s">
        <v>571</v>
      </c>
      <c r="F423" s="164" t="s">
        <v>571</v>
      </c>
      <c r="G423" s="310">
        <v>422</v>
      </c>
      <c r="H423" t="s">
        <v>570</v>
      </c>
    </row>
    <row r="424" spans="1:8" ht="14">
      <c r="A424" s="43"/>
      <c r="B424" s="44" t="s">
        <v>52</v>
      </c>
      <c r="C424" s="9" t="s">
        <v>13</v>
      </c>
      <c r="D424">
        <v>4</v>
      </c>
      <c r="E424" s="289">
        <v>0</v>
      </c>
      <c r="F424" s="164">
        <v>0</v>
      </c>
      <c r="G424" s="310">
        <v>423</v>
      </c>
      <c r="H424" t="s">
        <v>570</v>
      </c>
    </row>
    <row r="425" spans="1:8" ht="14">
      <c r="A425" s="43"/>
      <c r="B425" s="132" t="s">
        <v>269</v>
      </c>
      <c r="C425" s="9" t="s">
        <v>13</v>
      </c>
      <c r="D425" s="262"/>
      <c r="E425" s="289" t="s">
        <v>571</v>
      </c>
      <c r="F425" s="164" t="s">
        <v>571</v>
      </c>
      <c r="G425" s="310">
        <v>424</v>
      </c>
      <c r="H425" t="s">
        <v>570</v>
      </c>
    </row>
    <row r="426" spans="1:8" ht="14">
      <c r="A426" s="43"/>
      <c r="B426" s="44" t="s">
        <v>53</v>
      </c>
      <c r="C426" s="9" t="s">
        <v>13</v>
      </c>
      <c r="D426" s="262">
        <v>0.952380952380952</v>
      </c>
      <c r="E426" s="289">
        <v>0</v>
      </c>
      <c r="F426" s="164">
        <v>0</v>
      </c>
      <c r="G426" s="310">
        <v>425</v>
      </c>
      <c r="H426" t="s">
        <v>570</v>
      </c>
    </row>
    <row r="427" spans="1:8" ht="14">
      <c r="A427" s="43"/>
      <c r="B427" s="44" t="s">
        <v>72</v>
      </c>
      <c r="C427" s="9" t="s">
        <v>13</v>
      </c>
      <c r="D427" s="262">
        <v>3</v>
      </c>
      <c r="E427" s="289">
        <v>0</v>
      </c>
      <c r="F427" s="164">
        <v>0</v>
      </c>
      <c r="G427" s="310">
        <v>426</v>
      </c>
      <c r="H427" t="s">
        <v>570</v>
      </c>
    </row>
    <row r="428" spans="1:8" ht="14">
      <c r="A428" s="43"/>
      <c r="B428" s="44" t="s">
        <v>447</v>
      </c>
      <c r="C428" s="9" t="s">
        <v>13</v>
      </c>
      <c r="D428" s="262">
        <v>1</v>
      </c>
      <c r="E428" s="289">
        <v>0</v>
      </c>
      <c r="F428" s="164">
        <v>0</v>
      </c>
      <c r="G428" s="310">
        <v>427</v>
      </c>
      <c r="H428" t="s">
        <v>570</v>
      </c>
    </row>
    <row r="429" spans="1:8" ht="14">
      <c r="A429" s="43"/>
      <c r="B429" s="44"/>
      <c r="C429" s="9"/>
      <c r="D429" s="262"/>
      <c r="E429" s="289" t="s">
        <v>571</v>
      </c>
      <c r="F429" s="164" t="s">
        <v>571</v>
      </c>
      <c r="G429" s="310">
        <v>428</v>
      </c>
      <c r="H429" t="s">
        <v>570</v>
      </c>
    </row>
    <row r="430" spans="1:8" ht="14">
      <c r="A430" s="43"/>
      <c r="B430" s="44" t="s">
        <v>54</v>
      </c>
      <c r="C430" s="9" t="s">
        <v>13</v>
      </c>
      <c r="D430" s="262">
        <v>14</v>
      </c>
      <c r="E430" s="289">
        <v>0</v>
      </c>
      <c r="F430" s="164">
        <v>0</v>
      </c>
      <c r="G430" s="310">
        <v>429</v>
      </c>
      <c r="H430" t="s">
        <v>570</v>
      </c>
    </row>
    <row r="431" spans="1:8" ht="14">
      <c r="A431" s="43"/>
      <c r="B431" s="44" t="s">
        <v>55</v>
      </c>
      <c r="C431" s="9" t="s">
        <v>13</v>
      </c>
      <c r="D431" s="262">
        <v>4</v>
      </c>
      <c r="E431" s="289">
        <v>0</v>
      </c>
      <c r="F431" s="164">
        <v>0</v>
      </c>
      <c r="G431" s="310">
        <v>430</v>
      </c>
      <c r="H431" t="s">
        <v>570</v>
      </c>
    </row>
    <row r="432" spans="1:8" ht="14">
      <c r="A432" s="43"/>
      <c r="B432" s="44" t="s">
        <v>268</v>
      </c>
      <c r="C432" s="9" t="s">
        <v>13</v>
      </c>
      <c r="D432" s="262">
        <v>1</v>
      </c>
      <c r="E432" s="289">
        <v>0</v>
      </c>
      <c r="F432" s="164">
        <v>0</v>
      </c>
      <c r="G432" s="310">
        <v>431</v>
      </c>
      <c r="H432" t="s">
        <v>570</v>
      </c>
    </row>
    <row r="433" spans="1:8" ht="14">
      <c r="A433" s="43"/>
      <c r="B433" s="44" t="s">
        <v>271</v>
      </c>
      <c r="C433" s="9" t="s">
        <v>13</v>
      </c>
      <c r="D433" s="262">
        <v>1</v>
      </c>
      <c r="E433" s="289">
        <v>0</v>
      </c>
      <c r="F433" s="164">
        <v>0</v>
      </c>
      <c r="G433" s="310">
        <v>432</v>
      </c>
      <c r="H433" t="s">
        <v>570</v>
      </c>
    </row>
    <row r="434" spans="1:8" ht="14">
      <c r="A434" s="2"/>
      <c r="B434" s="44" t="s">
        <v>272</v>
      </c>
      <c r="C434" s="9" t="s">
        <v>13</v>
      </c>
      <c r="D434" s="262">
        <v>1</v>
      </c>
      <c r="E434" s="289">
        <v>0</v>
      </c>
      <c r="F434" s="164">
        <v>0</v>
      </c>
      <c r="G434" s="310">
        <v>433</v>
      </c>
      <c r="H434" t="s">
        <v>570</v>
      </c>
    </row>
    <row r="435" spans="1:8" ht="14">
      <c r="A435" s="43"/>
      <c r="B435" s="44" t="s">
        <v>126</v>
      </c>
      <c r="C435" s="9" t="s">
        <v>13</v>
      </c>
      <c r="D435" s="262">
        <v>1</v>
      </c>
      <c r="E435" s="289">
        <v>0</v>
      </c>
      <c r="F435" s="164">
        <v>0</v>
      </c>
      <c r="G435" s="310">
        <v>434</v>
      </c>
      <c r="H435" t="s">
        <v>570</v>
      </c>
    </row>
    <row r="436" spans="1:8" ht="14">
      <c r="A436" s="43"/>
      <c r="B436" s="44" t="s">
        <v>101</v>
      </c>
      <c r="C436" s="9" t="s">
        <v>13</v>
      </c>
      <c r="D436" s="262">
        <v>1</v>
      </c>
      <c r="E436" s="289">
        <v>0</v>
      </c>
      <c r="F436" s="164">
        <v>0</v>
      </c>
      <c r="G436" s="310">
        <v>435</v>
      </c>
      <c r="H436" t="s">
        <v>570</v>
      </c>
    </row>
    <row r="437" spans="1:8" ht="14">
      <c r="A437" s="43"/>
      <c r="B437" s="44" t="s">
        <v>266</v>
      </c>
      <c r="C437" s="9" t="s">
        <v>13</v>
      </c>
      <c r="D437" s="262">
        <v>2</v>
      </c>
      <c r="E437" s="289">
        <v>0</v>
      </c>
      <c r="F437" s="164">
        <v>0</v>
      </c>
      <c r="G437" s="310">
        <v>436</v>
      </c>
      <c r="H437" t="s">
        <v>570</v>
      </c>
    </row>
    <row r="438" spans="1:8" ht="14">
      <c r="A438" s="43"/>
      <c r="B438" s="44" t="s">
        <v>276</v>
      </c>
      <c r="C438" s="9" t="s">
        <v>13</v>
      </c>
      <c r="D438" s="262">
        <v>1</v>
      </c>
      <c r="E438" s="289">
        <v>0</v>
      </c>
      <c r="F438" s="164">
        <v>0</v>
      </c>
      <c r="G438" s="310">
        <v>437</v>
      </c>
      <c r="H438" t="s">
        <v>570</v>
      </c>
    </row>
    <row r="439" spans="1:8" ht="14">
      <c r="A439" s="43"/>
      <c r="B439" s="44" t="s">
        <v>277</v>
      </c>
      <c r="C439" s="9" t="s">
        <v>13</v>
      </c>
      <c r="D439" s="262">
        <v>1</v>
      </c>
      <c r="E439" s="289">
        <v>0</v>
      </c>
      <c r="F439" s="164">
        <v>0</v>
      </c>
      <c r="G439" s="310">
        <v>438</v>
      </c>
      <c r="H439" t="s">
        <v>570</v>
      </c>
    </row>
    <row r="440" spans="1:8" ht="14">
      <c r="A440" s="43"/>
      <c r="B440" s="44"/>
      <c r="C440" s="9"/>
      <c r="D440" s="262"/>
      <c r="E440" s="289" t="s">
        <v>571</v>
      </c>
      <c r="F440" s="164" t="s">
        <v>571</v>
      </c>
      <c r="G440" s="310">
        <v>439</v>
      </c>
      <c r="H440" t="s">
        <v>570</v>
      </c>
    </row>
    <row r="441" spans="1:8" ht="14">
      <c r="A441" s="43"/>
      <c r="B441" s="131" t="s">
        <v>573</v>
      </c>
      <c r="C441" s="9"/>
      <c r="D441" s="262"/>
      <c r="E441" s="289" t="s">
        <v>571</v>
      </c>
      <c r="F441" s="164" t="s">
        <v>571</v>
      </c>
      <c r="G441" s="310">
        <v>440</v>
      </c>
      <c r="H441" t="s">
        <v>570</v>
      </c>
    </row>
    <row r="442" spans="1:8" ht="14">
      <c r="A442" s="43"/>
      <c r="B442" s="44" t="s">
        <v>52</v>
      </c>
      <c r="C442" s="9" t="s">
        <v>13</v>
      </c>
      <c r="D442" s="262"/>
      <c r="E442" s="289" t="s">
        <v>571</v>
      </c>
      <c r="F442" s="164" t="s">
        <v>571</v>
      </c>
      <c r="G442" s="310">
        <v>441</v>
      </c>
      <c r="H442" t="s">
        <v>570</v>
      </c>
    </row>
    <row r="443" spans="1:8" ht="14">
      <c r="A443" s="43"/>
      <c r="B443" s="132" t="s">
        <v>162</v>
      </c>
      <c r="C443" s="9" t="s">
        <v>13</v>
      </c>
      <c r="D443" s="262"/>
      <c r="E443" s="289" t="s">
        <v>571</v>
      </c>
      <c r="F443" s="164" t="s">
        <v>571</v>
      </c>
      <c r="G443" s="310">
        <v>442</v>
      </c>
      <c r="H443" t="s">
        <v>570</v>
      </c>
    </row>
    <row r="444" spans="1:8" ht="14">
      <c r="A444" s="43"/>
      <c r="B444" s="44" t="s">
        <v>53</v>
      </c>
      <c r="C444" s="9" t="s">
        <v>13</v>
      </c>
      <c r="D444" s="262"/>
      <c r="E444" s="289" t="s">
        <v>571</v>
      </c>
      <c r="F444" s="164" t="s">
        <v>571</v>
      </c>
      <c r="G444" s="310">
        <v>443</v>
      </c>
      <c r="H444" t="s">
        <v>570</v>
      </c>
    </row>
    <row r="445" spans="1:8" ht="14">
      <c r="A445" s="43"/>
      <c r="B445" s="44" t="s">
        <v>72</v>
      </c>
      <c r="C445" s="9" t="s">
        <v>13</v>
      </c>
      <c r="D445" s="262"/>
      <c r="E445" s="289" t="s">
        <v>571</v>
      </c>
      <c r="F445" s="164" t="s">
        <v>571</v>
      </c>
      <c r="G445" s="310">
        <v>444</v>
      </c>
      <c r="H445" t="s">
        <v>570</v>
      </c>
    </row>
    <row r="446" spans="1:8" ht="14">
      <c r="A446" s="43"/>
      <c r="B446" s="44" t="s">
        <v>447</v>
      </c>
      <c r="C446" s="9" t="s">
        <v>13</v>
      </c>
      <c r="D446" s="262"/>
      <c r="E446" s="289" t="s">
        <v>571</v>
      </c>
      <c r="F446" s="164" t="s">
        <v>571</v>
      </c>
      <c r="G446" s="310">
        <v>445</v>
      </c>
      <c r="H446" t="s">
        <v>570</v>
      </c>
    </row>
    <row r="447" spans="1:8" ht="14">
      <c r="A447" s="43"/>
      <c r="B447" s="44"/>
      <c r="C447" s="9"/>
      <c r="D447" s="262"/>
      <c r="E447" s="289" t="s">
        <v>571</v>
      </c>
      <c r="F447" s="164" t="s">
        <v>571</v>
      </c>
      <c r="G447" s="310">
        <v>446</v>
      </c>
      <c r="H447" t="s">
        <v>570</v>
      </c>
    </row>
    <row r="448" spans="1:8" ht="14">
      <c r="A448" s="43"/>
      <c r="B448" s="44" t="s">
        <v>54</v>
      </c>
      <c r="C448" s="9" t="s">
        <v>13</v>
      </c>
      <c r="D448" s="262"/>
      <c r="E448" s="289" t="s">
        <v>571</v>
      </c>
      <c r="F448" s="164" t="s">
        <v>571</v>
      </c>
      <c r="G448" s="310">
        <v>447</v>
      </c>
      <c r="H448" t="s">
        <v>570</v>
      </c>
    </row>
    <row r="449" spans="1:8" ht="14">
      <c r="A449" s="43"/>
      <c r="B449" s="44" t="s">
        <v>55</v>
      </c>
      <c r="C449" s="9" t="s">
        <v>13</v>
      </c>
      <c r="D449" s="262"/>
      <c r="E449" s="289" t="s">
        <v>571</v>
      </c>
      <c r="F449" s="164" t="s">
        <v>571</v>
      </c>
      <c r="G449" s="310">
        <v>448</v>
      </c>
      <c r="H449" t="s">
        <v>570</v>
      </c>
    </row>
    <row r="450" spans="1:8" ht="14">
      <c r="A450" s="43"/>
      <c r="B450" s="44" t="s">
        <v>268</v>
      </c>
      <c r="C450" s="9" t="s">
        <v>13</v>
      </c>
      <c r="D450" s="262"/>
      <c r="E450" s="289" t="s">
        <v>571</v>
      </c>
      <c r="F450" s="164" t="s">
        <v>571</v>
      </c>
      <c r="G450" s="310">
        <v>449</v>
      </c>
      <c r="H450" t="s">
        <v>570</v>
      </c>
    </row>
    <row r="451" spans="1:8" ht="14">
      <c r="A451" s="43"/>
      <c r="B451" s="44" t="s">
        <v>271</v>
      </c>
      <c r="C451" s="9" t="s">
        <v>13</v>
      </c>
      <c r="D451" s="262"/>
      <c r="E451" s="289" t="s">
        <v>571</v>
      </c>
      <c r="F451" s="164" t="s">
        <v>571</v>
      </c>
      <c r="G451" s="310">
        <v>450</v>
      </c>
      <c r="H451" t="s">
        <v>570</v>
      </c>
    </row>
    <row r="452" spans="1:8" ht="14">
      <c r="A452" s="43"/>
      <c r="B452" s="44" t="s">
        <v>272</v>
      </c>
      <c r="C452" s="9" t="s">
        <v>13</v>
      </c>
      <c r="D452" s="262"/>
      <c r="E452" s="289" t="s">
        <v>571</v>
      </c>
      <c r="F452" s="164" t="s">
        <v>571</v>
      </c>
      <c r="G452" s="310">
        <v>451</v>
      </c>
      <c r="H452" t="s">
        <v>570</v>
      </c>
    </row>
    <row r="453" spans="1:8" ht="14">
      <c r="A453" s="43"/>
      <c r="B453" s="44" t="s">
        <v>126</v>
      </c>
      <c r="C453" s="9" t="s">
        <v>13</v>
      </c>
      <c r="D453" s="262"/>
      <c r="E453" s="289" t="s">
        <v>571</v>
      </c>
      <c r="F453" s="164" t="s">
        <v>571</v>
      </c>
      <c r="G453" s="310">
        <v>452</v>
      </c>
      <c r="H453" t="s">
        <v>570</v>
      </c>
    </row>
    <row r="454" spans="1:8" ht="14">
      <c r="A454" s="43"/>
      <c r="B454" s="44" t="s">
        <v>101</v>
      </c>
      <c r="C454" s="9" t="s">
        <v>13</v>
      </c>
      <c r="D454" s="262"/>
      <c r="E454" s="289" t="s">
        <v>571</v>
      </c>
      <c r="F454" s="164" t="s">
        <v>571</v>
      </c>
      <c r="G454" s="310">
        <v>453</v>
      </c>
      <c r="H454" t="s">
        <v>570</v>
      </c>
    </row>
    <row r="455" spans="1:8" ht="14">
      <c r="A455" s="43"/>
      <c r="B455" s="44" t="s">
        <v>266</v>
      </c>
      <c r="C455" s="9" t="s">
        <v>13</v>
      </c>
      <c r="D455" s="262"/>
      <c r="E455" s="289" t="s">
        <v>571</v>
      </c>
      <c r="F455" s="164" t="s">
        <v>571</v>
      </c>
      <c r="G455" s="310">
        <v>454</v>
      </c>
      <c r="H455" t="s">
        <v>570</v>
      </c>
    </row>
    <row r="456" spans="1:8" ht="14">
      <c r="A456" s="43"/>
      <c r="B456" s="44" t="s">
        <v>276</v>
      </c>
      <c r="C456" s="9" t="s">
        <v>13</v>
      </c>
      <c r="D456" s="262"/>
      <c r="E456" s="289" t="s">
        <v>571</v>
      </c>
      <c r="F456" s="164" t="s">
        <v>571</v>
      </c>
      <c r="G456" s="310">
        <v>455</v>
      </c>
      <c r="H456" t="s">
        <v>570</v>
      </c>
    </row>
    <row r="457" spans="1:8" ht="14">
      <c r="A457" s="43"/>
      <c r="B457" s="44" t="s">
        <v>277</v>
      </c>
      <c r="C457" s="9" t="s">
        <v>13</v>
      </c>
      <c r="D457" s="262"/>
      <c r="E457" s="289" t="s">
        <v>571</v>
      </c>
      <c r="F457" s="164" t="s">
        <v>571</v>
      </c>
      <c r="G457" s="310">
        <v>456</v>
      </c>
      <c r="H457" t="s">
        <v>570</v>
      </c>
    </row>
    <row r="458" spans="1:8" ht="14">
      <c r="A458" s="43"/>
      <c r="B458" s="44"/>
      <c r="C458" s="9"/>
      <c r="D458" s="262"/>
      <c r="E458" s="289" t="s">
        <v>571</v>
      </c>
      <c r="F458" s="164" t="s">
        <v>571</v>
      </c>
      <c r="G458" s="310">
        <v>457</v>
      </c>
      <c r="H458" t="s">
        <v>570</v>
      </c>
    </row>
    <row r="459" spans="1:8" ht="14">
      <c r="A459" s="43"/>
      <c r="B459" s="44" t="s">
        <v>446</v>
      </c>
      <c r="C459" s="9" t="s">
        <v>1</v>
      </c>
      <c r="D459" s="262"/>
      <c r="E459" s="289" t="s">
        <v>571</v>
      </c>
      <c r="F459" s="164" t="s">
        <v>571</v>
      </c>
      <c r="G459" s="310">
        <v>458</v>
      </c>
      <c r="H459" t="s">
        <v>570</v>
      </c>
    </row>
    <row r="460" spans="1:8" ht="14">
      <c r="A460" s="43"/>
      <c r="B460" s="44" t="s">
        <v>167</v>
      </c>
      <c r="C460" s="9" t="s">
        <v>13</v>
      </c>
      <c r="D460" s="262">
        <v>1</v>
      </c>
      <c r="E460" s="289">
        <v>0</v>
      </c>
      <c r="F460" s="164">
        <v>0</v>
      </c>
      <c r="G460" s="310">
        <v>459</v>
      </c>
      <c r="H460" t="s">
        <v>570</v>
      </c>
    </row>
    <row r="461" spans="1:8" ht="14">
      <c r="A461" s="43"/>
      <c r="B461" s="44"/>
      <c r="C461" s="9"/>
      <c r="D461" s="262"/>
      <c r="E461" s="289" t="s">
        <v>571</v>
      </c>
      <c r="F461" s="164" t="s">
        <v>571</v>
      </c>
      <c r="G461" s="310">
        <v>460</v>
      </c>
      <c r="H461" t="s">
        <v>570</v>
      </c>
    </row>
    <row r="462" spans="1:8" ht="14">
      <c r="A462" s="2"/>
      <c r="B462" s="132" t="s">
        <v>444</v>
      </c>
      <c r="C462" s="9" t="s">
        <v>13</v>
      </c>
      <c r="D462" s="262"/>
      <c r="E462" s="289" t="s">
        <v>571</v>
      </c>
      <c r="F462" s="164" t="s">
        <v>571</v>
      </c>
      <c r="G462" s="310">
        <v>461</v>
      </c>
      <c r="H462" t="s">
        <v>570</v>
      </c>
    </row>
    <row r="463" spans="1:8" ht="14">
      <c r="A463" s="2"/>
      <c r="B463" s="132" t="s">
        <v>445</v>
      </c>
      <c r="C463" s="9" t="s">
        <v>13</v>
      </c>
      <c r="D463" s="262"/>
      <c r="E463" s="289" t="s">
        <v>571</v>
      </c>
      <c r="F463" s="164" t="s">
        <v>571</v>
      </c>
      <c r="G463" s="310">
        <v>462</v>
      </c>
      <c r="H463" t="s">
        <v>570</v>
      </c>
    </row>
    <row r="464" spans="1:8" ht="14">
      <c r="A464" s="2"/>
      <c r="B464" s="132" t="s">
        <v>443</v>
      </c>
      <c r="C464" s="9" t="s">
        <v>13</v>
      </c>
      <c r="D464" s="262"/>
      <c r="E464" s="289" t="s">
        <v>571</v>
      </c>
      <c r="F464" s="164" t="s">
        <v>571</v>
      </c>
      <c r="G464" s="310">
        <v>463</v>
      </c>
      <c r="H464" t="s">
        <v>570</v>
      </c>
    </row>
    <row r="465" spans="1:8" ht="14">
      <c r="A465" s="2"/>
      <c r="B465" s="132" t="s">
        <v>264</v>
      </c>
      <c r="C465" s="9" t="s">
        <v>13</v>
      </c>
      <c r="D465" s="262">
        <v>6</v>
      </c>
      <c r="E465" s="289">
        <v>0</v>
      </c>
      <c r="F465" s="164">
        <v>0</v>
      </c>
      <c r="G465" s="310">
        <v>464</v>
      </c>
      <c r="H465" t="s">
        <v>570</v>
      </c>
    </row>
    <row r="466" spans="1:8" ht="14">
      <c r="A466" s="2"/>
      <c r="B466" s="132" t="s">
        <v>265</v>
      </c>
      <c r="C466" s="9" t="s">
        <v>13</v>
      </c>
      <c r="D466" s="262">
        <v>6</v>
      </c>
      <c r="E466" s="289">
        <v>0</v>
      </c>
      <c r="F466" s="164">
        <v>0</v>
      </c>
      <c r="G466" s="310">
        <v>465</v>
      </c>
      <c r="H466" t="s">
        <v>570</v>
      </c>
    </row>
    <row r="467" spans="1:8" ht="14">
      <c r="A467" s="2"/>
      <c r="B467" s="44"/>
      <c r="C467" s="9"/>
      <c r="D467" s="262"/>
      <c r="E467" s="289" t="s">
        <v>571</v>
      </c>
      <c r="F467" s="164" t="s">
        <v>571</v>
      </c>
      <c r="G467" s="310">
        <v>466</v>
      </c>
      <c r="H467" t="s">
        <v>570</v>
      </c>
    </row>
    <row r="468" spans="1:8" ht="14">
      <c r="A468" s="2"/>
      <c r="B468" s="44" t="s">
        <v>166</v>
      </c>
      <c r="C468" s="9" t="s">
        <v>13</v>
      </c>
      <c r="D468" s="262">
        <v>1</v>
      </c>
      <c r="E468" s="289">
        <v>0</v>
      </c>
      <c r="F468" s="164">
        <v>0</v>
      </c>
      <c r="G468" s="310">
        <v>467</v>
      </c>
      <c r="H468" t="s">
        <v>570</v>
      </c>
    </row>
    <row r="469" spans="1:8" ht="14">
      <c r="A469" s="2"/>
      <c r="B469" s="44"/>
      <c r="C469" s="9"/>
      <c r="D469" s="262"/>
      <c r="E469" s="289" t="s">
        <v>571</v>
      </c>
      <c r="F469" s="164" t="s">
        <v>571</v>
      </c>
      <c r="G469" s="310">
        <v>468</v>
      </c>
      <c r="H469" t="s">
        <v>570</v>
      </c>
    </row>
    <row r="470" spans="1:8" ht="14">
      <c r="A470" s="2"/>
      <c r="B470" s="39" t="s">
        <v>164</v>
      </c>
      <c r="C470" s="9"/>
      <c r="D470" s="262"/>
      <c r="E470" s="289" t="s">
        <v>571</v>
      </c>
      <c r="F470" s="164" t="s">
        <v>571</v>
      </c>
      <c r="G470" s="310">
        <v>469</v>
      </c>
      <c r="H470" t="s">
        <v>570</v>
      </c>
    </row>
    <row r="471" spans="1:8" ht="14">
      <c r="A471" s="2"/>
      <c r="B471" s="39" t="s">
        <v>165</v>
      </c>
      <c r="C471" s="27" t="s">
        <v>12</v>
      </c>
      <c r="D471" s="262">
        <v>14</v>
      </c>
      <c r="E471" s="289">
        <v>0</v>
      </c>
      <c r="F471" s="164">
        <v>0</v>
      </c>
      <c r="G471" s="310">
        <v>470</v>
      </c>
      <c r="H471" t="s">
        <v>570</v>
      </c>
    </row>
    <row r="472" spans="1:8" ht="14">
      <c r="A472" s="19"/>
      <c r="B472" s="38"/>
      <c r="C472" s="9"/>
      <c r="D472" s="262"/>
      <c r="E472" s="289" t="s">
        <v>571</v>
      </c>
      <c r="F472" s="164" t="s">
        <v>571</v>
      </c>
      <c r="G472" s="310">
        <v>471</v>
      </c>
      <c r="H472" t="s">
        <v>570</v>
      </c>
    </row>
    <row r="473" spans="1:8" ht="14">
      <c r="A473" s="2"/>
      <c r="B473" s="73" t="s">
        <v>274</v>
      </c>
      <c r="C473" s="72"/>
      <c r="D473" s="262"/>
      <c r="E473" s="289" t="s">
        <v>571</v>
      </c>
      <c r="F473" s="164" t="s">
        <v>571</v>
      </c>
      <c r="G473" s="310">
        <v>472</v>
      </c>
      <c r="H473" t="s">
        <v>570</v>
      </c>
    </row>
    <row r="474" spans="1:8" ht="14">
      <c r="A474" s="2"/>
      <c r="B474" s="127"/>
      <c r="C474" s="9"/>
      <c r="D474" s="262"/>
      <c r="E474" s="289" t="s">
        <v>571</v>
      </c>
      <c r="F474" s="164" t="s">
        <v>571</v>
      </c>
      <c r="G474" s="310">
        <v>473</v>
      </c>
      <c r="H474" t="s">
        <v>570</v>
      </c>
    </row>
    <row r="475" spans="1:8" ht="14">
      <c r="A475" s="2" t="s">
        <v>261</v>
      </c>
      <c r="B475" s="39" t="s">
        <v>235</v>
      </c>
      <c r="C475" s="9"/>
      <c r="D475" s="262"/>
      <c r="E475" s="289" t="s">
        <v>571</v>
      </c>
      <c r="F475" s="164" t="s">
        <v>571</v>
      </c>
      <c r="G475" s="310">
        <v>474</v>
      </c>
      <c r="H475" t="s">
        <v>570</v>
      </c>
    </row>
    <row r="476" spans="1:8" ht="14">
      <c r="A476" s="2"/>
      <c r="B476" s="40"/>
      <c r="C476" s="9"/>
      <c r="D476" s="262"/>
      <c r="E476" s="289" t="s">
        <v>571</v>
      </c>
      <c r="F476" s="164" t="s">
        <v>571</v>
      </c>
      <c r="G476" s="310">
        <v>475</v>
      </c>
      <c r="H476" t="s">
        <v>570</v>
      </c>
    </row>
    <row r="477" spans="1:8" ht="14">
      <c r="A477" s="2"/>
      <c r="B477" s="131" t="s">
        <v>572</v>
      </c>
      <c r="C477" s="9"/>
      <c r="D477" s="262"/>
      <c r="E477" s="289" t="s">
        <v>571</v>
      </c>
      <c r="F477" s="164" t="s">
        <v>571</v>
      </c>
      <c r="G477" s="310">
        <v>476</v>
      </c>
      <c r="H477" t="s">
        <v>570</v>
      </c>
    </row>
    <row r="478" spans="1:8" ht="14">
      <c r="A478" s="43"/>
      <c r="B478" s="44" t="s">
        <v>52</v>
      </c>
      <c r="C478" s="9" t="s">
        <v>13</v>
      </c>
      <c r="D478" s="275">
        <v>6.1338582677165352</v>
      </c>
      <c r="E478" s="289">
        <v>0</v>
      </c>
      <c r="F478" s="164">
        <v>0</v>
      </c>
      <c r="G478" s="310">
        <v>477</v>
      </c>
      <c r="H478" t="s">
        <v>570</v>
      </c>
    </row>
    <row r="479" spans="1:8" ht="14">
      <c r="A479" s="43"/>
      <c r="B479" s="44" t="s">
        <v>269</v>
      </c>
      <c r="C479" s="9" t="s">
        <v>13</v>
      </c>
      <c r="D479" s="262">
        <v>0.9</v>
      </c>
      <c r="E479" s="289">
        <v>0</v>
      </c>
      <c r="F479" s="164">
        <v>0</v>
      </c>
      <c r="G479" s="310">
        <v>478</v>
      </c>
      <c r="H479" t="s">
        <v>570</v>
      </c>
    </row>
    <row r="480" spans="1:8" ht="14">
      <c r="A480" s="43"/>
      <c r="B480" s="44" t="s">
        <v>53</v>
      </c>
      <c r="C480" s="9" t="s">
        <v>13</v>
      </c>
      <c r="D480" s="275">
        <v>0.952380952380952</v>
      </c>
      <c r="E480" s="289">
        <v>0</v>
      </c>
      <c r="F480" s="164">
        <v>0</v>
      </c>
      <c r="G480" s="310">
        <v>479</v>
      </c>
      <c r="H480" t="s">
        <v>570</v>
      </c>
    </row>
    <row r="481" spans="1:8" ht="14">
      <c r="A481" s="2"/>
      <c r="B481" s="44" t="s">
        <v>72</v>
      </c>
      <c r="C481" s="9" t="s">
        <v>13</v>
      </c>
      <c r="D481" s="262">
        <v>1</v>
      </c>
      <c r="E481" s="289">
        <v>0</v>
      </c>
      <c r="F481" s="164">
        <v>0</v>
      </c>
      <c r="G481" s="310">
        <v>480</v>
      </c>
      <c r="H481" t="s">
        <v>570</v>
      </c>
    </row>
    <row r="482" spans="1:8" ht="14">
      <c r="A482" s="2"/>
      <c r="B482" s="44" t="s">
        <v>275</v>
      </c>
      <c r="C482" s="9" t="s">
        <v>13</v>
      </c>
      <c r="D482" s="262">
        <v>2</v>
      </c>
      <c r="E482" s="289">
        <v>0</v>
      </c>
      <c r="F482" s="164">
        <v>0</v>
      </c>
      <c r="G482" s="310">
        <v>481</v>
      </c>
      <c r="H482" t="s">
        <v>570</v>
      </c>
    </row>
    <row r="483" spans="1:8" ht="14">
      <c r="A483" s="43"/>
      <c r="B483" s="44" t="s">
        <v>447</v>
      </c>
      <c r="C483" s="9" t="s">
        <v>13</v>
      </c>
      <c r="D483" s="262">
        <v>1</v>
      </c>
      <c r="E483" s="289">
        <v>0</v>
      </c>
      <c r="F483" s="164">
        <v>0</v>
      </c>
      <c r="G483" s="310">
        <v>482</v>
      </c>
      <c r="H483" t="s">
        <v>570</v>
      </c>
    </row>
    <row r="484" spans="1:8" ht="14">
      <c r="A484" s="43"/>
      <c r="B484" s="44"/>
      <c r="C484" s="9"/>
      <c r="D484" s="262"/>
      <c r="E484" s="289" t="s">
        <v>571</v>
      </c>
      <c r="F484" s="164" t="s">
        <v>571</v>
      </c>
      <c r="G484" s="310">
        <v>483</v>
      </c>
      <c r="H484" t="s">
        <v>570</v>
      </c>
    </row>
    <row r="485" spans="1:8" ht="14">
      <c r="A485" s="43"/>
      <c r="B485" s="44" t="s">
        <v>54</v>
      </c>
      <c r="C485" s="9" t="s">
        <v>13</v>
      </c>
      <c r="D485" s="262">
        <v>16</v>
      </c>
      <c r="E485" s="289">
        <v>0</v>
      </c>
      <c r="F485" s="164">
        <v>0</v>
      </c>
      <c r="G485" s="310">
        <v>484</v>
      </c>
      <c r="H485" t="s">
        <v>570</v>
      </c>
    </row>
    <row r="486" spans="1:8" ht="14">
      <c r="A486" s="43"/>
      <c r="B486" s="44" t="s">
        <v>55</v>
      </c>
      <c r="C486" s="9" t="s">
        <v>13</v>
      </c>
      <c r="D486" s="262">
        <v>6</v>
      </c>
      <c r="E486" s="289">
        <v>0</v>
      </c>
      <c r="F486" s="164">
        <v>0</v>
      </c>
      <c r="G486" s="310">
        <v>485</v>
      </c>
      <c r="H486" t="s">
        <v>570</v>
      </c>
    </row>
    <row r="487" spans="1:8" ht="14">
      <c r="A487" s="43"/>
      <c r="B487" s="44" t="s">
        <v>268</v>
      </c>
      <c r="C487" s="9" t="s">
        <v>13</v>
      </c>
      <c r="D487" s="262">
        <v>1</v>
      </c>
      <c r="E487" s="289">
        <v>0</v>
      </c>
      <c r="F487" s="164">
        <v>0</v>
      </c>
      <c r="G487" s="310">
        <v>486</v>
      </c>
      <c r="H487" t="s">
        <v>570</v>
      </c>
    </row>
    <row r="488" spans="1:8" ht="14">
      <c r="A488" s="43"/>
      <c r="B488" s="44" t="s">
        <v>271</v>
      </c>
      <c r="C488" s="9" t="s">
        <v>13</v>
      </c>
      <c r="D488" s="262">
        <v>1</v>
      </c>
      <c r="E488" s="289">
        <v>0</v>
      </c>
      <c r="F488" s="164">
        <v>0</v>
      </c>
      <c r="G488" s="310">
        <v>487</v>
      </c>
      <c r="H488" t="s">
        <v>570</v>
      </c>
    </row>
    <row r="489" spans="1:8" ht="14">
      <c r="A489" s="43"/>
      <c r="B489" s="44" t="s">
        <v>272</v>
      </c>
      <c r="C489" s="9" t="s">
        <v>13</v>
      </c>
      <c r="D489" s="262">
        <v>1</v>
      </c>
      <c r="E489" s="289">
        <v>0</v>
      </c>
      <c r="F489" s="164">
        <v>0</v>
      </c>
      <c r="G489" s="310">
        <v>488</v>
      </c>
      <c r="H489" t="s">
        <v>570</v>
      </c>
    </row>
    <row r="490" spans="1:8" ht="14">
      <c r="A490" s="43"/>
      <c r="B490" s="44" t="s">
        <v>126</v>
      </c>
      <c r="C490" s="9" t="s">
        <v>13</v>
      </c>
      <c r="D490" s="262">
        <v>1</v>
      </c>
      <c r="E490" s="289">
        <v>0</v>
      </c>
      <c r="F490" s="164">
        <v>0</v>
      </c>
      <c r="G490" s="310">
        <v>489</v>
      </c>
      <c r="H490" t="s">
        <v>570</v>
      </c>
    </row>
    <row r="491" spans="1:8" ht="14">
      <c r="A491" s="43"/>
      <c r="B491" s="44" t="s">
        <v>101</v>
      </c>
      <c r="C491" s="9" t="s">
        <v>13</v>
      </c>
      <c r="D491" s="262">
        <v>1</v>
      </c>
      <c r="E491" s="289">
        <v>0</v>
      </c>
      <c r="F491" s="164">
        <v>0</v>
      </c>
      <c r="G491" s="310">
        <v>490</v>
      </c>
      <c r="H491" t="s">
        <v>570</v>
      </c>
    </row>
    <row r="492" spans="1:8" ht="14">
      <c r="A492" s="43"/>
      <c r="B492" s="44" t="s">
        <v>266</v>
      </c>
      <c r="C492" s="9" t="s">
        <v>13</v>
      </c>
      <c r="D492" s="262">
        <v>5</v>
      </c>
      <c r="E492" s="289">
        <v>0</v>
      </c>
      <c r="F492" s="164">
        <v>0</v>
      </c>
      <c r="G492" s="310">
        <v>491</v>
      </c>
      <c r="H492" t="s">
        <v>570</v>
      </c>
    </row>
    <row r="493" spans="1:8" ht="14">
      <c r="A493" s="43"/>
      <c r="B493" s="44" t="s">
        <v>276</v>
      </c>
      <c r="C493" s="9" t="s">
        <v>13</v>
      </c>
      <c r="D493" s="262">
        <v>1</v>
      </c>
      <c r="E493" s="289">
        <v>0</v>
      </c>
      <c r="F493" s="164">
        <v>0</v>
      </c>
      <c r="G493" s="310">
        <v>492</v>
      </c>
      <c r="H493" t="s">
        <v>570</v>
      </c>
    </row>
    <row r="494" spans="1:8" ht="14">
      <c r="A494" s="43"/>
      <c r="B494" s="44" t="s">
        <v>277</v>
      </c>
      <c r="C494" s="9" t="s">
        <v>13</v>
      </c>
      <c r="D494" s="262">
        <v>1</v>
      </c>
      <c r="E494" s="289">
        <v>0</v>
      </c>
      <c r="F494" s="164">
        <v>0</v>
      </c>
      <c r="G494" s="310">
        <v>493</v>
      </c>
      <c r="H494" t="s">
        <v>570</v>
      </c>
    </row>
    <row r="495" spans="1:8" ht="14">
      <c r="A495" s="43"/>
      <c r="B495" s="44"/>
      <c r="C495" s="9"/>
      <c r="D495" s="262"/>
      <c r="E495" s="289" t="s">
        <v>571</v>
      </c>
      <c r="F495" s="164" t="s">
        <v>571</v>
      </c>
      <c r="G495" s="310">
        <v>494</v>
      </c>
      <c r="H495" t="s">
        <v>570</v>
      </c>
    </row>
    <row r="496" spans="1:8" ht="14">
      <c r="A496" s="43"/>
      <c r="B496" s="131" t="s">
        <v>573</v>
      </c>
      <c r="C496" s="9"/>
      <c r="D496" s="262"/>
      <c r="E496" s="289" t="s">
        <v>571</v>
      </c>
      <c r="F496" s="164" t="s">
        <v>571</v>
      </c>
      <c r="G496" s="310">
        <v>495</v>
      </c>
      <c r="H496" t="s">
        <v>570</v>
      </c>
    </row>
    <row r="497" spans="1:8" ht="14">
      <c r="A497" s="43"/>
      <c r="B497" s="44" t="s">
        <v>52</v>
      </c>
      <c r="C497" s="9" t="s">
        <v>13</v>
      </c>
      <c r="D497" s="262"/>
      <c r="E497" s="289" t="s">
        <v>571</v>
      </c>
      <c r="F497" s="164" t="s">
        <v>571</v>
      </c>
      <c r="G497" s="310">
        <v>496</v>
      </c>
      <c r="H497" t="s">
        <v>570</v>
      </c>
    </row>
    <row r="498" spans="1:8" ht="14">
      <c r="A498" s="43"/>
      <c r="B498" s="44" t="s">
        <v>269</v>
      </c>
      <c r="C498" s="9" t="s">
        <v>13</v>
      </c>
      <c r="D498" s="262"/>
      <c r="E498" s="289" t="s">
        <v>571</v>
      </c>
      <c r="F498" s="164" t="s">
        <v>571</v>
      </c>
      <c r="G498" s="310">
        <v>497</v>
      </c>
      <c r="H498" t="s">
        <v>570</v>
      </c>
    </row>
    <row r="499" spans="1:8" ht="14">
      <c r="A499" s="43"/>
      <c r="B499" s="44" t="s">
        <v>53</v>
      </c>
      <c r="C499" s="9" t="s">
        <v>13</v>
      </c>
      <c r="D499" s="262"/>
      <c r="E499" s="289" t="s">
        <v>571</v>
      </c>
      <c r="F499" s="164" t="s">
        <v>571</v>
      </c>
      <c r="G499" s="310">
        <v>498</v>
      </c>
      <c r="H499" t="s">
        <v>570</v>
      </c>
    </row>
    <row r="500" spans="1:8" ht="14">
      <c r="A500" s="43"/>
      <c r="B500" s="44" t="s">
        <v>72</v>
      </c>
      <c r="C500" s="9" t="s">
        <v>13</v>
      </c>
      <c r="D500" s="262"/>
      <c r="E500" s="289" t="s">
        <v>571</v>
      </c>
      <c r="F500" s="164" t="s">
        <v>571</v>
      </c>
      <c r="G500" s="310">
        <v>499</v>
      </c>
      <c r="H500" t="s">
        <v>570</v>
      </c>
    </row>
    <row r="501" spans="1:8" ht="14">
      <c r="A501" s="43"/>
      <c r="B501" s="44" t="s">
        <v>275</v>
      </c>
      <c r="C501" s="9" t="s">
        <v>13</v>
      </c>
      <c r="D501" s="262"/>
      <c r="E501" s="289" t="s">
        <v>571</v>
      </c>
      <c r="F501" s="164" t="s">
        <v>571</v>
      </c>
      <c r="G501" s="310">
        <v>500</v>
      </c>
      <c r="H501" t="s">
        <v>570</v>
      </c>
    </row>
    <row r="502" spans="1:8" ht="14">
      <c r="A502" s="43"/>
      <c r="B502" s="44" t="s">
        <v>447</v>
      </c>
      <c r="C502" s="9" t="s">
        <v>13</v>
      </c>
      <c r="D502" s="262"/>
      <c r="E502" s="289" t="s">
        <v>571</v>
      </c>
      <c r="F502" s="164" t="s">
        <v>571</v>
      </c>
      <c r="G502" s="310">
        <v>501</v>
      </c>
      <c r="H502" t="s">
        <v>570</v>
      </c>
    </row>
    <row r="503" spans="1:8" ht="14">
      <c r="A503" s="43"/>
      <c r="B503" s="44"/>
      <c r="C503" s="9"/>
      <c r="D503" s="262"/>
      <c r="E503" s="289" t="s">
        <v>571</v>
      </c>
      <c r="F503" s="164" t="s">
        <v>571</v>
      </c>
      <c r="G503" s="310">
        <v>502</v>
      </c>
      <c r="H503" t="s">
        <v>570</v>
      </c>
    </row>
    <row r="504" spans="1:8" ht="14">
      <c r="A504" s="43"/>
      <c r="B504" s="44" t="s">
        <v>54</v>
      </c>
      <c r="C504" s="9" t="s">
        <v>13</v>
      </c>
      <c r="D504" s="262"/>
      <c r="E504" s="289" t="s">
        <v>571</v>
      </c>
      <c r="F504" s="164" t="s">
        <v>571</v>
      </c>
      <c r="G504" s="310">
        <v>503</v>
      </c>
      <c r="H504" t="s">
        <v>570</v>
      </c>
    </row>
    <row r="505" spans="1:8" ht="14">
      <c r="A505" s="43"/>
      <c r="B505" s="44" t="s">
        <v>55</v>
      </c>
      <c r="C505" s="9" t="s">
        <v>13</v>
      </c>
      <c r="D505" s="262"/>
      <c r="E505" s="289" t="s">
        <v>571</v>
      </c>
      <c r="F505" s="164" t="s">
        <v>571</v>
      </c>
      <c r="G505" s="310">
        <v>504</v>
      </c>
      <c r="H505" t="s">
        <v>570</v>
      </c>
    </row>
    <row r="506" spans="1:8" ht="14">
      <c r="A506" s="43"/>
      <c r="B506" s="44" t="s">
        <v>268</v>
      </c>
      <c r="C506" s="9" t="s">
        <v>13</v>
      </c>
      <c r="D506" s="262"/>
      <c r="E506" s="289" t="s">
        <v>571</v>
      </c>
      <c r="F506" s="164" t="s">
        <v>571</v>
      </c>
      <c r="G506" s="310">
        <v>505</v>
      </c>
      <c r="H506" t="s">
        <v>570</v>
      </c>
    </row>
    <row r="507" spans="1:8" ht="14">
      <c r="A507" s="43"/>
      <c r="B507" s="44" t="s">
        <v>271</v>
      </c>
      <c r="C507" s="9" t="s">
        <v>13</v>
      </c>
      <c r="D507" s="262"/>
      <c r="E507" s="289" t="s">
        <v>571</v>
      </c>
      <c r="F507" s="164" t="s">
        <v>571</v>
      </c>
      <c r="G507" s="310">
        <v>506</v>
      </c>
      <c r="H507" t="s">
        <v>570</v>
      </c>
    </row>
    <row r="508" spans="1:8" ht="14">
      <c r="A508" s="43"/>
      <c r="B508" s="44" t="s">
        <v>272</v>
      </c>
      <c r="C508" s="9" t="s">
        <v>13</v>
      </c>
      <c r="D508" s="262"/>
      <c r="E508" s="289" t="s">
        <v>571</v>
      </c>
      <c r="F508" s="164" t="s">
        <v>571</v>
      </c>
      <c r="G508" s="310">
        <v>507</v>
      </c>
      <c r="H508" t="s">
        <v>570</v>
      </c>
    </row>
    <row r="509" spans="1:8" ht="14">
      <c r="A509" s="43"/>
      <c r="B509" s="44" t="s">
        <v>126</v>
      </c>
      <c r="C509" s="9" t="s">
        <v>13</v>
      </c>
      <c r="D509" s="262"/>
      <c r="E509" s="289" t="s">
        <v>571</v>
      </c>
      <c r="F509" s="164" t="s">
        <v>571</v>
      </c>
      <c r="G509" s="310">
        <v>508</v>
      </c>
      <c r="H509" t="s">
        <v>570</v>
      </c>
    </row>
    <row r="510" spans="1:8" ht="14">
      <c r="A510" s="43"/>
      <c r="B510" s="44" t="s">
        <v>101</v>
      </c>
      <c r="C510" s="9" t="s">
        <v>13</v>
      </c>
      <c r="D510" s="262"/>
      <c r="E510" s="289" t="s">
        <v>571</v>
      </c>
      <c r="F510" s="164" t="s">
        <v>571</v>
      </c>
      <c r="G510" s="310">
        <v>509</v>
      </c>
      <c r="H510" t="s">
        <v>570</v>
      </c>
    </row>
    <row r="511" spans="1:8" ht="14">
      <c r="A511" s="2"/>
      <c r="B511" s="44" t="s">
        <v>266</v>
      </c>
      <c r="C511" s="9" t="s">
        <v>13</v>
      </c>
      <c r="D511" s="262"/>
      <c r="E511" s="289" t="s">
        <v>571</v>
      </c>
      <c r="F511" s="164" t="s">
        <v>571</v>
      </c>
      <c r="G511" s="310">
        <v>510</v>
      </c>
      <c r="H511" t="s">
        <v>570</v>
      </c>
    </row>
    <row r="512" spans="1:8" ht="14">
      <c r="A512" s="2"/>
      <c r="B512" s="44" t="s">
        <v>276</v>
      </c>
      <c r="C512" s="9" t="s">
        <v>13</v>
      </c>
      <c r="D512" s="262"/>
      <c r="E512" s="289" t="s">
        <v>571</v>
      </c>
      <c r="F512" s="164" t="s">
        <v>571</v>
      </c>
      <c r="G512" s="310">
        <v>511</v>
      </c>
      <c r="H512" t="s">
        <v>570</v>
      </c>
    </row>
    <row r="513" spans="1:8" ht="14">
      <c r="A513" s="2"/>
      <c r="B513" s="44" t="s">
        <v>277</v>
      </c>
      <c r="C513" s="9" t="s">
        <v>13</v>
      </c>
      <c r="D513" s="262"/>
      <c r="E513" s="289" t="s">
        <v>571</v>
      </c>
      <c r="F513" s="164" t="s">
        <v>571</v>
      </c>
      <c r="G513" s="310">
        <v>512</v>
      </c>
      <c r="H513" t="s">
        <v>570</v>
      </c>
    </row>
    <row r="514" spans="1:8" ht="14">
      <c r="A514" s="2"/>
      <c r="B514" s="44"/>
      <c r="C514" s="9"/>
      <c r="D514" s="262"/>
      <c r="E514" s="289" t="s">
        <v>571</v>
      </c>
      <c r="F514" s="164" t="s">
        <v>571</v>
      </c>
      <c r="G514" s="310">
        <v>513</v>
      </c>
      <c r="H514" t="s">
        <v>570</v>
      </c>
    </row>
    <row r="515" spans="1:8" ht="14">
      <c r="A515" s="2"/>
      <c r="B515" s="44" t="s">
        <v>446</v>
      </c>
      <c r="C515" s="9" t="s">
        <v>1</v>
      </c>
      <c r="D515" s="262"/>
      <c r="E515" s="289" t="s">
        <v>571</v>
      </c>
      <c r="F515" s="164" t="s">
        <v>571</v>
      </c>
      <c r="G515" s="310">
        <v>514</v>
      </c>
      <c r="H515" t="s">
        <v>570</v>
      </c>
    </row>
    <row r="516" spans="1:8" ht="14">
      <c r="A516" s="2"/>
      <c r="B516" s="44" t="s">
        <v>167</v>
      </c>
      <c r="C516" s="9" t="s">
        <v>13</v>
      </c>
      <c r="D516" s="262">
        <v>1</v>
      </c>
      <c r="E516" s="289">
        <v>0</v>
      </c>
      <c r="F516" s="164">
        <v>0</v>
      </c>
      <c r="G516" s="310">
        <v>515</v>
      </c>
      <c r="H516" t="s">
        <v>570</v>
      </c>
    </row>
    <row r="517" spans="1:8" ht="14">
      <c r="A517" s="2"/>
      <c r="B517" s="44"/>
      <c r="C517" s="9"/>
      <c r="D517" s="262"/>
      <c r="E517" s="289" t="s">
        <v>571</v>
      </c>
      <c r="F517" s="164" t="s">
        <v>571</v>
      </c>
      <c r="G517" s="310">
        <v>516</v>
      </c>
      <c r="H517" t="s">
        <v>570</v>
      </c>
    </row>
    <row r="518" spans="1:8" ht="14">
      <c r="A518" s="2"/>
      <c r="B518" s="132" t="s">
        <v>444</v>
      </c>
      <c r="C518" s="9" t="s">
        <v>13</v>
      </c>
      <c r="D518" s="262">
        <v>0.94</v>
      </c>
      <c r="E518" s="289">
        <v>0</v>
      </c>
      <c r="F518" s="164">
        <v>0</v>
      </c>
      <c r="G518" s="310">
        <v>517</v>
      </c>
      <c r="H518" t="s">
        <v>570</v>
      </c>
    </row>
    <row r="519" spans="1:8" ht="14">
      <c r="A519" s="2"/>
      <c r="B519" s="132" t="s">
        <v>445</v>
      </c>
      <c r="C519" s="9" t="s">
        <v>13</v>
      </c>
      <c r="D519" s="262"/>
      <c r="E519" s="289" t="s">
        <v>571</v>
      </c>
      <c r="F519" s="164" t="s">
        <v>571</v>
      </c>
      <c r="G519" s="310">
        <v>518</v>
      </c>
      <c r="H519" t="s">
        <v>570</v>
      </c>
    </row>
    <row r="520" spans="1:8" ht="14">
      <c r="A520" s="2"/>
      <c r="B520" s="132" t="s">
        <v>443</v>
      </c>
      <c r="C520" s="9" t="s">
        <v>13</v>
      </c>
      <c r="D520" s="262">
        <v>0.65517241379310343</v>
      </c>
      <c r="E520" s="289">
        <v>0</v>
      </c>
      <c r="F520" s="164">
        <v>0</v>
      </c>
      <c r="G520" s="310">
        <v>519</v>
      </c>
      <c r="H520" t="s">
        <v>570</v>
      </c>
    </row>
    <row r="521" spans="1:8" ht="14">
      <c r="A521" s="2"/>
      <c r="B521" s="132" t="s">
        <v>264</v>
      </c>
      <c r="C521" s="9" t="s">
        <v>13</v>
      </c>
      <c r="D521" s="262">
        <v>10</v>
      </c>
      <c r="E521" s="289">
        <v>0</v>
      </c>
      <c r="F521" s="164">
        <v>0</v>
      </c>
      <c r="G521" s="310">
        <v>520</v>
      </c>
      <c r="H521" t="s">
        <v>570</v>
      </c>
    </row>
    <row r="522" spans="1:8" ht="14">
      <c r="A522" s="2"/>
      <c r="B522" s="132" t="s">
        <v>265</v>
      </c>
      <c r="C522" s="9" t="s">
        <v>13</v>
      </c>
      <c r="D522" s="262">
        <v>10</v>
      </c>
      <c r="E522" s="289">
        <v>0</v>
      </c>
      <c r="F522" s="164">
        <v>0</v>
      </c>
      <c r="G522" s="310">
        <v>521</v>
      </c>
      <c r="H522" t="s">
        <v>570</v>
      </c>
    </row>
    <row r="523" spans="1:8" ht="14">
      <c r="A523" s="2"/>
      <c r="B523" s="44"/>
      <c r="C523" s="9"/>
      <c r="D523" s="262"/>
      <c r="E523" s="289" t="s">
        <v>571</v>
      </c>
      <c r="F523" s="164" t="s">
        <v>571</v>
      </c>
      <c r="G523" s="310">
        <v>522</v>
      </c>
      <c r="H523" t="s">
        <v>570</v>
      </c>
    </row>
    <row r="524" spans="1:8" ht="14">
      <c r="A524" s="2"/>
      <c r="B524" s="44" t="s">
        <v>166</v>
      </c>
      <c r="C524" s="9" t="s">
        <v>13</v>
      </c>
      <c r="D524" s="262"/>
      <c r="E524" s="289" t="s">
        <v>571</v>
      </c>
      <c r="F524" s="164" t="s">
        <v>571</v>
      </c>
      <c r="G524" s="310">
        <v>523</v>
      </c>
      <c r="H524" t="s">
        <v>570</v>
      </c>
    </row>
    <row r="525" spans="1:8" ht="14">
      <c r="A525" s="2"/>
      <c r="B525" s="132"/>
      <c r="C525" s="9"/>
      <c r="D525" s="262"/>
      <c r="E525" s="289" t="s">
        <v>571</v>
      </c>
      <c r="F525" s="164" t="s">
        <v>571</v>
      </c>
      <c r="G525" s="310">
        <v>524</v>
      </c>
      <c r="H525" t="s">
        <v>570</v>
      </c>
    </row>
    <row r="526" spans="1:8" ht="14">
      <c r="A526" s="2"/>
      <c r="B526" s="39" t="s">
        <v>236</v>
      </c>
      <c r="C526" s="9"/>
      <c r="D526" s="262"/>
      <c r="E526" s="289" t="s">
        <v>571</v>
      </c>
      <c r="F526" s="164" t="s">
        <v>571</v>
      </c>
      <c r="G526" s="310">
        <v>525</v>
      </c>
      <c r="H526" t="s">
        <v>570</v>
      </c>
    </row>
    <row r="527" spans="1:8" ht="14">
      <c r="A527" s="2"/>
      <c r="B527" s="39" t="s">
        <v>237</v>
      </c>
      <c r="C527" s="27" t="s">
        <v>12</v>
      </c>
      <c r="D527" s="262">
        <v>29</v>
      </c>
      <c r="E527" s="289">
        <v>0</v>
      </c>
      <c r="F527" s="164">
        <v>0</v>
      </c>
      <c r="G527" s="310">
        <v>526</v>
      </c>
      <c r="H527" t="s">
        <v>570</v>
      </c>
    </row>
    <row r="528" spans="1:8" ht="14">
      <c r="A528" s="19"/>
      <c r="B528" s="38"/>
      <c r="C528" s="9"/>
      <c r="D528" s="262"/>
      <c r="E528" s="289" t="s">
        <v>571</v>
      </c>
      <c r="F528" s="164" t="s">
        <v>571</v>
      </c>
      <c r="G528" s="310">
        <v>527</v>
      </c>
      <c r="H528" t="s">
        <v>570</v>
      </c>
    </row>
    <row r="529" spans="1:8" ht="14">
      <c r="A529" s="2"/>
      <c r="B529" s="73" t="s">
        <v>273</v>
      </c>
      <c r="C529" s="72"/>
      <c r="D529" s="262"/>
      <c r="E529" s="289" t="s">
        <v>571</v>
      </c>
      <c r="F529" s="164" t="s">
        <v>571</v>
      </c>
      <c r="G529" s="310">
        <v>528</v>
      </c>
      <c r="H529" t="s">
        <v>570</v>
      </c>
    </row>
    <row r="530" spans="1:8" ht="14">
      <c r="A530" s="2"/>
      <c r="B530" s="127"/>
      <c r="C530" s="9"/>
      <c r="D530" s="262"/>
      <c r="E530" s="289" t="s">
        <v>571</v>
      </c>
      <c r="F530" s="164" t="s">
        <v>571</v>
      </c>
      <c r="G530" s="310">
        <v>529</v>
      </c>
      <c r="H530" t="s">
        <v>570</v>
      </c>
    </row>
    <row r="531" spans="1:8" ht="14">
      <c r="A531" s="2" t="s">
        <v>261</v>
      </c>
      <c r="B531" s="39" t="s">
        <v>238</v>
      </c>
      <c r="C531" s="9"/>
      <c r="D531" s="262"/>
      <c r="E531" s="289" t="s">
        <v>571</v>
      </c>
      <c r="F531" s="164" t="s">
        <v>571</v>
      </c>
      <c r="G531" s="310">
        <v>530</v>
      </c>
      <c r="H531" t="s">
        <v>570</v>
      </c>
    </row>
    <row r="532" spans="1:8" ht="14">
      <c r="A532" s="2"/>
      <c r="B532" s="40"/>
      <c r="C532" s="9"/>
      <c r="D532" s="262"/>
      <c r="E532" s="289" t="s">
        <v>571</v>
      </c>
      <c r="F532" s="164" t="s">
        <v>571</v>
      </c>
      <c r="G532" s="310">
        <v>531</v>
      </c>
      <c r="H532" t="s">
        <v>570</v>
      </c>
    </row>
    <row r="533" spans="1:8" ht="14">
      <c r="A533" s="43"/>
      <c r="B533" s="131" t="s">
        <v>572</v>
      </c>
      <c r="C533" s="9"/>
      <c r="D533" s="262"/>
      <c r="E533" s="289" t="s">
        <v>571</v>
      </c>
      <c r="F533" s="164" t="s">
        <v>571</v>
      </c>
      <c r="G533" s="310">
        <v>532</v>
      </c>
      <c r="H533" t="s">
        <v>570</v>
      </c>
    </row>
    <row r="534" spans="1:8" ht="14">
      <c r="A534" s="43"/>
      <c r="B534" s="44" t="s">
        <v>52</v>
      </c>
      <c r="C534" s="9" t="s">
        <v>13</v>
      </c>
      <c r="D534" s="262">
        <v>7.1338582677165352</v>
      </c>
      <c r="E534" s="289">
        <v>0</v>
      </c>
      <c r="F534" s="164">
        <v>0</v>
      </c>
      <c r="G534" s="310">
        <v>533</v>
      </c>
      <c r="H534" t="s">
        <v>570</v>
      </c>
    </row>
    <row r="535" spans="1:8" ht="14">
      <c r="A535" s="43"/>
      <c r="B535" s="44" t="s">
        <v>269</v>
      </c>
      <c r="C535" s="9" t="s">
        <v>13</v>
      </c>
      <c r="D535" s="262">
        <v>0.9</v>
      </c>
      <c r="E535" s="289">
        <v>0</v>
      </c>
      <c r="F535" s="164">
        <v>0</v>
      </c>
      <c r="G535" s="310">
        <v>534</v>
      </c>
      <c r="H535" t="s">
        <v>570</v>
      </c>
    </row>
    <row r="536" spans="1:8" ht="14">
      <c r="A536" s="43"/>
      <c r="B536" s="44" t="s">
        <v>53</v>
      </c>
      <c r="C536" s="9" t="s">
        <v>13</v>
      </c>
      <c r="D536" s="275">
        <v>0.952380952380952</v>
      </c>
      <c r="E536" s="289">
        <v>0</v>
      </c>
      <c r="F536" s="164">
        <v>0</v>
      </c>
      <c r="G536" s="310">
        <v>535</v>
      </c>
      <c r="H536" t="s">
        <v>570</v>
      </c>
    </row>
    <row r="537" spans="1:8" ht="14">
      <c r="A537" s="43"/>
      <c r="B537" s="44" t="s">
        <v>72</v>
      </c>
      <c r="C537" s="9" t="s">
        <v>13</v>
      </c>
      <c r="D537" s="262">
        <v>1</v>
      </c>
      <c r="E537" s="289">
        <v>0</v>
      </c>
      <c r="F537" s="164">
        <v>0</v>
      </c>
      <c r="G537" s="310">
        <v>536</v>
      </c>
      <c r="H537" t="s">
        <v>570</v>
      </c>
    </row>
    <row r="538" spans="1:8" ht="14">
      <c r="A538" s="43"/>
      <c r="B538" s="44" t="s">
        <v>275</v>
      </c>
      <c r="C538" s="9" t="s">
        <v>13</v>
      </c>
      <c r="D538" s="262">
        <v>3</v>
      </c>
      <c r="E538" s="289">
        <v>0</v>
      </c>
      <c r="F538" s="164">
        <v>0</v>
      </c>
      <c r="G538" s="310">
        <v>537</v>
      </c>
      <c r="H538" t="s">
        <v>570</v>
      </c>
    </row>
    <row r="539" spans="1:8" ht="14">
      <c r="A539" s="43"/>
      <c r="B539" s="44" t="s">
        <v>447</v>
      </c>
      <c r="C539" s="9" t="s">
        <v>13</v>
      </c>
      <c r="D539" s="262">
        <v>1</v>
      </c>
      <c r="E539" s="289">
        <v>0</v>
      </c>
      <c r="F539" s="164">
        <v>0</v>
      </c>
      <c r="G539" s="310">
        <v>538</v>
      </c>
      <c r="H539" t="s">
        <v>570</v>
      </c>
    </row>
    <row r="540" spans="1:8" ht="14">
      <c r="A540" s="43"/>
      <c r="B540" s="44"/>
      <c r="C540" s="9"/>
      <c r="D540" s="262"/>
      <c r="E540" s="289" t="s">
        <v>571</v>
      </c>
      <c r="F540" s="164" t="s">
        <v>571</v>
      </c>
      <c r="G540" s="310">
        <v>539</v>
      </c>
      <c r="H540" t="s">
        <v>570</v>
      </c>
    </row>
    <row r="541" spans="1:8" ht="14">
      <c r="A541" s="43"/>
      <c r="B541" s="44" t="s">
        <v>54</v>
      </c>
      <c r="C541" s="9" t="s">
        <v>13</v>
      </c>
      <c r="D541" s="262">
        <v>19</v>
      </c>
      <c r="E541" s="289">
        <v>0</v>
      </c>
      <c r="F541" s="164">
        <v>0</v>
      </c>
      <c r="G541" s="310">
        <v>540</v>
      </c>
      <c r="H541" t="s">
        <v>570</v>
      </c>
    </row>
    <row r="542" spans="1:8" ht="14">
      <c r="A542" s="43"/>
      <c r="B542" s="44" t="s">
        <v>55</v>
      </c>
      <c r="C542" s="9" t="s">
        <v>13</v>
      </c>
      <c r="D542" s="262">
        <v>6</v>
      </c>
      <c r="E542" s="289">
        <v>0</v>
      </c>
      <c r="F542" s="164">
        <v>0</v>
      </c>
      <c r="G542" s="310">
        <v>541</v>
      </c>
      <c r="H542" t="s">
        <v>570</v>
      </c>
    </row>
    <row r="543" spans="1:8" ht="14">
      <c r="A543" s="43"/>
      <c r="B543" s="44" t="s">
        <v>268</v>
      </c>
      <c r="C543" s="9" t="s">
        <v>13</v>
      </c>
      <c r="D543" s="262">
        <v>1</v>
      </c>
      <c r="E543" s="289">
        <v>0</v>
      </c>
      <c r="F543" s="164">
        <v>0</v>
      </c>
      <c r="G543" s="310">
        <v>542</v>
      </c>
      <c r="H543" t="s">
        <v>570</v>
      </c>
    </row>
    <row r="544" spans="1:8" ht="14">
      <c r="A544" s="43"/>
      <c r="B544" s="44" t="s">
        <v>271</v>
      </c>
      <c r="C544" s="9" t="s">
        <v>13</v>
      </c>
      <c r="D544" s="262">
        <v>1</v>
      </c>
      <c r="E544" s="289">
        <v>0</v>
      </c>
      <c r="F544" s="164">
        <v>0</v>
      </c>
      <c r="G544" s="310">
        <v>543</v>
      </c>
      <c r="H544" t="s">
        <v>570</v>
      </c>
    </row>
    <row r="545" spans="1:8" ht="14">
      <c r="A545" s="43"/>
      <c r="B545" s="44" t="s">
        <v>272</v>
      </c>
      <c r="C545" s="9" t="s">
        <v>13</v>
      </c>
      <c r="D545" s="262">
        <v>1</v>
      </c>
      <c r="E545" s="289">
        <v>0</v>
      </c>
      <c r="F545" s="164">
        <v>0</v>
      </c>
      <c r="G545" s="310">
        <v>544</v>
      </c>
      <c r="H545" t="s">
        <v>570</v>
      </c>
    </row>
    <row r="546" spans="1:8" ht="14">
      <c r="A546" s="43"/>
      <c r="B546" s="44" t="s">
        <v>126</v>
      </c>
      <c r="C546" s="9" t="s">
        <v>13</v>
      </c>
      <c r="D546" s="262">
        <v>1</v>
      </c>
      <c r="E546" s="289">
        <v>0</v>
      </c>
      <c r="F546" s="164">
        <v>0</v>
      </c>
      <c r="G546" s="310">
        <v>545</v>
      </c>
      <c r="H546" t="s">
        <v>570</v>
      </c>
    </row>
    <row r="547" spans="1:8" ht="14">
      <c r="A547" s="43"/>
      <c r="B547" s="44" t="s">
        <v>101</v>
      </c>
      <c r="C547" s="9" t="s">
        <v>13</v>
      </c>
      <c r="D547" s="262">
        <v>1</v>
      </c>
      <c r="E547" s="289">
        <v>0</v>
      </c>
      <c r="F547" s="164">
        <v>0</v>
      </c>
      <c r="G547" s="310">
        <v>546</v>
      </c>
      <c r="H547" t="s">
        <v>570</v>
      </c>
    </row>
    <row r="548" spans="1:8" ht="14">
      <c r="A548" s="43"/>
      <c r="B548" s="44" t="s">
        <v>266</v>
      </c>
      <c r="C548" s="9" t="s">
        <v>13</v>
      </c>
      <c r="D548" s="262">
        <v>7</v>
      </c>
      <c r="E548" s="289">
        <v>0</v>
      </c>
      <c r="F548" s="164">
        <v>0</v>
      </c>
      <c r="G548" s="310">
        <v>547</v>
      </c>
      <c r="H548" t="s">
        <v>570</v>
      </c>
    </row>
    <row r="549" spans="1:8" ht="14">
      <c r="A549" s="43"/>
      <c r="B549" s="44" t="s">
        <v>276</v>
      </c>
      <c r="C549" s="9" t="s">
        <v>13</v>
      </c>
      <c r="D549" s="262">
        <v>1</v>
      </c>
      <c r="E549" s="289">
        <v>0</v>
      </c>
      <c r="F549" s="164">
        <v>0</v>
      </c>
      <c r="G549" s="310">
        <v>548</v>
      </c>
      <c r="H549" t="s">
        <v>570</v>
      </c>
    </row>
    <row r="550" spans="1:8" ht="14">
      <c r="A550" s="43"/>
      <c r="B550" s="44" t="s">
        <v>277</v>
      </c>
      <c r="C550" s="9" t="s">
        <v>13</v>
      </c>
      <c r="D550" s="262">
        <v>1</v>
      </c>
      <c r="E550" s="289">
        <v>0</v>
      </c>
      <c r="F550" s="164">
        <v>0</v>
      </c>
      <c r="G550" s="310">
        <v>549</v>
      </c>
      <c r="H550" t="s">
        <v>570</v>
      </c>
    </row>
    <row r="551" spans="1:8" ht="14">
      <c r="A551" s="43"/>
      <c r="B551" s="44"/>
      <c r="C551" s="9"/>
      <c r="D551" s="262"/>
      <c r="E551" s="289" t="s">
        <v>571</v>
      </c>
      <c r="F551" s="164" t="s">
        <v>571</v>
      </c>
      <c r="G551" s="310">
        <v>550</v>
      </c>
      <c r="H551" t="s">
        <v>570</v>
      </c>
    </row>
    <row r="552" spans="1:8" ht="14">
      <c r="A552" s="43"/>
      <c r="B552" s="131" t="s">
        <v>573</v>
      </c>
      <c r="C552" s="9"/>
      <c r="D552" s="262"/>
      <c r="E552" s="289" t="s">
        <v>571</v>
      </c>
      <c r="F552" s="164" t="s">
        <v>571</v>
      </c>
      <c r="G552" s="310">
        <v>551</v>
      </c>
      <c r="H552" t="s">
        <v>570</v>
      </c>
    </row>
    <row r="553" spans="1:8" ht="14">
      <c r="A553" s="43"/>
      <c r="B553" s="44" t="s">
        <v>52</v>
      </c>
      <c r="C553" s="9" t="s">
        <v>13</v>
      </c>
      <c r="D553" s="262"/>
      <c r="E553" s="289" t="s">
        <v>571</v>
      </c>
      <c r="F553" s="164" t="s">
        <v>571</v>
      </c>
      <c r="G553" s="310">
        <v>552</v>
      </c>
      <c r="H553" t="s">
        <v>570</v>
      </c>
    </row>
    <row r="554" spans="1:8" ht="14">
      <c r="A554" s="43"/>
      <c r="B554" s="44" t="s">
        <v>269</v>
      </c>
      <c r="C554" s="9" t="s">
        <v>13</v>
      </c>
      <c r="D554" s="262"/>
      <c r="E554" s="289" t="s">
        <v>571</v>
      </c>
      <c r="F554" s="164" t="s">
        <v>571</v>
      </c>
      <c r="G554" s="310">
        <v>553</v>
      </c>
      <c r="H554" t="s">
        <v>570</v>
      </c>
    </row>
    <row r="555" spans="1:8" ht="14">
      <c r="A555" s="43"/>
      <c r="B555" s="44" t="s">
        <v>53</v>
      </c>
      <c r="C555" s="9" t="s">
        <v>13</v>
      </c>
      <c r="D555" s="262"/>
      <c r="E555" s="289" t="s">
        <v>571</v>
      </c>
      <c r="F555" s="164" t="s">
        <v>571</v>
      </c>
      <c r="G555" s="310">
        <v>554</v>
      </c>
      <c r="H555" t="s">
        <v>570</v>
      </c>
    </row>
    <row r="556" spans="1:8" ht="14">
      <c r="A556" s="43"/>
      <c r="B556" s="44" t="s">
        <v>72</v>
      </c>
      <c r="C556" s="9" t="s">
        <v>13</v>
      </c>
      <c r="D556" s="262"/>
      <c r="E556" s="289" t="s">
        <v>571</v>
      </c>
      <c r="F556" s="164" t="s">
        <v>571</v>
      </c>
      <c r="G556" s="310">
        <v>555</v>
      </c>
      <c r="H556" t="s">
        <v>570</v>
      </c>
    </row>
    <row r="557" spans="1:8" ht="14">
      <c r="A557" s="43"/>
      <c r="B557" s="44" t="s">
        <v>275</v>
      </c>
      <c r="C557" s="9" t="s">
        <v>13</v>
      </c>
      <c r="D557" s="262"/>
      <c r="E557" s="289" t="s">
        <v>571</v>
      </c>
      <c r="F557" s="164" t="s">
        <v>571</v>
      </c>
      <c r="G557" s="310">
        <v>556</v>
      </c>
      <c r="H557" t="s">
        <v>570</v>
      </c>
    </row>
    <row r="558" spans="1:8" ht="14">
      <c r="A558" s="43"/>
      <c r="B558" s="44" t="s">
        <v>447</v>
      </c>
      <c r="C558" s="9" t="s">
        <v>13</v>
      </c>
      <c r="D558" s="262"/>
      <c r="E558" s="289" t="s">
        <v>571</v>
      </c>
      <c r="F558" s="164" t="s">
        <v>571</v>
      </c>
      <c r="G558" s="310">
        <v>557</v>
      </c>
      <c r="H558" t="s">
        <v>570</v>
      </c>
    </row>
    <row r="559" spans="1:8" ht="14">
      <c r="A559" s="43"/>
      <c r="B559" s="44"/>
      <c r="C559" s="9"/>
      <c r="D559" s="262"/>
      <c r="E559" s="289" t="s">
        <v>571</v>
      </c>
      <c r="F559" s="164" t="s">
        <v>571</v>
      </c>
      <c r="G559" s="310">
        <v>558</v>
      </c>
      <c r="H559" t="s">
        <v>570</v>
      </c>
    </row>
    <row r="560" spans="1:8" ht="14">
      <c r="A560" s="43"/>
      <c r="B560" s="44" t="s">
        <v>54</v>
      </c>
      <c r="C560" s="9" t="s">
        <v>13</v>
      </c>
      <c r="D560" s="262"/>
      <c r="E560" s="289" t="s">
        <v>571</v>
      </c>
      <c r="F560" s="164" t="s">
        <v>571</v>
      </c>
      <c r="G560" s="310">
        <v>559</v>
      </c>
      <c r="H560" t="s">
        <v>570</v>
      </c>
    </row>
    <row r="561" spans="1:8" ht="14">
      <c r="A561" s="43"/>
      <c r="B561" s="44" t="s">
        <v>55</v>
      </c>
      <c r="C561" s="9" t="s">
        <v>13</v>
      </c>
      <c r="D561" s="262"/>
      <c r="E561" s="289" t="s">
        <v>571</v>
      </c>
      <c r="F561" s="164" t="s">
        <v>571</v>
      </c>
      <c r="G561" s="310">
        <v>560</v>
      </c>
      <c r="H561" t="s">
        <v>570</v>
      </c>
    </row>
    <row r="562" spans="1:8" ht="14">
      <c r="A562" s="43"/>
      <c r="B562" s="44" t="s">
        <v>268</v>
      </c>
      <c r="C562" s="9" t="s">
        <v>13</v>
      </c>
      <c r="D562" s="262"/>
      <c r="E562" s="289" t="s">
        <v>571</v>
      </c>
      <c r="F562" s="164" t="s">
        <v>571</v>
      </c>
      <c r="G562" s="310">
        <v>561</v>
      </c>
      <c r="H562" t="s">
        <v>570</v>
      </c>
    </row>
    <row r="563" spans="1:8" ht="14">
      <c r="A563" s="43"/>
      <c r="B563" s="44" t="s">
        <v>271</v>
      </c>
      <c r="C563" s="9" t="s">
        <v>13</v>
      </c>
      <c r="D563" s="262"/>
      <c r="E563" s="289" t="s">
        <v>571</v>
      </c>
      <c r="F563" s="164" t="s">
        <v>571</v>
      </c>
      <c r="G563" s="310">
        <v>562</v>
      </c>
      <c r="H563" t="s">
        <v>570</v>
      </c>
    </row>
    <row r="564" spans="1:8" ht="14">
      <c r="A564" s="43"/>
      <c r="B564" s="44" t="s">
        <v>272</v>
      </c>
      <c r="C564" s="9" t="s">
        <v>13</v>
      </c>
      <c r="D564" s="262"/>
      <c r="E564" s="289" t="s">
        <v>571</v>
      </c>
      <c r="F564" s="164" t="s">
        <v>571</v>
      </c>
      <c r="G564" s="310">
        <v>563</v>
      </c>
      <c r="H564" t="s">
        <v>570</v>
      </c>
    </row>
    <row r="565" spans="1:8" ht="14">
      <c r="A565" s="43"/>
      <c r="B565" s="44" t="s">
        <v>126</v>
      </c>
      <c r="C565" s="9" t="s">
        <v>13</v>
      </c>
      <c r="D565" s="262"/>
      <c r="E565" s="289" t="s">
        <v>571</v>
      </c>
      <c r="F565" s="164" t="s">
        <v>571</v>
      </c>
      <c r="G565" s="310">
        <v>564</v>
      </c>
      <c r="H565" t="s">
        <v>570</v>
      </c>
    </row>
    <row r="566" spans="1:8" ht="14">
      <c r="A566" s="43"/>
      <c r="B566" s="44" t="s">
        <v>101</v>
      </c>
      <c r="C566" s="9" t="s">
        <v>13</v>
      </c>
      <c r="D566" s="262"/>
      <c r="E566" s="289" t="s">
        <v>571</v>
      </c>
      <c r="F566" s="164" t="s">
        <v>571</v>
      </c>
      <c r="G566" s="310">
        <v>565</v>
      </c>
      <c r="H566" t="s">
        <v>570</v>
      </c>
    </row>
    <row r="567" spans="1:8" ht="14">
      <c r="A567" s="43"/>
      <c r="B567" s="44" t="s">
        <v>266</v>
      </c>
      <c r="C567" s="9" t="s">
        <v>13</v>
      </c>
      <c r="D567" s="262"/>
      <c r="E567" s="289" t="s">
        <v>571</v>
      </c>
      <c r="F567" s="164" t="s">
        <v>571</v>
      </c>
      <c r="G567" s="310">
        <v>566</v>
      </c>
      <c r="H567" t="s">
        <v>570</v>
      </c>
    </row>
    <row r="568" spans="1:8" ht="14">
      <c r="A568" s="43"/>
      <c r="B568" s="44" t="s">
        <v>276</v>
      </c>
      <c r="C568" s="9" t="s">
        <v>13</v>
      </c>
      <c r="D568" s="262"/>
      <c r="E568" s="289" t="s">
        <v>571</v>
      </c>
      <c r="F568" s="164" t="s">
        <v>571</v>
      </c>
      <c r="G568" s="310">
        <v>567</v>
      </c>
      <c r="H568" t="s">
        <v>570</v>
      </c>
    </row>
    <row r="569" spans="1:8" ht="14">
      <c r="A569" s="43"/>
      <c r="B569" s="44" t="s">
        <v>277</v>
      </c>
      <c r="C569" s="9" t="s">
        <v>13</v>
      </c>
      <c r="D569" s="262"/>
      <c r="E569" s="289" t="s">
        <v>571</v>
      </c>
      <c r="F569" s="164" t="s">
        <v>571</v>
      </c>
      <c r="G569" s="310">
        <v>568</v>
      </c>
      <c r="H569" t="s">
        <v>570</v>
      </c>
    </row>
    <row r="570" spans="1:8" ht="14">
      <c r="A570" s="43"/>
      <c r="B570" s="44"/>
      <c r="C570" s="9"/>
      <c r="D570" s="262"/>
      <c r="E570" s="289" t="s">
        <v>571</v>
      </c>
      <c r="F570" s="164" t="s">
        <v>571</v>
      </c>
      <c r="G570" s="310">
        <v>569</v>
      </c>
      <c r="H570" t="s">
        <v>570</v>
      </c>
    </row>
    <row r="571" spans="1:8" ht="14">
      <c r="A571" s="43"/>
      <c r="B571" s="44" t="s">
        <v>446</v>
      </c>
      <c r="C571" s="9" t="s">
        <v>1</v>
      </c>
      <c r="D571" s="262"/>
      <c r="E571" s="289" t="s">
        <v>571</v>
      </c>
      <c r="F571" s="164" t="s">
        <v>571</v>
      </c>
      <c r="G571" s="310">
        <v>570</v>
      </c>
      <c r="H571" t="s">
        <v>570</v>
      </c>
    </row>
    <row r="572" spans="1:8" ht="14">
      <c r="A572" s="43"/>
      <c r="B572" s="44" t="s">
        <v>167</v>
      </c>
      <c r="C572" s="9" t="s">
        <v>13</v>
      </c>
      <c r="D572" s="262">
        <v>1</v>
      </c>
      <c r="E572" s="289">
        <v>0</v>
      </c>
      <c r="F572" s="164">
        <v>0</v>
      </c>
      <c r="G572" s="310">
        <v>571</v>
      </c>
      <c r="H572" t="s">
        <v>570</v>
      </c>
    </row>
    <row r="573" spans="1:8" ht="14">
      <c r="A573" s="43"/>
      <c r="B573" s="44"/>
      <c r="C573" s="9"/>
      <c r="D573" s="262"/>
      <c r="E573" s="289" t="s">
        <v>571</v>
      </c>
      <c r="F573" s="164" t="s">
        <v>571</v>
      </c>
      <c r="G573" s="310">
        <v>572</v>
      </c>
      <c r="H573" t="s">
        <v>570</v>
      </c>
    </row>
    <row r="574" spans="1:8" ht="14">
      <c r="A574" s="43"/>
      <c r="B574" s="132" t="s">
        <v>444</v>
      </c>
      <c r="C574" s="9" t="s">
        <v>13</v>
      </c>
      <c r="D574" s="262">
        <v>0.94</v>
      </c>
      <c r="E574" s="289">
        <v>0</v>
      </c>
      <c r="F574" s="164">
        <v>0</v>
      </c>
      <c r="G574" s="310">
        <v>573</v>
      </c>
      <c r="H574" t="s">
        <v>570</v>
      </c>
    </row>
    <row r="575" spans="1:8" ht="14">
      <c r="A575" s="43"/>
      <c r="B575" s="132" t="s">
        <v>445</v>
      </c>
      <c r="C575" s="9" t="s">
        <v>13</v>
      </c>
      <c r="D575" s="262"/>
      <c r="E575" s="289" t="s">
        <v>571</v>
      </c>
      <c r="F575" s="164" t="s">
        <v>571</v>
      </c>
      <c r="G575" s="310">
        <v>574</v>
      </c>
      <c r="H575" t="s">
        <v>570</v>
      </c>
    </row>
    <row r="576" spans="1:8" ht="14">
      <c r="A576" s="43"/>
      <c r="B576" s="132" t="s">
        <v>443</v>
      </c>
      <c r="C576" s="9" t="s">
        <v>13</v>
      </c>
      <c r="D576" s="262"/>
      <c r="E576" s="289" t="s">
        <v>571</v>
      </c>
      <c r="F576" s="164" t="s">
        <v>571</v>
      </c>
      <c r="G576" s="310">
        <v>575</v>
      </c>
      <c r="H576" t="s">
        <v>570</v>
      </c>
    </row>
    <row r="577" spans="1:8" ht="14">
      <c r="A577" s="2"/>
      <c r="B577" s="132" t="s">
        <v>264</v>
      </c>
      <c r="C577" s="9" t="s">
        <v>13</v>
      </c>
      <c r="D577" s="262">
        <v>8</v>
      </c>
      <c r="E577" s="289">
        <v>0</v>
      </c>
      <c r="F577" s="164">
        <v>0</v>
      </c>
      <c r="G577" s="310">
        <v>576</v>
      </c>
      <c r="H577" t="s">
        <v>570</v>
      </c>
    </row>
    <row r="578" spans="1:8" ht="14">
      <c r="A578" s="43"/>
      <c r="B578" s="132" t="s">
        <v>265</v>
      </c>
      <c r="C578" s="9" t="s">
        <v>13</v>
      </c>
      <c r="D578" s="262">
        <v>8</v>
      </c>
      <c r="E578" s="289">
        <v>0</v>
      </c>
      <c r="F578" s="164">
        <v>0</v>
      </c>
      <c r="G578" s="310">
        <v>577</v>
      </c>
      <c r="H578" t="s">
        <v>570</v>
      </c>
    </row>
    <row r="579" spans="1:8" ht="14">
      <c r="A579" s="43"/>
      <c r="B579" s="44"/>
      <c r="C579" s="9"/>
      <c r="D579" s="262"/>
      <c r="E579" s="289" t="s">
        <v>571</v>
      </c>
      <c r="F579" s="164" t="s">
        <v>571</v>
      </c>
      <c r="G579" s="310">
        <v>578</v>
      </c>
      <c r="H579" t="s">
        <v>570</v>
      </c>
    </row>
    <row r="580" spans="1:8" ht="14">
      <c r="A580" s="43"/>
      <c r="B580" s="44" t="s">
        <v>166</v>
      </c>
      <c r="C580" s="9" t="s">
        <v>13</v>
      </c>
      <c r="D580" s="262">
        <v>1</v>
      </c>
      <c r="E580" s="289">
        <v>0</v>
      </c>
      <c r="F580" s="164">
        <v>0</v>
      </c>
      <c r="G580" s="310">
        <v>579</v>
      </c>
      <c r="H580" t="s">
        <v>570</v>
      </c>
    </row>
    <row r="581" spans="1:8" ht="14">
      <c r="A581" s="43"/>
      <c r="B581" s="132"/>
      <c r="C581" s="8"/>
      <c r="D581" s="262"/>
      <c r="E581" s="289" t="s">
        <v>571</v>
      </c>
      <c r="F581" s="164" t="s">
        <v>571</v>
      </c>
      <c r="G581" s="310">
        <v>580</v>
      </c>
      <c r="H581" t="s">
        <v>570</v>
      </c>
    </row>
    <row r="582" spans="1:8" ht="14">
      <c r="A582" s="43"/>
      <c r="B582" s="39" t="s">
        <v>239</v>
      </c>
      <c r="C582" s="9"/>
      <c r="D582" s="262"/>
      <c r="E582" s="289" t="s">
        <v>571</v>
      </c>
      <c r="F582" s="164" t="s">
        <v>571</v>
      </c>
      <c r="G582" s="310">
        <v>581</v>
      </c>
      <c r="H582" t="s">
        <v>570</v>
      </c>
    </row>
    <row r="583" spans="1:8" ht="14">
      <c r="A583" s="43"/>
      <c r="B583" s="39" t="s">
        <v>240</v>
      </c>
      <c r="C583" s="27" t="s">
        <v>12</v>
      </c>
      <c r="D583" s="262">
        <v>21</v>
      </c>
      <c r="E583" s="289">
        <v>0</v>
      </c>
      <c r="F583" s="164">
        <v>0</v>
      </c>
      <c r="G583" s="310">
        <v>582</v>
      </c>
      <c r="H583" t="s">
        <v>570</v>
      </c>
    </row>
    <row r="584" spans="1:8" ht="14">
      <c r="A584" s="43"/>
      <c r="B584" s="38"/>
      <c r="C584" s="9"/>
      <c r="D584" s="262"/>
      <c r="E584" s="289" t="s">
        <v>571</v>
      </c>
      <c r="F584" s="164" t="s">
        <v>571</v>
      </c>
      <c r="G584" s="310">
        <v>583</v>
      </c>
      <c r="H584" t="s">
        <v>570</v>
      </c>
    </row>
    <row r="585" spans="1:8" ht="14">
      <c r="A585" s="43"/>
      <c r="B585" s="73" t="s">
        <v>278</v>
      </c>
      <c r="C585" s="72"/>
      <c r="D585" s="262"/>
      <c r="E585" s="289" t="s">
        <v>571</v>
      </c>
      <c r="F585" s="164" t="s">
        <v>571</v>
      </c>
      <c r="G585" s="310">
        <v>584</v>
      </c>
      <c r="H585" t="s">
        <v>570</v>
      </c>
    </row>
    <row r="586" spans="1:8" ht="14">
      <c r="A586" s="43"/>
      <c r="B586" s="133"/>
      <c r="C586" s="8"/>
      <c r="D586" s="262"/>
      <c r="E586" s="289" t="s">
        <v>571</v>
      </c>
      <c r="F586" s="164" t="s">
        <v>571</v>
      </c>
      <c r="G586" s="310">
        <v>585</v>
      </c>
      <c r="H586" t="s">
        <v>570</v>
      </c>
    </row>
    <row r="587" spans="1:8" ht="14">
      <c r="A587" s="2" t="s">
        <v>261</v>
      </c>
      <c r="B587" s="39" t="s">
        <v>279</v>
      </c>
      <c r="C587" s="9"/>
      <c r="D587" s="262"/>
      <c r="E587" s="289" t="s">
        <v>571</v>
      </c>
      <c r="F587" s="164" t="s">
        <v>571</v>
      </c>
      <c r="G587" s="310">
        <v>586</v>
      </c>
      <c r="H587" t="s">
        <v>570</v>
      </c>
    </row>
    <row r="588" spans="1:8" ht="14">
      <c r="A588" s="2"/>
      <c r="B588" s="40"/>
      <c r="C588" s="9"/>
      <c r="D588" s="262"/>
      <c r="E588" s="289" t="s">
        <v>571</v>
      </c>
      <c r="F588" s="164" t="s">
        <v>571</v>
      </c>
      <c r="G588" s="310">
        <v>587</v>
      </c>
      <c r="H588" t="s">
        <v>570</v>
      </c>
    </row>
    <row r="589" spans="1:8" ht="14">
      <c r="A589" s="43"/>
      <c r="B589" s="131" t="s">
        <v>572</v>
      </c>
      <c r="C589" s="9"/>
      <c r="D589" s="262"/>
      <c r="E589" s="289" t="s">
        <v>571</v>
      </c>
      <c r="F589" s="164" t="s">
        <v>571</v>
      </c>
      <c r="G589" s="310">
        <v>588</v>
      </c>
      <c r="H589" t="s">
        <v>570</v>
      </c>
    </row>
    <row r="590" spans="1:8" ht="14">
      <c r="A590" s="43"/>
      <c r="B590" s="44" t="s">
        <v>52</v>
      </c>
      <c r="C590" s="9" t="s">
        <v>13</v>
      </c>
      <c r="D590" s="262">
        <v>5.1338582677165352</v>
      </c>
      <c r="E590" s="289">
        <v>0</v>
      </c>
      <c r="F590" s="164">
        <v>0</v>
      </c>
      <c r="G590" s="310">
        <v>589</v>
      </c>
      <c r="H590" t="s">
        <v>570</v>
      </c>
    </row>
    <row r="591" spans="1:8" ht="14">
      <c r="A591" s="43"/>
      <c r="B591" s="44" t="s">
        <v>269</v>
      </c>
      <c r="C591" s="9" t="s">
        <v>13</v>
      </c>
      <c r="D591" s="262"/>
      <c r="E591" s="289" t="s">
        <v>571</v>
      </c>
      <c r="F591" s="164" t="s">
        <v>571</v>
      </c>
      <c r="G591" s="310">
        <v>590</v>
      </c>
      <c r="H591" t="s">
        <v>570</v>
      </c>
    </row>
    <row r="592" spans="1:8" ht="14">
      <c r="A592" s="43"/>
      <c r="B592" s="44" t="s">
        <v>53</v>
      </c>
      <c r="C592" s="9" t="s">
        <v>13</v>
      </c>
      <c r="D592" s="262">
        <v>5.9523809523809526</v>
      </c>
      <c r="E592" s="289">
        <v>0</v>
      </c>
      <c r="F592" s="164">
        <v>0</v>
      </c>
      <c r="G592" s="310">
        <v>591</v>
      </c>
      <c r="H592" t="s">
        <v>570</v>
      </c>
    </row>
    <row r="593" spans="1:8" ht="14">
      <c r="A593" s="43"/>
      <c r="B593" s="44" t="s">
        <v>72</v>
      </c>
      <c r="C593" s="9" t="s">
        <v>13</v>
      </c>
      <c r="D593" s="262"/>
      <c r="E593" s="289" t="s">
        <v>571</v>
      </c>
      <c r="F593" s="164" t="s">
        <v>571</v>
      </c>
      <c r="G593" s="310">
        <v>592</v>
      </c>
      <c r="H593" t="s">
        <v>570</v>
      </c>
    </row>
    <row r="594" spans="1:8" ht="14">
      <c r="A594" s="43"/>
      <c r="B594" s="44" t="s">
        <v>275</v>
      </c>
      <c r="C594" s="9" t="s">
        <v>13</v>
      </c>
      <c r="D594" s="262">
        <v>2</v>
      </c>
      <c r="E594" s="289">
        <v>0</v>
      </c>
      <c r="F594" s="164">
        <v>0</v>
      </c>
      <c r="G594" s="310">
        <v>593</v>
      </c>
      <c r="H594" t="s">
        <v>570</v>
      </c>
    </row>
    <row r="595" spans="1:8" ht="14">
      <c r="A595" s="43"/>
      <c r="B595" s="44" t="s">
        <v>447</v>
      </c>
      <c r="C595" s="9" t="s">
        <v>13</v>
      </c>
      <c r="D595" s="262">
        <v>1</v>
      </c>
      <c r="E595" s="289">
        <v>0</v>
      </c>
      <c r="F595" s="164">
        <v>0</v>
      </c>
      <c r="G595" s="310">
        <v>594</v>
      </c>
      <c r="H595" t="s">
        <v>570</v>
      </c>
    </row>
    <row r="596" spans="1:8" ht="14">
      <c r="A596" s="43"/>
      <c r="B596" s="44"/>
      <c r="C596" s="9"/>
      <c r="D596" s="262"/>
      <c r="E596" s="289" t="s">
        <v>571</v>
      </c>
      <c r="F596" s="164" t="s">
        <v>571</v>
      </c>
      <c r="G596" s="310">
        <v>595</v>
      </c>
      <c r="H596" t="s">
        <v>570</v>
      </c>
    </row>
    <row r="597" spans="1:8" ht="14">
      <c r="A597" s="43"/>
      <c r="B597" s="44" t="s">
        <v>54</v>
      </c>
      <c r="C597" s="9" t="s">
        <v>13</v>
      </c>
      <c r="D597" s="262">
        <v>22</v>
      </c>
      <c r="E597" s="289">
        <v>0</v>
      </c>
      <c r="F597" s="164">
        <v>0</v>
      </c>
      <c r="G597" s="310">
        <v>596</v>
      </c>
      <c r="H597" t="s">
        <v>570</v>
      </c>
    </row>
    <row r="598" spans="1:8" ht="14">
      <c r="A598" s="43"/>
      <c r="B598" s="44" t="s">
        <v>55</v>
      </c>
      <c r="C598" s="9" t="s">
        <v>13</v>
      </c>
      <c r="D598" s="262">
        <v>7</v>
      </c>
      <c r="E598" s="289">
        <v>0</v>
      </c>
      <c r="F598" s="164">
        <v>0</v>
      </c>
      <c r="G598" s="310">
        <v>597</v>
      </c>
      <c r="H598" t="s">
        <v>570</v>
      </c>
    </row>
    <row r="599" spans="1:8" ht="14">
      <c r="A599" s="43"/>
      <c r="B599" s="44" t="s">
        <v>268</v>
      </c>
      <c r="C599" s="9" t="s">
        <v>13</v>
      </c>
      <c r="D599" s="262">
        <v>1</v>
      </c>
      <c r="E599" s="289">
        <v>0</v>
      </c>
      <c r="F599" s="164">
        <v>0</v>
      </c>
      <c r="G599" s="310">
        <v>598</v>
      </c>
      <c r="H599" t="s">
        <v>570</v>
      </c>
    </row>
    <row r="600" spans="1:8" ht="14">
      <c r="A600" s="43"/>
      <c r="B600" s="44" t="s">
        <v>271</v>
      </c>
      <c r="C600" s="9" t="s">
        <v>13</v>
      </c>
      <c r="D600" s="262">
        <v>1</v>
      </c>
      <c r="E600" s="289">
        <v>0</v>
      </c>
      <c r="F600" s="164">
        <v>0</v>
      </c>
      <c r="G600" s="310">
        <v>599</v>
      </c>
      <c r="H600" t="s">
        <v>570</v>
      </c>
    </row>
    <row r="601" spans="1:8" ht="14">
      <c r="A601" s="43"/>
      <c r="B601" s="44" t="s">
        <v>272</v>
      </c>
      <c r="C601" s="9" t="s">
        <v>13</v>
      </c>
      <c r="D601" s="262">
        <v>1</v>
      </c>
      <c r="E601" s="289">
        <v>0</v>
      </c>
      <c r="F601" s="164">
        <v>0</v>
      </c>
      <c r="G601" s="310">
        <v>600</v>
      </c>
      <c r="H601" t="s">
        <v>570</v>
      </c>
    </row>
    <row r="602" spans="1:8" ht="14">
      <c r="A602" s="43"/>
      <c r="B602" s="44" t="s">
        <v>126</v>
      </c>
      <c r="C602" s="9" t="s">
        <v>13</v>
      </c>
      <c r="D602" s="262">
        <v>1</v>
      </c>
      <c r="E602" s="289">
        <v>0</v>
      </c>
      <c r="F602" s="164">
        <v>0</v>
      </c>
      <c r="G602" s="310">
        <v>601</v>
      </c>
      <c r="H602" t="s">
        <v>570</v>
      </c>
    </row>
    <row r="603" spans="1:8" ht="14">
      <c r="A603" s="43"/>
      <c r="B603" s="44" t="s">
        <v>101</v>
      </c>
      <c r="C603" s="9" t="s">
        <v>13</v>
      </c>
      <c r="D603" s="262">
        <v>1</v>
      </c>
      <c r="E603" s="289">
        <v>0</v>
      </c>
      <c r="F603" s="164">
        <v>0</v>
      </c>
      <c r="G603" s="310">
        <v>602</v>
      </c>
      <c r="H603" t="s">
        <v>570</v>
      </c>
    </row>
    <row r="604" spans="1:8" ht="14">
      <c r="A604" s="43"/>
      <c r="B604" s="44" t="s">
        <v>266</v>
      </c>
      <c r="C604" s="9" t="s">
        <v>13</v>
      </c>
      <c r="D604" s="262">
        <v>8</v>
      </c>
      <c r="E604" s="289">
        <v>0</v>
      </c>
      <c r="F604" s="164">
        <v>0</v>
      </c>
      <c r="G604" s="310">
        <v>603</v>
      </c>
      <c r="H604" t="s">
        <v>570</v>
      </c>
    </row>
    <row r="605" spans="1:8" ht="14">
      <c r="A605" s="43"/>
      <c r="B605" s="44" t="s">
        <v>276</v>
      </c>
      <c r="C605" s="9" t="s">
        <v>13</v>
      </c>
      <c r="D605" s="262">
        <v>1</v>
      </c>
      <c r="E605" s="289">
        <v>0</v>
      </c>
      <c r="F605" s="164">
        <v>0</v>
      </c>
      <c r="G605" s="310">
        <v>604</v>
      </c>
      <c r="H605" t="s">
        <v>570</v>
      </c>
    </row>
    <row r="606" spans="1:8" ht="14">
      <c r="A606" s="43"/>
      <c r="B606" s="44" t="s">
        <v>277</v>
      </c>
      <c r="C606" s="9" t="s">
        <v>13</v>
      </c>
      <c r="D606" s="262">
        <v>1</v>
      </c>
      <c r="E606" s="289">
        <v>0</v>
      </c>
      <c r="F606" s="164">
        <v>0</v>
      </c>
      <c r="G606" s="310">
        <v>605</v>
      </c>
      <c r="H606" t="s">
        <v>570</v>
      </c>
    </row>
    <row r="607" spans="1:8" ht="14">
      <c r="A607" s="43"/>
      <c r="B607" s="44"/>
      <c r="C607" s="9"/>
      <c r="D607" s="262"/>
      <c r="E607" s="289" t="s">
        <v>571</v>
      </c>
      <c r="F607" s="164" t="s">
        <v>571</v>
      </c>
      <c r="G607" s="310">
        <v>606</v>
      </c>
      <c r="H607" t="s">
        <v>570</v>
      </c>
    </row>
    <row r="608" spans="1:8" ht="14">
      <c r="A608" s="43"/>
      <c r="B608" s="131" t="s">
        <v>573</v>
      </c>
      <c r="C608" s="9"/>
      <c r="D608" s="262"/>
      <c r="E608" s="289" t="s">
        <v>571</v>
      </c>
      <c r="F608" s="164" t="s">
        <v>571</v>
      </c>
      <c r="G608" s="310">
        <v>607</v>
      </c>
      <c r="H608" t="s">
        <v>570</v>
      </c>
    </row>
    <row r="609" spans="1:8" ht="14">
      <c r="A609" s="43"/>
      <c r="B609" s="44" t="s">
        <v>52</v>
      </c>
      <c r="C609" s="9" t="s">
        <v>13</v>
      </c>
      <c r="D609" s="262"/>
      <c r="E609" s="289" t="s">
        <v>571</v>
      </c>
      <c r="F609" s="164" t="s">
        <v>571</v>
      </c>
      <c r="G609" s="310">
        <v>608</v>
      </c>
      <c r="H609" t="s">
        <v>570</v>
      </c>
    </row>
    <row r="610" spans="1:8" ht="14">
      <c r="A610" s="43"/>
      <c r="B610" s="44" t="s">
        <v>269</v>
      </c>
      <c r="C610" s="9" t="s">
        <v>13</v>
      </c>
      <c r="D610" s="262"/>
      <c r="E610" s="289" t="s">
        <v>571</v>
      </c>
      <c r="F610" s="164" t="s">
        <v>571</v>
      </c>
      <c r="G610" s="310">
        <v>609</v>
      </c>
      <c r="H610" t="s">
        <v>570</v>
      </c>
    </row>
    <row r="611" spans="1:8" ht="14">
      <c r="A611" s="43"/>
      <c r="B611" s="44" t="s">
        <v>53</v>
      </c>
      <c r="C611" s="9" t="s">
        <v>13</v>
      </c>
      <c r="D611" s="262"/>
      <c r="E611" s="289" t="s">
        <v>571</v>
      </c>
      <c r="F611" s="164" t="s">
        <v>571</v>
      </c>
      <c r="G611" s="310">
        <v>610</v>
      </c>
      <c r="H611" t="s">
        <v>570</v>
      </c>
    </row>
    <row r="612" spans="1:8" ht="14">
      <c r="A612" s="43"/>
      <c r="B612" s="44" t="s">
        <v>72</v>
      </c>
      <c r="C612" s="9" t="s">
        <v>13</v>
      </c>
      <c r="D612" s="262"/>
      <c r="E612" s="289" t="s">
        <v>571</v>
      </c>
      <c r="F612" s="164" t="s">
        <v>571</v>
      </c>
      <c r="G612" s="310">
        <v>611</v>
      </c>
      <c r="H612" t="s">
        <v>570</v>
      </c>
    </row>
    <row r="613" spans="1:8" ht="14">
      <c r="A613" s="43"/>
      <c r="B613" s="44" t="s">
        <v>275</v>
      </c>
      <c r="C613" s="9" t="s">
        <v>13</v>
      </c>
      <c r="D613" s="262"/>
      <c r="E613" s="289" t="s">
        <v>571</v>
      </c>
      <c r="F613" s="164" t="s">
        <v>571</v>
      </c>
      <c r="G613" s="310">
        <v>612</v>
      </c>
      <c r="H613" t="s">
        <v>570</v>
      </c>
    </row>
    <row r="614" spans="1:8" ht="14">
      <c r="A614" s="43"/>
      <c r="B614" s="44" t="s">
        <v>447</v>
      </c>
      <c r="C614" s="9" t="s">
        <v>13</v>
      </c>
      <c r="D614" s="262"/>
      <c r="E614" s="289" t="s">
        <v>571</v>
      </c>
      <c r="F614" s="164" t="s">
        <v>571</v>
      </c>
      <c r="G614" s="310">
        <v>613</v>
      </c>
      <c r="H614" t="s">
        <v>570</v>
      </c>
    </row>
    <row r="615" spans="1:8" ht="14">
      <c r="A615" s="43"/>
      <c r="B615" s="44"/>
      <c r="C615" s="9"/>
      <c r="D615" s="262"/>
      <c r="E615" s="289" t="s">
        <v>571</v>
      </c>
      <c r="F615" s="164" t="s">
        <v>571</v>
      </c>
      <c r="G615" s="310">
        <v>614</v>
      </c>
      <c r="H615" t="s">
        <v>570</v>
      </c>
    </row>
    <row r="616" spans="1:8" ht="14">
      <c r="A616" s="43"/>
      <c r="B616" s="44" t="s">
        <v>54</v>
      </c>
      <c r="C616" s="9" t="s">
        <v>13</v>
      </c>
      <c r="D616" s="262"/>
      <c r="E616" s="289" t="s">
        <v>571</v>
      </c>
      <c r="F616" s="164" t="s">
        <v>571</v>
      </c>
      <c r="G616" s="310">
        <v>615</v>
      </c>
      <c r="H616" t="s">
        <v>570</v>
      </c>
    </row>
    <row r="617" spans="1:8" ht="14">
      <c r="A617" s="43"/>
      <c r="B617" s="44" t="s">
        <v>55</v>
      </c>
      <c r="C617" s="9" t="s">
        <v>13</v>
      </c>
      <c r="D617" s="262"/>
      <c r="E617" s="289" t="s">
        <v>571</v>
      </c>
      <c r="F617" s="164" t="s">
        <v>571</v>
      </c>
      <c r="G617" s="310">
        <v>616</v>
      </c>
      <c r="H617" t="s">
        <v>570</v>
      </c>
    </row>
    <row r="618" spans="1:8" ht="14">
      <c r="A618" s="43"/>
      <c r="B618" s="44" t="s">
        <v>268</v>
      </c>
      <c r="C618" s="9" t="s">
        <v>13</v>
      </c>
      <c r="D618" s="262"/>
      <c r="E618" s="289" t="s">
        <v>571</v>
      </c>
      <c r="F618" s="164" t="s">
        <v>571</v>
      </c>
      <c r="G618" s="310">
        <v>617</v>
      </c>
      <c r="H618" t="s">
        <v>570</v>
      </c>
    </row>
    <row r="619" spans="1:8" ht="14">
      <c r="A619" s="43"/>
      <c r="B619" s="44" t="s">
        <v>271</v>
      </c>
      <c r="C619" s="9" t="s">
        <v>13</v>
      </c>
      <c r="D619" s="262"/>
      <c r="E619" s="289" t="s">
        <v>571</v>
      </c>
      <c r="F619" s="164" t="s">
        <v>571</v>
      </c>
      <c r="G619" s="310">
        <v>618</v>
      </c>
      <c r="H619" t="s">
        <v>570</v>
      </c>
    </row>
    <row r="620" spans="1:8" ht="14">
      <c r="A620" s="43"/>
      <c r="B620" s="44" t="s">
        <v>272</v>
      </c>
      <c r="C620" s="9" t="s">
        <v>13</v>
      </c>
      <c r="D620" s="262"/>
      <c r="E620" s="289" t="s">
        <v>571</v>
      </c>
      <c r="F620" s="164" t="s">
        <v>571</v>
      </c>
      <c r="G620" s="310">
        <v>619</v>
      </c>
      <c r="H620" t="s">
        <v>570</v>
      </c>
    </row>
    <row r="621" spans="1:8" ht="14">
      <c r="A621" s="43"/>
      <c r="B621" s="44" t="s">
        <v>126</v>
      </c>
      <c r="C621" s="9" t="s">
        <v>13</v>
      </c>
      <c r="D621" s="262"/>
      <c r="E621" s="289" t="s">
        <v>571</v>
      </c>
      <c r="F621" s="164" t="s">
        <v>571</v>
      </c>
      <c r="G621" s="310">
        <v>620</v>
      </c>
      <c r="H621" t="s">
        <v>570</v>
      </c>
    </row>
    <row r="622" spans="1:8" ht="14">
      <c r="A622" s="43"/>
      <c r="B622" s="44" t="s">
        <v>101</v>
      </c>
      <c r="C622" s="9" t="s">
        <v>13</v>
      </c>
      <c r="D622" s="262"/>
      <c r="E622" s="289" t="s">
        <v>571</v>
      </c>
      <c r="F622" s="164" t="s">
        <v>571</v>
      </c>
      <c r="G622" s="310">
        <v>621</v>
      </c>
      <c r="H622" t="s">
        <v>570</v>
      </c>
    </row>
    <row r="623" spans="1:8" ht="14">
      <c r="A623" s="43"/>
      <c r="B623" s="44" t="s">
        <v>266</v>
      </c>
      <c r="C623" s="9" t="s">
        <v>13</v>
      </c>
      <c r="D623" s="262"/>
      <c r="E623" s="289" t="s">
        <v>571</v>
      </c>
      <c r="F623" s="164" t="s">
        <v>571</v>
      </c>
      <c r="G623" s="310">
        <v>622</v>
      </c>
      <c r="H623" t="s">
        <v>570</v>
      </c>
    </row>
    <row r="624" spans="1:8" ht="14">
      <c r="A624" s="43"/>
      <c r="B624" s="44" t="s">
        <v>276</v>
      </c>
      <c r="C624" s="9" t="s">
        <v>13</v>
      </c>
      <c r="D624" s="262"/>
      <c r="E624" s="289" t="s">
        <v>571</v>
      </c>
      <c r="F624" s="164" t="s">
        <v>571</v>
      </c>
      <c r="G624" s="310">
        <v>623</v>
      </c>
      <c r="H624" t="s">
        <v>570</v>
      </c>
    </row>
    <row r="625" spans="1:8" ht="14">
      <c r="A625" s="43"/>
      <c r="B625" s="44" t="s">
        <v>277</v>
      </c>
      <c r="C625" s="9" t="s">
        <v>13</v>
      </c>
      <c r="D625" s="262"/>
      <c r="E625" s="289" t="s">
        <v>571</v>
      </c>
      <c r="F625" s="164" t="s">
        <v>571</v>
      </c>
      <c r="G625" s="310">
        <v>624</v>
      </c>
      <c r="H625" t="s">
        <v>570</v>
      </c>
    </row>
    <row r="626" spans="1:8" ht="14">
      <c r="A626" s="43"/>
      <c r="B626" s="44"/>
      <c r="C626" s="9"/>
      <c r="D626" s="262"/>
      <c r="E626" s="289" t="s">
        <v>571</v>
      </c>
      <c r="F626" s="164" t="s">
        <v>571</v>
      </c>
      <c r="G626" s="310">
        <v>625</v>
      </c>
      <c r="H626" t="s">
        <v>570</v>
      </c>
    </row>
    <row r="627" spans="1:8" ht="14">
      <c r="A627" s="43"/>
      <c r="B627" s="44" t="s">
        <v>446</v>
      </c>
      <c r="C627" s="9" t="s">
        <v>1</v>
      </c>
      <c r="D627" s="262"/>
      <c r="E627" s="289" t="s">
        <v>571</v>
      </c>
      <c r="F627" s="164" t="s">
        <v>571</v>
      </c>
      <c r="G627" s="310">
        <v>626</v>
      </c>
      <c r="H627" t="s">
        <v>570</v>
      </c>
    </row>
    <row r="628" spans="1:8" ht="14">
      <c r="A628" s="43"/>
      <c r="B628" s="44" t="s">
        <v>167</v>
      </c>
      <c r="C628" s="9" t="s">
        <v>13</v>
      </c>
      <c r="D628" s="262">
        <v>1</v>
      </c>
      <c r="E628" s="289">
        <v>0</v>
      </c>
      <c r="F628" s="164">
        <v>0</v>
      </c>
      <c r="G628" s="310">
        <v>627</v>
      </c>
      <c r="H628" t="s">
        <v>570</v>
      </c>
    </row>
    <row r="629" spans="1:8" ht="14">
      <c r="A629" s="43"/>
      <c r="B629" s="44"/>
      <c r="C629" s="9"/>
      <c r="D629" s="262"/>
      <c r="E629" s="289" t="s">
        <v>571</v>
      </c>
      <c r="F629" s="164" t="s">
        <v>571</v>
      </c>
      <c r="G629" s="310">
        <v>628</v>
      </c>
      <c r="H629" t="s">
        <v>570</v>
      </c>
    </row>
    <row r="630" spans="1:8" ht="14">
      <c r="A630" s="43"/>
      <c r="B630" s="132" t="s">
        <v>444</v>
      </c>
      <c r="C630" s="9" t="s">
        <v>13</v>
      </c>
      <c r="D630" s="262"/>
      <c r="E630" s="289" t="s">
        <v>571</v>
      </c>
      <c r="F630" s="164" t="s">
        <v>571</v>
      </c>
      <c r="G630" s="310">
        <v>629</v>
      </c>
      <c r="H630" t="s">
        <v>570</v>
      </c>
    </row>
    <row r="631" spans="1:8" ht="14">
      <c r="A631" s="43"/>
      <c r="B631" s="132" t="s">
        <v>445</v>
      </c>
      <c r="C631" s="9" t="s">
        <v>13</v>
      </c>
      <c r="D631" s="262"/>
      <c r="E631" s="289" t="s">
        <v>571</v>
      </c>
      <c r="F631" s="164" t="s">
        <v>571</v>
      </c>
      <c r="G631" s="310">
        <v>630</v>
      </c>
      <c r="H631" t="s">
        <v>570</v>
      </c>
    </row>
    <row r="632" spans="1:8" ht="14">
      <c r="A632" s="43"/>
      <c r="B632" s="132" t="s">
        <v>443</v>
      </c>
      <c r="C632" s="9" t="s">
        <v>13</v>
      </c>
      <c r="D632" s="262"/>
      <c r="E632" s="289" t="s">
        <v>571</v>
      </c>
      <c r="F632" s="164" t="s">
        <v>571</v>
      </c>
      <c r="G632" s="310">
        <v>631</v>
      </c>
      <c r="H632" t="s">
        <v>570</v>
      </c>
    </row>
    <row r="633" spans="1:8" ht="14">
      <c r="A633" s="2"/>
      <c r="B633" s="132" t="s">
        <v>264</v>
      </c>
      <c r="C633" s="9" t="s">
        <v>13</v>
      </c>
      <c r="D633" s="262">
        <v>15</v>
      </c>
      <c r="E633" s="289">
        <v>0</v>
      </c>
      <c r="F633" s="164">
        <v>0</v>
      </c>
      <c r="G633" s="310">
        <v>632</v>
      </c>
      <c r="H633" t="s">
        <v>570</v>
      </c>
    </row>
    <row r="634" spans="1:8" ht="14">
      <c r="A634" s="43"/>
      <c r="B634" s="132" t="s">
        <v>265</v>
      </c>
      <c r="C634" s="9" t="s">
        <v>13</v>
      </c>
      <c r="D634" s="262">
        <v>15</v>
      </c>
      <c r="E634" s="289">
        <v>0</v>
      </c>
      <c r="F634" s="164">
        <v>0</v>
      </c>
      <c r="G634" s="310">
        <v>633</v>
      </c>
      <c r="H634" t="s">
        <v>570</v>
      </c>
    </row>
    <row r="635" spans="1:8" ht="14">
      <c r="A635" s="43"/>
      <c r="B635" s="44"/>
      <c r="C635" s="9"/>
      <c r="D635" s="262"/>
      <c r="E635" s="289" t="s">
        <v>571</v>
      </c>
      <c r="F635" s="164" t="s">
        <v>571</v>
      </c>
      <c r="G635" s="310">
        <v>634</v>
      </c>
      <c r="H635" t="s">
        <v>570</v>
      </c>
    </row>
    <row r="636" spans="1:8" ht="14">
      <c r="A636" s="43"/>
      <c r="B636" s="44" t="s">
        <v>166</v>
      </c>
      <c r="C636" s="9" t="s">
        <v>13</v>
      </c>
      <c r="D636" s="262">
        <v>1</v>
      </c>
      <c r="E636" s="289">
        <v>0</v>
      </c>
      <c r="F636" s="164">
        <v>0</v>
      </c>
      <c r="G636" s="310">
        <v>635</v>
      </c>
      <c r="H636" t="s">
        <v>570</v>
      </c>
    </row>
    <row r="637" spans="1:8" ht="14">
      <c r="A637" s="43"/>
      <c r="B637" s="132"/>
      <c r="C637" s="8"/>
      <c r="D637" s="262"/>
      <c r="E637" s="289" t="s">
        <v>571</v>
      </c>
      <c r="F637" s="164" t="s">
        <v>571</v>
      </c>
      <c r="G637" s="310">
        <v>636</v>
      </c>
      <c r="H637" t="s">
        <v>570</v>
      </c>
    </row>
    <row r="638" spans="1:8" ht="14">
      <c r="A638" s="43"/>
      <c r="B638" s="39" t="s">
        <v>280</v>
      </c>
      <c r="C638" s="9"/>
      <c r="D638" s="262"/>
      <c r="E638" s="289" t="s">
        <v>571</v>
      </c>
      <c r="F638" s="164" t="s">
        <v>571</v>
      </c>
      <c r="G638" s="310">
        <v>637</v>
      </c>
      <c r="H638" t="s">
        <v>570</v>
      </c>
    </row>
    <row r="639" spans="1:8" ht="14">
      <c r="A639" s="43"/>
      <c r="B639" s="39" t="s">
        <v>281</v>
      </c>
      <c r="C639" s="27" t="s">
        <v>12</v>
      </c>
      <c r="D639" s="262">
        <v>10</v>
      </c>
      <c r="E639" s="289"/>
      <c r="F639" s="164">
        <v>0</v>
      </c>
      <c r="G639" s="310">
        <v>638</v>
      </c>
      <c r="H639" t="s">
        <v>570</v>
      </c>
    </row>
    <row r="640" spans="1:8" ht="14">
      <c r="A640" s="43"/>
      <c r="B640" s="38"/>
      <c r="C640" s="9"/>
      <c r="D640" s="262"/>
      <c r="E640" s="289" t="s">
        <v>571</v>
      </c>
      <c r="F640" s="164" t="s">
        <v>571</v>
      </c>
      <c r="G640" s="310">
        <v>639</v>
      </c>
      <c r="H640" t="s">
        <v>570</v>
      </c>
    </row>
    <row r="641" spans="1:8" ht="14">
      <c r="A641" s="43"/>
      <c r="B641" s="73" t="s">
        <v>282</v>
      </c>
      <c r="C641" s="72"/>
      <c r="D641" s="262"/>
      <c r="E641" s="289" t="s">
        <v>571</v>
      </c>
      <c r="F641" s="164" t="s">
        <v>571</v>
      </c>
      <c r="G641" s="310">
        <v>640</v>
      </c>
      <c r="H641" t="s">
        <v>570</v>
      </c>
    </row>
    <row r="642" spans="1:8" ht="14">
      <c r="A642" s="43"/>
      <c r="B642" s="127"/>
      <c r="C642" s="9"/>
      <c r="D642" s="262"/>
      <c r="E642" s="289" t="s">
        <v>571</v>
      </c>
      <c r="F642" s="164" t="s">
        <v>571</v>
      </c>
      <c r="G642" s="310">
        <v>641</v>
      </c>
      <c r="H642" t="s">
        <v>570</v>
      </c>
    </row>
    <row r="643" spans="1:8" ht="14">
      <c r="A643" s="2" t="s">
        <v>261</v>
      </c>
      <c r="B643" s="39" t="s">
        <v>389</v>
      </c>
      <c r="C643" s="9"/>
      <c r="D643" s="262"/>
      <c r="E643" s="289" t="s">
        <v>571</v>
      </c>
      <c r="F643" s="164" t="s">
        <v>571</v>
      </c>
      <c r="G643" s="310">
        <v>642</v>
      </c>
      <c r="H643" t="s">
        <v>570</v>
      </c>
    </row>
    <row r="644" spans="1:8" ht="14">
      <c r="A644" s="43"/>
      <c r="B644" s="40"/>
      <c r="C644" s="9"/>
      <c r="D644" s="262"/>
      <c r="E644" s="289" t="s">
        <v>571</v>
      </c>
      <c r="F644" s="164" t="s">
        <v>571</v>
      </c>
      <c r="G644" s="310">
        <v>643</v>
      </c>
      <c r="H644" t="s">
        <v>570</v>
      </c>
    </row>
    <row r="645" spans="1:8" ht="14">
      <c r="A645" s="43"/>
      <c r="B645" s="131" t="s">
        <v>572</v>
      </c>
      <c r="C645" s="9"/>
      <c r="D645" s="262"/>
      <c r="E645" s="289" t="s">
        <v>571</v>
      </c>
      <c r="F645" s="164" t="s">
        <v>571</v>
      </c>
      <c r="G645" s="310">
        <v>644</v>
      </c>
      <c r="H645" t="s">
        <v>570</v>
      </c>
    </row>
    <row r="646" spans="1:8" ht="14">
      <c r="A646" s="43"/>
      <c r="B646" s="44" t="s">
        <v>52</v>
      </c>
      <c r="C646" s="9" t="s">
        <v>13</v>
      </c>
      <c r="D646" s="262">
        <v>10.133858267716535</v>
      </c>
      <c r="E646" s="289">
        <v>0</v>
      </c>
      <c r="F646" s="164">
        <v>0</v>
      </c>
      <c r="G646" s="310">
        <v>645</v>
      </c>
      <c r="H646" t="s">
        <v>570</v>
      </c>
    </row>
    <row r="647" spans="1:8" ht="14">
      <c r="A647" s="43"/>
      <c r="B647" s="44" t="s">
        <v>269</v>
      </c>
      <c r="C647" s="9" t="s">
        <v>13</v>
      </c>
      <c r="D647" s="262">
        <v>1</v>
      </c>
      <c r="E647" s="289">
        <v>0</v>
      </c>
      <c r="F647" s="164">
        <v>0</v>
      </c>
      <c r="G647" s="310">
        <v>646</v>
      </c>
      <c r="H647" t="s">
        <v>570</v>
      </c>
    </row>
    <row r="648" spans="1:8" ht="14">
      <c r="A648" s="43"/>
      <c r="B648" s="44" t="s">
        <v>53</v>
      </c>
      <c r="C648" s="9" t="s">
        <v>13</v>
      </c>
      <c r="D648" s="275">
        <v>0.95238095238095233</v>
      </c>
      <c r="E648" s="289">
        <v>0</v>
      </c>
      <c r="F648" s="164">
        <v>0</v>
      </c>
      <c r="G648" s="310">
        <v>647</v>
      </c>
      <c r="H648" t="s">
        <v>570</v>
      </c>
    </row>
    <row r="649" spans="1:8" ht="14">
      <c r="A649" s="43"/>
      <c r="B649" s="44" t="s">
        <v>72</v>
      </c>
      <c r="C649" s="9" t="s">
        <v>13</v>
      </c>
      <c r="D649" s="262">
        <v>7</v>
      </c>
      <c r="E649" s="289">
        <v>0</v>
      </c>
      <c r="F649" s="164">
        <v>0</v>
      </c>
      <c r="G649" s="310">
        <v>648</v>
      </c>
      <c r="H649" t="s">
        <v>570</v>
      </c>
    </row>
    <row r="650" spans="1:8" ht="14">
      <c r="A650" s="43"/>
      <c r="B650" s="44" t="s">
        <v>275</v>
      </c>
      <c r="C650" s="9" t="s">
        <v>13</v>
      </c>
      <c r="D650" s="262"/>
      <c r="E650" s="289" t="s">
        <v>571</v>
      </c>
      <c r="F650" s="164" t="s">
        <v>571</v>
      </c>
      <c r="G650" s="310">
        <v>649</v>
      </c>
      <c r="H650" t="s">
        <v>570</v>
      </c>
    </row>
    <row r="651" spans="1:8" ht="14">
      <c r="A651" s="43"/>
      <c r="B651" s="44" t="s">
        <v>447</v>
      </c>
      <c r="C651" s="9" t="s">
        <v>13</v>
      </c>
      <c r="D651" s="262">
        <v>1</v>
      </c>
      <c r="E651" s="289">
        <v>0</v>
      </c>
      <c r="F651" s="164">
        <v>0</v>
      </c>
      <c r="G651" s="310">
        <v>650</v>
      </c>
      <c r="H651" t="s">
        <v>570</v>
      </c>
    </row>
    <row r="652" spans="1:8" ht="14">
      <c r="A652" s="43"/>
      <c r="B652" s="44"/>
      <c r="C652" s="9"/>
      <c r="D652" s="262"/>
      <c r="E652" s="289" t="s">
        <v>571</v>
      </c>
      <c r="F652" s="164" t="s">
        <v>571</v>
      </c>
      <c r="G652" s="310">
        <v>651</v>
      </c>
      <c r="H652" t="s">
        <v>570</v>
      </c>
    </row>
    <row r="653" spans="1:8" ht="14">
      <c r="A653" s="43"/>
      <c r="B653" s="44" t="s">
        <v>54</v>
      </c>
      <c r="C653" s="9" t="s">
        <v>13</v>
      </c>
      <c r="D653" s="262">
        <v>24</v>
      </c>
      <c r="E653" s="289">
        <v>0</v>
      </c>
      <c r="F653" s="164">
        <v>0</v>
      </c>
      <c r="G653" s="310">
        <v>652</v>
      </c>
      <c r="H653" t="s">
        <v>570</v>
      </c>
    </row>
    <row r="654" spans="1:8" ht="14">
      <c r="A654" s="43"/>
      <c r="B654" s="44" t="s">
        <v>55</v>
      </c>
      <c r="C654" s="9" t="s">
        <v>13</v>
      </c>
      <c r="D654" s="262">
        <v>9</v>
      </c>
      <c r="E654" s="289">
        <v>0</v>
      </c>
      <c r="F654" s="164">
        <v>0</v>
      </c>
      <c r="G654" s="310">
        <v>653</v>
      </c>
      <c r="H654" t="s">
        <v>570</v>
      </c>
    </row>
    <row r="655" spans="1:8" ht="14">
      <c r="A655" s="43"/>
      <c r="B655" s="44" t="s">
        <v>268</v>
      </c>
      <c r="C655" s="9" t="s">
        <v>13</v>
      </c>
      <c r="D655" s="262">
        <v>1</v>
      </c>
      <c r="E655" s="289">
        <v>0</v>
      </c>
      <c r="F655" s="164">
        <v>0</v>
      </c>
      <c r="G655" s="310">
        <v>654</v>
      </c>
      <c r="H655" t="s">
        <v>570</v>
      </c>
    </row>
    <row r="656" spans="1:8" ht="14">
      <c r="A656" s="43"/>
      <c r="B656" s="44" t="s">
        <v>271</v>
      </c>
      <c r="C656" s="9" t="s">
        <v>13</v>
      </c>
      <c r="D656" s="262">
        <v>1</v>
      </c>
      <c r="E656" s="289">
        <v>0</v>
      </c>
      <c r="F656" s="164">
        <v>0</v>
      </c>
      <c r="G656" s="310">
        <v>655</v>
      </c>
      <c r="H656" t="s">
        <v>570</v>
      </c>
    </row>
    <row r="657" spans="1:8" ht="14">
      <c r="A657" s="43"/>
      <c r="B657" s="44" t="s">
        <v>272</v>
      </c>
      <c r="C657" s="9" t="s">
        <v>13</v>
      </c>
      <c r="D657" s="262">
        <v>1</v>
      </c>
      <c r="E657" s="289">
        <v>0</v>
      </c>
      <c r="F657" s="164">
        <v>0</v>
      </c>
      <c r="G657" s="310">
        <v>656</v>
      </c>
      <c r="H657" t="s">
        <v>570</v>
      </c>
    </row>
    <row r="658" spans="1:8" ht="14">
      <c r="A658" s="43"/>
      <c r="B658" s="44" t="s">
        <v>126</v>
      </c>
      <c r="C658" s="9" t="s">
        <v>13</v>
      </c>
      <c r="D658" s="262">
        <v>1</v>
      </c>
      <c r="E658" s="289">
        <v>0</v>
      </c>
      <c r="F658" s="164">
        <v>0</v>
      </c>
      <c r="G658" s="310">
        <v>657</v>
      </c>
      <c r="H658" t="s">
        <v>570</v>
      </c>
    </row>
    <row r="659" spans="1:8" ht="14">
      <c r="A659" s="43"/>
      <c r="B659" s="44" t="s">
        <v>101</v>
      </c>
      <c r="C659" s="9" t="s">
        <v>13</v>
      </c>
      <c r="D659" s="262">
        <v>1</v>
      </c>
      <c r="E659" s="289">
        <v>0</v>
      </c>
      <c r="F659" s="164">
        <v>0</v>
      </c>
      <c r="G659" s="310">
        <v>658</v>
      </c>
      <c r="H659" t="s">
        <v>570</v>
      </c>
    </row>
    <row r="660" spans="1:8" ht="14">
      <c r="A660" s="43"/>
      <c r="B660" s="44" t="s">
        <v>266</v>
      </c>
      <c r="C660" s="9" t="s">
        <v>13</v>
      </c>
      <c r="D660" s="262">
        <v>8</v>
      </c>
      <c r="E660" s="289">
        <v>0</v>
      </c>
      <c r="F660" s="164">
        <v>0</v>
      </c>
      <c r="G660" s="310">
        <v>659</v>
      </c>
      <c r="H660" t="s">
        <v>570</v>
      </c>
    </row>
    <row r="661" spans="1:8" ht="14">
      <c r="A661" s="43"/>
      <c r="B661" s="44" t="s">
        <v>276</v>
      </c>
      <c r="C661" s="9" t="s">
        <v>13</v>
      </c>
      <c r="D661" s="262">
        <v>2</v>
      </c>
      <c r="E661" s="289">
        <v>0</v>
      </c>
      <c r="F661" s="164">
        <v>0</v>
      </c>
      <c r="G661" s="310">
        <v>660</v>
      </c>
      <c r="H661" t="s">
        <v>570</v>
      </c>
    </row>
    <row r="662" spans="1:8" ht="14">
      <c r="A662" s="43"/>
      <c r="B662" s="44" t="s">
        <v>277</v>
      </c>
      <c r="C662" s="9" t="s">
        <v>13</v>
      </c>
      <c r="D662" s="262">
        <v>2</v>
      </c>
      <c r="E662" s="289">
        <v>0</v>
      </c>
      <c r="F662" s="164">
        <v>0</v>
      </c>
      <c r="G662" s="310">
        <v>661</v>
      </c>
      <c r="H662" t="s">
        <v>570</v>
      </c>
    </row>
    <row r="663" spans="1:8" ht="14">
      <c r="A663" s="43"/>
      <c r="B663" s="44"/>
      <c r="C663" s="9"/>
      <c r="D663" s="262"/>
      <c r="E663" s="289" t="s">
        <v>571</v>
      </c>
      <c r="F663" s="164" t="s">
        <v>571</v>
      </c>
      <c r="G663" s="310">
        <v>662</v>
      </c>
      <c r="H663" t="s">
        <v>570</v>
      </c>
    </row>
    <row r="664" spans="1:8" ht="14">
      <c r="A664" s="43"/>
      <c r="B664" s="131" t="s">
        <v>573</v>
      </c>
      <c r="C664" s="9"/>
      <c r="D664" s="262"/>
      <c r="E664" s="289" t="s">
        <v>571</v>
      </c>
      <c r="F664" s="164" t="s">
        <v>571</v>
      </c>
      <c r="G664" s="310">
        <v>663</v>
      </c>
      <c r="H664" t="s">
        <v>570</v>
      </c>
    </row>
    <row r="665" spans="1:8" ht="14">
      <c r="A665" s="43"/>
      <c r="B665" s="44" t="s">
        <v>52</v>
      </c>
      <c r="C665" s="9" t="s">
        <v>13</v>
      </c>
      <c r="D665" s="262"/>
      <c r="E665" s="289" t="s">
        <v>571</v>
      </c>
      <c r="F665" s="164" t="s">
        <v>571</v>
      </c>
      <c r="G665" s="310">
        <v>664</v>
      </c>
      <c r="H665" t="s">
        <v>570</v>
      </c>
    </row>
    <row r="666" spans="1:8" ht="14">
      <c r="A666" s="43"/>
      <c r="B666" s="44" t="s">
        <v>269</v>
      </c>
      <c r="C666" s="9" t="s">
        <v>13</v>
      </c>
      <c r="D666" s="262"/>
      <c r="E666" s="289" t="s">
        <v>571</v>
      </c>
      <c r="F666" s="164" t="s">
        <v>571</v>
      </c>
      <c r="G666" s="310">
        <v>665</v>
      </c>
      <c r="H666" t="s">
        <v>570</v>
      </c>
    </row>
    <row r="667" spans="1:8" ht="14">
      <c r="A667" s="43"/>
      <c r="B667" s="44" t="s">
        <v>53</v>
      </c>
      <c r="C667" s="9" t="s">
        <v>13</v>
      </c>
      <c r="D667" s="262"/>
      <c r="E667" s="289" t="s">
        <v>571</v>
      </c>
      <c r="F667" s="164" t="s">
        <v>571</v>
      </c>
      <c r="G667" s="310">
        <v>666</v>
      </c>
      <c r="H667" t="s">
        <v>570</v>
      </c>
    </row>
    <row r="668" spans="1:8" ht="14">
      <c r="A668" s="43"/>
      <c r="B668" s="44" t="s">
        <v>72</v>
      </c>
      <c r="C668" s="9" t="s">
        <v>13</v>
      </c>
      <c r="D668" s="262"/>
      <c r="E668" s="289" t="s">
        <v>571</v>
      </c>
      <c r="F668" s="164" t="s">
        <v>571</v>
      </c>
      <c r="G668" s="310">
        <v>667</v>
      </c>
      <c r="H668" t="s">
        <v>570</v>
      </c>
    </row>
    <row r="669" spans="1:8" ht="14">
      <c r="A669" s="43"/>
      <c r="B669" s="44" t="s">
        <v>275</v>
      </c>
      <c r="C669" s="9" t="s">
        <v>13</v>
      </c>
      <c r="D669" s="262"/>
      <c r="E669" s="289" t="s">
        <v>571</v>
      </c>
      <c r="F669" s="164" t="s">
        <v>571</v>
      </c>
      <c r="G669" s="310">
        <v>668</v>
      </c>
      <c r="H669" t="s">
        <v>570</v>
      </c>
    </row>
    <row r="670" spans="1:8" ht="14">
      <c r="A670" s="43"/>
      <c r="B670" s="44" t="s">
        <v>447</v>
      </c>
      <c r="C670" s="9" t="s">
        <v>13</v>
      </c>
      <c r="D670" s="262"/>
      <c r="E670" s="289" t="s">
        <v>571</v>
      </c>
      <c r="F670" s="164" t="s">
        <v>571</v>
      </c>
      <c r="G670" s="310">
        <v>669</v>
      </c>
      <c r="H670" t="s">
        <v>570</v>
      </c>
    </row>
    <row r="671" spans="1:8" ht="14">
      <c r="A671" s="43"/>
      <c r="B671" s="44"/>
      <c r="C671" s="9"/>
      <c r="D671" s="262"/>
      <c r="E671" s="289" t="s">
        <v>571</v>
      </c>
      <c r="F671" s="164" t="s">
        <v>571</v>
      </c>
      <c r="G671" s="310">
        <v>670</v>
      </c>
      <c r="H671" t="s">
        <v>570</v>
      </c>
    </row>
    <row r="672" spans="1:8" ht="14">
      <c r="A672" s="43"/>
      <c r="B672" s="44" t="s">
        <v>54</v>
      </c>
      <c r="C672" s="9" t="s">
        <v>13</v>
      </c>
      <c r="D672" s="262"/>
      <c r="E672" s="289" t="s">
        <v>571</v>
      </c>
      <c r="F672" s="164" t="s">
        <v>571</v>
      </c>
      <c r="G672" s="310">
        <v>671</v>
      </c>
      <c r="H672" t="s">
        <v>570</v>
      </c>
    </row>
    <row r="673" spans="1:8" ht="14">
      <c r="A673" s="43"/>
      <c r="B673" s="44" t="s">
        <v>55</v>
      </c>
      <c r="C673" s="9" t="s">
        <v>13</v>
      </c>
      <c r="D673" s="262"/>
      <c r="E673" s="289" t="s">
        <v>571</v>
      </c>
      <c r="F673" s="164" t="s">
        <v>571</v>
      </c>
      <c r="G673" s="310">
        <v>672</v>
      </c>
      <c r="H673" t="s">
        <v>570</v>
      </c>
    </row>
    <row r="674" spans="1:8" ht="14">
      <c r="A674" s="43"/>
      <c r="B674" s="44" t="s">
        <v>268</v>
      </c>
      <c r="C674" s="9" t="s">
        <v>13</v>
      </c>
      <c r="D674" s="262"/>
      <c r="E674" s="289" t="s">
        <v>571</v>
      </c>
      <c r="F674" s="164" t="s">
        <v>571</v>
      </c>
      <c r="G674" s="310">
        <v>673</v>
      </c>
      <c r="H674" t="s">
        <v>570</v>
      </c>
    </row>
    <row r="675" spans="1:8" ht="14">
      <c r="A675" s="43"/>
      <c r="B675" s="44" t="s">
        <v>271</v>
      </c>
      <c r="C675" s="9" t="s">
        <v>13</v>
      </c>
      <c r="D675" s="262"/>
      <c r="E675" s="289" t="s">
        <v>571</v>
      </c>
      <c r="F675" s="164" t="s">
        <v>571</v>
      </c>
      <c r="G675" s="310">
        <v>674</v>
      </c>
      <c r="H675" t="s">
        <v>570</v>
      </c>
    </row>
    <row r="676" spans="1:8" ht="14">
      <c r="A676" s="43"/>
      <c r="B676" s="44" t="s">
        <v>272</v>
      </c>
      <c r="C676" s="9" t="s">
        <v>13</v>
      </c>
      <c r="D676" s="262"/>
      <c r="E676" s="289" t="s">
        <v>571</v>
      </c>
      <c r="F676" s="164" t="s">
        <v>571</v>
      </c>
      <c r="G676" s="310">
        <v>675</v>
      </c>
      <c r="H676" t="s">
        <v>570</v>
      </c>
    </row>
    <row r="677" spans="1:8" ht="14">
      <c r="A677" s="43"/>
      <c r="B677" s="44" t="s">
        <v>126</v>
      </c>
      <c r="C677" s="9" t="s">
        <v>13</v>
      </c>
      <c r="D677" s="262"/>
      <c r="E677" s="289" t="s">
        <v>571</v>
      </c>
      <c r="F677" s="164" t="s">
        <v>571</v>
      </c>
      <c r="G677" s="310">
        <v>676</v>
      </c>
      <c r="H677" t="s">
        <v>570</v>
      </c>
    </row>
    <row r="678" spans="1:8" ht="14">
      <c r="A678" s="43"/>
      <c r="B678" s="44" t="s">
        <v>101</v>
      </c>
      <c r="C678" s="9" t="s">
        <v>13</v>
      </c>
      <c r="D678" s="262"/>
      <c r="E678" s="289" t="s">
        <v>571</v>
      </c>
      <c r="F678" s="164" t="s">
        <v>571</v>
      </c>
      <c r="G678" s="310">
        <v>677</v>
      </c>
      <c r="H678" t="s">
        <v>570</v>
      </c>
    </row>
    <row r="679" spans="1:8" ht="14">
      <c r="A679" s="43"/>
      <c r="B679" s="44" t="s">
        <v>266</v>
      </c>
      <c r="C679" s="9" t="s">
        <v>13</v>
      </c>
      <c r="D679" s="262"/>
      <c r="E679" s="289" t="s">
        <v>571</v>
      </c>
      <c r="F679" s="164" t="s">
        <v>571</v>
      </c>
      <c r="G679" s="310">
        <v>678</v>
      </c>
      <c r="H679" t="s">
        <v>570</v>
      </c>
    </row>
    <row r="680" spans="1:8" ht="14">
      <c r="A680" s="43"/>
      <c r="B680" s="44" t="s">
        <v>276</v>
      </c>
      <c r="C680" s="9" t="s">
        <v>13</v>
      </c>
      <c r="D680" s="262"/>
      <c r="E680" s="289" t="s">
        <v>571</v>
      </c>
      <c r="F680" s="164" t="s">
        <v>571</v>
      </c>
      <c r="G680" s="310">
        <v>679</v>
      </c>
      <c r="H680" t="s">
        <v>570</v>
      </c>
    </row>
    <row r="681" spans="1:8" ht="14">
      <c r="A681" s="43"/>
      <c r="B681" s="44" t="s">
        <v>277</v>
      </c>
      <c r="C681" s="9" t="s">
        <v>13</v>
      </c>
      <c r="D681" s="262"/>
      <c r="E681" s="289" t="s">
        <v>571</v>
      </c>
      <c r="F681" s="164" t="s">
        <v>571</v>
      </c>
      <c r="G681" s="310">
        <v>680</v>
      </c>
      <c r="H681" t="s">
        <v>570</v>
      </c>
    </row>
    <row r="682" spans="1:8" ht="14">
      <c r="A682" s="43"/>
      <c r="B682" s="44"/>
      <c r="C682" s="9"/>
      <c r="D682" s="262"/>
      <c r="E682" s="289" t="s">
        <v>571</v>
      </c>
      <c r="F682" s="164" t="s">
        <v>571</v>
      </c>
      <c r="G682" s="310">
        <v>681</v>
      </c>
      <c r="H682" t="s">
        <v>570</v>
      </c>
    </row>
    <row r="683" spans="1:8" ht="14">
      <c r="A683" s="43"/>
      <c r="B683" s="44" t="s">
        <v>446</v>
      </c>
      <c r="C683" s="9" t="s">
        <v>1</v>
      </c>
      <c r="D683" s="262"/>
      <c r="E683" s="289" t="s">
        <v>571</v>
      </c>
      <c r="F683" s="164" t="s">
        <v>571</v>
      </c>
      <c r="G683" s="310">
        <v>682</v>
      </c>
      <c r="H683" t="s">
        <v>570</v>
      </c>
    </row>
    <row r="684" spans="1:8" ht="14">
      <c r="A684" s="43"/>
      <c r="B684" s="44" t="s">
        <v>167</v>
      </c>
      <c r="C684" s="9" t="s">
        <v>13</v>
      </c>
      <c r="D684" s="262">
        <v>2</v>
      </c>
      <c r="E684" s="289">
        <v>0</v>
      </c>
      <c r="F684" s="164">
        <v>0</v>
      </c>
      <c r="G684" s="310">
        <v>683</v>
      </c>
      <c r="H684" t="s">
        <v>570</v>
      </c>
    </row>
    <row r="685" spans="1:8" ht="14">
      <c r="A685" s="43"/>
      <c r="B685" s="44"/>
      <c r="C685" s="9"/>
      <c r="D685" s="262"/>
      <c r="E685" s="289" t="s">
        <v>571</v>
      </c>
      <c r="F685" s="164" t="s">
        <v>571</v>
      </c>
      <c r="G685" s="310">
        <v>684</v>
      </c>
      <c r="H685" t="s">
        <v>570</v>
      </c>
    </row>
    <row r="686" spans="1:8" ht="14">
      <c r="A686" s="43"/>
      <c r="B686" s="132" t="s">
        <v>444</v>
      </c>
      <c r="C686" s="9" t="s">
        <v>13</v>
      </c>
      <c r="D686" s="262"/>
      <c r="E686" s="289" t="s">
        <v>571</v>
      </c>
      <c r="F686" s="164" t="s">
        <v>571</v>
      </c>
      <c r="G686" s="310">
        <v>685</v>
      </c>
      <c r="H686" t="s">
        <v>570</v>
      </c>
    </row>
    <row r="687" spans="1:8" ht="14">
      <c r="A687" s="43"/>
      <c r="B687" s="132" t="s">
        <v>445</v>
      </c>
      <c r="C687" s="9" t="s">
        <v>13</v>
      </c>
      <c r="D687" s="262">
        <v>2</v>
      </c>
      <c r="E687" s="289">
        <v>0</v>
      </c>
      <c r="F687" s="164">
        <v>0</v>
      </c>
      <c r="G687" s="310">
        <v>686</v>
      </c>
      <c r="H687" t="s">
        <v>570</v>
      </c>
    </row>
    <row r="688" spans="1:8" ht="14">
      <c r="A688" s="43"/>
      <c r="B688" s="132" t="s">
        <v>443</v>
      </c>
      <c r="C688" s="9" t="s">
        <v>13</v>
      </c>
      <c r="D688" s="262"/>
      <c r="E688" s="289" t="s">
        <v>571</v>
      </c>
      <c r="F688" s="164" t="s">
        <v>571</v>
      </c>
      <c r="G688" s="310">
        <v>687</v>
      </c>
      <c r="H688" t="s">
        <v>570</v>
      </c>
    </row>
    <row r="689" spans="1:8" ht="14">
      <c r="A689" s="43"/>
      <c r="B689" s="132" t="s">
        <v>264</v>
      </c>
      <c r="C689" s="9" t="s">
        <v>13</v>
      </c>
      <c r="D689" s="262">
        <v>13</v>
      </c>
      <c r="E689" s="289">
        <v>0</v>
      </c>
      <c r="F689" s="164">
        <v>0</v>
      </c>
      <c r="G689" s="310">
        <v>688</v>
      </c>
      <c r="H689" t="s">
        <v>570</v>
      </c>
    </row>
    <row r="690" spans="1:8" ht="14">
      <c r="A690" s="43"/>
      <c r="B690" s="132" t="s">
        <v>265</v>
      </c>
      <c r="C690" s="9" t="s">
        <v>13</v>
      </c>
      <c r="D690" s="262">
        <v>13</v>
      </c>
      <c r="E690" s="289">
        <v>0</v>
      </c>
      <c r="F690" s="164">
        <v>0</v>
      </c>
      <c r="G690" s="310">
        <v>689</v>
      </c>
      <c r="H690" t="s">
        <v>570</v>
      </c>
    </row>
    <row r="691" spans="1:8" ht="14">
      <c r="A691" s="43"/>
      <c r="B691" s="44"/>
      <c r="C691" s="9"/>
      <c r="D691" s="262"/>
      <c r="E691" s="289" t="s">
        <v>571</v>
      </c>
      <c r="F691" s="164" t="s">
        <v>571</v>
      </c>
      <c r="G691" s="310">
        <v>690</v>
      </c>
      <c r="H691" t="s">
        <v>570</v>
      </c>
    </row>
    <row r="692" spans="1:8" ht="14">
      <c r="A692" s="43"/>
      <c r="B692" s="44" t="s">
        <v>166</v>
      </c>
      <c r="C692" s="9" t="s">
        <v>13</v>
      </c>
      <c r="D692" s="262">
        <v>1</v>
      </c>
      <c r="E692" s="289">
        <v>0</v>
      </c>
      <c r="F692" s="164">
        <v>0</v>
      </c>
      <c r="G692" s="310">
        <v>691</v>
      </c>
      <c r="H692" t="s">
        <v>570</v>
      </c>
    </row>
    <row r="693" spans="1:8" ht="14">
      <c r="A693" s="43"/>
      <c r="B693" s="132"/>
      <c r="C693" s="8"/>
      <c r="D693" s="262"/>
      <c r="E693" s="289" t="s">
        <v>571</v>
      </c>
      <c r="F693" s="164" t="s">
        <v>571</v>
      </c>
      <c r="G693" s="310">
        <v>692</v>
      </c>
      <c r="H693" t="s">
        <v>570</v>
      </c>
    </row>
    <row r="694" spans="1:8" ht="14">
      <c r="A694" s="43"/>
      <c r="B694" s="39" t="s">
        <v>280</v>
      </c>
      <c r="C694" s="9"/>
      <c r="D694" s="262"/>
      <c r="E694" s="289" t="s">
        <v>571</v>
      </c>
      <c r="F694" s="164" t="s">
        <v>571</v>
      </c>
      <c r="G694" s="310">
        <v>693</v>
      </c>
      <c r="H694" t="s">
        <v>570</v>
      </c>
    </row>
    <row r="695" spans="1:8" ht="14">
      <c r="A695" s="43"/>
      <c r="B695" s="39" t="s">
        <v>281</v>
      </c>
      <c r="C695" s="27" t="s">
        <v>12</v>
      </c>
      <c r="D695" s="262">
        <v>6</v>
      </c>
      <c r="E695" s="289">
        <v>0</v>
      </c>
      <c r="F695" s="164">
        <v>0</v>
      </c>
      <c r="G695" s="310">
        <v>694</v>
      </c>
      <c r="H695" t="s">
        <v>570</v>
      </c>
    </row>
    <row r="696" spans="1:8" ht="14">
      <c r="A696" s="43"/>
      <c r="B696" s="38"/>
      <c r="C696" s="9"/>
      <c r="D696" s="262"/>
      <c r="E696" s="289" t="s">
        <v>571</v>
      </c>
      <c r="F696" s="164" t="s">
        <v>571</v>
      </c>
      <c r="G696" s="310">
        <v>695</v>
      </c>
      <c r="H696" t="s">
        <v>570</v>
      </c>
    </row>
    <row r="697" spans="1:8" ht="14">
      <c r="A697" s="43"/>
      <c r="B697" s="73" t="s">
        <v>390</v>
      </c>
      <c r="C697" s="72"/>
      <c r="D697" s="262"/>
      <c r="E697" s="289" t="s">
        <v>571</v>
      </c>
      <c r="F697" s="164" t="s">
        <v>571</v>
      </c>
      <c r="G697" s="310">
        <v>696</v>
      </c>
      <c r="H697" t="s">
        <v>570</v>
      </c>
    </row>
    <row r="698" spans="1:8" ht="14">
      <c r="A698" s="43"/>
      <c r="B698" s="127"/>
      <c r="C698" s="9"/>
      <c r="D698" s="262"/>
      <c r="E698" s="289" t="s">
        <v>571</v>
      </c>
      <c r="F698" s="164" t="s">
        <v>571</v>
      </c>
      <c r="G698" s="310">
        <v>697</v>
      </c>
      <c r="H698" t="s">
        <v>570</v>
      </c>
    </row>
    <row r="699" spans="1:8" ht="14">
      <c r="A699" s="2"/>
      <c r="B699" s="35" t="s">
        <v>111</v>
      </c>
      <c r="C699" s="9"/>
      <c r="D699" s="262"/>
      <c r="E699" s="289" t="s">
        <v>571</v>
      </c>
      <c r="F699" s="164" t="s">
        <v>571</v>
      </c>
      <c r="G699" s="310">
        <v>698</v>
      </c>
      <c r="H699" t="s">
        <v>570</v>
      </c>
    </row>
    <row r="700" spans="1:8" ht="14">
      <c r="A700" s="2"/>
      <c r="B700" s="11"/>
      <c r="C700" s="9"/>
      <c r="D700" s="262"/>
      <c r="E700" s="289" t="s">
        <v>571</v>
      </c>
      <c r="F700" s="164" t="s">
        <v>571</v>
      </c>
      <c r="G700" s="310">
        <v>699</v>
      </c>
      <c r="H700" t="s">
        <v>570</v>
      </c>
    </row>
    <row r="701" spans="1:8" ht="14">
      <c r="A701" s="2" t="s">
        <v>190</v>
      </c>
      <c r="B701" s="41" t="s">
        <v>60</v>
      </c>
      <c r="C701" s="9"/>
      <c r="D701" s="262"/>
      <c r="E701" s="289" t="s">
        <v>571</v>
      </c>
      <c r="F701" s="164" t="s">
        <v>571</v>
      </c>
      <c r="G701" s="310">
        <v>700</v>
      </c>
      <c r="H701" t="s">
        <v>570</v>
      </c>
    </row>
    <row r="702" spans="1:8" ht="14">
      <c r="A702" s="2"/>
      <c r="B702" s="42"/>
      <c r="C702" s="9"/>
      <c r="D702" s="262"/>
      <c r="E702" s="289" t="s">
        <v>571</v>
      </c>
      <c r="F702" s="164" t="s">
        <v>571</v>
      </c>
      <c r="G702" s="310">
        <v>701</v>
      </c>
      <c r="H702" t="s">
        <v>570</v>
      </c>
    </row>
    <row r="703" spans="1:8" ht="14">
      <c r="A703" s="69"/>
      <c r="B703" s="42" t="s">
        <v>391</v>
      </c>
      <c r="C703" s="9" t="s">
        <v>13</v>
      </c>
      <c r="D703" s="262">
        <v>105</v>
      </c>
      <c r="E703" s="289">
        <v>0</v>
      </c>
      <c r="F703" s="164">
        <v>0</v>
      </c>
      <c r="G703" s="310">
        <v>702</v>
      </c>
      <c r="H703" t="s">
        <v>570</v>
      </c>
    </row>
    <row r="704" spans="1:8" ht="14">
      <c r="A704" s="69"/>
      <c r="B704" s="42" t="s">
        <v>335</v>
      </c>
      <c r="C704" s="9" t="s">
        <v>13</v>
      </c>
      <c r="D704" s="262">
        <v>468</v>
      </c>
      <c r="E704" s="289">
        <v>0</v>
      </c>
      <c r="F704" s="164">
        <v>0</v>
      </c>
      <c r="G704" s="310">
        <v>703</v>
      </c>
      <c r="H704" t="s">
        <v>570</v>
      </c>
    </row>
    <row r="705" spans="1:8" ht="14">
      <c r="A705" s="69"/>
      <c r="B705" s="42" t="s">
        <v>392</v>
      </c>
      <c r="C705" s="9" t="s">
        <v>12</v>
      </c>
      <c r="D705" s="262"/>
      <c r="E705" s="289" t="s">
        <v>571</v>
      </c>
      <c r="F705" s="164" t="s">
        <v>571</v>
      </c>
      <c r="G705" s="310">
        <v>704</v>
      </c>
      <c r="H705" t="s">
        <v>570</v>
      </c>
    </row>
    <row r="706" spans="1:8" ht="14">
      <c r="A706" s="69"/>
      <c r="B706" s="42" t="s">
        <v>56</v>
      </c>
      <c r="C706" s="14" t="s">
        <v>12</v>
      </c>
      <c r="D706" s="262"/>
      <c r="E706" s="289" t="s">
        <v>571</v>
      </c>
      <c r="F706" s="164" t="s">
        <v>571</v>
      </c>
      <c r="G706" s="310">
        <v>705</v>
      </c>
      <c r="H706" t="s">
        <v>570</v>
      </c>
    </row>
    <row r="707" spans="1:8" ht="14">
      <c r="A707" s="69"/>
      <c r="B707" s="42"/>
      <c r="C707" s="14"/>
      <c r="D707" s="262"/>
      <c r="E707" s="289" t="s">
        <v>571</v>
      </c>
      <c r="F707" s="164" t="s">
        <v>571</v>
      </c>
      <c r="G707" s="310">
        <v>706</v>
      </c>
      <c r="H707" t="s">
        <v>570</v>
      </c>
    </row>
    <row r="708" spans="1:8" ht="25">
      <c r="A708" s="69"/>
      <c r="B708" s="42" t="s">
        <v>172</v>
      </c>
      <c r="C708" s="9" t="s">
        <v>12</v>
      </c>
      <c r="D708" s="262"/>
      <c r="E708" s="289" t="s">
        <v>571</v>
      </c>
      <c r="F708" s="164" t="s">
        <v>571</v>
      </c>
      <c r="G708" s="310">
        <v>707</v>
      </c>
      <c r="H708" t="s">
        <v>570</v>
      </c>
    </row>
    <row r="709" spans="1:8" ht="14">
      <c r="A709" s="70"/>
      <c r="B709" s="38"/>
      <c r="C709" s="9"/>
      <c r="D709" s="262"/>
      <c r="E709" s="289" t="s">
        <v>571</v>
      </c>
      <c r="F709" s="164" t="s">
        <v>571</v>
      </c>
      <c r="G709" s="310">
        <v>708</v>
      </c>
      <c r="H709" t="s">
        <v>570</v>
      </c>
    </row>
    <row r="710" spans="1:8" ht="14">
      <c r="A710" s="2"/>
      <c r="B710" s="35" t="s">
        <v>191</v>
      </c>
      <c r="C710" s="9"/>
      <c r="D710" s="262"/>
      <c r="E710" s="289" t="s">
        <v>571</v>
      </c>
      <c r="F710" s="164" t="s">
        <v>571</v>
      </c>
      <c r="G710" s="310">
        <v>709</v>
      </c>
      <c r="H710" t="s">
        <v>570</v>
      </c>
    </row>
    <row r="711" spans="1:8" ht="14">
      <c r="A711" s="2"/>
      <c r="B711" s="11"/>
      <c r="C711" s="9"/>
      <c r="D711" s="262"/>
      <c r="E711" s="289" t="s">
        <v>571</v>
      </c>
      <c r="F711" s="164" t="s">
        <v>571</v>
      </c>
      <c r="G711" s="310">
        <v>710</v>
      </c>
      <c r="H711" t="s">
        <v>570</v>
      </c>
    </row>
    <row r="712" spans="1:8" ht="14">
      <c r="A712" s="2" t="s">
        <v>84</v>
      </c>
      <c r="B712" s="41" t="s">
        <v>102</v>
      </c>
      <c r="C712" s="9"/>
      <c r="D712" s="262"/>
      <c r="E712" s="289" t="s">
        <v>571</v>
      </c>
      <c r="F712" s="164" t="s">
        <v>571</v>
      </c>
      <c r="G712" s="310">
        <v>711</v>
      </c>
      <c r="H712" t="s">
        <v>570</v>
      </c>
    </row>
    <row r="713" spans="1:8" ht="14">
      <c r="A713" s="2"/>
      <c r="B713" s="42"/>
      <c r="C713" s="9"/>
      <c r="D713" s="262"/>
      <c r="E713" s="289" t="s">
        <v>571</v>
      </c>
      <c r="F713" s="164" t="s">
        <v>571</v>
      </c>
      <c r="G713" s="310">
        <v>712</v>
      </c>
      <c r="H713" t="s">
        <v>570</v>
      </c>
    </row>
    <row r="714" spans="1:8" ht="14">
      <c r="A714" s="2"/>
      <c r="B714" s="42" t="s">
        <v>134</v>
      </c>
      <c r="C714" s="9" t="s">
        <v>13</v>
      </c>
      <c r="D714" s="262">
        <v>105</v>
      </c>
      <c r="E714" s="289">
        <v>0</v>
      </c>
      <c r="F714" s="164">
        <v>0</v>
      </c>
      <c r="G714" s="310">
        <v>713</v>
      </c>
      <c r="H714" t="s">
        <v>570</v>
      </c>
    </row>
    <row r="715" spans="1:8" ht="14">
      <c r="A715" s="2"/>
      <c r="B715" s="42" t="s">
        <v>340</v>
      </c>
      <c r="C715" s="9" t="s">
        <v>13</v>
      </c>
      <c r="D715" s="262">
        <v>209</v>
      </c>
      <c r="E715" s="289">
        <v>0</v>
      </c>
      <c r="F715" s="164">
        <v>0</v>
      </c>
      <c r="G715" s="310">
        <v>714</v>
      </c>
      <c r="H715" t="s">
        <v>570</v>
      </c>
    </row>
    <row r="716" spans="1:8" ht="25">
      <c r="A716" s="2"/>
      <c r="B716" s="42" t="s">
        <v>57</v>
      </c>
      <c r="C716" s="9" t="s">
        <v>12</v>
      </c>
      <c r="D716" s="262"/>
      <c r="E716" s="289" t="s">
        <v>571</v>
      </c>
      <c r="F716" s="164" t="s">
        <v>571</v>
      </c>
      <c r="G716" s="310">
        <v>715</v>
      </c>
      <c r="H716" t="s">
        <v>570</v>
      </c>
    </row>
    <row r="717" spans="1:8" ht="14.5" thickBot="1">
      <c r="A717" s="19"/>
      <c r="B717" s="38"/>
      <c r="C717" s="9"/>
      <c r="D717" s="262"/>
      <c r="E717" s="289" t="s">
        <v>571</v>
      </c>
      <c r="F717" s="164" t="s">
        <v>571</v>
      </c>
      <c r="G717" s="310">
        <v>716</v>
      </c>
      <c r="H717" t="s">
        <v>570</v>
      </c>
    </row>
    <row r="718" spans="1:8" ht="13.5" thickBot="1">
      <c r="A718" s="65"/>
      <c r="B718" s="66" t="s">
        <v>114</v>
      </c>
      <c r="C718" s="74"/>
      <c r="D718" s="265"/>
      <c r="E718" s="75"/>
      <c r="F718" s="120"/>
      <c r="G718" s="310">
        <v>717</v>
      </c>
      <c r="H718" t="s">
        <v>570</v>
      </c>
    </row>
    <row r="719" spans="1:8" ht="13">
      <c r="A719" s="17"/>
      <c r="B719" s="124" t="s">
        <v>2</v>
      </c>
      <c r="C719" s="53"/>
      <c r="D719" s="262"/>
      <c r="E719" s="123"/>
      <c r="F719" s="121"/>
      <c r="G719" s="312">
        <v>718</v>
      </c>
      <c r="H719" t="s">
        <v>578</v>
      </c>
    </row>
    <row r="720" spans="1:8" ht="13">
      <c r="A720" s="125"/>
      <c r="B720" s="124"/>
      <c r="C720" s="71"/>
      <c r="D720" s="262"/>
      <c r="E720" s="123"/>
      <c r="F720" s="121"/>
      <c r="G720" s="312">
        <v>719</v>
      </c>
      <c r="H720" t="s">
        <v>578</v>
      </c>
    </row>
    <row r="721" spans="1:8" ht="14">
      <c r="A721" s="125"/>
      <c r="B721" s="139" t="s">
        <v>321</v>
      </c>
      <c r="C721" s="71"/>
      <c r="D721" s="262"/>
      <c r="E721" s="123"/>
      <c r="F721" s="121"/>
      <c r="G721" s="312">
        <v>720</v>
      </c>
      <c r="H721" t="s">
        <v>578</v>
      </c>
    </row>
    <row r="722" spans="1:8" ht="13">
      <c r="A722" s="19"/>
      <c r="B722" s="20"/>
      <c r="C722" s="22"/>
      <c r="D722" s="263"/>
      <c r="E722" s="59"/>
      <c r="F722" s="121"/>
      <c r="G722" s="312">
        <v>721</v>
      </c>
      <c r="H722" t="s">
        <v>578</v>
      </c>
    </row>
    <row r="723" spans="1:8" ht="13">
      <c r="A723" s="19">
        <v>3</v>
      </c>
      <c r="B723" s="23" t="s">
        <v>61</v>
      </c>
      <c r="C723" s="54"/>
      <c r="D723" s="263"/>
      <c r="E723" s="59"/>
      <c r="F723" s="121"/>
      <c r="G723" s="312">
        <v>722</v>
      </c>
      <c r="H723" t="s">
        <v>578</v>
      </c>
    </row>
    <row r="724" spans="1:8" ht="13">
      <c r="A724" s="19"/>
      <c r="B724" s="23"/>
      <c r="C724" s="54"/>
      <c r="D724" s="263"/>
      <c r="E724" s="59"/>
      <c r="F724" s="121"/>
      <c r="G724" s="312">
        <v>723</v>
      </c>
      <c r="H724" t="s">
        <v>578</v>
      </c>
    </row>
    <row r="725" spans="1:8" ht="26">
      <c r="A725" s="19"/>
      <c r="B725" s="76" t="s">
        <v>574</v>
      </c>
      <c r="C725" s="54"/>
      <c r="D725" s="263"/>
      <c r="E725" s="59"/>
      <c r="F725" s="121"/>
      <c r="G725" s="312">
        <v>724</v>
      </c>
      <c r="H725" t="s">
        <v>578</v>
      </c>
    </row>
    <row r="726" spans="1:8" ht="13">
      <c r="A726" s="19"/>
      <c r="B726" s="24"/>
      <c r="C726" s="54"/>
      <c r="D726" s="263"/>
      <c r="E726" s="59"/>
      <c r="F726" s="121"/>
      <c r="G726" s="312">
        <v>725</v>
      </c>
      <c r="H726" t="s">
        <v>578</v>
      </c>
    </row>
    <row r="727" spans="1:8" ht="14">
      <c r="A727" s="19" t="s">
        <v>349</v>
      </c>
      <c r="B727" s="78" t="s">
        <v>122</v>
      </c>
      <c r="C727" s="54"/>
      <c r="D727" s="262"/>
      <c r="E727" s="289" t="s">
        <v>571</v>
      </c>
      <c r="F727" s="164" t="s">
        <v>571</v>
      </c>
      <c r="G727" s="312">
        <v>726</v>
      </c>
      <c r="H727" t="s">
        <v>578</v>
      </c>
    </row>
    <row r="728" spans="1:8" ht="14">
      <c r="A728" s="19"/>
      <c r="B728" s="26"/>
      <c r="C728" s="54"/>
      <c r="D728" s="262"/>
      <c r="E728" s="289" t="s">
        <v>571</v>
      </c>
      <c r="F728" s="164" t="s">
        <v>571</v>
      </c>
      <c r="G728" s="312">
        <v>727</v>
      </c>
      <c r="H728" t="s">
        <v>578</v>
      </c>
    </row>
    <row r="729" spans="1:8" ht="25">
      <c r="A729" s="45"/>
      <c r="B729" s="79" t="s">
        <v>322</v>
      </c>
      <c r="C729" s="46" t="s">
        <v>12</v>
      </c>
      <c r="D729" s="264">
        <v>1</v>
      </c>
      <c r="E729" s="289">
        <v>0</v>
      </c>
      <c r="F729" s="164">
        <v>0</v>
      </c>
      <c r="G729" s="312">
        <v>728</v>
      </c>
      <c r="H729" t="s">
        <v>578</v>
      </c>
    </row>
    <row r="730" spans="1:8" ht="25">
      <c r="A730" s="45"/>
      <c r="B730" s="79" t="s">
        <v>323</v>
      </c>
      <c r="C730" s="46" t="s">
        <v>33</v>
      </c>
      <c r="D730" s="262"/>
      <c r="E730" s="289" t="s">
        <v>571</v>
      </c>
      <c r="F730" s="164" t="s">
        <v>571</v>
      </c>
      <c r="G730" s="312">
        <v>729</v>
      </c>
      <c r="H730" t="s">
        <v>578</v>
      </c>
    </row>
    <row r="731" spans="1:8" ht="14">
      <c r="A731" s="45"/>
      <c r="B731" s="80" t="s">
        <v>123</v>
      </c>
      <c r="C731" s="46" t="s">
        <v>12</v>
      </c>
      <c r="D731" s="262">
        <v>1</v>
      </c>
      <c r="E731" s="289">
        <v>0</v>
      </c>
      <c r="F731" s="164">
        <v>0</v>
      </c>
      <c r="G731" s="312">
        <v>730</v>
      </c>
      <c r="H731" t="s">
        <v>578</v>
      </c>
    </row>
    <row r="732" spans="1:8" ht="14">
      <c r="A732" s="19"/>
      <c r="B732" s="23"/>
      <c r="C732" s="54"/>
      <c r="D732" s="262"/>
      <c r="E732" s="289" t="s">
        <v>571</v>
      </c>
      <c r="F732" s="164" t="s">
        <v>571</v>
      </c>
      <c r="G732" s="312">
        <v>731</v>
      </c>
      <c r="H732" t="s">
        <v>578</v>
      </c>
    </row>
    <row r="733" spans="1:8" ht="37.5">
      <c r="A733" s="19"/>
      <c r="B733" s="82" t="s">
        <v>324</v>
      </c>
      <c r="C733" s="46" t="s">
        <v>12</v>
      </c>
      <c r="D733" s="262">
        <v>73</v>
      </c>
      <c r="E733" s="289">
        <v>0</v>
      </c>
      <c r="F733" s="164">
        <v>0</v>
      </c>
      <c r="G733" s="312">
        <v>732</v>
      </c>
      <c r="H733" t="s">
        <v>578</v>
      </c>
    </row>
    <row r="734" spans="1:8" ht="14">
      <c r="A734" s="19"/>
      <c r="B734" s="82"/>
      <c r="C734" s="46"/>
      <c r="D734" s="262"/>
      <c r="E734" s="289" t="s">
        <v>571</v>
      </c>
      <c r="F734" s="164" t="s">
        <v>571</v>
      </c>
      <c r="G734" s="312">
        <v>733</v>
      </c>
      <c r="H734" t="s">
        <v>578</v>
      </c>
    </row>
    <row r="735" spans="1:8" ht="37.5">
      <c r="A735" s="19"/>
      <c r="B735" s="82" t="s">
        <v>246</v>
      </c>
      <c r="C735" s="46" t="s">
        <v>12</v>
      </c>
      <c r="D735" s="262">
        <v>1</v>
      </c>
      <c r="E735" s="289">
        <v>0</v>
      </c>
      <c r="F735" s="164">
        <v>0</v>
      </c>
      <c r="G735" s="312">
        <v>734</v>
      </c>
      <c r="H735" t="s">
        <v>578</v>
      </c>
    </row>
    <row r="736" spans="1:8" ht="14">
      <c r="A736" s="19"/>
      <c r="B736" s="23"/>
      <c r="C736" s="54"/>
      <c r="D736" s="262"/>
      <c r="E736" s="289" t="s">
        <v>571</v>
      </c>
      <c r="F736" s="164" t="s">
        <v>571</v>
      </c>
      <c r="G736" s="312">
        <v>735</v>
      </c>
      <c r="H736" t="s">
        <v>578</v>
      </c>
    </row>
    <row r="737" spans="1:8" ht="14">
      <c r="A737" s="110"/>
      <c r="B737" s="80" t="s">
        <v>123</v>
      </c>
      <c r="C737" s="46" t="s">
        <v>12</v>
      </c>
      <c r="D737" s="262">
        <v>1</v>
      </c>
      <c r="E737" s="289">
        <v>0</v>
      </c>
      <c r="F737" s="164">
        <v>0</v>
      </c>
      <c r="G737" s="312">
        <v>736</v>
      </c>
      <c r="H737" t="s">
        <v>578</v>
      </c>
    </row>
    <row r="738" spans="1:8" ht="14">
      <c r="A738" s="110"/>
      <c r="B738" s="88" t="s">
        <v>124</v>
      </c>
      <c r="C738" s="54" t="s">
        <v>12</v>
      </c>
      <c r="D738" s="262">
        <v>1</v>
      </c>
      <c r="E738" s="289">
        <v>0</v>
      </c>
      <c r="F738" s="164">
        <v>0</v>
      </c>
      <c r="G738" s="312">
        <v>737</v>
      </c>
      <c r="H738" t="s">
        <v>578</v>
      </c>
    </row>
    <row r="739" spans="1:8" ht="14">
      <c r="A739" s="110"/>
      <c r="B739" s="88"/>
      <c r="C739" s="54"/>
      <c r="D739" s="262"/>
      <c r="E739" s="289" t="s">
        <v>571</v>
      </c>
      <c r="F739" s="164" t="s">
        <v>571</v>
      </c>
      <c r="G739" s="312">
        <v>738</v>
      </c>
      <c r="H739" t="s">
        <v>578</v>
      </c>
    </row>
    <row r="740" spans="1:8" ht="25">
      <c r="A740" s="110"/>
      <c r="B740" s="88" t="s">
        <v>143</v>
      </c>
      <c r="C740" s="54" t="s">
        <v>13</v>
      </c>
      <c r="D740" s="262">
        <v>3</v>
      </c>
      <c r="E740" s="289">
        <v>0</v>
      </c>
      <c r="F740" s="164">
        <v>0</v>
      </c>
      <c r="G740" s="312">
        <v>739</v>
      </c>
      <c r="H740" t="s">
        <v>578</v>
      </c>
    </row>
    <row r="741" spans="1:8" ht="14">
      <c r="A741" s="110"/>
      <c r="B741" s="88"/>
      <c r="C741" s="54"/>
      <c r="D741" s="262"/>
      <c r="E741" s="289" t="s">
        <v>571</v>
      </c>
      <c r="F741" s="164" t="s">
        <v>571</v>
      </c>
      <c r="G741" s="312">
        <v>740</v>
      </c>
      <c r="H741" t="s">
        <v>578</v>
      </c>
    </row>
    <row r="742" spans="1:8" ht="25">
      <c r="A742" s="19" t="s">
        <v>350</v>
      </c>
      <c r="B742" s="99" t="s">
        <v>464</v>
      </c>
      <c r="C742" s="102" t="s">
        <v>138</v>
      </c>
      <c r="D742" s="262">
        <v>49</v>
      </c>
      <c r="E742" s="289">
        <v>0</v>
      </c>
      <c r="F742" s="164">
        <v>0</v>
      </c>
      <c r="G742" s="312">
        <v>741</v>
      </c>
      <c r="H742" t="s">
        <v>578</v>
      </c>
    </row>
    <row r="743" spans="1:8" ht="25">
      <c r="A743" s="19"/>
      <c r="B743" s="99" t="s">
        <v>250</v>
      </c>
      <c r="C743" s="102" t="s">
        <v>138</v>
      </c>
      <c r="D743" s="262"/>
      <c r="E743" s="289" t="s">
        <v>571</v>
      </c>
      <c r="F743" s="164" t="s">
        <v>571</v>
      </c>
      <c r="G743" s="312">
        <v>742</v>
      </c>
      <c r="H743" t="s">
        <v>578</v>
      </c>
    </row>
    <row r="744" spans="1:8" ht="14">
      <c r="A744" s="19"/>
      <c r="B744" s="99"/>
      <c r="C744" s="103"/>
      <c r="D744" s="262"/>
      <c r="E744" s="289" t="s">
        <v>571</v>
      </c>
      <c r="F744" s="164" t="s">
        <v>571</v>
      </c>
      <c r="G744" s="312">
        <v>743</v>
      </c>
      <c r="H744" t="s">
        <v>578</v>
      </c>
    </row>
    <row r="745" spans="1:8" ht="25">
      <c r="A745" s="19"/>
      <c r="B745" s="79" t="s">
        <v>256</v>
      </c>
      <c r="C745" s="102" t="s">
        <v>1</v>
      </c>
      <c r="D745" s="262">
        <v>70</v>
      </c>
      <c r="E745" s="289">
        <v>0</v>
      </c>
      <c r="F745" s="164">
        <v>0</v>
      </c>
      <c r="G745" s="312">
        <v>744</v>
      </c>
      <c r="H745" t="s">
        <v>578</v>
      </c>
    </row>
    <row r="746" spans="1:8" ht="25">
      <c r="A746" s="19"/>
      <c r="B746" s="79" t="s">
        <v>255</v>
      </c>
      <c r="C746" s="102" t="s">
        <v>1</v>
      </c>
      <c r="D746" s="262">
        <v>70</v>
      </c>
      <c r="E746" s="289">
        <v>0</v>
      </c>
      <c r="F746" s="164">
        <v>0</v>
      </c>
      <c r="G746" s="312">
        <v>745</v>
      </c>
      <c r="H746" t="s">
        <v>578</v>
      </c>
    </row>
    <row r="747" spans="1:8" ht="14">
      <c r="A747" s="19"/>
      <c r="B747" s="100"/>
      <c r="C747" s="103"/>
      <c r="D747" s="262"/>
      <c r="E747" s="289" t="s">
        <v>571</v>
      </c>
      <c r="F747" s="164" t="s">
        <v>571</v>
      </c>
      <c r="G747" s="312">
        <v>746</v>
      </c>
      <c r="H747" t="s">
        <v>578</v>
      </c>
    </row>
    <row r="748" spans="1:8" ht="37.5">
      <c r="A748" s="19" t="s">
        <v>355</v>
      </c>
      <c r="B748" s="99" t="s">
        <v>463</v>
      </c>
      <c r="C748" s="46" t="s">
        <v>12</v>
      </c>
      <c r="D748" s="262">
        <v>75</v>
      </c>
      <c r="E748" s="289">
        <v>0</v>
      </c>
      <c r="F748" s="164">
        <v>0</v>
      </c>
      <c r="G748" s="312">
        <v>747</v>
      </c>
      <c r="H748" t="s">
        <v>578</v>
      </c>
    </row>
    <row r="749" spans="1:8" ht="14">
      <c r="A749" s="19"/>
      <c r="B749" s="99"/>
      <c r="C749" s="46"/>
      <c r="D749" s="262"/>
      <c r="E749" s="289" t="s">
        <v>571</v>
      </c>
      <c r="F749" s="164" t="s">
        <v>571</v>
      </c>
      <c r="G749" s="312">
        <v>748</v>
      </c>
      <c r="H749" t="s">
        <v>578</v>
      </c>
    </row>
    <row r="750" spans="1:8" ht="14">
      <c r="A750" s="19"/>
      <c r="B750" s="80" t="s">
        <v>251</v>
      </c>
      <c r="C750" s="102" t="s">
        <v>12</v>
      </c>
      <c r="D750" s="262">
        <v>2</v>
      </c>
      <c r="E750" s="289">
        <v>0</v>
      </c>
      <c r="F750" s="164">
        <v>0</v>
      </c>
      <c r="G750" s="312">
        <v>749</v>
      </c>
      <c r="H750" t="s">
        <v>578</v>
      </c>
    </row>
    <row r="751" spans="1:8" ht="14">
      <c r="A751" s="19"/>
      <c r="B751" s="99" t="s">
        <v>252</v>
      </c>
      <c r="C751" s="102" t="s">
        <v>13</v>
      </c>
      <c r="D751" s="262">
        <v>6</v>
      </c>
      <c r="E751" s="289">
        <v>0</v>
      </c>
      <c r="F751" s="164">
        <v>0</v>
      </c>
      <c r="G751" s="312">
        <v>750</v>
      </c>
      <c r="H751" t="s">
        <v>578</v>
      </c>
    </row>
    <row r="752" spans="1:8" ht="14">
      <c r="A752" s="19"/>
      <c r="B752" s="126"/>
      <c r="C752" s="102"/>
      <c r="D752" s="262"/>
      <c r="E752" s="289" t="s">
        <v>571</v>
      </c>
      <c r="F752" s="164" t="s">
        <v>571</v>
      </c>
      <c r="G752" s="312">
        <v>751</v>
      </c>
      <c r="H752" t="s">
        <v>578</v>
      </c>
    </row>
    <row r="753" spans="1:8" ht="14">
      <c r="A753" s="19" t="s">
        <v>356</v>
      </c>
      <c r="B753" s="99" t="s">
        <v>351</v>
      </c>
      <c r="C753" s="102" t="s">
        <v>13</v>
      </c>
      <c r="D753" s="262"/>
      <c r="E753" s="289" t="s">
        <v>571</v>
      </c>
      <c r="F753" s="164" t="s">
        <v>571</v>
      </c>
      <c r="G753" s="312">
        <v>752</v>
      </c>
      <c r="H753" t="s">
        <v>578</v>
      </c>
    </row>
    <row r="754" spans="1:8" ht="14">
      <c r="A754" s="19"/>
      <c r="B754" s="99" t="s">
        <v>352</v>
      </c>
      <c r="C754" s="102" t="s">
        <v>13</v>
      </c>
      <c r="D754" s="262">
        <v>13</v>
      </c>
      <c r="E754" s="289">
        <v>0</v>
      </c>
      <c r="F754" s="164">
        <v>0</v>
      </c>
      <c r="G754" s="312">
        <v>753</v>
      </c>
      <c r="H754" t="s">
        <v>578</v>
      </c>
    </row>
    <row r="755" spans="1:8" ht="14">
      <c r="A755" s="19"/>
      <c r="B755" s="99" t="s">
        <v>353</v>
      </c>
      <c r="C755" s="102" t="s">
        <v>13</v>
      </c>
      <c r="D755" s="262">
        <v>3</v>
      </c>
      <c r="E755" s="289">
        <v>0</v>
      </c>
      <c r="F755" s="164">
        <v>0</v>
      </c>
      <c r="G755" s="312">
        <v>754</v>
      </c>
      <c r="H755" t="s">
        <v>578</v>
      </c>
    </row>
    <row r="756" spans="1:8" ht="14">
      <c r="A756" s="19"/>
      <c r="B756" s="99" t="s">
        <v>354</v>
      </c>
      <c r="C756" s="102" t="s">
        <v>13</v>
      </c>
      <c r="D756" s="262">
        <v>14</v>
      </c>
      <c r="E756" s="289">
        <v>0</v>
      </c>
      <c r="F756" s="164">
        <v>0</v>
      </c>
      <c r="G756" s="312">
        <v>755</v>
      </c>
      <c r="H756" t="s">
        <v>578</v>
      </c>
    </row>
    <row r="757" spans="1:8" ht="14">
      <c r="A757" s="19"/>
      <c r="B757" s="101"/>
      <c r="C757" s="103"/>
      <c r="D757" s="262"/>
      <c r="E757" s="289" t="s">
        <v>571</v>
      </c>
      <c r="F757" s="164" t="s">
        <v>571</v>
      </c>
      <c r="G757" s="312">
        <v>756</v>
      </c>
      <c r="H757" t="s">
        <v>578</v>
      </c>
    </row>
    <row r="758" spans="1:8" ht="14">
      <c r="A758" s="19" t="s">
        <v>357</v>
      </c>
      <c r="B758" s="100" t="s">
        <v>144</v>
      </c>
      <c r="C758" s="102" t="s">
        <v>13</v>
      </c>
      <c r="D758" s="262">
        <v>6</v>
      </c>
      <c r="E758" s="289">
        <v>0</v>
      </c>
      <c r="F758" s="164">
        <v>0</v>
      </c>
      <c r="G758" s="312">
        <v>757</v>
      </c>
      <c r="H758" t="s">
        <v>578</v>
      </c>
    </row>
    <row r="759" spans="1:8" ht="14">
      <c r="A759" s="19"/>
      <c r="B759" s="100"/>
      <c r="C759" s="102"/>
      <c r="D759" s="262"/>
      <c r="E759" s="289" t="s">
        <v>571</v>
      </c>
      <c r="F759" s="164" t="s">
        <v>571</v>
      </c>
      <c r="G759" s="312">
        <v>758</v>
      </c>
      <c r="H759" t="s">
        <v>578</v>
      </c>
    </row>
    <row r="760" spans="1:8" ht="14">
      <c r="A760" s="19"/>
      <c r="B760" s="100" t="s">
        <v>145</v>
      </c>
      <c r="C760" s="102" t="s">
        <v>13</v>
      </c>
      <c r="D760" s="287"/>
      <c r="E760" s="289" t="s">
        <v>571</v>
      </c>
      <c r="F760" s="164" t="s">
        <v>571</v>
      </c>
      <c r="G760" s="312">
        <v>759</v>
      </c>
      <c r="H760" t="s">
        <v>578</v>
      </c>
    </row>
    <row r="761" spans="1:8" ht="14">
      <c r="A761" s="19"/>
      <c r="B761" s="100" t="s">
        <v>146</v>
      </c>
      <c r="C761" s="102" t="s">
        <v>13</v>
      </c>
      <c r="D761" s="287"/>
      <c r="E761" s="289" t="s">
        <v>571</v>
      </c>
      <c r="F761" s="164" t="s">
        <v>571</v>
      </c>
      <c r="G761" s="312">
        <v>760</v>
      </c>
      <c r="H761" t="s">
        <v>578</v>
      </c>
    </row>
    <row r="762" spans="1:8" ht="14">
      <c r="A762" s="19"/>
      <c r="B762" s="111"/>
      <c r="C762" s="102"/>
      <c r="D762" s="262"/>
      <c r="E762" s="289" t="s">
        <v>571</v>
      </c>
      <c r="F762" s="164" t="s">
        <v>571</v>
      </c>
      <c r="G762" s="312">
        <v>761</v>
      </c>
      <c r="H762" t="s">
        <v>578</v>
      </c>
    </row>
    <row r="763" spans="1:8" ht="25">
      <c r="A763" s="19"/>
      <c r="B763" s="100" t="s">
        <v>147</v>
      </c>
      <c r="C763" s="102" t="s">
        <v>12</v>
      </c>
      <c r="D763" s="262">
        <v>1</v>
      </c>
      <c r="E763" s="289">
        <v>0</v>
      </c>
      <c r="F763" s="164">
        <v>0</v>
      </c>
      <c r="G763" s="312">
        <v>762</v>
      </c>
      <c r="H763" t="s">
        <v>578</v>
      </c>
    </row>
    <row r="764" spans="1:8" ht="14">
      <c r="A764" s="19"/>
      <c r="B764" s="100"/>
      <c r="C764" s="102"/>
      <c r="D764" s="262"/>
      <c r="E764" s="289" t="s">
        <v>571</v>
      </c>
      <c r="F764" s="164" t="s">
        <v>571</v>
      </c>
      <c r="G764" s="312">
        <v>763</v>
      </c>
      <c r="H764" t="s">
        <v>578</v>
      </c>
    </row>
    <row r="765" spans="1:8" ht="25">
      <c r="A765" s="19"/>
      <c r="B765" s="100" t="s">
        <v>148</v>
      </c>
      <c r="C765" s="102" t="s">
        <v>12</v>
      </c>
      <c r="D765" s="262">
        <v>1</v>
      </c>
      <c r="E765" s="289">
        <v>0</v>
      </c>
      <c r="F765" s="164">
        <v>0</v>
      </c>
      <c r="G765" s="312">
        <v>764</v>
      </c>
      <c r="H765" t="s">
        <v>578</v>
      </c>
    </row>
    <row r="766" spans="1:8" ht="14">
      <c r="A766" s="19"/>
      <c r="B766" s="100"/>
      <c r="C766" s="102"/>
      <c r="D766" s="262"/>
      <c r="E766" s="289" t="s">
        <v>571</v>
      </c>
      <c r="F766" s="164" t="s">
        <v>571</v>
      </c>
      <c r="G766" s="312">
        <v>765</v>
      </c>
      <c r="H766" t="s">
        <v>578</v>
      </c>
    </row>
    <row r="767" spans="1:8" ht="37.5">
      <c r="A767" s="19"/>
      <c r="B767" s="100" t="s">
        <v>325</v>
      </c>
      <c r="C767" s="102" t="s">
        <v>12</v>
      </c>
      <c r="D767" s="262">
        <v>1</v>
      </c>
      <c r="E767" s="289">
        <v>0</v>
      </c>
      <c r="F767" s="164">
        <v>0</v>
      </c>
      <c r="G767" s="312">
        <v>766</v>
      </c>
      <c r="H767" t="s">
        <v>578</v>
      </c>
    </row>
    <row r="768" spans="1:8" ht="14">
      <c r="A768" s="19"/>
      <c r="B768" s="101"/>
      <c r="C768" s="103"/>
      <c r="D768" s="262"/>
      <c r="E768" s="289" t="s">
        <v>571</v>
      </c>
      <c r="F768" s="164" t="s">
        <v>571</v>
      </c>
      <c r="G768" s="312">
        <v>767</v>
      </c>
      <c r="H768" t="s">
        <v>578</v>
      </c>
    </row>
    <row r="769" spans="1:8" ht="14">
      <c r="A769" s="19"/>
      <c r="B769" s="100" t="s">
        <v>149</v>
      </c>
      <c r="C769" s="102" t="s">
        <v>12</v>
      </c>
      <c r="D769" s="262">
        <v>18</v>
      </c>
      <c r="E769" s="289">
        <v>0</v>
      </c>
      <c r="F769" s="164">
        <v>0</v>
      </c>
      <c r="G769" s="312">
        <v>768</v>
      </c>
      <c r="H769" t="s">
        <v>578</v>
      </c>
    </row>
    <row r="770" spans="1:8" ht="14">
      <c r="A770" s="19"/>
      <c r="B770" s="100"/>
      <c r="C770" s="102"/>
      <c r="D770" s="262"/>
      <c r="E770" s="289" t="s">
        <v>571</v>
      </c>
      <c r="F770" s="164" t="s">
        <v>571</v>
      </c>
      <c r="G770" s="312">
        <v>769</v>
      </c>
      <c r="H770" t="s">
        <v>578</v>
      </c>
    </row>
    <row r="771" spans="1:8" ht="25">
      <c r="A771" s="19"/>
      <c r="B771" s="100" t="s">
        <v>326</v>
      </c>
      <c r="C771" s="102" t="s">
        <v>12</v>
      </c>
      <c r="D771" s="262">
        <v>300</v>
      </c>
      <c r="E771" s="289">
        <v>0</v>
      </c>
      <c r="F771" s="164">
        <v>0</v>
      </c>
      <c r="G771" s="312">
        <v>770</v>
      </c>
      <c r="H771" t="s">
        <v>578</v>
      </c>
    </row>
    <row r="772" spans="1:8" ht="14">
      <c r="A772" s="19"/>
      <c r="B772" s="81"/>
      <c r="C772" s="33"/>
      <c r="D772" s="262"/>
      <c r="E772" s="289" t="s">
        <v>571</v>
      </c>
      <c r="F772" s="164" t="s">
        <v>571</v>
      </c>
      <c r="G772" s="312">
        <v>771</v>
      </c>
      <c r="H772" t="s">
        <v>578</v>
      </c>
    </row>
    <row r="773" spans="1:8" ht="14">
      <c r="A773" s="19"/>
      <c r="B773" s="83" t="s">
        <v>358</v>
      </c>
      <c r="C773" s="33"/>
      <c r="D773" s="262"/>
      <c r="E773" s="289" t="s">
        <v>571</v>
      </c>
      <c r="F773" s="164" t="s">
        <v>571</v>
      </c>
      <c r="G773" s="312">
        <v>772</v>
      </c>
      <c r="H773" t="s">
        <v>578</v>
      </c>
    </row>
    <row r="774" spans="1:8" ht="14">
      <c r="A774" s="19"/>
      <c r="B774" s="26"/>
      <c r="C774" s="33"/>
      <c r="D774" s="262"/>
      <c r="E774" s="289" t="s">
        <v>571</v>
      </c>
      <c r="F774" s="164" t="s">
        <v>571</v>
      </c>
      <c r="G774" s="312">
        <v>773</v>
      </c>
      <c r="H774" t="s">
        <v>578</v>
      </c>
    </row>
    <row r="775" spans="1:8" ht="14">
      <c r="A775" s="19" t="s">
        <v>360</v>
      </c>
      <c r="B775" s="78" t="s">
        <v>29</v>
      </c>
      <c r="C775" s="33"/>
      <c r="D775" s="262"/>
      <c r="E775" s="289" t="s">
        <v>571</v>
      </c>
      <c r="F775" s="164" t="s">
        <v>571</v>
      </c>
      <c r="G775" s="312">
        <v>774</v>
      </c>
      <c r="H775" t="s">
        <v>578</v>
      </c>
    </row>
    <row r="776" spans="1:8" ht="14">
      <c r="A776" s="19"/>
      <c r="B776" s="29"/>
      <c r="C776" s="33"/>
      <c r="D776" s="262"/>
      <c r="E776" s="289" t="s">
        <v>571</v>
      </c>
      <c r="F776" s="164" t="s">
        <v>571</v>
      </c>
      <c r="G776" s="312">
        <v>775</v>
      </c>
      <c r="H776" t="s">
        <v>578</v>
      </c>
    </row>
    <row r="777" spans="1:8" ht="14">
      <c r="A777" s="19"/>
      <c r="B777" s="86" t="s">
        <v>14</v>
      </c>
      <c r="C777" s="33" t="s">
        <v>13</v>
      </c>
      <c r="D777" s="262">
        <v>1</v>
      </c>
      <c r="E777" s="289">
        <v>0</v>
      </c>
      <c r="F777" s="164">
        <v>0</v>
      </c>
      <c r="G777" s="312">
        <v>776</v>
      </c>
      <c r="H777" t="s">
        <v>578</v>
      </c>
    </row>
    <row r="778" spans="1:8" ht="14">
      <c r="A778" s="19"/>
      <c r="B778" s="86" t="s">
        <v>575</v>
      </c>
      <c r="C778" s="33" t="s">
        <v>12</v>
      </c>
      <c r="D778" s="262">
        <v>1</v>
      </c>
      <c r="E778" s="289">
        <v>0</v>
      </c>
      <c r="F778" s="164">
        <v>0</v>
      </c>
      <c r="G778" s="312">
        <v>777</v>
      </c>
      <c r="H778" t="s">
        <v>578</v>
      </c>
    </row>
    <row r="779" spans="1:8" ht="14">
      <c r="A779" s="19"/>
      <c r="B779" s="86" t="s">
        <v>16</v>
      </c>
      <c r="C779" s="33" t="s">
        <v>12</v>
      </c>
      <c r="D779" s="262">
        <v>1</v>
      </c>
      <c r="E779" s="289">
        <v>0</v>
      </c>
      <c r="F779" s="164">
        <v>0</v>
      </c>
      <c r="G779" s="312">
        <v>778</v>
      </c>
      <c r="H779" t="s">
        <v>578</v>
      </c>
    </row>
    <row r="780" spans="1:8" ht="14">
      <c r="A780" s="19"/>
      <c r="B780" s="86" t="s">
        <v>359</v>
      </c>
      <c r="C780" s="33" t="s">
        <v>12</v>
      </c>
      <c r="D780" s="262">
        <v>1</v>
      </c>
      <c r="E780" s="289">
        <v>0</v>
      </c>
      <c r="F780" s="164">
        <v>0</v>
      </c>
      <c r="G780" s="312">
        <v>779</v>
      </c>
      <c r="H780" t="s">
        <v>578</v>
      </c>
    </row>
    <row r="781" spans="1:8" ht="25">
      <c r="A781" s="19"/>
      <c r="B781" s="47" t="s">
        <v>576</v>
      </c>
      <c r="C781" s="33" t="s">
        <v>13</v>
      </c>
      <c r="D781" s="262">
        <v>300</v>
      </c>
      <c r="E781" s="289">
        <v>0</v>
      </c>
      <c r="F781" s="164">
        <v>0</v>
      </c>
      <c r="G781" s="312">
        <v>780</v>
      </c>
      <c r="H781" t="s">
        <v>578</v>
      </c>
    </row>
    <row r="782" spans="1:8" ht="14">
      <c r="A782" s="19"/>
      <c r="B782" s="47" t="s">
        <v>31</v>
      </c>
      <c r="C782" s="33" t="s">
        <v>13</v>
      </c>
      <c r="D782" s="262">
        <v>16</v>
      </c>
      <c r="E782" s="289">
        <v>0</v>
      </c>
      <c r="F782" s="164">
        <v>0</v>
      </c>
      <c r="G782" s="312">
        <v>781</v>
      </c>
      <c r="H782" t="s">
        <v>578</v>
      </c>
    </row>
    <row r="783" spans="1:8" ht="14">
      <c r="A783" s="19"/>
      <c r="B783" s="26"/>
      <c r="C783" s="33"/>
      <c r="D783" s="262"/>
      <c r="E783" s="289" t="s">
        <v>571</v>
      </c>
      <c r="F783" s="164" t="s">
        <v>571</v>
      </c>
      <c r="G783" s="312">
        <v>782</v>
      </c>
      <c r="H783" t="s">
        <v>578</v>
      </c>
    </row>
    <row r="784" spans="1:8" ht="14">
      <c r="A784" s="19"/>
      <c r="B784" s="83" t="s">
        <v>361</v>
      </c>
      <c r="C784" s="33"/>
      <c r="D784" s="262"/>
      <c r="E784" s="289" t="s">
        <v>571</v>
      </c>
      <c r="F784" s="164" t="s">
        <v>571</v>
      </c>
      <c r="G784" s="312">
        <v>783</v>
      </c>
      <c r="H784" t="s">
        <v>578</v>
      </c>
    </row>
    <row r="785" spans="1:8" ht="14">
      <c r="A785" s="19"/>
      <c r="B785" s="26"/>
      <c r="C785" s="33"/>
      <c r="D785" s="262"/>
      <c r="E785" s="289" t="s">
        <v>571</v>
      </c>
      <c r="F785" s="164" t="s">
        <v>571</v>
      </c>
      <c r="G785" s="312">
        <v>784</v>
      </c>
      <c r="H785" t="s">
        <v>578</v>
      </c>
    </row>
    <row r="786" spans="1:8" ht="14">
      <c r="A786" s="19" t="s">
        <v>362</v>
      </c>
      <c r="B786" s="87" t="s">
        <v>157</v>
      </c>
      <c r="C786" s="57"/>
      <c r="D786" s="262"/>
      <c r="E786" s="289" t="s">
        <v>571</v>
      </c>
      <c r="F786" s="164" t="s">
        <v>571</v>
      </c>
      <c r="G786" s="312">
        <v>785</v>
      </c>
      <c r="H786" t="s">
        <v>578</v>
      </c>
    </row>
    <row r="787" spans="1:8" ht="14">
      <c r="A787" s="19"/>
      <c r="B787" s="87"/>
      <c r="C787" s="57"/>
      <c r="D787" s="262"/>
      <c r="E787" s="289" t="s">
        <v>571</v>
      </c>
      <c r="F787" s="164" t="s">
        <v>571</v>
      </c>
      <c r="G787" s="312">
        <v>786</v>
      </c>
      <c r="H787" t="s">
        <v>578</v>
      </c>
    </row>
    <row r="788" spans="1:8" ht="14">
      <c r="A788" s="19"/>
      <c r="B788" s="113" t="s">
        <v>158</v>
      </c>
      <c r="C788" s="57"/>
      <c r="D788" s="262"/>
      <c r="E788" s="289" t="s">
        <v>571</v>
      </c>
      <c r="F788" s="164" t="s">
        <v>571</v>
      </c>
      <c r="G788" s="312">
        <v>787</v>
      </c>
      <c r="H788" t="s">
        <v>578</v>
      </c>
    </row>
    <row r="789" spans="1:8" ht="14">
      <c r="A789" s="19"/>
      <c r="B789" s="86" t="s">
        <v>220</v>
      </c>
      <c r="C789" s="129" t="s">
        <v>257</v>
      </c>
      <c r="D789" s="262"/>
      <c r="E789" s="289" t="s">
        <v>571</v>
      </c>
      <c r="F789" s="164" t="s">
        <v>571</v>
      </c>
      <c r="G789" s="312">
        <v>788</v>
      </c>
      <c r="H789" t="s">
        <v>578</v>
      </c>
    </row>
    <row r="790" spans="1:8" ht="14">
      <c r="A790" s="19"/>
      <c r="B790" s="86" t="s">
        <v>160</v>
      </c>
      <c r="C790" s="57" t="s">
        <v>1</v>
      </c>
      <c r="D790" s="262">
        <v>18</v>
      </c>
      <c r="E790" s="289">
        <v>0</v>
      </c>
      <c r="F790" s="164">
        <v>0</v>
      </c>
      <c r="G790" s="312">
        <v>789</v>
      </c>
      <c r="H790" t="s">
        <v>578</v>
      </c>
    </row>
    <row r="791" spans="1:8" ht="14">
      <c r="A791" s="19"/>
      <c r="B791" s="86" t="s">
        <v>364</v>
      </c>
      <c r="C791" s="57" t="s">
        <v>12</v>
      </c>
      <c r="D791" s="262">
        <v>1</v>
      </c>
      <c r="E791" s="289">
        <v>0</v>
      </c>
      <c r="F791" s="164">
        <v>0</v>
      </c>
      <c r="G791" s="312">
        <v>790</v>
      </c>
      <c r="H791" t="s">
        <v>578</v>
      </c>
    </row>
    <row r="792" spans="1:8" ht="14">
      <c r="A792" s="19"/>
      <c r="B792" s="86"/>
      <c r="C792" s="57"/>
      <c r="D792" s="262"/>
      <c r="E792" s="289" t="s">
        <v>571</v>
      </c>
      <c r="F792" s="164" t="s">
        <v>571</v>
      </c>
      <c r="G792" s="312">
        <v>791</v>
      </c>
      <c r="H792" t="s">
        <v>578</v>
      </c>
    </row>
    <row r="793" spans="1:8" ht="14">
      <c r="A793" s="19"/>
      <c r="B793" s="113" t="s">
        <v>159</v>
      </c>
      <c r="C793" s="57"/>
      <c r="D793" s="262"/>
      <c r="E793" s="289" t="s">
        <v>571</v>
      </c>
      <c r="F793" s="164" t="s">
        <v>571</v>
      </c>
      <c r="G793" s="312">
        <v>792</v>
      </c>
      <c r="H793" t="s">
        <v>578</v>
      </c>
    </row>
    <row r="794" spans="1:8" ht="14">
      <c r="A794" s="19"/>
      <c r="B794" s="86" t="s">
        <v>160</v>
      </c>
      <c r="C794" s="57" t="s">
        <v>1</v>
      </c>
      <c r="D794" s="262">
        <v>18</v>
      </c>
      <c r="E794" s="289">
        <v>0</v>
      </c>
      <c r="F794" s="164">
        <v>0</v>
      </c>
      <c r="G794" s="312">
        <v>793</v>
      </c>
      <c r="H794" t="s">
        <v>578</v>
      </c>
    </row>
    <row r="795" spans="1:8" ht="14">
      <c r="A795" s="19"/>
      <c r="B795" s="86" t="s">
        <v>364</v>
      </c>
      <c r="C795" s="57" t="s">
        <v>12</v>
      </c>
      <c r="D795" s="262">
        <v>1</v>
      </c>
      <c r="E795" s="289">
        <v>0</v>
      </c>
      <c r="F795" s="164">
        <v>0</v>
      </c>
      <c r="G795" s="312">
        <v>794</v>
      </c>
      <c r="H795" t="s">
        <v>578</v>
      </c>
    </row>
    <row r="796" spans="1:8" ht="14">
      <c r="A796" s="19"/>
      <c r="B796" s="86"/>
      <c r="C796" s="57"/>
      <c r="D796" s="262"/>
      <c r="E796" s="289" t="s">
        <v>571</v>
      </c>
      <c r="F796" s="164" t="s">
        <v>571</v>
      </c>
      <c r="G796" s="312">
        <v>795</v>
      </c>
      <c r="H796" t="s">
        <v>578</v>
      </c>
    </row>
    <row r="797" spans="1:8" ht="14">
      <c r="A797" s="19"/>
      <c r="B797" s="86" t="s">
        <v>363</v>
      </c>
      <c r="C797" s="57" t="s">
        <v>1</v>
      </c>
      <c r="D797" s="262">
        <v>464</v>
      </c>
      <c r="E797" s="289">
        <v>0</v>
      </c>
      <c r="F797" s="164">
        <v>0</v>
      </c>
      <c r="G797" s="312">
        <v>796</v>
      </c>
      <c r="H797" t="s">
        <v>578</v>
      </c>
    </row>
    <row r="798" spans="1:8" ht="14">
      <c r="A798" s="19"/>
      <c r="B798" s="86"/>
      <c r="C798" s="57"/>
      <c r="D798" s="262"/>
      <c r="E798" s="289" t="s">
        <v>571</v>
      </c>
      <c r="F798" s="164" t="s">
        <v>571</v>
      </c>
      <c r="G798" s="312">
        <v>797</v>
      </c>
      <c r="H798" t="s">
        <v>578</v>
      </c>
    </row>
    <row r="799" spans="1:8" ht="14">
      <c r="A799" s="19"/>
      <c r="B799" s="122" t="s">
        <v>365</v>
      </c>
      <c r="C799" s="33"/>
      <c r="D799" s="262"/>
      <c r="E799" s="289" t="s">
        <v>571</v>
      </c>
      <c r="F799" s="164" t="s">
        <v>571</v>
      </c>
      <c r="G799" s="312">
        <v>798</v>
      </c>
      <c r="H799" t="s">
        <v>578</v>
      </c>
    </row>
    <row r="800" spans="1:8" ht="14">
      <c r="A800" s="19"/>
      <c r="B800" s="29"/>
      <c r="C800" s="33"/>
      <c r="D800" s="262"/>
      <c r="E800" s="289" t="s">
        <v>571</v>
      </c>
      <c r="F800" s="164" t="s">
        <v>571</v>
      </c>
      <c r="G800" s="312">
        <v>799</v>
      </c>
      <c r="H800" t="s">
        <v>578</v>
      </c>
    </row>
    <row r="801" spans="1:8" ht="14">
      <c r="A801" s="19" t="s">
        <v>366</v>
      </c>
      <c r="B801" s="87" t="s">
        <v>73</v>
      </c>
      <c r="C801" s="33"/>
      <c r="D801" s="262"/>
      <c r="E801" s="289" t="s">
        <v>571</v>
      </c>
      <c r="F801" s="164" t="s">
        <v>571</v>
      </c>
      <c r="G801" s="312">
        <v>800</v>
      </c>
      <c r="H801" t="s">
        <v>578</v>
      </c>
    </row>
    <row r="802" spans="1:8" ht="14">
      <c r="A802" s="19"/>
      <c r="B802" s="29"/>
      <c r="C802" s="33"/>
      <c r="D802" s="262"/>
      <c r="E802" s="289" t="s">
        <v>571</v>
      </c>
      <c r="F802" s="164" t="s">
        <v>571</v>
      </c>
      <c r="G802" s="312">
        <v>801</v>
      </c>
      <c r="H802" t="s">
        <v>578</v>
      </c>
    </row>
    <row r="803" spans="1:8" ht="25">
      <c r="A803" s="19"/>
      <c r="B803" s="47" t="s">
        <v>223</v>
      </c>
      <c r="C803" s="9" t="s">
        <v>12</v>
      </c>
      <c r="D803" s="262">
        <v>1</v>
      </c>
      <c r="E803" s="289">
        <v>0</v>
      </c>
      <c r="F803" s="164">
        <v>0</v>
      </c>
      <c r="G803" s="312">
        <v>802</v>
      </c>
      <c r="H803" t="s">
        <v>578</v>
      </c>
    </row>
    <row r="804" spans="1:8" ht="14">
      <c r="A804" s="19"/>
      <c r="B804" s="47"/>
      <c r="C804" s="9"/>
      <c r="D804" s="262"/>
      <c r="E804" s="289" t="s">
        <v>571</v>
      </c>
      <c r="F804" s="164" t="s">
        <v>571</v>
      </c>
      <c r="G804" s="312">
        <v>803</v>
      </c>
      <c r="H804" t="s">
        <v>578</v>
      </c>
    </row>
    <row r="805" spans="1:8" ht="25">
      <c r="A805" s="19"/>
      <c r="B805" s="84" t="s">
        <v>74</v>
      </c>
      <c r="C805" s="33" t="s">
        <v>12</v>
      </c>
      <c r="D805" s="262">
        <v>1</v>
      </c>
      <c r="E805" s="289">
        <v>0</v>
      </c>
      <c r="F805" s="164">
        <v>0</v>
      </c>
      <c r="G805" s="312">
        <v>804</v>
      </c>
      <c r="H805" t="s">
        <v>578</v>
      </c>
    </row>
    <row r="806" spans="1:8" ht="14">
      <c r="A806" s="19"/>
      <c r="B806" s="84"/>
      <c r="C806" s="33"/>
      <c r="D806" s="262"/>
      <c r="E806" s="289" t="s">
        <v>571</v>
      </c>
      <c r="F806" s="164" t="s">
        <v>571</v>
      </c>
      <c r="G806" s="312">
        <v>805</v>
      </c>
      <c r="H806" t="s">
        <v>578</v>
      </c>
    </row>
    <row r="807" spans="1:8" ht="14">
      <c r="A807" s="19"/>
      <c r="B807" s="83" t="s">
        <v>367</v>
      </c>
      <c r="C807" s="33"/>
      <c r="D807" s="262"/>
      <c r="E807" s="289" t="s">
        <v>571</v>
      </c>
      <c r="F807" s="164" t="s">
        <v>571</v>
      </c>
      <c r="G807" s="312">
        <v>806</v>
      </c>
      <c r="H807" t="s">
        <v>578</v>
      </c>
    </row>
    <row r="808" spans="1:8" ht="14">
      <c r="A808" s="19"/>
      <c r="B808" s="84"/>
      <c r="C808" s="33"/>
      <c r="D808" s="262"/>
      <c r="E808" s="289" t="s">
        <v>571</v>
      </c>
      <c r="F808" s="164" t="s">
        <v>571</v>
      </c>
      <c r="G808" s="312">
        <v>807</v>
      </c>
      <c r="H808" t="s">
        <v>578</v>
      </c>
    </row>
    <row r="809" spans="1:8" ht="14">
      <c r="A809" s="19" t="s">
        <v>403</v>
      </c>
      <c r="B809" s="87" t="s">
        <v>34</v>
      </c>
      <c r="C809" s="33"/>
      <c r="D809" s="262"/>
      <c r="E809" s="289" t="s">
        <v>571</v>
      </c>
      <c r="F809" s="164" t="s">
        <v>571</v>
      </c>
      <c r="G809" s="312">
        <v>808</v>
      </c>
      <c r="H809" t="s">
        <v>578</v>
      </c>
    </row>
    <row r="810" spans="1:8" ht="14">
      <c r="A810" s="19"/>
      <c r="B810" s="86"/>
      <c r="C810" s="33"/>
      <c r="D810" s="262"/>
      <c r="E810" s="289" t="s">
        <v>571</v>
      </c>
      <c r="F810" s="164" t="s">
        <v>571</v>
      </c>
      <c r="G810" s="312">
        <v>809</v>
      </c>
      <c r="H810" t="s">
        <v>578</v>
      </c>
    </row>
    <row r="811" spans="1:8" ht="14">
      <c r="A811" s="19"/>
      <c r="B811" s="86" t="s">
        <v>396</v>
      </c>
      <c r="C811" s="33" t="s">
        <v>12</v>
      </c>
      <c r="D811" s="262">
        <v>1</v>
      </c>
      <c r="E811" s="289">
        <v>0</v>
      </c>
      <c r="F811" s="164">
        <v>0</v>
      </c>
      <c r="G811" s="312">
        <v>810</v>
      </c>
      <c r="H811" t="s">
        <v>578</v>
      </c>
    </row>
    <row r="812" spans="1:8" ht="14">
      <c r="A812" s="19"/>
      <c r="B812" s="86" t="s">
        <v>32</v>
      </c>
      <c r="C812" s="33" t="s">
        <v>12</v>
      </c>
      <c r="D812" s="262">
        <v>1</v>
      </c>
      <c r="E812" s="289">
        <v>0</v>
      </c>
      <c r="F812" s="164">
        <v>0</v>
      </c>
      <c r="G812" s="312">
        <v>811</v>
      </c>
      <c r="H812" t="s">
        <v>578</v>
      </c>
    </row>
    <row r="813" spans="1:8" ht="14">
      <c r="A813" s="19" t="s">
        <v>562</v>
      </c>
      <c r="B813" s="86" t="s">
        <v>398</v>
      </c>
      <c r="C813" s="57" t="s">
        <v>12</v>
      </c>
      <c r="D813" s="262">
        <v>1</v>
      </c>
      <c r="E813" s="289">
        <v>0</v>
      </c>
      <c r="F813" s="164">
        <v>0</v>
      </c>
      <c r="G813" s="312">
        <v>812</v>
      </c>
      <c r="H813" t="s">
        <v>578</v>
      </c>
    </row>
    <row r="814" spans="1:8" ht="14">
      <c r="A814" s="19" t="s">
        <v>565</v>
      </c>
      <c r="B814" s="86" t="s">
        <v>402</v>
      </c>
      <c r="C814" s="57" t="s">
        <v>12</v>
      </c>
      <c r="D814" s="262">
        <v>1</v>
      </c>
      <c r="E814" s="289">
        <v>0</v>
      </c>
      <c r="F814" s="164">
        <v>0</v>
      </c>
      <c r="G814" s="312">
        <v>813</v>
      </c>
      <c r="H814" t="s">
        <v>578</v>
      </c>
    </row>
    <row r="815" spans="1:8" ht="14">
      <c r="A815" s="19"/>
      <c r="B815" s="86" t="s">
        <v>397</v>
      </c>
      <c r="C815" s="57" t="s">
        <v>12</v>
      </c>
      <c r="D815" s="262">
        <v>1</v>
      </c>
      <c r="E815" s="289">
        <v>0</v>
      </c>
      <c r="F815" s="164">
        <v>0</v>
      </c>
      <c r="G815" s="312">
        <v>814</v>
      </c>
      <c r="H815" t="s">
        <v>578</v>
      </c>
    </row>
    <row r="816" spans="1:8" ht="14">
      <c r="A816" s="19"/>
      <c r="B816" s="86" t="s">
        <v>399</v>
      </c>
      <c r="C816" s="57" t="s">
        <v>12</v>
      </c>
      <c r="D816" s="262">
        <v>1</v>
      </c>
      <c r="E816" s="289">
        <v>0</v>
      </c>
      <c r="F816" s="164">
        <v>0</v>
      </c>
      <c r="G816" s="312">
        <v>815</v>
      </c>
      <c r="H816" t="s">
        <v>578</v>
      </c>
    </row>
    <row r="817" spans="1:8" ht="14">
      <c r="A817" s="19" t="s">
        <v>561</v>
      </c>
      <c r="B817" s="86" t="s">
        <v>304</v>
      </c>
      <c r="C817" s="57" t="s">
        <v>12</v>
      </c>
      <c r="D817" s="262">
        <v>1</v>
      </c>
      <c r="E817" s="289">
        <v>0</v>
      </c>
      <c r="F817" s="164">
        <v>0</v>
      </c>
      <c r="G817" s="312">
        <v>816</v>
      </c>
      <c r="H817" t="s">
        <v>578</v>
      </c>
    </row>
    <row r="818" spans="1:8" ht="14">
      <c r="A818" s="19"/>
      <c r="B818" s="86" t="s">
        <v>38</v>
      </c>
      <c r="C818" s="33" t="s">
        <v>12</v>
      </c>
      <c r="D818" s="262"/>
      <c r="E818" s="289" t="s">
        <v>571</v>
      </c>
      <c r="F818" s="164" t="s">
        <v>571</v>
      </c>
      <c r="G818" s="312">
        <v>817</v>
      </c>
      <c r="H818" t="s">
        <v>578</v>
      </c>
    </row>
    <row r="819" spans="1:8" ht="14">
      <c r="A819" s="19"/>
      <c r="B819" s="90"/>
      <c r="C819" s="33"/>
      <c r="D819" s="262"/>
      <c r="E819" s="289" t="s">
        <v>571</v>
      </c>
      <c r="F819" s="164" t="s">
        <v>571</v>
      </c>
      <c r="G819" s="312">
        <v>818</v>
      </c>
      <c r="H819" t="s">
        <v>578</v>
      </c>
    </row>
    <row r="820" spans="1:8" ht="14">
      <c r="A820" s="19"/>
      <c r="B820" s="83" t="s">
        <v>404</v>
      </c>
      <c r="C820" s="33"/>
      <c r="D820" s="262"/>
      <c r="E820" s="289" t="s">
        <v>571</v>
      </c>
      <c r="F820" s="164" t="s">
        <v>571</v>
      </c>
      <c r="G820" s="312">
        <v>819</v>
      </c>
      <c r="H820" t="s">
        <v>578</v>
      </c>
    </row>
    <row r="821" spans="1:8" ht="14">
      <c r="A821" s="19"/>
      <c r="B821" s="26"/>
      <c r="C821" s="33"/>
      <c r="D821" s="262"/>
      <c r="E821" s="289" t="s">
        <v>571</v>
      </c>
      <c r="F821" s="164" t="s">
        <v>571</v>
      </c>
      <c r="G821" s="312">
        <v>820</v>
      </c>
      <c r="H821" t="s">
        <v>578</v>
      </c>
    </row>
    <row r="822" spans="1:8" ht="14">
      <c r="A822" s="19" t="s">
        <v>405</v>
      </c>
      <c r="B822" s="85" t="s">
        <v>25</v>
      </c>
      <c r="C822" s="33"/>
      <c r="D822" s="262"/>
      <c r="E822" s="289" t="s">
        <v>571</v>
      </c>
      <c r="F822" s="164" t="s">
        <v>571</v>
      </c>
      <c r="G822" s="312">
        <v>821</v>
      </c>
      <c r="H822" t="s">
        <v>578</v>
      </c>
    </row>
    <row r="823" spans="1:8" ht="14">
      <c r="A823" s="19"/>
      <c r="B823" s="47"/>
      <c r="C823" s="33"/>
      <c r="D823" s="262"/>
      <c r="E823" s="289" t="s">
        <v>571</v>
      </c>
      <c r="F823" s="164" t="s">
        <v>571</v>
      </c>
      <c r="G823" s="312">
        <v>822</v>
      </c>
      <c r="H823" t="s">
        <v>578</v>
      </c>
    </row>
    <row r="824" spans="1:8" ht="25">
      <c r="A824" s="19"/>
      <c r="B824" s="47" t="s">
        <v>307</v>
      </c>
      <c r="C824" s="33" t="s">
        <v>12</v>
      </c>
      <c r="D824" s="262">
        <v>1</v>
      </c>
      <c r="E824" s="289">
        <v>0</v>
      </c>
      <c r="F824" s="164">
        <v>0</v>
      </c>
      <c r="G824" s="312">
        <v>823</v>
      </c>
      <c r="H824" t="s">
        <v>578</v>
      </c>
    </row>
    <row r="825" spans="1:8" ht="25">
      <c r="A825" s="19"/>
      <c r="B825" s="47" t="s">
        <v>577</v>
      </c>
      <c r="C825" s="33" t="s">
        <v>12</v>
      </c>
      <c r="D825" s="262">
        <v>1</v>
      </c>
      <c r="E825" s="289">
        <v>0</v>
      </c>
      <c r="F825" s="164">
        <v>0</v>
      </c>
      <c r="G825" s="312">
        <v>824</v>
      </c>
      <c r="H825" t="s">
        <v>578</v>
      </c>
    </row>
    <row r="826" spans="1:8" ht="14">
      <c r="A826" s="19"/>
      <c r="B826" s="26"/>
      <c r="C826" s="33"/>
      <c r="D826" s="262"/>
      <c r="E826" s="289" t="s">
        <v>571</v>
      </c>
      <c r="F826" s="164" t="s">
        <v>571</v>
      </c>
      <c r="G826" s="312">
        <v>825</v>
      </c>
      <c r="H826" t="s">
        <v>578</v>
      </c>
    </row>
    <row r="827" spans="1:8" ht="14">
      <c r="A827" s="19"/>
      <c r="B827" s="83" t="s">
        <v>406</v>
      </c>
      <c r="C827" s="33"/>
      <c r="D827" s="262"/>
      <c r="E827" s="289" t="s">
        <v>571</v>
      </c>
      <c r="F827" s="164" t="s">
        <v>571</v>
      </c>
      <c r="G827" s="312">
        <v>826</v>
      </c>
      <c r="H827" t="s">
        <v>578</v>
      </c>
    </row>
    <row r="828" spans="1:8" ht="14">
      <c r="A828" s="19"/>
      <c r="B828" s="86"/>
      <c r="C828" s="33"/>
      <c r="D828" s="262"/>
      <c r="E828" s="289" t="s">
        <v>571</v>
      </c>
      <c r="F828" s="164" t="s">
        <v>571</v>
      </c>
      <c r="G828" s="312">
        <v>827</v>
      </c>
      <c r="H828" t="s">
        <v>578</v>
      </c>
    </row>
    <row r="829" spans="1:8" ht="14">
      <c r="A829" s="19" t="s">
        <v>407</v>
      </c>
      <c r="B829" s="23" t="s">
        <v>87</v>
      </c>
      <c r="C829" s="57"/>
      <c r="D829" s="262"/>
      <c r="E829" s="289" t="s">
        <v>571</v>
      </c>
      <c r="F829" s="164" t="s">
        <v>571</v>
      </c>
      <c r="G829" s="312">
        <v>828</v>
      </c>
      <c r="H829" t="s">
        <v>578</v>
      </c>
    </row>
    <row r="830" spans="1:8" ht="14">
      <c r="A830" s="19"/>
      <c r="B830" s="23"/>
      <c r="C830" s="57"/>
      <c r="D830" s="262"/>
      <c r="E830" s="289" t="s">
        <v>571</v>
      </c>
      <c r="F830" s="164" t="s">
        <v>571</v>
      </c>
      <c r="G830" s="312">
        <v>829</v>
      </c>
      <c r="H830" t="s">
        <v>578</v>
      </c>
    </row>
    <row r="831" spans="1:8" ht="14">
      <c r="A831" s="19"/>
      <c r="B831" s="88" t="s">
        <v>408</v>
      </c>
      <c r="C831" s="57" t="s">
        <v>13</v>
      </c>
      <c r="D831" s="262">
        <v>28</v>
      </c>
      <c r="E831" s="289">
        <v>0</v>
      </c>
      <c r="F831" s="164">
        <v>0</v>
      </c>
      <c r="G831" s="312">
        <v>830</v>
      </c>
      <c r="H831" t="s">
        <v>578</v>
      </c>
    </row>
    <row r="832" spans="1:8" ht="14">
      <c r="A832" s="19"/>
      <c r="B832" s="88" t="s">
        <v>409</v>
      </c>
      <c r="C832" s="57" t="s">
        <v>13</v>
      </c>
      <c r="D832" s="262"/>
      <c r="E832" s="289" t="s">
        <v>571</v>
      </c>
      <c r="F832" s="164" t="s">
        <v>571</v>
      </c>
      <c r="G832" s="312">
        <v>831</v>
      </c>
      <c r="H832" t="s">
        <v>578</v>
      </c>
    </row>
    <row r="833" spans="1:8" ht="14">
      <c r="A833" s="19"/>
      <c r="B833" s="88" t="s">
        <v>88</v>
      </c>
      <c r="C833" s="57" t="s">
        <v>13</v>
      </c>
      <c r="D833" s="262">
        <v>2</v>
      </c>
      <c r="E833" s="289">
        <v>0</v>
      </c>
      <c r="F833" s="164">
        <v>0</v>
      </c>
      <c r="G833" s="312">
        <v>832</v>
      </c>
      <c r="H833" t="s">
        <v>578</v>
      </c>
    </row>
    <row r="834" spans="1:8" ht="14">
      <c r="A834" s="19"/>
      <c r="B834" s="88" t="s">
        <v>36</v>
      </c>
      <c r="C834" s="57" t="s">
        <v>12</v>
      </c>
      <c r="D834" s="262">
        <v>1</v>
      </c>
      <c r="E834" s="289">
        <v>0</v>
      </c>
      <c r="F834" s="164">
        <v>0</v>
      </c>
      <c r="G834" s="312">
        <v>833</v>
      </c>
      <c r="H834" t="s">
        <v>578</v>
      </c>
    </row>
    <row r="835" spans="1:8" ht="14">
      <c r="A835" s="19"/>
      <c r="B835" s="88" t="s">
        <v>37</v>
      </c>
      <c r="C835" s="57" t="s">
        <v>12</v>
      </c>
      <c r="D835" s="262">
        <v>420</v>
      </c>
      <c r="E835" s="289">
        <v>0</v>
      </c>
      <c r="F835" s="164">
        <v>0</v>
      </c>
      <c r="G835" s="312">
        <v>834</v>
      </c>
      <c r="H835" t="s">
        <v>578</v>
      </c>
    </row>
    <row r="836" spans="1:8" ht="14">
      <c r="A836" s="19"/>
      <c r="B836" s="88" t="s">
        <v>314</v>
      </c>
      <c r="C836" s="57" t="s">
        <v>13</v>
      </c>
      <c r="D836" s="262"/>
      <c r="E836" s="289" t="s">
        <v>571</v>
      </c>
      <c r="F836" s="164" t="s">
        <v>571</v>
      </c>
      <c r="G836" s="312">
        <v>835</v>
      </c>
      <c r="H836" t="s">
        <v>578</v>
      </c>
    </row>
    <row r="837" spans="1:8" ht="14">
      <c r="A837" s="19"/>
      <c r="B837" s="88" t="s">
        <v>313</v>
      </c>
      <c r="C837" s="57" t="s">
        <v>1</v>
      </c>
      <c r="D837" s="262"/>
      <c r="E837" s="289" t="s">
        <v>571</v>
      </c>
      <c r="F837" s="164" t="s">
        <v>571</v>
      </c>
      <c r="G837" s="312">
        <v>836</v>
      </c>
      <c r="H837" t="s">
        <v>578</v>
      </c>
    </row>
    <row r="838" spans="1:8" ht="14">
      <c r="A838" s="19"/>
      <c r="B838" s="29"/>
      <c r="C838" s="57"/>
      <c r="D838" s="262"/>
      <c r="E838" s="289" t="s">
        <v>571</v>
      </c>
      <c r="F838" s="164" t="s">
        <v>571</v>
      </c>
      <c r="G838" s="312">
        <v>837</v>
      </c>
      <c r="H838" t="s">
        <v>578</v>
      </c>
    </row>
    <row r="839" spans="1:8" ht="14">
      <c r="A839" s="19"/>
      <c r="B839" s="122" t="s">
        <v>410</v>
      </c>
      <c r="C839" s="57"/>
      <c r="D839" s="262"/>
      <c r="E839" s="289" t="s">
        <v>571</v>
      </c>
      <c r="F839" s="164" t="s">
        <v>571</v>
      </c>
      <c r="G839" s="312">
        <v>838</v>
      </c>
      <c r="H839" t="s">
        <v>578</v>
      </c>
    </row>
    <row r="840" spans="1:8" ht="14">
      <c r="A840" s="19"/>
      <c r="B840" s="86"/>
      <c r="C840" s="33"/>
      <c r="D840" s="262"/>
      <c r="E840" s="289" t="s">
        <v>571</v>
      </c>
      <c r="F840" s="164" t="s">
        <v>571</v>
      </c>
      <c r="G840" s="312">
        <v>839</v>
      </c>
      <c r="H840" t="s">
        <v>578</v>
      </c>
    </row>
    <row r="841" spans="1:8" ht="14">
      <c r="A841" s="19" t="s">
        <v>411</v>
      </c>
      <c r="B841" s="23" t="s">
        <v>60</v>
      </c>
      <c r="C841" s="33"/>
      <c r="D841" s="262"/>
      <c r="E841" s="289" t="s">
        <v>571</v>
      </c>
      <c r="F841" s="164" t="s">
        <v>571</v>
      </c>
      <c r="G841" s="312">
        <v>840</v>
      </c>
      <c r="H841" t="s">
        <v>578</v>
      </c>
    </row>
    <row r="842" spans="1:8" ht="14">
      <c r="A842" s="19"/>
      <c r="B842" s="88"/>
      <c r="C842" s="33"/>
      <c r="D842" s="262"/>
      <c r="E842" s="289" t="s">
        <v>571</v>
      </c>
      <c r="F842" s="164" t="s">
        <v>571</v>
      </c>
      <c r="G842" s="312">
        <v>841</v>
      </c>
      <c r="H842" t="s">
        <v>578</v>
      </c>
    </row>
    <row r="843" spans="1:8" ht="14">
      <c r="A843" s="19" t="s">
        <v>412</v>
      </c>
      <c r="B843" s="23" t="s">
        <v>26</v>
      </c>
      <c r="C843" s="33"/>
      <c r="D843" s="262"/>
      <c r="E843" s="289" t="s">
        <v>571</v>
      </c>
      <c r="F843" s="164" t="s">
        <v>571</v>
      </c>
      <c r="G843" s="312">
        <v>842</v>
      </c>
      <c r="H843" t="s">
        <v>578</v>
      </c>
    </row>
    <row r="844" spans="1:8" ht="25">
      <c r="A844" s="19"/>
      <c r="B844" s="88" t="s">
        <v>181</v>
      </c>
      <c r="C844" s="33" t="s">
        <v>138</v>
      </c>
      <c r="D844" s="262">
        <v>120</v>
      </c>
      <c r="E844" s="289">
        <v>0</v>
      </c>
      <c r="F844" s="164">
        <v>0</v>
      </c>
      <c r="G844" s="312">
        <v>843</v>
      </c>
      <c r="H844" t="s">
        <v>578</v>
      </c>
    </row>
    <row r="845" spans="1:8" ht="25">
      <c r="A845" s="19"/>
      <c r="B845" s="88" t="s">
        <v>183</v>
      </c>
      <c r="C845" s="33" t="s">
        <v>138</v>
      </c>
      <c r="D845" s="262">
        <v>360</v>
      </c>
      <c r="E845" s="289">
        <v>0</v>
      </c>
      <c r="F845" s="164">
        <v>0</v>
      </c>
      <c r="G845" s="312">
        <v>844</v>
      </c>
      <c r="H845" t="s">
        <v>578</v>
      </c>
    </row>
    <row r="846" spans="1:8" ht="14">
      <c r="A846" s="104"/>
      <c r="B846" s="88" t="s">
        <v>171</v>
      </c>
      <c r="C846" s="33" t="s">
        <v>12</v>
      </c>
      <c r="D846" s="262">
        <v>1</v>
      </c>
      <c r="E846" s="289">
        <v>0</v>
      </c>
      <c r="F846" s="164">
        <v>0</v>
      </c>
      <c r="G846" s="312">
        <v>845</v>
      </c>
      <c r="H846" t="s">
        <v>578</v>
      </c>
    </row>
    <row r="847" spans="1:8" ht="14">
      <c r="A847" s="104"/>
      <c r="B847" s="88" t="s">
        <v>90</v>
      </c>
      <c r="C847" s="33" t="s">
        <v>12</v>
      </c>
      <c r="D847" s="262">
        <v>1</v>
      </c>
      <c r="E847" s="289">
        <v>0</v>
      </c>
      <c r="F847" s="164">
        <v>0</v>
      </c>
      <c r="G847" s="312">
        <v>846</v>
      </c>
      <c r="H847" t="s">
        <v>578</v>
      </c>
    </row>
    <row r="848" spans="1:8" ht="14">
      <c r="A848" s="104"/>
      <c r="B848" s="88" t="s">
        <v>182</v>
      </c>
      <c r="C848" s="33" t="s">
        <v>12</v>
      </c>
      <c r="D848" s="262">
        <v>1</v>
      </c>
      <c r="E848" s="289">
        <v>0</v>
      </c>
      <c r="F848" s="164">
        <v>0</v>
      </c>
      <c r="G848" s="312">
        <v>847</v>
      </c>
      <c r="H848" t="s">
        <v>578</v>
      </c>
    </row>
    <row r="849" spans="1:8" ht="25">
      <c r="A849" s="104"/>
      <c r="B849" s="88" t="s">
        <v>184</v>
      </c>
      <c r="C849" s="33" t="s">
        <v>12</v>
      </c>
      <c r="D849" s="262">
        <v>1</v>
      </c>
      <c r="E849" s="289">
        <v>0</v>
      </c>
      <c r="F849" s="164">
        <v>0</v>
      </c>
      <c r="G849" s="312">
        <v>848</v>
      </c>
      <c r="H849" t="s">
        <v>578</v>
      </c>
    </row>
    <row r="850" spans="1:8" ht="14">
      <c r="A850" s="104"/>
      <c r="B850" s="88" t="s">
        <v>174</v>
      </c>
      <c r="C850" s="33" t="s">
        <v>33</v>
      </c>
      <c r="D850" s="262"/>
      <c r="E850" s="289" t="s">
        <v>571</v>
      </c>
      <c r="F850" s="164" t="s">
        <v>571</v>
      </c>
      <c r="G850" s="312">
        <v>849</v>
      </c>
      <c r="H850" t="s">
        <v>578</v>
      </c>
    </row>
    <row r="851" spans="1:8" ht="25">
      <c r="A851" s="104"/>
      <c r="B851" s="88" t="s">
        <v>317</v>
      </c>
      <c r="C851" s="33" t="s">
        <v>13</v>
      </c>
      <c r="D851" s="262">
        <v>192</v>
      </c>
      <c r="E851" s="289">
        <v>0</v>
      </c>
      <c r="F851" s="164">
        <v>0</v>
      </c>
      <c r="G851" s="312">
        <v>850</v>
      </c>
      <c r="H851" t="s">
        <v>578</v>
      </c>
    </row>
    <row r="852" spans="1:8" ht="25">
      <c r="A852" s="104"/>
      <c r="B852" s="88" t="s">
        <v>316</v>
      </c>
      <c r="C852" s="33" t="s">
        <v>13</v>
      </c>
      <c r="D852" s="262">
        <v>210</v>
      </c>
      <c r="E852" s="289">
        <v>0</v>
      </c>
      <c r="F852" s="164">
        <v>0</v>
      </c>
      <c r="G852" s="312">
        <v>851</v>
      </c>
      <c r="H852" t="s">
        <v>578</v>
      </c>
    </row>
    <row r="853" spans="1:8" ht="14">
      <c r="A853" s="104"/>
      <c r="B853" s="88" t="s">
        <v>44</v>
      </c>
      <c r="C853" s="33" t="s">
        <v>12</v>
      </c>
      <c r="D853" s="262">
        <v>1</v>
      </c>
      <c r="E853" s="289">
        <v>0</v>
      </c>
      <c r="F853" s="164">
        <v>0</v>
      </c>
      <c r="G853" s="312">
        <v>852</v>
      </c>
      <c r="H853" t="s">
        <v>578</v>
      </c>
    </row>
    <row r="854" spans="1:8" ht="14">
      <c r="A854" s="104"/>
      <c r="B854" s="88" t="s">
        <v>43</v>
      </c>
      <c r="C854" s="33" t="s">
        <v>12</v>
      </c>
      <c r="D854" s="262">
        <v>1</v>
      </c>
      <c r="E854" s="289">
        <v>0</v>
      </c>
      <c r="F854" s="164">
        <v>0</v>
      </c>
      <c r="G854" s="312">
        <v>853</v>
      </c>
      <c r="H854" t="s">
        <v>578</v>
      </c>
    </row>
    <row r="855" spans="1:8" ht="14">
      <c r="A855" s="104"/>
      <c r="B855" s="88" t="s">
        <v>319</v>
      </c>
      <c r="C855" s="33" t="s">
        <v>12</v>
      </c>
      <c r="D855" s="262">
        <v>1</v>
      </c>
      <c r="E855" s="289">
        <v>0</v>
      </c>
      <c r="F855" s="164">
        <v>0</v>
      </c>
      <c r="G855" s="312">
        <v>854</v>
      </c>
      <c r="H855" t="s">
        <v>578</v>
      </c>
    </row>
    <row r="856" spans="1:8" ht="14">
      <c r="A856" s="104"/>
      <c r="B856" s="88" t="s">
        <v>318</v>
      </c>
      <c r="C856" s="33" t="s">
        <v>12</v>
      </c>
      <c r="D856" s="262">
        <v>1</v>
      </c>
      <c r="E856" s="289">
        <v>0</v>
      </c>
      <c r="F856" s="164">
        <v>0</v>
      </c>
      <c r="G856" s="312">
        <v>855</v>
      </c>
      <c r="H856" t="s">
        <v>578</v>
      </c>
    </row>
    <row r="857" spans="1:8" ht="14">
      <c r="A857" s="104"/>
      <c r="B857" s="88"/>
      <c r="C857" s="33"/>
      <c r="D857" s="262"/>
      <c r="E857" s="289" t="s">
        <v>571</v>
      </c>
      <c r="F857" s="164" t="s">
        <v>571</v>
      </c>
      <c r="G857" s="312">
        <v>856</v>
      </c>
      <c r="H857" t="s">
        <v>578</v>
      </c>
    </row>
    <row r="858" spans="1:8" ht="37.5">
      <c r="A858" s="104"/>
      <c r="B858" s="88" t="s">
        <v>315</v>
      </c>
      <c r="C858" s="57" t="s">
        <v>12</v>
      </c>
      <c r="D858" s="262">
        <v>1</v>
      </c>
      <c r="E858" s="289">
        <v>0</v>
      </c>
      <c r="F858" s="164">
        <v>0</v>
      </c>
      <c r="G858" s="312">
        <v>857</v>
      </c>
      <c r="H858" t="s">
        <v>578</v>
      </c>
    </row>
    <row r="859" spans="1:8" ht="14">
      <c r="A859" s="19"/>
      <c r="B859" s="88"/>
      <c r="C859" s="33"/>
      <c r="D859" s="262"/>
      <c r="E859" s="289" t="s">
        <v>571</v>
      </c>
      <c r="F859" s="164" t="s">
        <v>571</v>
      </c>
      <c r="G859" s="312">
        <v>858</v>
      </c>
      <c r="H859" t="s">
        <v>578</v>
      </c>
    </row>
    <row r="860" spans="1:8" ht="14">
      <c r="A860" s="19" t="s">
        <v>413</v>
      </c>
      <c r="B860" s="23" t="s">
        <v>63</v>
      </c>
      <c r="C860" s="33"/>
      <c r="D860" s="262"/>
      <c r="E860" s="289" t="s">
        <v>571</v>
      </c>
      <c r="F860" s="164" t="s">
        <v>571</v>
      </c>
      <c r="G860" s="312">
        <v>859</v>
      </c>
      <c r="H860" t="s">
        <v>578</v>
      </c>
    </row>
    <row r="861" spans="1:8" ht="14">
      <c r="A861" s="19"/>
      <c r="B861" s="85"/>
      <c r="C861" s="57"/>
      <c r="D861" s="262"/>
      <c r="E861" s="289" t="s">
        <v>571</v>
      </c>
      <c r="F861" s="164" t="s">
        <v>571</v>
      </c>
      <c r="G861" s="312">
        <v>860</v>
      </c>
      <c r="H861" t="s">
        <v>578</v>
      </c>
    </row>
    <row r="862" spans="1:8" ht="25">
      <c r="A862" s="19"/>
      <c r="B862" s="88" t="s">
        <v>181</v>
      </c>
      <c r="C862" s="57" t="s">
        <v>12</v>
      </c>
      <c r="D862" s="262">
        <v>1</v>
      </c>
      <c r="E862" s="289">
        <v>0</v>
      </c>
      <c r="F862" s="164">
        <v>0</v>
      </c>
      <c r="G862" s="312">
        <v>861</v>
      </c>
      <c r="H862" t="s">
        <v>578</v>
      </c>
    </row>
    <row r="863" spans="1:8" ht="25">
      <c r="A863" s="19"/>
      <c r="B863" s="88" t="s">
        <v>183</v>
      </c>
      <c r="C863" s="33" t="s">
        <v>138</v>
      </c>
      <c r="D863" s="262">
        <v>210</v>
      </c>
      <c r="E863" s="289">
        <v>0</v>
      </c>
      <c r="F863" s="164">
        <v>0</v>
      </c>
      <c r="G863" s="312">
        <v>862</v>
      </c>
      <c r="H863" t="s">
        <v>578</v>
      </c>
    </row>
    <row r="864" spans="1:8" ht="14">
      <c r="A864" s="19"/>
      <c r="B864" s="88"/>
      <c r="C864" s="57"/>
      <c r="D864" s="262"/>
      <c r="E864" s="289" t="s">
        <v>571</v>
      </c>
      <c r="F864" s="164" t="s">
        <v>571</v>
      </c>
      <c r="G864" s="312">
        <v>863</v>
      </c>
      <c r="H864" t="s">
        <v>578</v>
      </c>
    </row>
    <row r="865" spans="1:8" ht="14">
      <c r="A865" s="19"/>
      <c r="B865" s="88" t="s">
        <v>174</v>
      </c>
      <c r="C865" s="57" t="s">
        <v>33</v>
      </c>
      <c r="D865" s="262"/>
      <c r="E865" s="289" t="s">
        <v>571</v>
      </c>
      <c r="F865" s="164" t="s">
        <v>571</v>
      </c>
      <c r="G865" s="312">
        <v>864</v>
      </c>
      <c r="H865" t="s">
        <v>578</v>
      </c>
    </row>
    <row r="866" spans="1:8" ht="14">
      <c r="A866" s="19"/>
      <c r="B866" s="88" t="s">
        <v>175</v>
      </c>
      <c r="C866" s="57" t="s">
        <v>13</v>
      </c>
      <c r="D866" s="262">
        <v>2</v>
      </c>
      <c r="E866" s="289">
        <v>0</v>
      </c>
      <c r="F866" s="164">
        <v>0</v>
      </c>
      <c r="G866" s="312">
        <v>865</v>
      </c>
      <c r="H866" t="s">
        <v>578</v>
      </c>
    </row>
    <row r="867" spans="1:8" ht="14">
      <c r="A867" s="19"/>
      <c r="B867" s="88" t="s">
        <v>176</v>
      </c>
      <c r="C867" s="57" t="s">
        <v>138</v>
      </c>
      <c r="D867" s="262">
        <v>75</v>
      </c>
      <c r="E867" s="289">
        <v>0</v>
      </c>
      <c r="F867" s="164">
        <v>0</v>
      </c>
      <c r="G867" s="312">
        <v>866</v>
      </c>
      <c r="H867" t="s">
        <v>578</v>
      </c>
    </row>
    <row r="868" spans="1:8" ht="14">
      <c r="A868" s="19"/>
      <c r="B868" s="88" t="s">
        <v>177</v>
      </c>
      <c r="C868" s="57" t="s">
        <v>12</v>
      </c>
      <c r="D868" s="262">
        <v>1</v>
      </c>
      <c r="E868" s="289">
        <v>0</v>
      </c>
      <c r="F868" s="164">
        <v>0</v>
      </c>
      <c r="G868" s="312">
        <v>867</v>
      </c>
      <c r="H868" t="s">
        <v>578</v>
      </c>
    </row>
    <row r="869" spans="1:8" ht="14">
      <c r="A869" s="19"/>
      <c r="B869" s="88"/>
      <c r="C869" s="57"/>
      <c r="D869" s="262"/>
      <c r="E869" s="289" t="s">
        <v>571</v>
      </c>
      <c r="F869" s="164" t="s">
        <v>571</v>
      </c>
      <c r="G869" s="312">
        <v>868</v>
      </c>
      <c r="H869" t="s">
        <v>578</v>
      </c>
    </row>
    <row r="870" spans="1:8" ht="37.5">
      <c r="A870" s="19"/>
      <c r="B870" s="88" t="s">
        <v>178</v>
      </c>
      <c r="C870" s="57" t="s">
        <v>12</v>
      </c>
      <c r="D870" s="262">
        <v>1</v>
      </c>
      <c r="E870" s="289">
        <v>0</v>
      </c>
      <c r="F870" s="164">
        <v>0</v>
      </c>
      <c r="G870" s="312">
        <v>869</v>
      </c>
      <c r="H870" t="s">
        <v>578</v>
      </c>
    </row>
    <row r="871" spans="1:8" ht="14">
      <c r="A871" s="19"/>
      <c r="B871" s="88"/>
      <c r="C871" s="57"/>
      <c r="D871" s="262"/>
      <c r="E871" s="289" t="s">
        <v>571</v>
      </c>
      <c r="F871" s="164" t="s">
        <v>571</v>
      </c>
      <c r="G871" s="312">
        <v>870</v>
      </c>
      <c r="H871" t="s">
        <v>578</v>
      </c>
    </row>
    <row r="872" spans="1:8" ht="37.5">
      <c r="A872" s="19"/>
      <c r="B872" s="88" t="s">
        <v>185</v>
      </c>
      <c r="C872" s="57" t="s">
        <v>12</v>
      </c>
      <c r="D872" s="262">
        <v>1</v>
      </c>
      <c r="E872" s="289">
        <v>0</v>
      </c>
      <c r="F872" s="164">
        <v>0</v>
      </c>
      <c r="G872" s="312">
        <v>871</v>
      </c>
      <c r="H872" t="s">
        <v>578</v>
      </c>
    </row>
    <row r="873" spans="1:8" ht="14">
      <c r="A873" s="19"/>
      <c r="B873" s="88"/>
      <c r="C873" s="57"/>
      <c r="D873" s="262"/>
      <c r="E873" s="289" t="s">
        <v>571</v>
      </c>
      <c r="F873" s="164" t="s">
        <v>571</v>
      </c>
      <c r="G873" s="312">
        <v>872</v>
      </c>
      <c r="H873" t="s">
        <v>578</v>
      </c>
    </row>
    <row r="874" spans="1:8" ht="25">
      <c r="A874" s="19"/>
      <c r="B874" s="88" t="s">
        <v>186</v>
      </c>
      <c r="C874" s="57" t="s">
        <v>12</v>
      </c>
      <c r="D874" s="262">
        <v>1</v>
      </c>
      <c r="E874" s="289">
        <v>0</v>
      </c>
      <c r="F874" s="164">
        <v>0</v>
      </c>
      <c r="G874" s="312">
        <v>873</v>
      </c>
      <c r="H874" t="s">
        <v>578</v>
      </c>
    </row>
    <row r="875" spans="1:8" ht="25">
      <c r="A875" s="19"/>
      <c r="B875" s="88" t="s">
        <v>187</v>
      </c>
      <c r="C875" s="57" t="s">
        <v>12</v>
      </c>
      <c r="D875" s="262">
        <v>1</v>
      </c>
      <c r="E875" s="289">
        <v>0</v>
      </c>
      <c r="F875" s="164">
        <v>0</v>
      </c>
      <c r="G875" s="312">
        <v>874</v>
      </c>
      <c r="H875" t="s">
        <v>578</v>
      </c>
    </row>
    <row r="876" spans="1:8" ht="37.5">
      <c r="A876" s="19"/>
      <c r="B876" s="88" t="s">
        <v>188</v>
      </c>
      <c r="C876" s="57" t="s">
        <v>12</v>
      </c>
      <c r="D876" s="262">
        <v>1</v>
      </c>
      <c r="E876" s="289">
        <v>0</v>
      </c>
      <c r="F876" s="164">
        <v>0</v>
      </c>
      <c r="G876" s="312">
        <v>875</v>
      </c>
      <c r="H876" t="s">
        <v>578</v>
      </c>
    </row>
    <row r="877" spans="1:8" ht="14">
      <c r="A877" s="19"/>
      <c r="B877" s="88"/>
      <c r="C877" s="57"/>
      <c r="D877" s="262"/>
      <c r="E877" s="289" t="s">
        <v>571</v>
      </c>
      <c r="F877" s="164" t="s">
        <v>571</v>
      </c>
      <c r="G877" s="312">
        <v>876</v>
      </c>
      <c r="H877" t="s">
        <v>578</v>
      </c>
    </row>
    <row r="878" spans="1:8" ht="14">
      <c r="A878" s="19"/>
      <c r="B878" s="88" t="s">
        <v>179</v>
      </c>
      <c r="C878" s="57" t="s">
        <v>12</v>
      </c>
      <c r="D878" s="262">
        <v>1</v>
      </c>
      <c r="E878" s="289">
        <v>0</v>
      </c>
      <c r="F878" s="164">
        <v>0</v>
      </c>
      <c r="G878" s="312">
        <v>877</v>
      </c>
      <c r="H878" t="s">
        <v>578</v>
      </c>
    </row>
    <row r="879" spans="1:8" ht="14">
      <c r="A879" s="19"/>
      <c r="B879" s="88" t="s">
        <v>180</v>
      </c>
      <c r="C879" s="57" t="s">
        <v>12</v>
      </c>
      <c r="D879" s="262">
        <v>1</v>
      </c>
      <c r="E879" s="289">
        <v>0</v>
      </c>
      <c r="F879" s="164">
        <v>0</v>
      </c>
      <c r="G879" s="312">
        <v>878</v>
      </c>
      <c r="H879" t="s">
        <v>578</v>
      </c>
    </row>
    <row r="880" spans="1:8" ht="14">
      <c r="A880" s="19"/>
      <c r="B880" s="89"/>
      <c r="C880" s="57"/>
      <c r="D880" s="262"/>
      <c r="E880" s="289" t="s">
        <v>571</v>
      </c>
      <c r="F880" s="164" t="s">
        <v>571</v>
      </c>
      <c r="G880" s="312">
        <v>879</v>
      </c>
      <c r="H880" t="s">
        <v>578</v>
      </c>
    </row>
    <row r="881" spans="1:8" ht="14">
      <c r="A881" s="19"/>
      <c r="B881" s="83" t="s">
        <v>415</v>
      </c>
      <c r="C881" s="33"/>
      <c r="D881" s="262"/>
      <c r="E881" s="289" t="s">
        <v>571</v>
      </c>
      <c r="F881" s="164" t="s">
        <v>571</v>
      </c>
      <c r="G881" s="312">
        <v>880</v>
      </c>
      <c r="H881" t="s">
        <v>578</v>
      </c>
    </row>
    <row r="882" spans="1:8" ht="14">
      <c r="A882" s="19"/>
      <c r="B882" s="86"/>
      <c r="C882" s="33"/>
      <c r="D882" s="262"/>
      <c r="E882" s="289" t="s">
        <v>571</v>
      </c>
      <c r="F882" s="164" t="s">
        <v>571</v>
      </c>
      <c r="G882" s="312">
        <v>881</v>
      </c>
      <c r="H882" t="s">
        <v>578</v>
      </c>
    </row>
    <row r="883" spans="1:8" ht="14">
      <c r="A883" s="19" t="s">
        <v>417</v>
      </c>
      <c r="B883" s="87" t="s">
        <v>27</v>
      </c>
      <c r="C883" s="33"/>
      <c r="D883" s="262"/>
      <c r="E883" s="289" t="s">
        <v>571</v>
      </c>
      <c r="F883" s="164" t="s">
        <v>571</v>
      </c>
      <c r="G883" s="312">
        <v>882</v>
      </c>
      <c r="H883" t="s">
        <v>578</v>
      </c>
    </row>
    <row r="884" spans="1:8" ht="14">
      <c r="A884" s="19"/>
      <c r="B884" s="86"/>
      <c r="C884" s="33"/>
      <c r="D884" s="262"/>
      <c r="E884" s="289" t="s">
        <v>571</v>
      </c>
      <c r="F884" s="164" t="s">
        <v>571</v>
      </c>
      <c r="G884" s="312">
        <v>883</v>
      </c>
      <c r="H884" t="s">
        <v>578</v>
      </c>
    </row>
    <row r="885" spans="1:8" ht="14">
      <c r="A885" s="19"/>
      <c r="B885" s="86" t="s">
        <v>38</v>
      </c>
      <c r="C885" s="33" t="s">
        <v>33</v>
      </c>
      <c r="D885" s="262"/>
      <c r="E885" s="289" t="s">
        <v>571</v>
      </c>
      <c r="F885" s="164" t="s">
        <v>571</v>
      </c>
      <c r="G885" s="312">
        <v>884</v>
      </c>
      <c r="H885" t="s">
        <v>578</v>
      </c>
    </row>
    <row r="886" spans="1:8" ht="14">
      <c r="A886" s="19"/>
      <c r="B886" s="86" t="s">
        <v>133</v>
      </c>
      <c r="C886" s="33" t="s">
        <v>12</v>
      </c>
      <c r="D886" s="262">
        <v>1</v>
      </c>
      <c r="E886" s="289">
        <v>0</v>
      </c>
      <c r="F886" s="164">
        <v>0</v>
      </c>
      <c r="G886" s="312">
        <v>885</v>
      </c>
      <c r="H886" t="s">
        <v>578</v>
      </c>
    </row>
    <row r="887" spans="1:8" ht="14">
      <c r="A887" s="19"/>
      <c r="B887" s="86" t="s">
        <v>39</v>
      </c>
      <c r="C887" s="33" t="s">
        <v>12</v>
      </c>
      <c r="D887" s="262">
        <v>1</v>
      </c>
      <c r="E887" s="289">
        <v>0</v>
      </c>
      <c r="F887" s="164">
        <v>0</v>
      </c>
      <c r="G887" s="312">
        <v>886</v>
      </c>
      <c r="H887" t="s">
        <v>578</v>
      </c>
    </row>
    <row r="888" spans="1:8" ht="14">
      <c r="A888" s="19"/>
      <c r="B888" s="86" t="s">
        <v>40</v>
      </c>
      <c r="C888" s="33" t="s">
        <v>12</v>
      </c>
      <c r="D888" s="262">
        <v>1</v>
      </c>
      <c r="E888" s="289">
        <v>0</v>
      </c>
      <c r="F888" s="164">
        <v>0</v>
      </c>
      <c r="G888" s="312">
        <v>887</v>
      </c>
      <c r="H888" t="s">
        <v>578</v>
      </c>
    </row>
    <row r="889" spans="1:8" ht="14">
      <c r="A889" s="19"/>
      <c r="B889" s="86"/>
      <c r="C889" s="33"/>
      <c r="D889" s="262"/>
      <c r="E889" s="289" t="s">
        <v>571</v>
      </c>
      <c r="F889" s="164" t="s">
        <v>571</v>
      </c>
      <c r="G889" s="312">
        <v>888</v>
      </c>
      <c r="H889" t="s">
        <v>578</v>
      </c>
    </row>
    <row r="890" spans="1:8" ht="25">
      <c r="A890" s="19"/>
      <c r="B890" s="88" t="s">
        <v>393</v>
      </c>
      <c r="C890" s="33" t="s">
        <v>138</v>
      </c>
      <c r="D890" s="262">
        <v>72</v>
      </c>
      <c r="E890" s="289">
        <v>0</v>
      </c>
      <c r="F890" s="164">
        <v>0</v>
      </c>
      <c r="G890" s="312">
        <v>889</v>
      </c>
      <c r="H890" t="s">
        <v>578</v>
      </c>
    </row>
    <row r="891" spans="1:8" ht="14">
      <c r="A891" s="19"/>
      <c r="B891" s="86" t="s">
        <v>41</v>
      </c>
      <c r="C891" s="33" t="s">
        <v>12</v>
      </c>
      <c r="D891" s="262">
        <v>1</v>
      </c>
      <c r="E891" s="289">
        <v>0</v>
      </c>
      <c r="F891" s="164">
        <v>0</v>
      </c>
      <c r="G891" s="312">
        <v>890</v>
      </c>
      <c r="H891" t="s">
        <v>578</v>
      </c>
    </row>
    <row r="892" spans="1:8" ht="14">
      <c r="A892" s="19"/>
      <c r="B892" s="86"/>
      <c r="C892" s="33"/>
      <c r="D892" s="262"/>
      <c r="E892" s="289" t="s">
        <v>571</v>
      </c>
      <c r="F892" s="164" t="s">
        <v>571</v>
      </c>
      <c r="G892" s="312">
        <v>891</v>
      </c>
      <c r="H892" t="s">
        <v>578</v>
      </c>
    </row>
    <row r="893" spans="1:8" ht="14">
      <c r="A893" s="19"/>
      <c r="B893" s="83" t="s">
        <v>418</v>
      </c>
      <c r="C893" s="33"/>
      <c r="D893" s="262"/>
      <c r="E893" s="289" t="s">
        <v>571</v>
      </c>
      <c r="F893" s="164" t="s">
        <v>571</v>
      </c>
      <c r="G893" s="312">
        <v>892</v>
      </c>
      <c r="H893" t="s">
        <v>578</v>
      </c>
    </row>
    <row r="894" spans="1:8" ht="14">
      <c r="A894" s="19"/>
      <c r="B894" s="86"/>
      <c r="C894" s="33"/>
      <c r="D894" s="262"/>
      <c r="E894" s="289" t="s">
        <v>571</v>
      </c>
      <c r="F894" s="164" t="s">
        <v>571</v>
      </c>
      <c r="G894" s="312">
        <v>893</v>
      </c>
      <c r="H894" t="s">
        <v>578</v>
      </c>
    </row>
    <row r="895" spans="1:8" ht="14">
      <c r="A895" s="19" t="s">
        <v>419</v>
      </c>
      <c r="B895" s="87" t="s">
        <v>192</v>
      </c>
      <c r="C895" s="33"/>
      <c r="D895" s="262"/>
      <c r="E895" s="289" t="s">
        <v>571</v>
      </c>
      <c r="F895" s="164" t="s">
        <v>571</v>
      </c>
      <c r="G895" s="312">
        <v>894</v>
      </c>
      <c r="H895" t="s">
        <v>578</v>
      </c>
    </row>
    <row r="896" spans="1:8" ht="14">
      <c r="A896" s="17"/>
      <c r="B896" s="86"/>
      <c r="C896" s="33"/>
      <c r="D896" s="262"/>
      <c r="E896" s="289" t="s">
        <v>571</v>
      </c>
      <c r="F896" s="164" t="s">
        <v>571</v>
      </c>
      <c r="G896" s="312">
        <v>895</v>
      </c>
      <c r="H896" t="s">
        <v>578</v>
      </c>
    </row>
    <row r="897" spans="1:8" ht="14">
      <c r="A897" s="17"/>
      <c r="B897" s="90" t="s">
        <v>21</v>
      </c>
      <c r="C897" s="33" t="s">
        <v>12</v>
      </c>
      <c r="D897" s="262">
        <v>1</v>
      </c>
      <c r="E897" s="289">
        <v>0</v>
      </c>
      <c r="F897" s="164">
        <v>0</v>
      </c>
      <c r="G897" s="312">
        <v>896</v>
      </c>
      <c r="H897" t="s">
        <v>578</v>
      </c>
    </row>
    <row r="898" spans="1:8" ht="14">
      <c r="A898" s="17"/>
      <c r="B898" s="91" t="s">
        <v>193</v>
      </c>
      <c r="C898" s="33"/>
      <c r="D898" s="262"/>
      <c r="E898" s="289" t="s">
        <v>571</v>
      </c>
      <c r="F898" s="164" t="s">
        <v>571</v>
      </c>
      <c r="G898" s="312">
        <v>897</v>
      </c>
      <c r="H898" t="s">
        <v>578</v>
      </c>
    </row>
    <row r="899" spans="1:8" ht="14">
      <c r="A899" s="17"/>
      <c r="B899" s="91" t="s">
        <v>194</v>
      </c>
      <c r="C899" s="33"/>
      <c r="D899" s="262"/>
      <c r="E899" s="289" t="s">
        <v>571</v>
      </c>
      <c r="F899" s="164" t="s">
        <v>571</v>
      </c>
      <c r="G899" s="312">
        <v>898</v>
      </c>
      <c r="H899" t="s">
        <v>578</v>
      </c>
    </row>
    <row r="900" spans="1:8" ht="14">
      <c r="A900" s="17"/>
      <c r="B900" s="91" t="s">
        <v>384</v>
      </c>
      <c r="C900" s="33"/>
      <c r="D900" s="262"/>
      <c r="E900" s="289" t="s">
        <v>571</v>
      </c>
      <c r="F900" s="164" t="s">
        <v>571</v>
      </c>
      <c r="G900" s="312">
        <v>899</v>
      </c>
      <c r="H900" t="s">
        <v>578</v>
      </c>
    </row>
    <row r="901" spans="1:8" ht="14">
      <c r="A901" s="17"/>
      <c r="B901" s="91" t="s">
        <v>195</v>
      </c>
      <c r="C901" s="33"/>
      <c r="D901" s="262"/>
      <c r="E901" s="289" t="s">
        <v>571</v>
      </c>
      <c r="F901" s="164" t="s">
        <v>571</v>
      </c>
      <c r="G901" s="312">
        <v>900</v>
      </c>
      <c r="H901" t="s">
        <v>578</v>
      </c>
    </row>
    <row r="902" spans="1:8" ht="14">
      <c r="A902" s="17"/>
      <c r="B902" s="91" t="s">
        <v>196</v>
      </c>
      <c r="C902" s="33"/>
      <c r="D902" s="262"/>
      <c r="E902" s="289" t="s">
        <v>571</v>
      </c>
      <c r="F902" s="164" t="s">
        <v>571</v>
      </c>
      <c r="G902" s="312">
        <v>901</v>
      </c>
      <c r="H902" t="s">
        <v>578</v>
      </c>
    </row>
    <row r="903" spans="1:8" ht="14">
      <c r="A903" s="17"/>
      <c r="B903" s="90"/>
      <c r="C903" s="33"/>
      <c r="D903" s="262"/>
      <c r="E903" s="289" t="s">
        <v>571</v>
      </c>
      <c r="F903" s="164" t="s">
        <v>571</v>
      </c>
      <c r="G903" s="312">
        <v>902</v>
      </c>
      <c r="H903" t="s">
        <v>578</v>
      </c>
    </row>
    <row r="904" spans="1:8" ht="14">
      <c r="A904" s="17"/>
      <c r="B904" s="90" t="s">
        <v>42</v>
      </c>
      <c r="C904" s="33" t="s">
        <v>12</v>
      </c>
      <c r="D904" s="262">
        <v>1</v>
      </c>
      <c r="E904" s="289">
        <v>0</v>
      </c>
      <c r="F904" s="164">
        <v>0</v>
      </c>
      <c r="G904" s="312">
        <v>903</v>
      </c>
      <c r="H904" t="s">
        <v>578</v>
      </c>
    </row>
    <row r="905" spans="1:8" ht="14">
      <c r="A905" s="17"/>
      <c r="B905" s="90" t="s">
        <v>45</v>
      </c>
      <c r="C905" s="33" t="s">
        <v>12</v>
      </c>
      <c r="D905" s="262">
        <v>1</v>
      </c>
      <c r="E905" s="289">
        <v>0</v>
      </c>
      <c r="F905" s="164">
        <v>0</v>
      </c>
      <c r="G905" s="312">
        <v>904</v>
      </c>
      <c r="H905" t="s">
        <v>578</v>
      </c>
    </row>
    <row r="906" spans="1:8" ht="25">
      <c r="A906" s="105"/>
      <c r="B906" s="92" t="s">
        <v>22</v>
      </c>
      <c r="C906" s="56" t="s">
        <v>13</v>
      </c>
      <c r="D906" s="262">
        <v>12</v>
      </c>
      <c r="E906" s="289">
        <v>0</v>
      </c>
      <c r="F906" s="164">
        <v>0</v>
      </c>
      <c r="G906" s="312">
        <v>905</v>
      </c>
      <c r="H906" t="s">
        <v>578</v>
      </c>
    </row>
    <row r="907" spans="1:8" ht="14">
      <c r="A907" s="17"/>
      <c r="B907" s="90"/>
      <c r="C907" s="33"/>
      <c r="D907" s="262"/>
      <c r="E907" s="289" t="s">
        <v>571</v>
      </c>
      <c r="F907" s="164" t="s">
        <v>571</v>
      </c>
      <c r="G907" s="312">
        <v>906</v>
      </c>
      <c r="H907" t="s">
        <v>578</v>
      </c>
    </row>
    <row r="908" spans="1:8" ht="14">
      <c r="A908" s="17"/>
      <c r="B908" s="90" t="s">
        <v>198</v>
      </c>
      <c r="C908" s="33" t="s">
        <v>13</v>
      </c>
      <c r="D908" s="262">
        <v>1</v>
      </c>
      <c r="E908" s="289">
        <v>0</v>
      </c>
      <c r="F908" s="164">
        <v>0</v>
      </c>
      <c r="G908" s="312">
        <v>907</v>
      </c>
      <c r="H908" t="s">
        <v>578</v>
      </c>
    </row>
    <row r="909" spans="1:8" ht="14">
      <c r="A909" s="17"/>
      <c r="B909" s="90" t="s">
        <v>46</v>
      </c>
      <c r="C909" s="33" t="s">
        <v>13</v>
      </c>
      <c r="D909" s="262">
        <v>1</v>
      </c>
      <c r="E909" s="289">
        <v>0</v>
      </c>
      <c r="F909" s="164">
        <v>0</v>
      </c>
      <c r="G909" s="312">
        <v>908</v>
      </c>
      <c r="H909" t="s">
        <v>578</v>
      </c>
    </row>
    <row r="910" spans="1:8" ht="14">
      <c r="A910" s="17"/>
      <c r="B910" s="90" t="s">
        <v>135</v>
      </c>
      <c r="C910" s="33" t="s">
        <v>13</v>
      </c>
      <c r="D910" s="262">
        <v>3</v>
      </c>
      <c r="E910" s="289">
        <v>0</v>
      </c>
      <c r="F910" s="164">
        <v>0</v>
      </c>
      <c r="G910" s="312">
        <v>909</v>
      </c>
      <c r="H910" t="s">
        <v>578</v>
      </c>
    </row>
    <row r="911" spans="1:8" ht="14">
      <c r="A911" s="17"/>
      <c r="B911" s="90" t="s">
        <v>420</v>
      </c>
      <c r="C911" s="33" t="s">
        <v>12</v>
      </c>
      <c r="D911" s="262">
        <v>1</v>
      </c>
      <c r="E911" s="289">
        <v>0</v>
      </c>
      <c r="F911" s="164">
        <v>0</v>
      </c>
      <c r="G911" s="312">
        <v>910</v>
      </c>
      <c r="H911" t="s">
        <v>578</v>
      </c>
    </row>
    <row r="912" spans="1:8" ht="14">
      <c r="A912" s="17"/>
      <c r="B912" s="90" t="s">
        <v>197</v>
      </c>
      <c r="C912" s="33" t="s">
        <v>12</v>
      </c>
      <c r="D912" s="262">
        <v>1</v>
      </c>
      <c r="E912" s="289">
        <v>0</v>
      </c>
      <c r="F912" s="164">
        <v>0</v>
      </c>
      <c r="G912" s="312">
        <v>911</v>
      </c>
      <c r="H912" t="s">
        <v>578</v>
      </c>
    </row>
    <row r="913" spans="1:8" ht="14">
      <c r="A913" s="17"/>
      <c r="B913" s="90"/>
      <c r="C913" s="33"/>
      <c r="D913" s="262"/>
      <c r="E913" s="289" t="s">
        <v>571</v>
      </c>
      <c r="F913" s="164" t="s">
        <v>571</v>
      </c>
      <c r="G913" s="312">
        <v>912</v>
      </c>
      <c r="H913" t="s">
        <v>578</v>
      </c>
    </row>
    <row r="914" spans="1:8" ht="14">
      <c r="A914" s="17"/>
      <c r="B914" s="90" t="s">
        <v>47</v>
      </c>
      <c r="C914" s="33" t="s">
        <v>13</v>
      </c>
      <c r="D914" s="262">
        <v>45</v>
      </c>
      <c r="E914" s="289">
        <v>0</v>
      </c>
      <c r="F914" s="164">
        <v>0</v>
      </c>
      <c r="G914" s="312">
        <v>913</v>
      </c>
      <c r="H914" t="s">
        <v>578</v>
      </c>
    </row>
    <row r="915" spans="1:8" ht="14">
      <c r="A915" s="17"/>
      <c r="B915" s="90"/>
      <c r="C915" s="33"/>
      <c r="D915" s="262"/>
      <c r="E915" s="289" t="s">
        <v>571</v>
      </c>
      <c r="F915" s="164" t="s">
        <v>571</v>
      </c>
      <c r="G915" s="312">
        <v>914</v>
      </c>
      <c r="H915" t="s">
        <v>578</v>
      </c>
    </row>
    <row r="916" spans="1:8" ht="14">
      <c r="A916" s="17"/>
      <c r="B916" s="90" t="s">
        <v>23</v>
      </c>
      <c r="C916" s="33" t="s">
        <v>12</v>
      </c>
      <c r="D916" s="262">
        <v>1</v>
      </c>
      <c r="E916" s="289">
        <v>0</v>
      </c>
      <c r="F916" s="164">
        <v>0</v>
      </c>
      <c r="G916" s="312">
        <v>915</v>
      </c>
      <c r="H916" t="s">
        <v>578</v>
      </c>
    </row>
    <row r="917" spans="1:8" ht="14">
      <c r="A917" s="17"/>
      <c r="B917" s="90" t="s">
        <v>24</v>
      </c>
      <c r="C917" s="33" t="s">
        <v>12</v>
      </c>
      <c r="D917" s="262">
        <v>1</v>
      </c>
      <c r="E917" s="289">
        <v>0</v>
      </c>
      <c r="F917" s="164">
        <v>0</v>
      </c>
      <c r="G917" s="312">
        <v>916</v>
      </c>
      <c r="H917" t="s">
        <v>578</v>
      </c>
    </row>
    <row r="918" spans="1:8" ht="14">
      <c r="A918" s="19"/>
      <c r="B918" s="26"/>
      <c r="C918" s="33"/>
      <c r="D918" s="262"/>
      <c r="E918" s="289" t="s">
        <v>571</v>
      </c>
      <c r="F918" s="164" t="s">
        <v>571</v>
      </c>
      <c r="G918" s="312">
        <v>917</v>
      </c>
      <c r="H918" t="s">
        <v>578</v>
      </c>
    </row>
    <row r="919" spans="1:8" ht="14">
      <c r="A919" s="19"/>
      <c r="B919" s="83" t="s">
        <v>421</v>
      </c>
      <c r="C919" s="33"/>
      <c r="D919" s="262"/>
      <c r="E919" s="289" t="s">
        <v>571</v>
      </c>
      <c r="F919" s="164" t="s">
        <v>571</v>
      </c>
      <c r="G919" s="312">
        <v>918</v>
      </c>
      <c r="H919" t="s">
        <v>578</v>
      </c>
    </row>
    <row r="920" spans="1:8" ht="14">
      <c r="A920" s="19"/>
      <c r="B920" s="83"/>
      <c r="C920" s="33"/>
      <c r="D920" s="262"/>
      <c r="E920" s="289" t="s">
        <v>571</v>
      </c>
      <c r="F920" s="164" t="s">
        <v>571</v>
      </c>
      <c r="G920" s="312">
        <v>919</v>
      </c>
      <c r="H920" t="s">
        <v>578</v>
      </c>
    </row>
    <row r="921" spans="1:8" ht="14">
      <c r="A921" s="19" t="s">
        <v>422</v>
      </c>
      <c r="B921" s="23" t="s">
        <v>69</v>
      </c>
      <c r="C921" s="57"/>
      <c r="D921" s="262"/>
      <c r="E921" s="289" t="s">
        <v>571</v>
      </c>
      <c r="F921" s="164" t="s">
        <v>571</v>
      </c>
      <c r="G921" s="312">
        <v>920</v>
      </c>
      <c r="H921" t="s">
        <v>578</v>
      </c>
    </row>
    <row r="922" spans="1:8" ht="14">
      <c r="A922" s="19"/>
      <c r="B922" s="88"/>
      <c r="C922" s="57"/>
      <c r="D922" s="262"/>
      <c r="E922" s="289" t="s">
        <v>571</v>
      </c>
      <c r="F922" s="164" t="s">
        <v>571</v>
      </c>
      <c r="G922" s="312">
        <v>921</v>
      </c>
      <c r="H922" t="s">
        <v>578</v>
      </c>
    </row>
    <row r="923" spans="1:8" ht="14">
      <c r="A923" s="19"/>
      <c r="B923" s="88" t="s">
        <v>199</v>
      </c>
      <c r="C923" s="57" t="s">
        <v>13</v>
      </c>
      <c r="D923" s="262"/>
      <c r="E923" s="289" t="s">
        <v>571</v>
      </c>
      <c r="F923" s="164" t="s">
        <v>571</v>
      </c>
      <c r="G923" s="312">
        <v>922</v>
      </c>
      <c r="H923" t="s">
        <v>578</v>
      </c>
    </row>
    <row r="924" spans="1:8" ht="14">
      <c r="A924" s="19"/>
      <c r="B924" s="88" t="s">
        <v>53</v>
      </c>
      <c r="C924" s="57" t="s">
        <v>13</v>
      </c>
      <c r="D924" s="262"/>
      <c r="E924" s="289" t="s">
        <v>571</v>
      </c>
      <c r="F924" s="164" t="s">
        <v>571</v>
      </c>
      <c r="G924" s="312">
        <v>923</v>
      </c>
      <c r="H924" t="s">
        <v>578</v>
      </c>
    </row>
    <row r="925" spans="1:8" ht="14">
      <c r="A925" s="19"/>
      <c r="B925" s="88" t="s">
        <v>200</v>
      </c>
      <c r="C925" s="57" t="s">
        <v>13</v>
      </c>
      <c r="D925" s="262"/>
      <c r="E925" s="289" t="s">
        <v>571</v>
      </c>
      <c r="F925" s="164" t="s">
        <v>571</v>
      </c>
      <c r="G925" s="312">
        <v>924</v>
      </c>
      <c r="H925" t="s">
        <v>578</v>
      </c>
    </row>
    <row r="926" spans="1:8" ht="14">
      <c r="A926" s="19"/>
      <c r="B926" s="88" t="s">
        <v>459</v>
      </c>
      <c r="C926" s="57" t="s">
        <v>13</v>
      </c>
      <c r="D926" s="262">
        <v>18</v>
      </c>
      <c r="E926" s="289">
        <v>0</v>
      </c>
      <c r="F926" s="164">
        <v>0</v>
      </c>
      <c r="G926" s="312">
        <v>925</v>
      </c>
      <c r="H926" t="s">
        <v>578</v>
      </c>
    </row>
    <row r="927" spans="1:8" ht="14">
      <c r="A927" s="19"/>
      <c r="B927" s="88"/>
      <c r="C927" s="57"/>
      <c r="D927" s="262"/>
      <c r="E927" s="289" t="s">
        <v>571</v>
      </c>
      <c r="F927" s="164" t="s">
        <v>571</v>
      </c>
      <c r="G927" s="312">
        <v>926</v>
      </c>
      <c r="H927" t="s">
        <v>578</v>
      </c>
    </row>
    <row r="928" spans="1:8" ht="14">
      <c r="A928" s="19"/>
      <c r="B928" s="88" t="s">
        <v>98</v>
      </c>
      <c r="C928" s="57" t="s">
        <v>13</v>
      </c>
      <c r="D928" s="262"/>
      <c r="E928" s="289" t="s">
        <v>571</v>
      </c>
      <c r="F928" s="164" t="s">
        <v>571</v>
      </c>
      <c r="G928" s="312">
        <v>927</v>
      </c>
      <c r="H928" t="s">
        <v>578</v>
      </c>
    </row>
    <row r="929" spans="1:8" ht="14">
      <c r="A929" s="19"/>
      <c r="B929" s="88" t="s">
        <v>201</v>
      </c>
      <c r="C929" s="57" t="s">
        <v>13</v>
      </c>
      <c r="D929" s="262"/>
      <c r="E929" s="289" t="s">
        <v>571</v>
      </c>
      <c r="F929" s="164" t="s">
        <v>571</v>
      </c>
      <c r="G929" s="312">
        <v>928</v>
      </c>
      <c r="H929" t="s">
        <v>578</v>
      </c>
    </row>
    <row r="930" spans="1:8" ht="14">
      <c r="A930" s="19"/>
      <c r="B930" s="88" t="s">
        <v>203</v>
      </c>
      <c r="C930" s="57" t="s">
        <v>13</v>
      </c>
      <c r="D930" s="262">
        <v>9</v>
      </c>
      <c r="E930" s="289">
        <v>0</v>
      </c>
      <c r="F930" s="164">
        <v>0</v>
      </c>
      <c r="G930" s="312">
        <v>929</v>
      </c>
      <c r="H930" t="s">
        <v>578</v>
      </c>
    </row>
    <row r="931" spans="1:8" ht="14">
      <c r="A931" s="19"/>
      <c r="B931" s="88" t="s">
        <v>202</v>
      </c>
      <c r="C931" s="57" t="s">
        <v>13</v>
      </c>
      <c r="D931" s="262"/>
      <c r="E931" s="289" t="s">
        <v>571</v>
      </c>
      <c r="F931" s="164" t="s">
        <v>571</v>
      </c>
      <c r="G931" s="312">
        <v>930</v>
      </c>
      <c r="H931" t="s">
        <v>578</v>
      </c>
    </row>
    <row r="932" spans="1:8" ht="14">
      <c r="A932" s="19"/>
      <c r="B932" s="88"/>
      <c r="C932" s="57" t="s">
        <v>13</v>
      </c>
      <c r="D932" s="262"/>
      <c r="E932" s="289" t="s">
        <v>571</v>
      </c>
      <c r="F932" s="164" t="s">
        <v>571</v>
      </c>
      <c r="G932" s="312">
        <v>931</v>
      </c>
      <c r="H932" t="s">
        <v>578</v>
      </c>
    </row>
    <row r="933" spans="1:8" ht="14">
      <c r="A933" s="19"/>
      <c r="B933" s="88" t="s">
        <v>204</v>
      </c>
      <c r="C933" s="57" t="s">
        <v>12</v>
      </c>
      <c r="D933" s="262">
        <v>1</v>
      </c>
      <c r="E933" s="289">
        <v>0</v>
      </c>
      <c r="F933" s="164">
        <v>0</v>
      </c>
      <c r="G933" s="312">
        <v>932</v>
      </c>
      <c r="H933" t="s">
        <v>578</v>
      </c>
    </row>
    <row r="934" spans="1:8" ht="14">
      <c r="A934" s="19"/>
      <c r="B934" s="88" t="s">
        <v>64</v>
      </c>
      <c r="C934" s="57" t="s">
        <v>12</v>
      </c>
      <c r="D934" s="262"/>
      <c r="E934" s="289" t="s">
        <v>571</v>
      </c>
      <c r="F934" s="164" t="s">
        <v>571</v>
      </c>
      <c r="G934" s="312">
        <v>933</v>
      </c>
      <c r="H934" t="s">
        <v>578</v>
      </c>
    </row>
    <row r="935" spans="1:8" ht="14">
      <c r="A935" s="19"/>
      <c r="B935" s="88"/>
      <c r="C935" s="57"/>
      <c r="D935" s="262"/>
      <c r="E935" s="289" t="s">
        <v>571</v>
      </c>
      <c r="F935" s="164" t="s">
        <v>571</v>
      </c>
      <c r="G935" s="312">
        <v>934</v>
      </c>
      <c r="H935" t="s">
        <v>578</v>
      </c>
    </row>
    <row r="936" spans="1:8" ht="14">
      <c r="A936" s="19"/>
      <c r="B936" s="88" t="s">
        <v>205</v>
      </c>
      <c r="C936" s="57" t="s">
        <v>13</v>
      </c>
      <c r="D936" s="262"/>
      <c r="E936" s="289" t="s">
        <v>571</v>
      </c>
      <c r="F936" s="164" t="s">
        <v>571</v>
      </c>
      <c r="G936" s="312">
        <v>935</v>
      </c>
      <c r="H936" t="s">
        <v>578</v>
      </c>
    </row>
    <row r="937" spans="1:8" ht="14">
      <c r="A937" s="19"/>
      <c r="B937" s="88" t="s">
        <v>206</v>
      </c>
      <c r="C937" s="57" t="s">
        <v>13</v>
      </c>
      <c r="D937" s="262"/>
      <c r="E937" s="289" t="s">
        <v>571</v>
      </c>
      <c r="F937" s="164" t="s">
        <v>571</v>
      </c>
      <c r="G937" s="312">
        <v>936</v>
      </c>
      <c r="H937" t="s">
        <v>578</v>
      </c>
    </row>
    <row r="938" spans="1:8" ht="14">
      <c r="A938" s="19"/>
      <c r="B938" s="88" t="s">
        <v>207</v>
      </c>
      <c r="C938" s="57" t="s">
        <v>13</v>
      </c>
      <c r="D938" s="262"/>
      <c r="E938" s="289" t="s">
        <v>571</v>
      </c>
      <c r="F938" s="164" t="s">
        <v>571</v>
      </c>
      <c r="G938" s="312">
        <v>937</v>
      </c>
      <c r="H938" t="s">
        <v>578</v>
      </c>
    </row>
    <row r="939" spans="1:8" ht="14">
      <c r="A939" s="19"/>
      <c r="B939" s="88" t="s">
        <v>208</v>
      </c>
      <c r="C939" s="57" t="s">
        <v>13</v>
      </c>
      <c r="D939" s="262"/>
      <c r="E939" s="289" t="s">
        <v>571</v>
      </c>
      <c r="F939" s="164" t="s">
        <v>571</v>
      </c>
      <c r="G939" s="312">
        <v>938</v>
      </c>
      <c r="H939" t="s">
        <v>578</v>
      </c>
    </row>
    <row r="940" spans="1:8" ht="14">
      <c r="A940" s="19"/>
      <c r="B940" s="88" t="s">
        <v>209</v>
      </c>
      <c r="C940" s="57" t="s">
        <v>13</v>
      </c>
      <c r="D940" s="262"/>
      <c r="E940" s="289" t="s">
        <v>571</v>
      </c>
      <c r="F940" s="164" t="s">
        <v>571</v>
      </c>
      <c r="G940" s="312">
        <v>939</v>
      </c>
      <c r="H940" t="s">
        <v>578</v>
      </c>
    </row>
    <row r="941" spans="1:8" ht="14">
      <c r="A941" s="19"/>
      <c r="B941" s="26"/>
      <c r="C941" s="33"/>
      <c r="D941" s="262"/>
      <c r="E941" s="289" t="s">
        <v>571</v>
      </c>
      <c r="F941" s="164" t="s">
        <v>571</v>
      </c>
      <c r="G941" s="312">
        <v>940</v>
      </c>
      <c r="H941" t="s">
        <v>578</v>
      </c>
    </row>
    <row r="942" spans="1:8" ht="14">
      <c r="A942" s="19"/>
      <c r="B942" s="83" t="s">
        <v>423</v>
      </c>
      <c r="C942" s="33"/>
      <c r="D942" s="262"/>
      <c r="E942" s="289" t="s">
        <v>571</v>
      </c>
      <c r="F942" s="164" t="s">
        <v>571</v>
      </c>
      <c r="G942" s="312">
        <v>941</v>
      </c>
      <c r="H942" t="s">
        <v>578</v>
      </c>
    </row>
    <row r="943" spans="1:8" ht="14">
      <c r="A943" s="19"/>
      <c r="B943" s="86"/>
      <c r="C943" s="33"/>
      <c r="D943" s="262"/>
      <c r="E943" s="289" t="s">
        <v>571</v>
      </c>
      <c r="F943" s="164" t="s">
        <v>571</v>
      </c>
      <c r="G943" s="312">
        <v>942</v>
      </c>
      <c r="H943" t="s">
        <v>578</v>
      </c>
    </row>
    <row r="944" spans="1:8" ht="14">
      <c r="A944" s="19" t="s">
        <v>424</v>
      </c>
      <c r="B944" s="87" t="s">
        <v>35</v>
      </c>
      <c r="C944" s="57"/>
      <c r="D944" s="262"/>
      <c r="E944" s="289" t="s">
        <v>571</v>
      </c>
      <c r="F944" s="164" t="s">
        <v>571</v>
      </c>
      <c r="G944" s="312">
        <v>943</v>
      </c>
      <c r="H944" t="s">
        <v>578</v>
      </c>
    </row>
    <row r="945" spans="1:8" ht="14">
      <c r="A945" s="19"/>
      <c r="B945" s="86"/>
      <c r="C945" s="57"/>
      <c r="D945" s="262"/>
      <c r="E945" s="289" t="s">
        <v>571</v>
      </c>
      <c r="F945" s="164" t="s">
        <v>571</v>
      </c>
      <c r="G945" s="312">
        <v>944</v>
      </c>
      <c r="H945" t="s">
        <v>578</v>
      </c>
    </row>
    <row r="946" spans="1:8" ht="14">
      <c r="A946" s="19"/>
      <c r="B946" s="86" t="s">
        <v>100</v>
      </c>
      <c r="C946" s="57" t="s">
        <v>13</v>
      </c>
      <c r="D946" s="264">
        <v>16</v>
      </c>
      <c r="E946" s="289">
        <v>0</v>
      </c>
      <c r="F946" s="164">
        <v>0</v>
      </c>
      <c r="G946" s="312">
        <v>945</v>
      </c>
      <c r="H946" t="s">
        <v>578</v>
      </c>
    </row>
    <row r="947" spans="1:8" ht="14">
      <c r="A947" s="19"/>
      <c r="B947" s="86" t="s">
        <v>99</v>
      </c>
      <c r="C947" s="57" t="s">
        <v>13</v>
      </c>
      <c r="D947" s="262"/>
      <c r="E947" s="289" t="s">
        <v>571</v>
      </c>
      <c r="F947" s="164" t="s">
        <v>571</v>
      </c>
      <c r="G947" s="312">
        <v>946</v>
      </c>
      <c r="H947" t="s">
        <v>578</v>
      </c>
    </row>
    <row r="948" spans="1:8" ht="14">
      <c r="A948" s="19"/>
      <c r="B948" s="86" t="s">
        <v>70</v>
      </c>
      <c r="C948" s="57" t="s">
        <v>13</v>
      </c>
      <c r="D948" s="262">
        <v>6</v>
      </c>
      <c r="E948" s="289">
        <v>0</v>
      </c>
      <c r="F948" s="164">
        <v>0</v>
      </c>
      <c r="G948" s="312">
        <v>947</v>
      </c>
      <c r="H948" t="s">
        <v>578</v>
      </c>
    </row>
    <row r="949" spans="1:8" ht="14">
      <c r="A949" s="19"/>
      <c r="B949" s="86" t="s">
        <v>71</v>
      </c>
      <c r="C949" s="57" t="s">
        <v>13</v>
      </c>
      <c r="D949" s="262">
        <v>3</v>
      </c>
      <c r="E949" s="289">
        <v>0</v>
      </c>
      <c r="F949" s="164">
        <v>0</v>
      </c>
      <c r="G949" s="312">
        <v>948</v>
      </c>
      <c r="H949" t="s">
        <v>578</v>
      </c>
    </row>
    <row r="950" spans="1:8" ht="14">
      <c r="A950" s="19"/>
      <c r="B950" s="86" t="s">
        <v>210</v>
      </c>
      <c r="C950" s="57" t="s">
        <v>13</v>
      </c>
      <c r="D950" s="262"/>
      <c r="E950" s="289" t="s">
        <v>571</v>
      </c>
      <c r="F950" s="164" t="s">
        <v>571</v>
      </c>
      <c r="G950" s="312">
        <v>949</v>
      </c>
      <c r="H950" t="s">
        <v>578</v>
      </c>
    </row>
    <row r="951" spans="1:8" ht="14">
      <c r="A951" s="19"/>
      <c r="B951" s="86"/>
      <c r="C951" s="57"/>
      <c r="D951" s="262"/>
      <c r="E951" s="289" t="s">
        <v>571</v>
      </c>
      <c r="F951" s="164" t="s">
        <v>571</v>
      </c>
      <c r="G951" s="312">
        <v>950</v>
      </c>
      <c r="H951" t="s">
        <v>578</v>
      </c>
    </row>
    <row r="952" spans="1:8" ht="14">
      <c r="A952" s="19"/>
      <c r="B952" s="86" t="s">
        <v>17</v>
      </c>
      <c r="C952" s="57" t="s">
        <v>12</v>
      </c>
      <c r="D952" s="262">
        <v>200</v>
      </c>
      <c r="E952" s="289">
        <v>0</v>
      </c>
      <c r="F952" s="164">
        <v>0</v>
      </c>
      <c r="G952" s="312">
        <v>951</v>
      </c>
      <c r="H952" t="s">
        <v>578</v>
      </c>
    </row>
    <row r="953" spans="1:8" ht="14">
      <c r="A953" s="19"/>
      <c r="B953" s="86" t="s">
        <v>18</v>
      </c>
      <c r="C953" s="57" t="s">
        <v>12</v>
      </c>
      <c r="D953" s="262"/>
      <c r="E953" s="289" t="s">
        <v>571</v>
      </c>
      <c r="F953" s="164" t="s">
        <v>571</v>
      </c>
      <c r="G953" s="312">
        <v>952</v>
      </c>
      <c r="H953" t="s">
        <v>578</v>
      </c>
    </row>
    <row r="954" spans="1:8" ht="14">
      <c r="A954" s="19"/>
      <c r="B954" s="86" t="s">
        <v>19</v>
      </c>
      <c r="C954" s="57" t="s">
        <v>12</v>
      </c>
      <c r="D954" s="262">
        <v>1</v>
      </c>
      <c r="E954" s="289">
        <v>0</v>
      </c>
      <c r="F954" s="164">
        <v>0</v>
      </c>
      <c r="G954" s="312">
        <v>953</v>
      </c>
      <c r="H954" t="s">
        <v>578</v>
      </c>
    </row>
    <row r="955" spans="1:8" ht="14">
      <c r="A955" s="19"/>
      <c r="B955" s="26"/>
      <c r="C955" s="33"/>
      <c r="D955" s="262"/>
      <c r="E955" s="289" t="s">
        <v>571</v>
      </c>
      <c r="F955" s="164" t="s">
        <v>571</v>
      </c>
      <c r="G955" s="312">
        <v>954</v>
      </c>
      <c r="H955" t="s">
        <v>578</v>
      </c>
    </row>
    <row r="956" spans="1:8" ht="14">
      <c r="A956" s="19"/>
      <c r="B956" s="83" t="s">
        <v>425</v>
      </c>
      <c r="C956" s="33"/>
      <c r="D956" s="262"/>
      <c r="E956" s="289" t="s">
        <v>571</v>
      </c>
      <c r="F956" s="164" t="s">
        <v>571</v>
      </c>
      <c r="G956" s="312">
        <v>955</v>
      </c>
      <c r="H956" t="s">
        <v>578</v>
      </c>
    </row>
    <row r="957" spans="1:8" ht="14">
      <c r="A957" s="19"/>
      <c r="B957" s="26"/>
      <c r="C957" s="33"/>
      <c r="D957" s="262"/>
      <c r="E957" s="289" t="s">
        <v>571</v>
      </c>
      <c r="F957" s="164" t="s">
        <v>571</v>
      </c>
      <c r="G957" s="312">
        <v>956</v>
      </c>
      <c r="H957" t="s">
        <v>578</v>
      </c>
    </row>
    <row r="958" spans="1:8" ht="14">
      <c r="A958" s="19" t="s">
        <v>427</v>
      </c>
      <c r="B958" s="87" t="s">
        <v>426</v>
      </c>
      <c r="C958" s="33"/>
      <c r="D958" s="262"/>
      <c r="E958" s="289" t="s">
        <v>571</v>
      </c>
      <c r="F958" s="164" t="s">
        <v>571</v>
      </c>
      <c r="G958" s="312">
        <v>957</v>
      </c>
      <c r="H958" t="s">
        <v>578</v>
      </c>
    </row>
    <row r="959" spans="1:8" ht="14">
      <c r="A959" s="19"/>
      <c r="B959" s="26"/>
      <c r="C959" s="33"/>
      <c r="D959" s="262"/>
      <c r="E959" s="289" t="s">
        <v>571</v>
      </c>
      <c r="F959" s="164" t="s">
        <v>571</v>
      </c>
      <c r="G959" s="312">
        <v>958</v>
      </c>
      <c r="H959" t="s">
        <v>578</v>
      </c>
    </row>
    <row r="960" spans="1:8" ht="14">
      <c r="A960" s="19"/>
      <c r="B960" s="90" t="s">
        <v>433</v>
      </c>
      <c r="C960" s="57" t="s">
        <v>12</v>
      </c>
      <c r="D960" s="262">
        <v>3</v>
      </c>
      <c r="E960" s="289">
        <v>0</v>
      </c>
      <c r="F960" s="164">
        <v>0</v>
      </c>
      <c r="G960" s="312">
        <v>959</v>
      </c>
      <c r="H960" t="s">
        <v>578</v>
      </c>
    </row>
    <row r="961" spans="1:8" ht="14">
      <c r="A961" s="19"/>
      <c r="B961" s="90" t="s">
        <v>434</v>
      </c>
      <c r="C961" s="57" t="s">
        <v>13</v>
      </c>
      <c r="D961" s="262">
        <v>3</v>
      </c>
      <c r="E961" s="289">
        <v>0</v>
      </c>
      <c r="F961" s="164">
        <v>0</v>
      </c>
      <c r="G961" s="312">
        <v>960</v>
      </c>
      <c r="H961" t="s">
        <v>578</v>
      </c>
    </row>
    <row r="962" spans="1:8" ht="14">
      <c r="A962" s="19"/>
      <c r="B962" s="90" t="s">
        <v>435</v>
      </c>
      <c r="C962" s="57" t="s">
        <v>13</v>
      </c>
      <c r="D962" s="262">
        <v>3</v>
      </c>
      <c r="E962" s="289">
        <v>0</v>
      </c>
      <c r="F962" s="164">
        <v>0</v>
      </c>
      <c r="G962" s="312">
        <v>961</v>
      </c>
      <c r="H962" t="s">
        <v>578</v>
      </c>
    </row>
    <row r="963" spans="1:8" ht="14">
      <c r="A963" s="19"/>
      <c r="B963" s="90" t="s">
        <v>441</v>
      </c>
      <c r="C963" s="57" t="s">
        <v>13</v>
      </c>
      <c r="D963" s="262">
        <v>5</v>
      </c>
      <c r="E963" s="289">
        <v>0</v>
      </c>
      <c r="F963" s="164">
        <v>0</v>
      </c>
      <c r="G963" s="312">
        <v>962</v>
      </c>
      <c r="H963" t="s">
        <v>578</v>
      </c>
    </row>
    <row r="964" spans="1:8" ht="14">
      <c r="A964" s="19"/>
      <c r="B964" s="90" t="s">
        <v>436</v>
      </c>
      <c r="C964" s="57" t="s">
        <v>12</v>
      </c>
      <c r="D964" s="262">
        <v>1</v>
      </c>
      <c r="E964" s="289">
        <v>0</v>
      </c>
      <c r="F964" s="164">
        <v>0</v>
      </c>
      <c r="G964" s="312">
        <v>963</v>
      </c>
      <c r="H964" t="s">
        <v>578</v>
      </c>
    </row>
    <row r="965" spans="1:8" ht="14">
      <c r="A965" s="19"/>
      <c r="B965" s="90" t="s">
        <v>437</v>
      </c>
      <c r="C965" s="57" t="s">
        <v>12</v>
      </c>
      <c r="D965" s="262">
        <v>1</v>
      </c>
      <c r="E965" s="289">
        <v>0</v>
      </c>
      <c r="F965" s="164">
        <v>0</v>
      </c>
      <c r="G965" s="312">
        <v>964</v>
      </c>
      <c r="H965" t="s">
        <v>578</v>
      </c>
    </row>
    <row r="966" spans="1:8" ht="14">
      <c r="A966" s="19"/>
      <c r="B966" s="90" t="s">
        <v>438</v>
      </c>
      <c r="C966" s="57" t="s">
        <v>12</v>
      </c>
      <c r="D966" s="262">
        <v>1</v>
      </c>
      <c r="E966" s="289">
        <v>0</v>
      </c>
      <c r="F966" s="164">
        <v>0</v>
      </c>
      <c r="G966" s="312">
        <v>965</v>
      </c>
      <c r="H966" t="s">
        <v>578</v>
      </c>
    </row>
    <row r="967" spans="1:8" ht="14">
      <c r="A967" s="19"/>
      <c r="B967" s="90" t="s">
        <v>439</v>
      </c>
      <c r="C967" s="57" t="s">
        <v>12</v>
      </c>
      <c r="D967" s="264">
        <v>1</v>
      </c>
      <c r="E967" s="289">
        <v>0</v>
      </c>
      <c r="F967" s="164">
        <v>0</v>
      </c>
      <c r="G967" s="312">
        <v>966</v>
      </c>
      <c r="H967" t="s">
        <v>578</v>
      </c>
    </row>
    <row r="968" spans="1:8" ht="14">
      <c r="A968" s="19"/>
      <c r="B968" s="90" t="s">
        <v>440</v>
      </c>
      <c r="C968" s="57" t="s">
        <v>12</v>
      </c>
      <c r="D968" s="262">
        <v>1</v>
      </c>
      <c r="E968" s="289">
        <v>0</v>
      </c>
      <c r="F968" s="164">
        <v>0</v>
      </c>
      <c r="G968" s="312">
        <v>967</v>
      </c>
      <c r="H968" t="s">
        <v>578</v>
      </c>
    </row>
    <row r="969" spans="1:8" ht="14">
      <c r="A969" s="19"/>
      <c r="B969" s="140"/>
      <c r="C969" s="33"/>
      <c r="D969" s="262"/>
      <c r="E969" s="289" t="s">
        <v>571</v>
      </c>
      <c r="F969" s="164" t="s">
        <v>571</v>
      </c>
      <c r="G969" s="312">
        <v>968</v>
      </c>
      <c r="H969" t="s">
        <v>578</v>
      </c>
    </row>
    <row r="970" spans="1:8" ht="14">
      <c r="A970" s="19"/>
      <c r="B970" s="83" t="s">
        <v>428</v>
      </c>
      <c r="C970" s="33"/>
      <c r="D970" s="262"/>
      <c r="E970" s="289" t="s">
        <v>571</v>
      </c>
      <c r="F970" s="164" t="s">
        <v>571</v>
      </c>
      <c r="G970" s="312">
        <v>969</v>
      </c>
      <c r="H970" t="s">
        <v>578</v>
      </c>
    </row>
    <row r="971" spans="1:8" ht="14">
      <c r="A971" s="19"/>
      <c r="B971" s="26"/>
      <c r="C971" s="33"/>
      <c r="D971" s="262"/>
      <c r="E971" s="289" t="s">
        <v>571</v>
      </c>
      <c r="F971" s="164" t="s">
        <v>571</v>
      </c>
      <c r="G971" s="312">
        <v>970</v>
      </c>
      <c r="H971" t="s">
        <v>578</v>
      </c>
    </row>
    <row r="972" spans="1:8" ht="14">
      <c r="A972" s="19" t="s">
        <v>429</v>
      </c>
      <c r="B972" s="87" t="s">
        <v>211</v>
      </c>
      <c r="C972" s="33"/>
      <c r="D972" s="262"/>
      <c r="E972" s="289" t="s">
        <v>571</v>
      </c>
      <c r="F972" s="164" t="s">
        <v>571</v>
      </c>
      <c r="G972" s="312">
        <v>971</v>
      </c>
      <c r="H972" t="s">
        <v>578</v>
      </c>
    </row>
    <row r="973" spans="1:8" ht="14">
      <c r="A973" s="17"/>
      <c r="B973" s="90"/>
      <c r="C973" s="33"/>
      <c r="D973" s="262"/>
      <c r="E973" s="289" t="s">
        <v>571</v>
      </c>
      <c r="F973" s="164" t="s">
        <v>571</v>
      </c>
      <c r="G973" s="312">
        <v>972</v>
      </c>
      <c r="H973" t="s">
        <v>578</v>
      </c>
    </row>
    <row r="974" spans="1:8" ht="14">
      <c r="A974" s="17"/>
      <c r="B974" s="90" t="s">
        <v>65</v>
      </c>
      <c r="C974" s="33" t="s">
        <v>12</v>
      </c>
      <c r="D974" s="262"/>
      <c r="E974" s="289" t="s">
        <v>571</v>
      </c>
      <c r="F974" s="164" t="s">
        <v>571</v>
      </c>
      <c r="G974" s="312">
        <v>973</v>
      </c>
      <c r="H974" t="s">
        <v>578</v>
      </c>
    </row>
    <row r="975" spans="1:8" ht="14">
      <c r="A975" s="17"/>
      <c r="B975" s="90"/>
      <c r="C975" s="33"/>
      <c r="D975" s="262"/>
      <c r="E975" s="289" t="s">
        <v>571</v>
      </c>
      <c r="F975" s="164" t="s">
        <v>571</v>
      </c>
      <c r="G975" s="312">
        <v>974</v>
      </c>
      <c r="H975" t="s">
        <v>578</v>
      </c>
    </row>
    <row r="976" spans="1:8" ht="14">
      <c r="A976" s="19"/>
      <c r="B976" s="83" t="s">
        <v>430</v>
      </c>
      <c r="C976" s="33"/>
      <c r="D976" s="262"/>
      <c r="E976" s="289" t="s">
        <v>571</v>
      </c>
      <c r="F976" s="164" t="s">
        <v>571</v>
      </c>
      <c r="G976" s="312">
        <v>975</v>
      </c>
      <c r="H976" t="s">
        <v>578</v>
      </c>
    </row>
    <row r="977" spans="1:8" ht="14">
      <c r="A977" s="19"/>
      <c r="B977" s="86"/>
      <c r="C977" s="33"/>
      <c r="D977" s="262"/>
      <c r="E977" s="289" t="s">
        <v>571</v>
      </c>
      <c r="F977" s="164" t="s">
        <v>571</v>
      </c>
      <c r="G977" s="312">
        <v>976</v>
      </c>
      <c r="H977" t="s">
        <v>578</v>
      </c>
    </row>
    <row r="978" spans="1:8" ht="14">
      <c r="A978" s="19" t="s">
        <v>431</v>
      </c>
      <c r="B978" s="87" t="s">
        <v>58</v>
      </c>
      <c r="C978" s="33"/>
      <c r="D978" s="262"/>
      <c r="E978" s="289" t="s">
        <v>571</v>
      </c>
      <c r="F978" s="164" t="s">
        <v>571</v>
      </c>
      <c r="G978" s="312">
        <v>977</v>
      </c>
      <c r="H978" t="s">
        <v>578</v>
      </c>
    </row>
    <row r="979" spans="1:8" ht="14">
      <c r="A979" s="19"/>
      <c r="B979" s="86"/>
      <c r="C979" s="33"/>
      <c r="D979" s="262"/>
      <c r="E979" s="289" t="s">
        <v>571</v>
      </c>
      <c r="F979" s="164" t="s">
        <v>571</v>
      </c>
      <c r="G979" s="312">
        <v>978</v>
      </c>
      <c r="H979" t="s">
        <v>578</v>
      </c>
    </row>
    <row r="980" spans="1:8" ht="14">
      <c r="A980" s="17"/>
      <c r="B980" s="90" t="s">
        <v>48</v>
      </c>
      <c r="C980" s="33" t="s">
        <v>12</v>
      </c>
      <c r="D980" s="262">
        <v>1</v>
      </c>
      <c r="E980" s="289">
        <v>0</v>
      </c>
      <c r="F980" s="164">
        <v>0</v>
      </c>
      <c r="G980" s="312">
        <v>979</v>
      </c>
      <c r="H980" t="s">
        <v>578</v>
      </c>
    </row>
    <row r="981" spans="1:8" ht="14">
      <c r="A981" s="17"/>
      <c r="B981" s="90" t="s">
        <v>49</v>
      </c>
      <c r="C981" s="33" t="s">
        <v>12</v>
      </c>
      <c r="D981" s="262">
        <v>1</v>
      </c>
      <c r="E981" s="289">
        <v>0</v>
      </c>
      <c r="F981" s="164">
        <v>0</v>
      </c>
      <c r="G981" s="312">
        <v>980</v>
      </c>
      <c r="H981" t="s">
        <v>578</v>
      </c>
    </row>
    <row r="982" spans="1:8" ht="14.5" thickBot="1">
      <c r="A982" s="19"/>
      <c r="B982" s="26"/>
      <c r="C982" s="33"/>
      <c r="D982" s="262"/>
      <c r="E982" s="289" t="s">
        <v>571</v>
      </c>
      <c r="F982" s="164" t="s">
        <v>571</v>
      </c>
      <c r="G982" s="312">
        <v>981</v>
      </c>
      <c r="H982" t="s">
        <v>578</v>
      </c>
    </row>
    <row r="983" spans="1:8" ht="13.5" thickBot="1">
      <c r="A983" s="106"/>
      <c r="B983" s="93" t="s">
        <v>432</v>
      </c>
      <c r="C983" s="67"/>
      <c r="D983" s="265"/>
      <c r="E983" s="68"/>
      <c r="F983" s="112"/>
      <c r="G983" s="312">
        <v>982</v>
      </c>
      <c r="H983" t="s">
        <v>578</v>
      </c>
    </row>
    <row r="984" spans="1:8">
      <c r="A984" s="313"/>
      <c r="B984" t="s">
        <v>2</v>
      </c>
      <c r="C984" s="314"/>
      <c r="D984" s="275"/>
      <c r="E984" s="314"/>
      <c r="F984" s="314"/>
      <c r="G984">
        <v>983</v>
      </c>
      <c r="H984" t="s">
        <v>579</v>
      </c>
    </row>
    <row r="985" spans="1:8">
      <c r="A985" s="313"/>
      <c r="C985" s="314"/>
      <c r="D985" s="275"/>
      <c r="E985" s="314"/>
      <c r="F985" s="314"/>
      <c r="G985">
        <v>984</v>
      </c>
      <c r="H985" t="s">
        <v>579</v>
      </c>
    </row>
    <row r="986" spans="1:8">
      <c r="B986" t="s">
        <v>321</v>
      </c>
      <c r="C986" s="314"/>
      <c r="D986" s="275"/>
      <c r="E986" s="314"/>
      <c r="F986" s="314"/>
      <c r="G986">
        <v>985</v>
      </c>
      <c r="H986" t="s">
        <v>579</v>
      </c>
    </row>
    <row r="987" spans="1:8">
      <c r="C987" s="314"/>
      <c r="D987" s="275"/>
      <c r="E987" s="314"/>
      <c r="F987" s="314"/>
      <c r="G987">
        <v>986</v>
      </c>
      <c r="H987" t="s">
        <v>579</v>
      </c>
    </row>
    <row r="988" spans="1:8">
      <c r="A988">
        <v>3</v>
      </c>
      <c r="B988" s="313" t="s">
        <v>59</v>
      </c>
      <c r="C988" s="313"/>
      <c r="D988" s="275"/>
      <c r="E988" s="313"/>
      <c r="F988" s="313"/>
      <c r="G988">
        <v>987</v>
      </c>
      <c r="H988" t="s">
        <v>579</v>
      </c>
    </row>
    <row r="989" spans="1:8">
      <c r="B989" s="313"/>
      <c r="C989" s="313"/>
      <c r="D989" s="275"/>
      <c r="E989" s="313"/>
      <c r="F989" s="313"/>
      <c r="G989">
        <v>988</v>
      </c>
      <c r="H989" t="s">
        <v>579</v>
      </c>
    </row>
    <row r="990" spans="1:8">
      <c r="A990" t="s">
        <v>370</v>
      </c>
      <c r="B990" s="313" t="s">
        <v>50</v>
      </c>
      <c r="C990" s="313"/>
      <c r="D990" s="275"/>
      <c r="E990" s="313"/>
      <c r="F990" s="313"/>
      <c r="G990">
        <v>989</v>
      </c>
      <c r="H990" t="s">
        <v>579</v>
      </c>
    </row>
    <row r="991" spans="1:8">
      <c r="B991" s="313"/>
      <c r="C991" s="313"/>
      <c r="D991" s="275"/>
      <c r="E991" s="313"/>
      <c r="F991" s="313"/>
      <c r="G991">
        <v>990</v>
      </c>
      <c r="H991" t="s">
        <v>579</v>
      </c>
    </row>
    <row r="992" spans="1:8">
      <c r="B992" s="313" t="s">
        <v>227</v>
      </c>
      <c r="C992" s="313" t="s">
        <v>13</v>
      </c>
      <c r="D992" s="275">
        <v>13</v>
      </c>
      <c r="E992" s="315">
        <v>0</v>
      </c>
      <c r="F992" s="316">
        <v>0</v>
      </c>
      <c r="G992">
        <v>991</v>
      </c>
      <c r="H992" t="s">
        <v>579</v>
      </c>
    </row>
    <row r="993" spans="1:8">
      <c r="B993" s="313" t="s">
        <v>229</v>
      </c>
      <c r="C993" s="313" t="s">
        <v>13</v>
      </c>
      <c r="D993" s="275">
        <v>3</v>
      </c>
      <c r="E993" s="315">
        <v>0</v>
      </c>
      <c r="F993" s="316">
        <v>0</v>
      </c>
      <c r="G993">
        <v>992</v>
      </c>
      <c r="H993" t="s">
        <v>579</v>
      </c>
    </row>
    <row r="994" spans="1:8">
      <c r="B994" s="313"/>
      <c r="C994" s="313"/>
      <c r="D994" s="275"/>
      <c r="E994" s="315" t="s">
        <v>571</v>
      </c>
      <c r="F994" s="316" t="s">
        <v>571</v>
      </c>
      <c r="G994">
        <v>993</v>
      </c>
      <c r="H994" t="s">
        <v>579</v>
      </c>
    </row>
    <row r="995" spans="1:8">
      <c r="B995" s="313" t="s">
        <v>371</v>
      </c>
      <c r="C995" s="313"/>
      <c r="D995" s="275"/>
      <c r="E995" s="315" t="s">
        <v>571</v>
      </c>
      <c r="F995" s="316" t="s">
        <v>571</v>
      </c>
      <c r="G995">
        <v>994</v>
      </c>
      <c r="H995" t="s">
        <v>579</v>
      </c>
    </row>
    <row r="996" spans="1:8">
      <c r="B996" s="313"/>
      <c r="C996" s="313"/>
      <c r="D996" s="275"/>
      <c r="E996" s="315" t="s">
        <v>571</v>
      </c>
      <c r="F996" s="316" t="s">
        <v>571</v>
      </c>
      <c r="G996">
        <v>995</v>
      </c>
      <c r="H996" t="s">
        <v>579</v>
      </c>
    </row>
    <row r="997" spans="1:8">
      <c r="A997" t="s">
        <v>369</v>
      </c>
      <c r="B997" s="313" t="s">
        <v>379</v>
      </c>
      <c r="C997" s="313"/>
      <c r="D997" s="275"/>
      <c r="E997" s="315" t="s">
        <v>571</v>
      </c>
      <c r="F997" s="316" t="s">
        <v>571</v>
      </c>
      <c r="G997">
        <v>996</v>
      </c>
      <c r="H997" t="s">
        <v>579</v>
      </c>
    </row>
    <row r="998" spans="1:8">
      <c r="B998" s="313"/>
      <c r="C998" s="313"/>
      <c r="D998" s="275"/>
      <c r="E998" s="315" t="s">
        <v>571</v>
      </c>
      <c r="F998" s="316" t="s">
        <v>571</v>
      </c>
      <c r="G998">
        <v>997</v>
      </c>
      <c r="H998" t="s">
        <v>579</v>
      </c>
    </row>
    <row r="999" spans="1:8">
      <c r="B999" s="313" t="s">
        <v>368</v>
      </c>
      <c r="C999" s="313" t="s">
        <v>13</v>
      </c>
      <c r="D999" s="275">
        <v>14</v>
      </c>
      <c r="E999" s="315">
        <v>0</v>
      </c>
      <c r="F999" s="316">
        <v>0</v>
      </c>
      <c r="G999">
        <v>998</v>
      </c>
      <c r="H999" t="s">
        <v>579</v>
      </c>
    </row>
    <row r="1000" spans="1:8">
      <c r="B1000" s="313"/>
      <c r="C1000" s="313"/>
      <c r="D1000" s="275"/>
      <c r="E1000" s="315" t="s">
        <v>571</v>
      </c>
      <c r="F1000" s="316" t="s">
        <v>571</v>
      </c>
      <c r="G1000">
        <v>999</v>
      </c>
      <c r="H1000" t="s">
        <v>579</v>
      </c>
    </row>
    <row r="1001" spans="1:8">
      <c r="B1001" s="313" t="s">
        <v>372</v>
      </c>
      <c r="C1001" s="313"/>
      <c r="D1001" s="275"/>
      <c r="E1001" s="315" t="s">
        <v>571</v>
      </c>
      <c r="F1001" s="316" t="s">
        <v>571</v>
      </c>
      <c r="G1001">
        <v>1000</v>
      </c>
      <c r="H1001" t="s">
        <v>579</v>
      </c>
    </row>
    <row r="1002" spans="1:8">
      <c r="B1002" s="313"/>
      <c r="C1002" s="313"/>
      <c r="D1002" s="275"/>
      <c r="E1002" s="315" t="s">
        <v>571</v>
      </c>
      <c r="F1002" s="316" t="s">
        <v>571</v>
      </c>
      <c r="G1002">
        <v>1001</v>
      </c>
      <c r="H1002" t="s">
        <v>579</v>
      </c>
    </row>
    <row r="1003" spans="1:8">
      <c r="A1003" t="s">
        <v>373</v>
      </c>
      <c r="B1003" s="313" t="s">
        <v>51</v>
      </c>
      <c r="C1003" s="313"/>
      <c r="D1003" s="275"/>
      <c r="E1003" s="315" t="s">
        <v>571</v>
      </c>
      <c r="F1003" s="316" t="s">
        <v>571</v>
      </c>
      <c r="G1003">
        <v>1002</v>
      </c>
      <c r="H1003" t="s">
        <v>579</v>
      </c>
    </row>
    <row r="1004" spans="1:8">
      <c r="B1004" s="313"/>
      <c r="C1004" s="313"/>
      <c r="D1004" s="275"/>
      <c r="E1004" s="315" t="s">
        <v>571</v>
      </c>
      <c r="F1004" s="316" t="s">
        <v>571</v>
      </c>
      <c r="G1004">
        <v>1003</v>
      </c>
      <c r="H1004" t="s">
        <v>579</v>
      </c>
    </row>
    <row r="1005" spans="1:8">
      <c r="A1005" t="s">
        <v>374</v>
      </c>
      <c r="B1005" s="313" t="s">
        <v>232</v>
      </c>
      <c r="C1005" s="313"/>
      <c r="D1005" s="275"/>
      <c r="E1005" s="315" t="s">
        <v>571</v>
      </c>
      <c r="F1005" s="316" t="s">
        <v>571</v>
      </c>
      <c r="G1005">
        <v>1004</v>
      </c>
      <c r="H1005" t="s">
        <v>579</v>
      </c>
    </row>
    <row r="1006" spans="1:8">
      <c r="B1006" s="313"/>
      <c r="C1006" s="313"/>
      <c r="D1006" s="275"/>
      <c r="E1006" s="315" t="s">
        <v>571</v>
      </c>
      <c r="F1006" s="316" t="s">
        <v>571</v>
      </c>
      <c r="G1006">
        <v>1005</v>
      </c>
      <c r="H1006" t="s">
        <v>579</v>
      </c>
    </row>
    <row r="1007" spans="1:8">
      <c r="B1007" s="313" t="s">
        <v>572</v>
      </c>
      <c r="C1007" s="313"/>
      <c r="D1007" s="275"/>
      <c r="E1007" s="315" t="s">
        <v>571</v>
      </c>
      <c r="F1007" s="316" t="s">
        <v>571</v>
      </c>
      <c r="G1007">
        <v>1006</v>
      </c>
      <c r="H1007" t="s">
        <v>579</v>
      </c>
    </row>
    <row r="1008" spans="1:8">
      <c r="B1008" s="313" t="s">
        <v>52</v>
      </c>
      <c r="C1008" s="313" t="s">
        <v>13</v>
      </c>
      <c r="D1008" s="275">
        <v>0.13385826771653542</v>
      </c>
      <c r="E1008" s="315">
        <v>0</v>
      </c>
      <c r="F1008" s="316">
        <v>0</v>
      </c>
      <c r="G1008">
        <v>1007</v>
      </c>
      <c r="H1008" t="s">
        <v>579</v>
      </c>
    </row>
    <row r="1009" spans="2:8">
      <c r="B1009" s="313" t="s">
        <v>269</v>
      </c>
      <c r="C1009" s="313" t="s">
        <v>13</v>
      </c>
      <c r="D1009" s="275"/>
      <c r="E1009" s="315" t="s">
        <v>571</v>
      </c>
      <c r="F1009" s="316" t="s">
        <v>571</v>
      </c>
      <c r="G1009">
        <v>1008</v>
      </c>
      <c r="H1009" t="s">
        <v>579</v>
      </c>
    </row>
    <row r="1010" spans="2:8">
      <c r="B1010" s="313" t="s">
        <v>53</v>
      </c>
      <c r="C1010" s="313" t="s">
        <v>13</v>
      </c>
      <c r="D1010" s="275">
        <v>1</v>
      </c>
      <c r="E1010" s="315">
        <v>0</v>
      </c>
      <c r="F1010" s="316">
        <v>0</v>
      </c>
      <c r="G1010">
        <v>1009</v>
      </c>
      <c r="H1010" t="s">
        <v>579</v>
      </c>
    </row>
    <row r="1011" spans="2:8">
      <c r="B1011" s="313" t="s">
        <v>72</v>
      </c>
      <c r="C1011" s="313" t="s">
        <v>13</v>
      </c>
      <c r="D1011" s="275">
        <v>4</v>
      </c>
      <c r="E1011" s="315">
        <v>0</v>
      </c>
      <c r="F1011" s="316">
        <v>0</v>
      </c>
      <c r="G1011">
        <v>1010</v>
      </c>
      <c r="H1011" t="s">
        <v>579</v>
      </c>
    </row>
    <row r="1012" spans="2:8">
      <c r="B1012" s="313"/>
      <c r="C1012" s="313"/>
      <c r="D1012" s="275"/>
      <c r="E1012" s="315" t="s">
        <v>571</v>
      </c>
      <c r="F1012" s="316" t="s">
        <v>571</v>
      </c>
      <c r="G1012">
        <v>1011</v>
      </c>
      <c r="H1012" t="s">
        <v>579</v>
      </c>
    </row>
    <row r="1013" spans="2:8">
      <c r="B1013" s="313" t="s">
        <v>54</v>
      </c>
      <c r="C1013" s="313" t="s">
        <v>13</v>
      </c>
      <c r="D1013" s="275">
        <v>12</v>
      </c>
      <c r="E1013" s="315">
        <v>0</v>
      </c>
      <c r="F1013" s="316">
        <v>0</v>
      </c>
      <c r="G1013">
        <v>1012</v>
      </c>
      <c r="H1013" t="s">
        <v>579</v>
      </c>
    </row>
    <row r="1014" spans="2:8">
      <c r="B1014" s="313" t="s">
        <v>55</v>
      </c>
      <c r="C1014" s="313" t="s">
        <v>13</v>
      </c>
      <c r="D1014" s="275">
        <v>3</v>
      </c>
      <c r="E1014" s="315">
        <v>0</v>
      </c>
      <c r="F1014" s="316">
        <v>0</v>
      </c>
      <c r="G1014">
        <v>1013</v>
      </c>
      <c r="H1014" t="s">
        <v>579</v>
      </c>
    </row>
    <row r="1015" spans="2:8">
      <c r="B1015" s="313" t="s">
        <v>268</v>
      </c>
      <c r="C1015" s="313" t="s">
        <v>13</v>
      </c>
      <c r="D1015" s="275"/>
      <c r="E1015" s="315" t="s">
        <v>571</v>
      </c>
      <c r="F1015" s="316" t="s">
        <v>571</v>
      </c>
      <c r="G1015">
        <v>1014</v>
      </c>
      <c r="H1015" t="s">
        <v>579</v>
      </c>
    </row>
    <row r="1016" spans="2:8">
      <c r="B1016" s="313" t="s">
        <v>126</v>
      </c>
      <c r="C1016" s="313" t="s">
        <v>13</v>
      </c>
      <c r="D1016" s="275">
        <v>1</v>
      </c>
      <c r="E1016" s="315">
        <v>0</v>
      </c>
      <c r="F1016" s="316">
        <v>0</v>
      </c>
      <c r="G1016">
        <v>1015</v>
      </c>
      <c r="H1016" t="s">
        <v>579</v>
      </c>
    </row>
    <row r="1017" spans="2:8">
      <c r="B1017" s="313" t="s">
        <v>161</v>
      </c>
      <c r="C1017" s="313" t="s">
        <v>13</v>
      </c>
      <c r="D1017" s="275">
        <v>1</v>
      </c>
      <c r="E1017" s="315">
        <v>0</v>
      </c>
      <c r="F1017" s="316">
        <v>0</v>
      </c>
      <c r="G1017">
        <v>1016</v>
      </c>
      <c r="H1017" t="s">
        <v>579</v>
      </c>
    </row>
    <row r="1018" spans="2:8">
      <c r="B1018" s="313" t="s">
        <v>101</v>
      </c>
      <c r="C1018" s="313" t="s">
        <v>13</v>
      </c>
      <c r="D1018" s="275">
        <v>1</v>
      </c>
      <c r="E1018" s="315">
        <v>0</v>
      </c>
      <c r="F1018" s="316">
        <v>0</v>
      </c>
      <c r="G1018">
        <v>1017</v>
      </c>
      <c r="H1018" t="s">
        <v>579</v>
      </c>
    </row>
    <row r="1019" spans="2:8">
      <c r="B1019" s="313" t="s">
        <v>266</v>
      </c>
      <c r="C1019" s="313" t="s">
        <v>13</v>
      </c>
      <c r="D1019" s="275">
        <v>1</v>
      </c>
      <c r="E1019" s="315">
        <v>0</v>
      </c>
      <c r="F1019" s="316">
        <v>0</v>
      </c>
      <c r="G1019">
        <v>1018</v>
      </c>
      <c r="H1019" t="s">
        <v>579</v>
      </c>
    </row>
    <row r="1020" spans="2:8">
      <c r="B1020" s="313" t="s">
        <v>276</v>
      </c>
      <c r="C1020" s="313" t="s">
        <v>13</v>
      </c>
      <c r="D1020" s="275">
        <v>1</v>
      </c>
      <c r="E1020" s="315">
        <v>0</v>
      </c>
      <c r="F1020" s="316">
        <v>0</v>
      </c>
      <c r="G1020">
        <v>1019</v>
      </c>
      <c r="H1020" t="s">
        <v>579</v>
      </c>
    </row>
    <row r="1021" spans="2:8">
      <c r="B1021" s="313" t="s">
        <v>277</v>
      </c>
      <c r="C1021" s="313" t="s">
        <v>13</v>
      </c>
      <c r="D1021" s="275">
        <v>1</v>
      </c>
      <c r="E1021" s="315">
        <v>0</v>
      </c>
      <c r="F1021" s="316">
        <v>0</v>
      </c>
      <c r="G1021">
        <v>1020</v>
      </c>
      <c r="H1021" t="s">
        <v>579</v>
      </c>
    </row>
    <row r="1022" spans="2:8">
      <c r="B1022" s="313"/>
      <c r="C1022" s="313"/>
      <c r="D1022" s="275"/>
      <c r="E1022" s="315" t="s">
        <v>571</v>
      </c>
      <c r="F1022" s="316" t="s">
        <v>571</v>
      </c>
      <c r="G1022">
        <v>1021</v>
      </c>
      <c r="H1022" t="s">
        <v>579</v>
      </c>
    </row>
    <row r="1023" spans="2:8">
      <c r="B1023" s="313" t="s">
        <v>573</v>
      </c>
      <c r="C1023" s="313"/>
      <c r="D1023" s="275"/>
      <c r="E1023" s="315" t="s">
        <v>571</v>
      </c>
      <c r="F1023" s="316" t="s">
        <v>571</v>
      </c>
      <c r="G1023">
        <v>1022</v>
      </c>
      <c r="H1023" t="s">
        <v>579</v>
      </c>
    </row>
    <row r="1024" spans="2:8">
      <c r="B1024" s="313" t="s">
        <v>52</v>
      </c>
      <c r="C1024" s="313" t="s">
        <v>13</v>
      </c>
      <c r="D1024" s="275"/>
      <c r="E1024" s="315" t="s">
        <v>571</v>
      </c>
      <c r="F1024" s="316" t="s">
        <v>571</v>
      </c>
      <c r="G1024">
        <v>1023</v>
      </c>
      <c r="H1024" t="s">
        <v>579</v>
      </c>
    </row>
    <row r="1025" spans="2:8">
      <c r="B1025" s="313" t="s">
        <v>269</v>
      </c>
      <c r="C1025" s="313" t="s">
        <v>13</v>
      </c>
      <c r="D1025" s="275"/>
      <c r="E1025" s="315" t="s">
        <v>571</v>
      </c>
      <c r="F1025" s="316" t="s">
        <v>571</v>
      </c>
      <c r="G1025">
        <v>1024</v>
      </c>
      <c r="H1025" t="s">
        <v>579</v>
      </c>
    </row>
    <row r="1026" spans="2:8">
      <c r="B1026" s="313" t="s">
        <v>53</v>
      </c>
      <c r="C1026" s="313" t="s">
        <v>13</v>
      </c>
      <c r="D1026" s="275"/>
      <c r="E1026" s="315" t="s">
        <v>571</v>
      </c>
      <c r="F1026" s="316" t="s">
        <v>571</v>
      </c>
      <c r="G1026">
        <v>1025</v>
      </c>
      <c r="H1026" t="s">
        <v>579</v>
      </c>
    </row>
    <row r="1027" spans="2:8">
      <c r="B1027" s="313" t="s">
        <v>72</v>
      </c>
      <c r="C1027" s="313" t="s">
        <v>13</v>
      </c>
      <c r="D1027" s="275"/>
      <c r="E1027" s="315" t="s">
        <v>571</v>
      </c>
      <c r="F1027" s="316" t="s">
        <v>571</v>
      </c>
      <c r="G1027">
        <v>1026</v>
      </c>
      <c r="H1027" t="s">
        <v>579</v>
      </c>
    </row>
    <row r="1028" spans="2:8">
      <c r="B1028" s="313"/>
      <c r="C1028" s="313"/>
      <c r="D1028" s="275"/>
      <c r="E1028" s="315" t="s">
        <v>571</v>
      </c>
      <c r="F1028" s="316" t="s">
        <v>571</v>
      </c>
      <c r="G1028">
        <v>1027</v>
      </c>
      <c r="H1028" t="s">
        <v>579</v>
      </c>
    </row>
    <row r="1029" spans="2:8">
      <c r="B1029" s="313" t="s">
        <v>54</v>
      </c>
      <c r="C1029" s="313" t="s">
        <v>13</v>
      </c>
      <c r="D1029" s="275"/>
      <c r="E1029" s="315" t="s">
        <v>571</v>
      </c>
      <c r="F1029" s="316" t="s">
        <v>571</v>
      </c>
      <c r="G1029">
        <v>1028</v>
      </c>
      <c r="H1029" t="s">
        <v>579</v>
      </c>
    </row>
    <row r="1030" spans="2:8">
      <c r="B1030" s="313" t="s">
        <v>55</v>
      </c>
      <c r="C1030" s="313" t="s">
        <v>13</v>
      </c>
      <c r="D1030" s="275"/>
      <c r="E1030" s="315" t="s">
        <v>571</v>
      </c>
      <c r="F1030" s="316" t="s">
        <v>571</v>
      </c>
      <c r="G1030">
        <v>1029</v>
      </c>
      <c r="H1030" t="s">
        <v>579</v>
      </c>
    </row>
    <row r="1031" spans="2:8">
      <c r="B1031" s="313" t="s">
        <v>268</v>
      </c>
      <c r="C1031" s="313" t="s">
        <v>13</v>
      </c>
      <c r="D1031" s="275">
        <v>1</v>
      </c>
      <c r="E1031" s="315">
        <v>0</v>
      </c>
      <c r="F1031" s="316">
        <v>0</v>
      </c>
      <c r="G1031">
        <v>1030</v>
      </c>
      <c r="H1031" t="s">
        <v>579</v>
      </c>
    </row>
    <row r="1032" spans="2:8">
      <c r="B1032" s="313" t="s">
        <v>126</v>
      </c>
      <c r="C1032" s="313" t="s">
        <v>13</v>
      </c>
      <c r="D1032" s="275"/>
      <c r="E1032" s="315" t="s">
        <v>571</v>
      </c>
      <c r="F1032" s="316" t="s">
        <v>571</v>
      </c>
      <c r="G1032">
        <v>1031</v>
      </c>
      <c r="H1032" t="s">
        <v>579</v>
      </c>
    </row>
    <row r="1033" spans="2:8">
      <c r="B1033" s="313" t="s">
        <v>101</v>
      </c>
      <c r="C1033" s="313" t="s">
        <v>13</v>
      </c>
      <c r="D1033" s="275"/>
      <c r="E1033" s="315" t="s">
        <v>571</v>
      </c>
      <c r="F1033" s="316" t="s">
        <v>571</v>
      </c>
      <c r="G1033">
        <v>1032</v>
      </c>
      <c r="H1033" t="s">
        <v>579</v>
      </c>
    </row>
    <row r="1034" spans="2:8">
      <c r="B1034" s="313" t="s">
        <v>266</v>
      </c>
      <c r="C1034" s="313" t="s">
        <v>13</v>
      </c>
      <c r="D1034" s="275"/>
      <c r="E1034" s="315" t="s">
        <v>571</v>
      </c>
      <c r="F1034" s="316" t="s">
        <v>571</v>
      </c>
      <c r="G1034">
        <v>1033</v>
      </c>
      <c r="H1034" t="s">
        <v>579</v>
      </c>
    </row>
    <row r="1035" spans="2:8">
      <c r="B1035" s="313" t="s">
        <v>276</v>
      </c>
      <c r="C1035" s="313" t="s">
        <v>13</v>
      </c>
      <c r="D1035" s="275"/>
      <c r="E1035" s="315" t="s">
        <v>571</v>
      </c>
      <c r="F1035" s="316" t="s">
        <v>571</v>
      </c>
      <c r="G1035">
        <v>1034</v>
      </c>
      <c r="H1035" t="s">
        <v>579</v>
      </c>
    </row>
    <row r="1036" spans="2:8">
      <c r="B1036" s="313" t="s">
        <v>277</v>
      </c>
      <c r="C1036" s="313" t="s">
        <v>13</v>
      </c>
      <c r="D1036" s="275"/>
      <c r="E1036" s="315" t="s">
        <v>571</v>
      </c>
      <c r="F1036" s="316" t="s">
        <v>571</v>
      </c>
      <c r="G1036">
        <v>1035</v>
      </c>
      <c r="H1036" t="s">
        <v>579</v>
      </c>
    </row>
    <row r="1037" spans="2:8">
      <c r="B1037" s="313"/>
      <c r="C1037" s="313"/>
      <c r="D1037" s="275"/>
      <c r="E1037" s="315" t="s">
        <v>571</v>
      </c>
      <c r="F1037" s="316" t="s">
        <v>571</v>
      </c>
      <c r="G1037">
        <v>1036</v>
      </c>
      <c r="H1037" t="s">
        <v>579</v>
      </c>
    </row>
    <row r="1038" spans="2:8">
      <c r="B1038" s="313" t="s">
        <v>167</v>
      </c>
      <c r="C1038" s="313" t="s">
        <v>13</v>
      </c>
      <c r="D1038" s="275">
        <v>1</v>
      </c>
      <c r="E1038" s="315">
        <v>0</v>
      </c>
      <c r="F1038" s="316">
        <v>0</v>
      </c>
      <c r="G1038">
        <v>1037</v>
      </c>
      <c r="H1038" t="s">
        <v>579</v>
      </c>
    </row>
    <row r="1039" spans="2:8">
      <c r="B1039" s="313"/>
      <c r="C1039" s="313"/>
      <c r="D1039" s="275"/>
      <c r="E1039" s="315" t="s">
        <v>571</v>
      </c>
      <c r="F1039" s="316" t="s">
        <v>571</v>
      </c>
      <c r="G1039">
        <v>1038</v>
      </c>
      <c r="H1039" t="s">
        <v>579</v>
      </c>
    </row>
    <row r="1040" spans="2:8">
      <c r="B1040" s="313" t="s">
        <v>442</v>
      </c>
      <c r="C1040" s="313" t="s">
        <v>13</v>
      </c>
      <c r="D1040" s="275">
        <v>1.3846153846153846</v>
      </c>
      <c r="E1040" s="315">
        <v>0</v>
      </c>
      <c r="F1040" s="316">
        <v>0</v>
      </c>
      <c r="G1040">
        <v>1039</v>
      </c>
      <c r="H1040" t="s">
        <v>579</v>
      </c>
    </row>
    <row r="1041" spans="1:8">
      <c r="B1041" s="313" t="s">
        <v>264</v>
      </c>
      <c r="C1041" s="313" t="s">
        <v>13</v>
      </c>
      <c r="D1041" s="275">
        <v>2</v>
      </c>
      <c r="E1041" s="315">
        <v>0</v>
      </c>
      <c r="F1041" s="316">
        <v>0</v>
      </c>
      <c r="G1041">
        <v>1040</v>
      </c>
      <c r="H1041" t="s">
        <v>579</v>
      </c>
    </row>
    <row r="1042" spans="1:8">
      <c r="B1042" s="313" t="s">
        <v>265</v>
      </c>
      <c r="C1042" s="313" t="s">
        <v>13</v>
      </c>
      <c r="D1042" s="275">
        <v>2</v>
      </c>
      <c r="E1042" s="315">
        <v>0</v>
      </c>
      <c r="F1042" s="316">
        <v>0</v>
      </c>
      <c r="G1042">
        <v>1041</v>
      </c>
      <c r="H1042" t="s">
        <v>579</v>
      </c>
    </row>
    <row r="1043" spans="1:8">
      <c r="B1043" s="313"/>
      <c r="C1043" s="313"/>
      <c r="D1043" s="275"/>
      <c r="E1043" s="315" t="s">
        <v>571</v>
      </c>
      <c r="F1043" s="316" t="s">
        <v>571</v>
      </c>
      <c r="G1043">
        <v>1042</v>
      </c>
      <c r="H1043" t="s">
        <v>579</v>
      </c>
    </row>
    <row r="1044" spans="1:8">
      <c r="B1044" s="313" t="s">
        <v>166</v>
      </c>
      <c r="C1044" s="313" t="s">
        <v>13</v>
      </c>
      <c r="D1044" s="275">
        <v>1</v>
      </c>
      <c r="E1044" s="315">
        <v>0</v>
      </c>
      <c r="F1044" s="316">
        <v>0</v>
      </c>
      <c r="G1044">
        <v>1043</v>
      </c>
      <c r="H1044" t="s">
        <v>579</v>
      </c>
    </row>
    <row r="1045" spans="1:8">
      <c r="B1045" s="313"/>
      <c r="C1045" s="313"/>
      <c r="D1045" s="275"/>
      <c r="E1045" s="315" t="s">
        <v>571</v>
      </c>
      <c r="F1045" s="316" t="s">
        <v>571</v>
      </c>
      <c r="G1045">
        <v>1044</v>
      </c>
      <c r="H1045" t="s">
        <v>579</v>
      </c>
    </row>
    <row r="1046" spans="1:8">
      <c r="B1046" s="313" t="s">
        <v>233</v>
      </c>
      <c r="C1046" s="313"/>
      <c r="D1046" s="275"/>
      <c r="E1046" s="315" t="s">
        <v>571</v>
      </c>
      <c r="F1046" s="316" t="s">
        <v>571</v>
      </c>
      <c r="G1046">
        <v>1045</v>
      </c>
      <c r="H1046" t="s">
        <v>579</v>
      </c>
    </row>
    <row r="1047" spans="1:8">
      <c r="B1047" s="313" t="s">
        <v>234</v>
      </c>
      <c r="C1047" s="313" t="s">
        <v>12</v>
      </c>
      <c r="D1047" s="275">
        <v>13</v>
      </c>
      <c r="E1047" s="315">
        <v>0</v>
      </c>
      <c r="F1047" s="316">
        <v>0</v>
      </c>
      <c r="G1047">
        <v>1046</v>
      </c>
      <c r="H1047" t="s">
        <v>579</v>
      </c>
    </row>
    <row r="1048" spans="1:8">
      <c r="B1048" s="313"/>
      <c r="C1048" s="313"/>
      <c r="D1048" s="275"/>
      <c r="E1048" s="315" t="s">
        <v>571</v>
      </c>
      <c r="F1048" s="316" t="s">
        <v>571</v>
      </c>
      <c r="G1048">
        <v>1047</v>
      </c>
      <c r="H1048" t="s">
        <v>579</v>
      </c>
    </row>
    <row r="1049" spans="1:8">
      <c r="B1049" s="313" t="s">
        <v>375</v>
      </c>
      <c r="C1049" s="313"/>
      <c r="D1049" s="275"/>
      <c r="E1049" s="315" t="s">
        <v>571</v>
      </c>
      <c r="F1049" s="316" t="s">
        <v>571</v>
      </c>
      <c r="G1049">
        <v>1048</v>
      </c>
      <c r="H1049" t="s">
        <v>579</v>
      </c>
    </row>
    <row r="1050" spans="1:8">
      <c r="B1050" s="313"/>
      <c r="C1050" s="313"/>
      <c r="D1050" s="275"/>
      <c r="E1050" s="315" t="s">
        <v>571</v>
      </c>
      <c r="F1050" s="316" t="s">
        <v>571</v>
      </c>
      <c r="G1050">
        <v>1049</v>
      </c>
      <c r="H1050" t="s">
        <v>579</v>
      </c>
    </row>
    <row r="1051" spans="1:8">
      <c r="A1051" t="s">
        <v>374</v>
      </c>
      <c r="B1051" s="313" t="s">
        <v>235</v>
      </c>
      <c r="C1051" s="313"/>
      <c r="D1051" s="275"/>
      <c r="E1051" s="315" t="s">
        <v>571</v>
      </c>
      <c r="F1051" s="316" t="s">
        <v>571</v>
      </c>
      <c r="G1051">
        <v>1050</v>
      </c>
      <c r="H1051" t="s">
        <v>579</v>
      </c>
    </row>
    <row r="1052" spans="1:8">
      <c r="B1052" s="313"/>
      <c r="C1052" s="313"/>
      <c r="D1052" s="275"/>
      <c r="E1052" s="315" t="s">
        <v>571</v>
      </c>
      <c r="F1052" s="316" t="s">
        <v>571</v>
      </c>
      <c r="G1052">
        <v>1051</v>
      </c>
      <c r="H1052" t="s">
        <v>579</v>
      </c>
    </row>
    <row r="1053" spans="1:8">
      <c r="B1053" s="313" t="s">
        <v>572</v>
      </c>
      <c r="C1053" s="313"/>
      <c r="D1053" s="275"/>
      <c r="E1053" s="315" t="s">
        <v>571</v>
      </c>
      <c r="F1053" s="316" t="s">
        <v>571</v>
      </c>
      <c r="G1053">
        <v>1052</v>
      </c>
      <c r="H1053" t="s">
        <v>579</v>
      </c>
    </row>
    <row r="1054" spans="1:8">
      <c r="B1054" s="313" t="s">
        <v>52</v>
      </c>
      <c r="C1054" s="313" t="s">
        <v>13</v>
      </c>
      <c r="D1054" s="275">
        <v>5.1338582677165352</v>
      </c>
      <c r="E1054" s="315">
        <v>0</v>
      </c>
      <c r="F1054" s="316">
        <v>0</v>
      </c>
      <c r="G1054">
        <v>1053</v>
      </c>
      <c r="H1054" t="s">
        <v>579</v>
      </c>
    </row>
    <row r="1055" spans="1:8">
      <c r="B1055" s="313" t="s">
        <v>269</v>
      </c>
      <c r="C1055" s="313" t="s">
        <v>13</v>
      </c>
      <c r="D1055" s="275">
        <v>1</v>
      </c>
      <c r="E1055" s="315">
        <v>0</v>
      </c>
      <c r="F1055" s="316">
        <v>0</v>
      </c>
      <c r="G1055">
        <v>1054</v>
      </c>
      <c r="H1055" t="s">
        <v>579</v>
      </c>
    </row>
    <row r="1056" spans="1:8">
      <c r="B1056" s="313" t="s">
        <v>53</v>
      </c>
      <c r="C1056" s="313" t="s">
        <v>13</v>
      </c>
      <c r="D1056" s="275"/>
      <c r="E1056" s="315" t="s">
        <v>571</v>
      </c>
      <c r="F1056" s="316" t="s">
        <v>571</v>
      </c>
      <c r="G1056">
        <v>1055</v>
      </c>
      <c r="H1056" t="s">
        <v>579</v>
      </c>
    </row>
    <row r="1057" spans="2:8">
      <c r="B1057" s="313" t="s">
        <v>72</v>
      </c>
      <c r="C1057" s="313" t="s">
        <v>13</v>
      </c>
      <c r="D1057" s="275">
        <v>6</v>
      </c>
      <c r="E1057" s="315">
        <v>0</v>
      </c>
      <c r="F1057" s="316">
        <v>0</v>
      </c>
      <c r="G1057">
        <v>1056</v>
      </c>
      <c r="H1057" t="s">
        <v>579</v>
      </c>
    </row>
    <row r="1058" spans="2:8">
      <c r="B1058" s="313" t="s">
        <v>275</v>
      </c>
      <c r="C1058" s="313" t="s">
        <v>13</v>
      </c>
      <c r="D1058" s="275"/>
      <c r="E1058" s="315" t="s">
        <v>571</v>
      </c>
      <c r="F1058" s="316" t="s">
        <v>571</v>
      </c>
      <c r="G1058">
        <v>1057</v>
      </c>
      <c r="H1058" t="s">
        <v>579</v>
      </c>
    </row>
    <row r="1059" spans="2:8">
      <c r="B1059" s="313" t="s">
        <v>447</v>
      </c>
      <c r="C1059" s="313" t="s">
        <v>13</v>
      </c>
      <c r="D1059" s="275">
        <v>1</v>
      </c>
      <c r="E1059" s="315">
        <v>0</v>
      </c>
      <c r="F1059" s="316">
        <v>0</v>
      </c>
      <c r="G1059">
        <v>1058</v>
      </c>
      <c r="H1059" t="s">
        <v>579</v>
      </c>
    </row>
    <row r="1060" spans="2:8">
      <c r="B1060" s="313" t="s">
        <v>54</v>
      </c>
      <c r="C1060" s="313" t="s">
        <v>13</v>
      </c>
      <c r="D1060" s="275">
        <v>17</v>
      </c>
      <c r="E1060" s="315">
        <v>0</v>
      </c>
      <c r="F1060" s="316">
        <v>0</v>
      </c>
      <c r="G1060">
        <v>1059</v>
      </c>
      <c r="H1060" t="s">
        <v>579</v>
      </c>
    </row>
    <row r="1061" spans="2:8">
      <c r="B1061" s="313" t="s">
        <v>448</v>
      </c>
      <c r="C1061" s="313" t="s">
        <v>13</v>
      </c>
      <c r="D1061" s="275"/>
      <c r="E1061" s="315" t="s">
        <v>571</v>
      </c>
      <c r="F1061" s="316" t="s">
        <v>571</v>
      </c>
      <c r="G1061">
        <v>1060</v>
      </c>
      <c r="H1061" t="s">
        <v>579</v>
      </c>
    </row>
    <row r="1062" spans="2:8">
      <c r="B1062" s="313"/>
      <c r="C1062" s="313"/>
      <c r="D1062" s="275"/>
      <c r="E1062" s="315" t="s">
        <v>571</v>
      </c>
      <c r="F1062" s="316" t="s">
        <v>571</v>
      </c>
      <c r="G1062">
        <v>1061</v>
      </c>
      <c r="H1062" t="s">
        <v>579</v>
      </c>
    </row>
    <row r="1063" spans="2:8">
      <c r="B1063" s="313" t="s">
        <v>573</v>
      </c>
      <c r="C1063" s="313"/>
      <c r="D1063" s="275"/>
      <c r="E1063" s="315" t="s">
        <v>571</v>
      </c>
      <c r="F1063" s="316" t="s">
        <v>571</v>
      </c>
      <c r="G1063">
        <v>1062</v>
      </c>
      <c r="H1063" t="s">
        <v>579</v>
      </c>
    </row>
    <row r="1064" spans="2:8">
      <c r="B1064" s="313" t="s">
        <v>52</v>
      </c>
      <c r="C1064" s="313" t="s">
        <v>13</v>
      </c>
      <c r="D1064" s="275"/>
      <c r="E1064" s="315" t="s">
        <v>571</v>
      </c>
      <c r="F1064" s="316" t="s">
        <v>571</v>
      </c>
      <c r="G1064">
        <v>1063</v>
      </c>
      <c r="H1064" t="s">
        <v>579</v>
      </c>
    </row>
    <row r="1065" spans="2:8">
      <c r="B1065" s="313" t="s">
        <v>269</v>
      </c>
      <c r="C1065" s="313" t="s">
        <v>13</v>
      </c>
      <c r="D1065" s="275"/>
      <c r="E1065" s="315" t="s">
        <v>571</v>
      </c>
      <c r="F1065" s="316" t="s">
        <v>571</v>
      </c>
      <c r="G1065">
        <v>1064</v>
      </c>
      <c r="H1065" t="s">
        <v>579</v>
      </c>
    </row>
    <row r="1066" spans="2:8">
      <c r="B1066" s="313" t="s">
        <v>53</v>
      </c>
      <c r="C1066" s="313" t="s">
        <v>13</v>
      </c>
      <c r="D1066" s="275"/>
      <c r="E1066" s="315" t="s">
        <v>571</v>
      </c>
      <c r="F1066" s="316" t="s">
        <v>571</v>
      </c>
      <c r="G1066">
        <v>1065</v>
      </c>
      <c r="H1066" t="s">
        <v>579</v>
      </c>
    </row>
    <row r="1067" spans="2:8">
      <c r="B1067" s="313" t="s">
        <v>72</v>
      </c>
      <c r="C1067" s="313" t="s">
        <v>13</v>
      </c>
      <c r="D1067" s="275"/>
      <c r="E1067" s="315" t="s">
        <v>571</v>
      </c>
      <c r="F1067" s="316" t="s">
        <v>571</v>
      </c>
      <c r="G1067">
        <v>1066</v>
      </c>
      <c r="H1067" t="s">
        <v>579</v>
      </c>
    </row>
    <row r="1068" spans="2:8">
      <c r="B1068" s="313" t="s">
        <v>275</v>
      </c>
      <c r="C1068" s="313" t="s">
        <v>13</v>
      </c>
      <c r="D1068" s="275"/>
      <c r="E1068" s="315" t="s">
        <v>571</v>
      </c>
      <c r="F1068" s="316" t="s">
        <v>571</v>
      </c>
      <c r="G1068">
        <v>1067</v>
      </c>
      <c r="H1068" t="s">
        <v>579</v>
      </c>
    </row>
    <row r="1069" spans="2:8">
      <c r="B1069" s="313" t="s">
        <v>447</v>
      </c>
      <c r="C1069" s="313" t="s">
        <v>13</v>
      </c>
      <c r="D1069" s="275"/>
      <c r="E1069" s="315" t="s">
        <v>571</v>
      </c>
      <c r="F1069" s="316" t="s">
        <v>571</v>
      </c>
      <c r="G1069">
        <v>1068</v>
      </c>
      <c r="H1069" t="s">
        <v>579</v>
      </c>
    </row>
    <row r="1070" spans="2:8">
      <c r="B1070" s="313" t="s">
        <v>54</v>
      </c>
      <c r="C1070" s="313" t="s">
        <v>13</v>
      </c>
      <c r="D1070" s="275"/>
      <c r="E1070" s="315" t="s">
        <v>571</v>
      </c>
      <c r="F1070" s="316" t="s">
        <v>571</v>
      </c>
      <c r="G1070">
        <v>1069</v>
      </c>
      <c r="H1070" t="s">
        <v>579</v>
      </c>
    </row>
    <row r="1071" spans="2:8">
      <c r="B1071" s="313" t="s">
        <v>448</v>
      </c>
      <c r="C1071" s="313" t="s">
        <v>13</v>
      </c>
      <c r="D1071" s="275"/>
      <c r="E1071" s="315" t="s">
        <v>571</v>
      </c>
      <c r="F1071" s="316" t="s">
        <v>571</v>
      </c>
      <c r="G1071">
        <v>1070</v>
      </c>
      <c r="H1071" t="s">
        <v>579</v>
      </c>
    </row>
    <row r="1072" spans="2:8">
      <c r="B1072" s="313"/>
      <c r="C1072" s="313"/>
      <c r="D1072" s="275"/>
      <c r="E1072" s="315" t="s">
        <v>571</v>
      </c>
      <c r="F1072" s="316" t="s">
        <v>571</v>
      </c>
      <c r="G1072">
        <v>1071</v>
      </c>
      <c r="H1072" t="s">
        <v>579</v>
      </c>
    </row>
    <row r="1073" spans="1:8">
      <c r="B1073" s="313" t="s">
        <v>266</v>
      </c>
      <c r="C1073" s="313" t="s">
        <v>13</v>
      </c>
      <c r="D1073" s="275">
        <v>3</v>
      </c>
      <c r="E1073" s="315">
        <v>0</v>
      </c>
      <c r="F1073" s="316">
        <v>0</v>
      </c>
      <c r="G1073">
        <v>1072</v>
      </c>
      <c r="H1073" t="s">
        <v>579</v>
      </c>
    </row>
    <row r="1074" spans="1:8">
      <c r="B1074" s="313" t="s">
        <v>449</v>
      </c>
      <c r="C1074" s="313" t="s">
        <v>13</v>
      </c>
      <c r="D1074" s="275"/>
      <c r="E1074" s="315" t="s">
        <v>571</v>
      </c>
      <c r="F1074" s="316" t="s">
        <v>571</v>
      </c>
      <c r="G1074">
        <v>1073</v>
      </c>
      <c r="H1074" t="s">
        <v>579</v>
      </c>
    </row>
    <row r="1075" spans="1:8">
      <c r="B1075" s="313"/>
      <c r="C1075" s="313"/>
      <c r="D1075" s="275"/>
      <c r="E1075" s="315" t="s">
        <v>571</v>
      </c>
      <c r="F1075" s="316" t="s">
        <v>571</v>
      </c>
      <c r="G1075">
        <v>1074</v>
      </c>
      <c r="H1075" t="s">
        <v>579</v>
      </c>
    </row>
    <row r="1076" spans="1:8">
      <c r="B1076" s="313" t="s">
        <v>450</v>
      </c>
      <c r="C1076" s="313" t="s">
        <v>13</v>
      </c>
      <c r="D1076" s="275"/>
      <c r="E1076" s="315" t="s">
        <v>571</v>
      </c>
      <c r="F1076" s="316" t="s">
        <v>571</v>
      </c>
      <c r="G1076">
        <v>1075</v>
      </c>
      <c r="H1076" t="s">
        <v>579</v>
      </c>
    </row>
    <row r="1077" spans="1:8">
      <c r="B1077" s="313" t="s">
        <v>451</v>
      </c>
      <c r="C1077" s="313" t="s">
        <v>13</v>
      </c>
      <c r="D1077" s="275"/>
      <c r="E1077" s="315" t="s">
        <v>571</v>
      </c>
      <c r="F1077" s="316" t="s">
        <v>571</v>
      </c>
      <c r="G1077">
        <v>1076</v>
      </c>
      <c r="H1077" t="s">
        <v>579</v>
      </c>
    </row>
    <row r="1078" spans="1:8">
      <c r="B1078" s="313" t="s">
        <v>388</v>
      </c>
      <c r="C1078" s="313" t="s">
        <v>13</v>
      </c>
      <c r="D1078" s="275"/>
      <c r="E1078" s="315" t="s">
        <v>571</v>
      </c>
      <c r="F1078" s="316" t="s">
        <v>571</v>
      </c>
      <c r="G1078">
        <v>1077</v>
      </c>
      <c r="H1078" t="s">
        <v>579</v>
      </c>
    </row>
    <row r="1079" spans="1:8">
      <c r="B1079" s="313"/>
      <c r="C1079" s="313" t="s">
        <v>13</v>
      </c>
      <c r="D1079" s="275"/>
      <c r="E1079" s="315" t="s">
        <v>571</v>
      </c>
      <c r="F1079" s="316" t="s">
        <v>571</v>
      </c>
      <c r="G1079">
        <v>1078</v>
      </c>
      <c r="H1079" t="s">
        <v>579</v>
      </c>
    </row>
    <row r="1080" spans="1:8">
      <c r="B1080" s="313" t="s">
        <v>236</v>
      </c>
      <c r="C1080" s="313"/>
      <c r="D1080" s="275"/>
      <c r="E1080" s="315" t="s">
        <v>571</v>
      </c>
      <c r="F1080" s="316" t="s">
        <v>571</v>
      </c>
      <c r="G1080">
        <v>1079</v>
      </c>
      <c r="H1080" t="s">
        <v>579</v>
      </c>
    </row>
    <row r="1081" spans="1:8">
      <c r="B1081" s="313" t="s">
        <v>237</v>
      </c>
      <c r="C1081" s="313" t="s">
        <v>12</v>
      </c>
      <c r="D1081" s="275">
        <v>3</v>
      </c>
      <c r="E1081" s="315">
        <v>0</v>
      </c>
      <c r="F1081" s="316">
        <v>0</v>
      </c>
      <c r="G1081">
        <v>1080</v>
      </c>
      <c r="H1081" t="s">
        <v>579</v>
      </c>
    </row>
    <row r="1082" spans="1:8">
      <c r="B1082" s="313"/>
      <c r="C1082" s="313"/>
      <c r="D1082" s="275"/>
      <c r="E1082" s="315" t="s">
        <v>571</v>
      </c>
      <c r="F1082" s="316" t="s">
        <v>571</v>
      </c>
      <c r="G1082">
        <v>1081</v>
      </c>
      <c r="H1082" t="s">
        <v>579</v>
      </c>
    </row>
    <row r="1083" spans="1:8">
      <c r="B1083" s="313" t="s">
        <v>376</v>
      </c>
      <c r="C1083" s="313"/>
      <c r="D1083" s="275"/>
      <c r="E1083" s="315" t="s">
        <v>571</v>
      </c>
      <c r="F1083" s="316" t="s">
        <v>571</v>
      </c>
      <c r="G1083">
        <v>1082</v>
      </c>
      <c r="H1083" t="s">
        <v>579</v>
      </c>
    </row>
    <row r="1084" spans="1:8">
      <c r="B1084" s="313"/>
      <c r="C1084" s="313"/>
      <c r="D1084" s="275"/>
      <c r="E1084" s="315" t="s">
        <v>571</v>
      </c>
      <c r="F1084" s="316" t="s">
        <v>571</v>
      </c>
      <c r="G1084">
        <v>1083</v>
      </c>
      <c r="H1084" t="s">
        <v>579</v>
      </c>
    </row>
    <row r="1085" spans="1:8">
      <c r="B1085" s="313" t="s">
        <v>377</v>
      </c>
      <c r="C1085" s="313"/>
      <c r="D1085" s="275"/>
      <c r="E1085" s="315" t="s">
        <v>571</v>
      </c>
      <c r="F1085" s="316" t="s">
        <v>571</v>
      </c>
      <c r="G1085">
        <v>1084</v>
      </c>
      <c r="H1085" t="s">
        <v>579</v>
      </c>
    </row>
    <row r="1086" spans="1:8">
      <c r="B1086" s="313"/>
      <c r="C1086" s="313"/>
      <c r="D1086" s="275"/>
      <c r="E1086" s="315" t="s">
        <v>571</v>
      </c>
      <c r="F1086" s="316" t="s">
        <v>571</v>
      </c>
      <c r="G1086">
        <v>1085</v>
      </c>
      <c r="H1086" t="s">
        <v>579</v>
      </c>
    </row>
    <row r="1087" spans="1:8">
      <c r="A1087" t="s">
        <v>378</v>
      </c>
      <c r="B1087" s="313" t="s">
        <v>380</v>
      </c>
      <c r="C1087" s="313"/>
      <c r="D1087" s="275"/>
      <c r="E1087" s="315" t="s">
        <v>571</v>
      </c>
      <c r="F1087" s="316" t="s">
        <v>571</v>
      </c>
      <c r="G1087">
        <v>1086</v>
      </c>
      <c r="H1087" t="s">
        <v>579</v>
      </c>
    </row>
    <row r="1088" spans="1:8">
      <c r="B1088" s="313"/>
      <c r="C1088" s="313"/>
      <c r="D1088" s="275"/>
      <c r="E1088" s="315" t="s">
        <v>571</v>
      </c>
      <c r="F1088" s="316" t="s">
        <v>571</v>
      </c>
      <c r="G1088">
        <v>1087</v>
      </c>
      <c r="H1088" t="s">
        <v>579</v>
      </c>
    </row>
    <row r="1089" spans="2:8">
      <c r="B1089" s="313" t="s">
        <v>572</v>
      </c>
      <c r="C1089" s="313"/>
      <c r="D1089" s="275"/>
      <c r="E1089" s="315" t="s">
        <v>571</v>
      </c>
      <c r="F1089" s="316" t="s">
        <v>571</v>
      </c>
      <c r="G1089">
        <v>1088</v>
      </c>
      <c r="H1089" t="s">
        <v>579</v>
      </c>
    </row>
    <row r="1090" spans="2:8">
      <c r="B1090" s="313" t="s">
        <v>52</v>
      </c>
      <c r="C1090" s="313" t="s">
        <v>13</v>
      </c>
      <c r="D1090" s="275"/>
      <c r="E1090" s="315" t="s">
        <v>571</v>
      </c>
      <c r="F1090" s="316" t="s">
        <v>571</v>
      </c>
      <c r="G1090">
        <v>1089</v>
      </c>
      <c r="H1090" t="s">
        <v>579</v>
      </c>
    </row>
    <row r="1091" spans="2:8">
      <c r="B1091" s="313" t="s">
        <v>269</v>
      </c>
      <c r="C1091" s="313" t="s">
        <v>13</v>
      </c>
      <c r="D1091" s="275"/>
      <c r="E1091" s="315" t="s">
        <v>571</v>
      </c>
      <c r="F1091" s="316" t="s">
        <v>571</v>
      </c>
      <c r="G1091">
        <v>1090</v>
      </c>
      <c r="H1091" t="s">
        <v>579</v>
      </c>
    </row>
    <row r="1092" spans="2:8">
      <c r="B1092" s="313" t="s">
        <v>53</v>
      </c>
      <c r="C1092" s="313" t="s">
        <v>13</v>
      </c>
      <c r="D1092" s="275"/>
      <c r="E1092" s="315" t="s">
        <v>571</v>
      </c>
      <c r="F1092" s="316" t="s">
        <v>571</v>
      </c>
      <c r="G1092">
        <v>1091</v>
      </c>
      <c r="H1092" t="s">
        <v>579</v>
      </c>
    </row>
    <row r="1093" spans="2:8">
      <c r="B1093" s="313" t="s">
        <v>72</v>
      </c>
      <c r="C1093" s="313" t="s">
        <v>13</v>
      </c>
      <c r="D1093" s="275"/>
      <c r="E1093" s="315" t="s">
        <v>571</v>
      </c>
      <c r="F1093" s="316" t="s">
        <v>571</v>
      </c>
      <c r="G1093">
        <v>1092</v>
      </c>
      <c r="H1093" t="s">
        <v>579</v>
      </c>
    </row>
    <row r="1094" spans="2:8">
      <c r="B1094" s="313" t="s">
        <v>275</v>
      </c>
      <c r="C1094" s="313" t="s">
        <v>13</v>
      </c>
      <c r="D1094" s="275"/>
      <c r="E1094" s="315" t="s">
        <v>571</v>
      </c>
      <c r="F1094" s="316" t="s">
        <v>571</v>
      </c>
      <c r="G1094">
        <v>1093</v>
      </c>
      <c r="H1094" t="s">
        <v>579</v>
      </c>
    </row>
    <row r="1095" spans="2:8">
      <c r="B1095" s="313" t="s">
        <v>447</v>
      </c>
      <c r="C1095" s="313" t="s">
        <v>13</v>
      </c>
      <c r="D1095" s="275">
        <v>1</v>
      </c>
      <c r="E1095" s="315">
        <v>0</v>
      </c>
      <c r="F1095" s="316">
        <v>0</v>
      </c>
      <c r="G1095">
        <v>1094</v>
      </c>
      <c r="H1095" t="s">
        <v>579</v>
      </c>
    </row>
    <row r="1096" spans="2:8">
      <c r="B1096" s="313" t="s">
        <v>54</v>
      </c>
      <c r="C1096" s="313" t="s">
        <v>13</v>
      </c>
      <c r="D1096" s="275"/>
      <c r="E1096" s="315" t="s">
        <v>571</v>
      </c>
      <c r="F1096" s="316" t="s">
        <v>571</v>
      </c>
      <c r="G1096">
        <v>1095</v>
      </c>
      <c r="H1096" t="s">
        <v>579</v>
      </c>
    </row>
    <row r="1097" spans="2:8">
      <c r="B1097" s="313" t="s">
        <v>448</v>
      </c>
      <c r="C1097" s="313" t="s">
        <v>13</v>
      </c>
      <c r="D1097" s="275">
        <v>1</v>
      </c>
      <c r="E1097" s="315">
        <v>0</v>
      </c>
      <c r="F1097" s="316">
        <v>0</v>
      </c>
      <c r="G1097">
        <v>1096</v>
      </c>
      <c r="H1097" t="s">
        <v>579</v>
      </c>
    </row>
    <row r="1098" spans="2:8">
      <c r="B1098" s="313"/>
      <c r="C1098" s="313"/>
      <c r="D1098" s="275"/>
      <c r="E1098" s="315" t="s">
        <v>571</v>
      </c>
      <c r="F1098" s="316" t="s">
        <v>571</v>
      </c>
      <c r="G1098">
        <v>1097</v>
      </c>
      <c r="H1098" t="s">
        <v>579</v>
      </c>
    </row>
    <row r="1099" spans="2:8">
      <c r="B1099" s="313" t="s">
        <v>573</v>
      </c>
      <c r="C1099" s="313"/>
      <c r="D1099" s="275"/>
      <c r="E1099" s="315" t="s">
        <v>571</v>
      </c>
      <c r="F1099" s="316" t="s">
        <v>571</v>
      </c>
      <c r="G1099">
        <v>1098</v>
      </c>
      <c r="H1099" t="s">
        <v>579</v>
      </c>
    </row>
    <row r="1100" spans="2:8">
      <c r="B1100" s="313" t="s">
        <v>52</v>
      </c>
      <c r="C1100" s="313" t="s">
        <v>13</v>
      </c>
      <c r="D1100" s="275"/>
      <c r="E1100" s="315" t="s">
        <v>571</v>
      </c>
      <c r="F1100" s="316" t="s">
        <v>571</v>
      </c>
      <c r="G1100">
        <v>1099</v>
      </c>
      <c r="H1100" t="s">
        <v>579</v>
      </c>
    </row>
    <row r="1101" spans="2:8">
      <c r="B1101" s="313" t="s">
        <v>269</v>
      </c>
      <c r="C1101" s="313" t="s">
        <v>13</v>
      </c>
      <c r="D1101" s="275"/>
      <c r="E1101" s="315" t="s">
        <v>571</v>
      </c>
      <c r="F1101" s="316" t="s">
        <v>571</v>
      </c>
      <c r="G1101">
        <v>1100</v>
      </c>
      <c r="H1101" t="s">
        <v>579</v>
      </c>
    </row>
    <row r="1102" spans="2:8">
      <c r="B1102" s="313" t="s">
        <v>53</v>
      </c>
      <c r="C1102" s="313" t="s">
        <v>13</v>
      </c>
      <c r="D1102" s="275"/>
      <c r="E1102" s="315" t="s">
        <v>571</v>
      </c>
      <c r="F1102" s="316" t="s">
        <v>571</v>
      </c>
      <c r="G1102">
        <v>1101</v>
      </c>
      <c r="H1102" t="s">
        <v>579</v>
      </c>
    </row>
    <row r="1103" spans="2:8">
      <c r="B1103" s="313" t="s">
        <v>72</v>
      </c>
      <c r="C1103" s="313" t="s">
        <v>13</v>
      </c>
      <c r="D1103" s="275"/>
      <c r="E1103" s="315" t="s">
        <v>571</v>
      </c>
      <c r="F1103" s="316" t="s">
        <v>571</v>
      </c>
      <c r="G1103">
        <v>1102</v>
      </c>
      <c r="H1103" t="s">
        <v>579</v>
      </c>
    </row>
    <row r="1104" spans="2:8">
      <c r="B1104" s="313" t="s">
        <v>275</v>
      </c>
      <c r="C1104" s="313" t="s">
        <v>13</v>
      </c>
      <c r="D1104" s="275"/>
      <c r="E1104" s="315" t="s">
        <v>571</v>
      </c>
      <c r="F1104" s="316" t="s">
        <v>571</v>
      </c>
      <c r="G1104">
        <v>1103</v>
      </c>
      <c r="H1104" t="s">
        <v>579</v>
      </c>
    </row>
    <row r="1105" spans="2:8">
      <c r="B1105" s="313" t="s">
        <v>447</v>
      </c>
      <c r="C1105" s="313" t="s">
        <v>13</v>
      </c>
      <c r="D1105" s="275"/>
      <c r="E1105" s="315" t="s">
        <v>571</v>
      </c>
      <c r="F1105" s="316" t="s">
        <v>571</v>
      </c>
      <c r="G1105">
        <v>1104</v>
      </c>
      <c r="H1105" t="s">
        <v>579</v>
      </c>
    </row>
    <row r="1106" spans="2:8">
      <c r="B1106" s="313" t="s">
        <v>54</v>
      </c>
      <c r="C1106" s="313" t="s">
        <v>13</v>
      </c>
      <c r="D1106" s="275"/>
      <c r="E1106" s="315" t="s">
        <v>571</v>
      </c>
      <c r="F1106" s="316" t="s">
        <v>571</v>
      </c>
      <c r="G1106">
        <v>1105</v>
      </c>
      <c r="H1106" t="s">
        <v>579</v>
      </c>
    </row>
    <row r="1107" spans="2:8">
      <c r="B1107" s="313" t="s">
        <v>448</v>
      </c>
      <c r="C1107" s="313" t="s">
        <v>13</v>
      </c>
      <c r="D1107" s="275"/>
      <c r="E1107" s="315" t="s">
        <v>571</v>
      </c>
      <c r="F1107" s="316" t="s">
        <v>571</v>
      </c>
      <c r="G1107">
        <v>1106</v>
      </c>
      <c r="H1107" t="s">
        <v>579</v>
      </c>
    </row>
    <row r="1108" spans="2:8">
      <c r="B1108" s="313"/>
      <c r="C1108" s="313"/>
      <c r="D1108" s="275"/>
      <c r="E1108" s="315" t="s">
        <v>571</v>
      </c>
      <c r="F1108" s="316" t="s">
        <v>571</v>
      </c>
      <c r="G1108">
        <v>1107</v>
      </c>
      <c r="H1108" t="s">
        <v>579</v>
      </c>
    </row>
    <row r="1109" spans="2:8">
      <c r="B1109" s="313" t="s">
        <v>266</v>
      </c>
      <c r="C1109" s="313" t="s">
        <v>13</v>
      </c>
      <c r="D1109" s="275"/>
      <c r="E1109" s="315" t="s">
        <v>571</v>
      </c>
      <c r="F1109" s="316" t="s">
        <v>571</v>
      </c>
      <c r="G1109">
        <v>1108</v>
      </c>
      <c r="H1109" t="s">
        <v>579</v>
      </c>
    </row>
    <row r="1110" spans="2:8">
      <c r="B1110" s="313" t="s">
        <v>449</v>
      </c>
      <c r="C1110" s="313" t="s">
        <v>13</v>
      </c>
      <c r="D1110" s="275">
        <v>2.1428571428571428</v>
      </c>
      <c r="E1110" s="315">
        <v>0</v>
      </c>
      <c r="F1110" s="316">
        <v>0</v>
      </c>
      <c r="G1110">
        <v>1109</v>
      </c>
      <c r="H1110" t="s">
        <v>579</v>
      </c>
    </row>
    <row r="1111" spans="2:8">
      <c r="B1111" s="313"/>
      <c r="C1111" s="313"/>
      <c r="D1111" s="275"/>
      <c r="E1111" s="315" t="s">
        <v>571</v>
      </c>
      <c r="F1111" s="316" t="s">
        <v>571</v>
      </c>
      <c r="G1111">
        <v>1110</v>
      </c>
      <c r="H1111" t="s">
        <v>579</v>
      </c>
    </row>
    <row r="1112" spans="2:8">
      <c r="B1112" s="313" t="s">
        <v>450</v>
      </c>
      <c r="C1112" s="313" t="s">
        <v>13</v>
      </c>
      <c r="D1112" s="275"/>
      <c r="E1112" s="315" t="s">
        <v>571</v>
      </c>
      <c r="F1112" s="316" t="s">
        <v>571</v>
      </c>
      <c r="G1112">
        <v>1111</v>
      </c>
      <c r="H1112" t="s">
        <v>579</v>
      </c>
    </row>
    <row r="1113" spans="2:8">
      <c r="B1113" s="313" t="s">
        <v>451</v>
      </c>
      <c r="C1113" s="313" t="s">
        <v>13</v>
      </c>
      <c r="D1113" s="275"/>
      <c r="E1113" s="315" t="s">
        <v>571</v>
      </c>
      <c r="F1113" s="316" t="s">
        <v>571</v>
      </c>
      <c r="G1113">
        <v>1112</v>
      </c>
      <c r="H1113" t="s">
        <v>579</v>
      </c>
    </row>
    <row r="1114" spans="2:8">
      <c r="B1114" s="313" t="s">
        <v>388</v>
      </c>
      <c r="C1114" s="313" t="s">
        <v>13</v>
      </c>
      <c r="D1114" s="275"/>
      <c r="E1114" s="315" t="s">
        <v>571</v>
      </c>
      <c r="F1114" s="316" t="s">
        <v>571</v>
      </c>
      <c r="G1114">
        <v>1113</v>
      </c>
      <c r="H1114" t="s">
        <v>579</v>
      </c>
    </row>
    <row r="1115" spans="2:8">
      <c r="B1115" s="313"/>
      <c r="C1115" s="313"/>
      <c r="D1115" s="275"/>
      <c r="E1115" s="315" t="s">
        <v>571</v>
      </c>
      <c r="F1115" s="316" t="s">
        <v>571</v>
      </c>
      <c r="G1115">
        <v>1114</v>
      </c>
      <c r="H1115" t="s">
        <v>579</v>
      </c>
    </row>
    <row r="1116" spans="2:8">
      <c r="B1116" s="313" t="s">
        <v>543</v>
      </c>
      <c r="C1116" s="313"/>
      <c r="D1116" s="275"/>
      <c r="E1116" s="315" t="s">
        <v>571</v>
      </c>
      <c r="F1116" s="316" t="s">
        <v>571</v>
      </c>
      <c r="G1116">
        <v>1115</v>
      </c>
      <c r="H1116" t="s">
        <v>579</v>
      </c>
    </row>
    <row r="1117" spans="2:8">
      <c r="B1117" s="313" t="s">
        <v>544</v>
      </c>
      <c r="C1117" s="313" t="s">
        <v>12</v>
      </c>
      <c r="D1117" s="275">
        <v>14</v>
      </c>
      <c r="E1117" s="315">
        <v>0</v>
      </c>
      <c r="F1117" s="316">
        <v>0</v>
      </c>
      <c r="G1117">
        <v>1116</v>
      </c>
      <c r="H1117" t="s">
        <v>579</v>
      </c>
    </row>
    <row r="1118" spans="2:8">
      <c r="B1118" s="313"/>
      <c r="C1118" s="313"/>
      <c r="D1118" s="275"/>
      <c r="E1118" s="315" t="s">
        <v>571</v>
      </c>
      <c r="F1118" s="316" t="s">
        <v>571</v>
      </c>
      <c r="G1118">
        <v>1117</v>
      </c>
      <c r="H1118" t="s">
        <v>579</v>
      </c>
    </row>
    <row r="1119" spans="2:8">
      <c r="B1119" s="313" t="s">
        <v>381</v>
      </c>
      <c r="C1119" s="313"/>
      <c r="D1119" s="275"/>
      <c r="E1119" s="315" t="s">
        <v>571</v>
      </c>
      <c r="F1119" s="316" t="s">
        <v>571</v>
      </c>
      <c r="G1119">
        <v>1118</v>
      </c>
      <c r="H1119" t="s">
        <v>579</v>
      </c>
    </row>
    <row r="1120" spans="2:8">
      <c r="B1120" s="313"/>
      <c r="C1120" s="313"/>
      <c r="D1120" s="275"/>
      <c r="E1120" s="315" t="s">
        <v>571</v>
      </c>
      <c r="F1120" s="316" t="s">
        <v>571</v>
      </c>
      <c r="G1120">
        <v>1119</v>
      </c>
      <c r="H1120" t="s">
        <v>579</v>
      </c>
    </row>
    <row r="1121" spans="1:8">
      <c r="A1121" t="s">
        <v>411</v>
      </c>
      <c r="B1121" s="313" t="s">
        <v>60</v>
      </c>
      <c r="C1121" s="313"/>
      <c r="D1121" s="275"/>
      <c r="E1121" s="315" t="s">
        <v>571</v>
      </c>
      <c r="F1121" s="316" t="s">
        <v>571</v>
      </c>
      <c r="G1121">
        <v>1120</v>
      </c>
      <c r="H1121" t="s">
        <v>579</v>
      </c>
    </row>
    <row r="1122" spans="1:8">
      <c r="B1122" s="313"/>
      <c r="C1122" s="313"/>
      <c r="D1122" s="275"/>
      <c r="E1122" s="315" t="s">
        <v>571</v>
      </c>
      <c r="F1122" s="316" t="s">
        <v>571</v>
      </c>
      <c r="G1122">
        <v>1121</v>
      </c>
      <c r="H1122" t="s">
        <v>579</v>
      </c>
    </row>
    <row r="1123" spans="1:8">
      <c r="B1123" s="313" t="s">
        <v>391</v>
      </c>
      <c r="C1123" s="313" t="s">
        <v>13</v>
      </c>
      <c r="D1123" s="275">
        <v>16</v>
      </c>
      <c r="E1123" s="315">
        <v>0</v>
      </c>
      <c r="F1123" s="316">
        <v>0</v>
      </c>
      <c r="G1123">
        <v>1122</v>
      </c>
      <c r="H1123" t="s">
        <v>579</v>
      </c>
    </row>
    <row r="1124" spans="1:8">
      <c r="B1124" s="313" t="s">
        <v>392</v>
      </c>
      <c r="C1124" s="313" t="s">
        <v>12</v>
      </c>
      <c r="D1124" s="275">
        <v>1</v>
      </c>
      <c r="E1124" s="315">
        <v>0</v>
      </c>
      <c r="F1124" s="316">
        <v>0</v>
      </c>
      <c r="G1124">
        <v>1123</v>
      </c>
      <c r="H1124" t="s">
        <v>579</v>
      </c>
    </row>
    <row r="1125" spans="1:8">
      <c r="B1125" s="313" t="s">
        <v>56</v>
      </c>
      <c r="C1125" t="s">
        <v>12</v>
      </c>
      <c r="D1125" s="275">
        <v>1</v>
      </c>
      <c r="E1125" s="315">
        <v>0</v>
      </c>
      <c r="F1125" s="316">
        <v>0</v>
      </c>
      <c r="G1125">
        <v>1124</v>
      </c>
      <c r="H1125" t="s">
        <v>579</v>
      </c>
    </row>
    <row r="1126" spans="1:8">
      <c r="B1126" s="313"/>
      <c r="D1126" s="275"/>
      <c r="E1126" s="315" t="s">
        <v>571</v>
      </c>
      <c r="F1126" s="316" t="s">
        <v>571</v>
      </c>
      <c r="G1126">
        <v>1125</v>
      </c>
      <c r="H1126" t="s">
        <v>579</v>
      </c>
    </row>
    <row r="1127" spans="1:8">
      <c r="B1127" s="313" t="s">
        <v>454</v>
      </c>
      <c r="C1127" s="313" t="s">
        <v>12</v>
      </c>
      <c r="D1127" s="275">
        <v>1</v>
      </c>
      <c r="E1127" s="315">
        <v>0</v>
      </c>
      <c r="F1127" s="316">
        <v>0</v>
      </c>
      <c r="G1127">
        <v>1126</v>
      </c>
      <c r="H1127" t="s">
        <v>579</v>
      </c>
    </row>
    <row r="1128" spans="1:8">
      <c r="B1128" s="313"/>
      <c r="C1128" s="313"/>
      <c r="D1128" s="275"/>
      <c r="E1128" s="315" t="s">
        <v>571</v>
      </c>
      <c r="F1128" s="316" t="s">
        <v>571</v>
      </c>
      <c r="G1128">
        <v>1127</v>
      </c>
      <c r="H1128" t="s">
        <v>579</v>
      </c>
    </row>
    <row r="1129" spans="1:8">
      <c r="B1129" s="313" t="s">
        <v>415</v>
      </c>
      <c r="C1129" s="313"/>
      <c r="D1129" s="275"/>
      <c r="E1129" s="315" t="s">
        <v>571</v>
      </c>
      <c r="F1129" s="316" t="s">
        <v>571</v>
      </c>
      <c r="G1129">
        <v>1128</v>
      </c>
      <c r="H1129" t="s">
        <v>579</v>
      </c>
    </row>
    <row r="1130" spans="1:8">
      <c r="B1130" s="313"/>
      <c r="C1130" s="313"/>
      <c r="D1130" s="275"/>
      <c r="E1130" s="315" t="s">
        <v>571</v>
      </c>
      <c r="F1130" s="316" t="s">
        <v>571</v>
      </c>
      <c r="G1130">
        <v>1129</v>
      </c>
      <c r="H1130" t="s">
        <v>579</v>
      </c>
    </row>
    <row r="1131" spans="1:8">
      <c r="A1131" t="s">
        <v>416</v>
      </c>
      <c r="B1131" s="313" t="s">
        <v>92</v>
      </c>
      <c r="C1131" s="313"/>
      <c r="D1131" s="275"/>
      <c r="E1131" s="315" t="s">
        <v>571</v>
      </c>
      <c r="F1131" s="316" t="s">
        <v>571</v>
      </c>
      <c r="G1131">
        <v>1130</v>
      </c>
      <c r="H1131" t="s">
        <v>579</v>
      </c>
    </row>
    <row r="1132" spans="1:8">
      <c r="B1132" s="313"/>
      <c r="C1132" s="313"/>
      <c r="D1132" s="275"/>
      <c r="E1132" s="315" t="s">
        <v>571</v>
      </c>
      <c r="F1132" s="316" t="s">
        <v>571</v>
      </c>
      <c r="G1132">
        <v>1131</v>
      </c>
      <c r="H1132" t="s">
        <v>579</v>
      </c>
    </row>
    <row r="1133" spans="1:8">
      <c r="B1133" s="313" t="s">
        <v>93</v>
      </c>
      <c r="C1133" s="313" t="s">
        <v>12</v>
      </c>
      <c r="D1133" s="275">
        <v>12</v>
      </c>
      <c r="E1133" s="315">
        <v>0</v>
      </c>
      <c r="F1133" s="316">
        <v>0</v>
      </c>
      <c r="G1133">
        <v>1132</v>
      </c>
      <c r="H1133" t="s">
        <v>579</v>
      </c>
    </row>
    <row r="1134" spans="1:8">
      <c r="B1134" s="313"/>
      <c r="C1134" s="313"/>
      <c r="D1134" s="275"/>
      <c r="E1134" s="315" t="s">
        <v>571</v>
      </c>
      <c r="F1134" s="316" t="s">
        <v>571</v>
      </c>
      <c r="G1134">
        <v>1133</v>
      </c>
      <c r="H1134" t="s">
        <v>579</v>
      </c>
    </row>
    <row r="1135" spans="1:8">
      <c r="B1135" s="313" t="s">
        <v>94</v>
      </c>
      <c r="C1135" s="313" t="s">
        <v>13</v>
      </c>
      <c r="D1135" s="275">
        <v>58</v>
      </c>
      <c r="E1135" s="315">
        <v>0</v>
      </c>
      <c r="F1135" s="316">
        <v>0</v>
      </c>
      <c r="G1135">
        <v>1134</v>
      </c>
      <c r="H1135" t="s">
        <v>579</v>
      </c>
    </row>
    <row r="1136" spans="1:8">
      <c r="B1136" s="313" t="s">
        <v>95</v>
      </c>
      <c r="C1136" s="313" t="s">
        <v>13</v>
      </c>
      <c r="D1136" s="275">
        <v>58</v>
      </c>
      <c r="E1136" s="315">
        <v>0</v>
      </c>
      <c r="F1136" s="316">
        <v>0</v>
      </c>
      <c r="G1136">
        <v>1135</v>
      </c>
      <c r="H1136" t="s">
        <v>579</v>
      </c>
    </row>
    <row r="1137" spans="1:8">
      <c r="B1137" s="313" t="s">
        <v>96</v>
      </c>
      <c r="C1137" s="313" t="s">
        <v>12</v>
      </c>
      <c r="D1137" s="275">
        <v>1</v>
      </c>
      <c r="E1137" s="315">
        <v>0</v>
      </c>
      <c r="F1137" s="316">
        <v>0</v>
      </c>
      <c r="G1137">
        <v>1136</v>
      </c>
      <c r="H1137" t="s">
        <v>579</v>
      </c>
    </row>
    <row r="1138" spans="1:8">
      <c r="B1138" s="313" t="s">
        <v>189</v>
      </c>
      <c r="C1138" s="313" t="s">
        <v>12</v>
      </c>
      <c r="D1138" s="275">
        <v>1</v>
      </c>
      <c r="E1138" s="315">
        <v>0</v>
      </c>
      <c r="F1138" s="316">
        <v>0</v>
      </c>
      <c r="G1138">
        <v>1137</v>
      </c>
      <c r="H1138" t="s">
        <v>579</v>
      </c>
    </row>
    <row r="1139" spans="1:8">
      <c r="B1139" s="313"/>
      <c r="C1139" s="313"/>
      <c r="D1139" s="275"/>
      <c r="E1139" s="315" t="s">
        <v>571</v>
      </c>
      <c r="F1139" s="316" t="s">
        <v>571</v>
      </c>
      <c r="G1139">
        <v>1138</v>
      </c>
      <c r="H1139" t="s">
        <v>579</v>
      </c>
    </row>
    <row r="1140" spans="1:8">
      <c r="B1140" s="313" t="s">
        <v>414</v>
      </c>
      <c r="C1140" s="313"/>
      <c r="D1140" s="275"/>
      <c r="E1140" s="315" t="s">
        <v>571</v>
      </c>
      <c r="F1140" s="316" t="s">
        <v>571</v>
      </c>
      <c r="G1140">
        <v>1139</v>
      </c>
      <c r="H1140" t="s">
        <v>579</v>
      </c>
    </row>
    <row r="1141" spans="1:8">
      <c r="B1141" s="313"/>
      <c r="C1141" s="313"/>
      <c r="D1141" s="275"/>
      <c r="E1141" s="315" t="s">
        <v>571</v>
      </c>
      <c r="F1141" s="316" t="s">
        <v>571</v>
      </c>
      <c r="G1141">
        <v>1140</v>
      </c>
      <c r="H1141" t="s">
        <v>579</v>
      </c>
    </row>
    <row r="1142" spans="1:8">
      <c r="A1142" t="s">
        <v>427</v>
      </c>
      <c r="B1142" s="313" t="s">
        <v>426</v>
      </c>
      <c r="C1142" s="313"/>
      <c r="D1142" s="275"/>
      <c r="E1142" s="315" t="s">
        <v>571</v>
      </c>
      <c r="F1142" s="316" t="s">
        <v>571</v>
      </c>
      <c r="G1142">
        <v>1141</v>
      </c>
      <c r="H1142" t="s">
        <v>579</v>
      </c>
    </row>
    <row r="1143" spans="1:8">
      <c r="B1143" s="313"/>
      <c r="C1143" s="313"/>
      <c r="D1143" s="275"/>
      <c r="E1143" s="315" t="s">
        <v>571</v>
      </c>
      <c r="F1143" s="316" t="s">
        <v>571</v>
      </c>
      <c r="G1143">
        <v>1142</v>
      </c>
      <c r="H1143" t="s">
        <v>579</v>
      </c>
    </row>
    <row r="1144" spans="1:8">
      <c r="B1144" s="313" t="s">
        <v>433</v>
      </c>
      <c r="C1144" s="313" t="s">
        <v>12</v>
      </c>
      <c r="D1144" s="275"/>
      <c r="E1144" s="315" t="s">
        <v>571</v>
      </c>
      <c r="F1144" s="316" t="s">
        <v>571</v>
      </c>
      <c r="G1144">
        <v>1143</v>
      </c>
      <c r="H1144" t="s">
        <v>579</v>
      </c>
    </row>
    <row r="1145" spans="1:8">
      <c r="B1145" s="313" t="s">
        <v>434</v>
      </c>
      <c r="C1145" s="313" t="s">
        <v>13</v>
      </c>
      <c r="D1145" s="275"/>
      <c r="E1145" s="315" t="s">
        <v>571</v>
      </c>
      <c r="F1145" s="316" t="s">
        <v>571</v>
      </c>
      <c r="G1145">
        <v>1144</v>
      </c>
      <c r="H1145" t="s">
        <v>579</v>
      </c>
    </row>
    <row r="1146" spans="1:8">
      <c r="B1146" s="313" t="s">
        <v>435</v>
      </c>
      <c r="C1146" s="313" t="s">
        <v>13</v>
      </c>
      <c r="D1146" s="275"/>
      <c r="E1146" s="315" t="s">
        <v>571</v>
      </c>
      <c r="F1146" s="316" t="s">
        <v>571</v>
      </c>
      <c r="G1146">
        <v>1145</v>
      </c>
      <c r="H1146" t="s">
        <v>579</v>
      </c>
    </row>
    <row r="1147" spans="1:8">
      <c r="B1147" s="313" t="s">
        <v>441</v>
      </c>
      <c r="C1147" s="313" t="s">
        <v>13</v>
      </c>
      <c r="D1147" s="275"/>
      <c r="E1147" s="315" t="s">
        <v>571</v>
      </c>
      <c r="F1147" s="316" t="s">
        <v>571</v>
      </c>
      <c r="G1147">
        <v>1146</v>
      </c>
      <c r="H1147" t="s">
        <v>579</v>
      </c>
    </row>
    <row r="1148" spans="1:8">
      <c r="B1148" s="313" t="s">
        <v>436</v>
      </c>
      <c r="C1148" s="313" t="s">
        <v>12</v>
      </c>
      <c r="D1148" s="275"/>
      <c r="E1148" s="315" t="s">
        <v>571</v>
      </c>
      <c r="F1148" s="316" t="s">
        <v>571</v>
      </c>
      <c r="G1148">
        <v>1147</v>
      </c>
      <c r="H1148" t="s">
        <v>579</v>
      </c>
    </row>
    <row r="1149" spans="1:8">
      <c r="B1149" s="313" t="s">
        <v>437</v>
      </c>
      <c r="C1149" s="313" t="s">
        <v>12</v>
      </c>
      <c r="D1149" s="275"/>
      <c r="E1149" s="315" t="s">
        <v>571</v>
      </c>
      <c r="F1149" s="316" t="s">
        <v>571</v>
      </c>
      <c r="G1149">
        <v>1148</v>
      </c>
      <c r="H1149" t="s">
        <v>579</v>
      </c>
    </row>
    <row r="1150" spans="1:8">
      <c r="B1150" s="313" t="s">
        <v>438</v>
      </c>
      <c r="C1150" s="313" t="s">
        <v>12</v>
      </c>
      <c r="D1150" s="275"/>
      <c r="E1150" s="315" t="s">
        <v>571</v>
      </c>
      <c r="F1150" s="316" t="s">
        <v>571</v>
      </c>
      <c r="G1150">
        <v>1149</v>
      </c>
      <c r="H1150" t="s">
        <v>579</v>
      </c>
    </row>
    <row r="1151" spans="1:8">
      <c r="B1151" s="313" t="s">
        <v>439</v>
      </c>
      <c r="C1151" s="313" t="s">
        <v>12</v>
      </c>
      <c r="D1151" s="275"/>
      <c r="E1151" s="315" t="s">
        <v>571</v>
      </c>
      <c r="F1151" s="316" t="s">
        <v>571</v>
      </c>
      <c r="G1151">
        <v>1150</v>
      </c>
      <c r="H1151" t="s">
        <v>579</v>
      </c>
    </row>
    <row r="1152" spans="1:8">
      <c r="B1152" s="313" t="s">
        <v>440</v>
      </c>
      <c r="C1152" s="313" t="s">
        <v>12</v>
      </c>
      <c r="D1152" s="275"/>
      <c r="E1152" s="315" t="s">
        <v>571</v>
      </c>
      <c r="F1152" s="316" t="s">
        <v>571</v>
      </c>
      <c r="G1152">
        <v>1151</v>
      </c>
      <c r="H1152" t="s">
        <v>579</v>
      </c>
    </row>
    <row r="1153" spans="2:8">
      <c r="B1153" s="313"/>
      <c r="C1153" s="313"/>
      <c r="D1153" s="275"/>
      <c r="E1153" s="315" t="s">
        <v>571</v>
      </c>
      <c r="F1153" s="316" t="s">
        <v>571</v>
      </c>
      <c r="G1153">
        <v>1152</v>
      </c>
      <c r="H1153" t="s">
        <v>579</v>
      </c>
    </row>
    <row r="1154" spans="2:8">
      <c r="B1154" s="313" t="s">
        <v>428</v>
      </c>
      <c r="C1154" s="313"/>
      <c r="D1154" s="275"/>
      <c r="E1154" s="313"/>
      <c r="F1154" s="313"/>
      <c r="G1154">
        <v>1153</v>
      </c>
      <c r="H1154" t="s">
        <v>579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58"/>
  <sheetViews>
    <sheetView showGridLines="0" tabSelected="1" workbookViewId="0">
      <pane ySplit="5" topLeftCell="A52" activePane="bottomLeft" state="frozen"/>
      <selection pane="bottomLeft" activeCell="D58" sqref="D58"/>
    </sheetView>
  </sheetViews>
  <sheetFormatPr baseColWidth="10" defaultRowHeight="12.5" outlineLevelCol="1"/>
  <cols>
    <col min="3" max="3" width="52.453125" style="425" hidden="1" customWidth="1"/>
    <col min="4" max="4" width="52.453125" customWidth="1"/>
    <col min="5" max="5" width="11" customWidth="1"/>
    <col min="6" max="7" width="9.36328125" bestFit="1" customWidth="1"/>
    <col min="8" max="8" width="10.453125" bestFit="1" customWidth="1"/>
    <col min="10" max="13" width="10.90625" customWidth="1" outlineLevel="1"/>
  </cols>
  <sheetData>
    <row r="1" spans="1:17" ht="22" customHeight="1">
      <c r="A1" s="355" t="s">
        <v>569</v>
      </c>
      <c r="B1" s="355" t="s">
        <v>104</v>
      </c>
      <c r="C1" s="399" t="s">
        <v>105</v>
      </c>
      <c r="E1" s="355" t="s">
        <v>0</v>
      </c>
      <c r="F1" s="355" t="s">
        <v>153</v>
      </c>
      <c r="G1" s="355" t="s">
        <v>128</v>
      </c>
      <c r="H1" s="355" t="s">
        <v>129</v>
      </c>
      <c r="I1" s="355" t="s">
        <v>582</v>
      </c>
      <c r="J1" s="355" t="s">
        <v>583</v>
      </c>
      <c r="K1" s="355" t="s">
        <v>581</v>
      </c>
      <c r="L1" s="355" t="s">
        <v>584</v>
      </c>
    </row>
    <row r="2" spans="1:17">
      <c r="A2" s="356"/>
      <c r="B2" s="356"/>
      <c r="C2" s="400"/>
      <c r="E2" s="356"/>
      <c r="F2" s="356"/>
      <c r="G2" s="356"/>
      <c r="H2" s="356"/>
      <c r="I2" s="356"/>
      <c r="J2" s="356" t="b">
        <v>1</v>
      </c>
      <c r="K2" s="356"/>
      <c r="L2" s="356"/>
    </row>
    <row r="3" spans="1:17">
      <c r="A3" s="356"/>
      <c r="B3" s="356"/>
      <c r="C3" s="400"/>
      <c r="E3" s="356"/>
      <c r="F3" s="356"/>
      <c r="G3" s="356"/>
      <c r="H3" s="356"/>
      <c r="I3" s="356"/>
      <c r="J3" s="356"/>
      <c r="K3" s="356" t="b">
        <v>1</v>
      </c>
      <c r="L3" s="356"/>
    </row>
    <row r="5" spans="1:17" ht="22" customHeight="1">
      <c r="A5" s="28" t="s">
        <v>569</v>
      </c>
      <c r="B5" s="28" t="s">
        <v>104</v>
      </c>
      <c r="C5" s="401" t="s">
        <v>105</v>
      </c>
      <c r="D5" t="s">
        <v>588</v>
      </c>
      <c r="E5" s="28" t="s">
        <v>0</v>
      </c>
      <c r="F5" s="28" t="s">
        <v>153</v>
      </c>
      <c r="G5" s="28" t="s">
        <v>128</v>
      </c>
      <c r="H5" s="28" t="s">
        <v>129</v>
      </c>
      <c r="I5" s="28" t="s">
        <v>582</v>
      </c>
      <c r="J5" s="28" t="s">
        <v>583</v>
      </c>
      <c r="K5" s="28" t="s">
        <v>581</v>
      </c>
      <c r="L5" s="28" t="s">
        <v>584</v>
      </c>
      <c r="M5" s="28" t="s">
        <v>478</v>
      </c>
      <c r="N5" s="28" t="s">
        <v>479</v>
      </c>
      <c r="O5" s="28" t="s">
        <v>480</v>
      </c>
      <c r="P5" s="28" t="s">
        <v>481</v>
      </c>
      <c r="Q5" s="450" t="s">
        <v>589</v>
      </c>
    </row>
    <row r="6" spans="1:17" ht="13">
      <c r="A6" s="303">
        <v>1</v>
      </c>
      <c r="B6" s="179"/>
      <c r="C6" s="411" t="s">
        <v>2</v>
      </c>
      <c r="D6" t="str">
        <f xml:space="preserve"> TRIM( SUBSTITUTE(SUBSTITUTE(SUBSTITUTE( Compil[[#This Row],[DESIGNATION]],"-",""),"–",""),"*",""))</f>
        <v>SOLUTION DE BASE</v>
      </c>
      <c r="E6" s="181"/>
      <c r="F6" s="252"/>
      <c r="G6" s="58"/>
      <c r="H6" s="182"/>
      <c r="I6" t="s">
        <v>580</v>
      </c>
      <c r="J6" t="b">
        <f>AND(NOT(Compil[[#This Row],[Est ouvrage]]), NOT(ISBLANK(Compil[[#This Row],[ART.
CCTP]])))</f>
        <v>0</v>
      </c>
      <c r="K6" t="b">
        <f>OR(Compil[[#This Row],[Unité]]="U",Compil[[#This Row],[Unité]]="ens",Compil[[#This Row],[Unité]]="ml")</f>
        <v>0</v>
      </c>
      <c r="L6" t="b">
        <f>ISBLANK(Compil[[#This Row],[DESIGNATION]])</f>
        <v>0</v>
      </c>
      <c r="M6" s="359" t="s">
        <v>585</v>
      </c>
      <c r="N6" s="358"/>
      <c r="O6" s="358"/>
      <c r="P6" s="358" t="s">
        <v>586</v>
      </c>
      <c r="Q6" s="358">
        <f>COUNTIF(Compil[[Ma Désignation ]],Compil[[Ma Désignation ]])</f>
        <v>4</v>
      </c>
    </row>
    <row r="7" spans="1:17" ht="13">
      <c r="A7" s="303">
        <v>2</v>
      </c>
      <c r="B7" s="183"/>
      <c r="C7" s="411"/>
      <c r="D7" t="str">
        <f xml:space="preserve"> TRIM( SUBSTITUTE(SUBSTITUTE(SUBSTITUTE( Compil[[#This Row],[DESIGNATION]],"-",""),"–",""),"*",""))</f>
        <v/>
      </c>
      <c r="E7" s="184"/>
      <c r="F7" s="252"/>
      <c r="G7" s="58"/>
      <c r="H7" s="182"/>
      <c r="I7" t="s">
        <v>580</v>
      </c>
      <c r="J7" t="b">
        <f>AND(NOT(Compil[[#This Row],[Est ouvrage]]), NOT(ISBLANK(Compil[[#This Row],[ART.
CCTP]])))</f>
        <v>0</v>
      </c>
      <c r="K7" t="b">
        <f>OR(Compil[[#This Row],[Unité]]="U",Compil[[#This Row],[Unité]]="ens",Compil[[#This Row],[Unité]]="ml")</f>
        <v>0</v>
      </c>
      <c r="L7" t="b">
        <f>ISBLANK(Compil[[#This Row],[DESIGNATION]])</f>
        <v>1</v>
      </c>
      <c r="M7" s="358"/>
      <c r="N7" s="358"/>
      <c r="O7" s="358"/>
      <c r="P7" s="358"/>
      <c r="Q7" s="358">
        <f>COUNTIF(Compil[[Ma Désignation ]],Compil[[Ma Désignation ]])</f>
        <v>306</v>
      </c>
    </row>
    <row r="8" spans="1:17" ht="14">
      <c r="A8" s="303">
        <v>3</v>
      </c>
      <c r="B8" s="183"/>
      <c r="C8" s="441" t="s">
        <v>343</v>
      </c>
      <c r="D8" t="str">
        <f xml:space="preserve"> TRIM( SUBSTITUTE(SUBSTITUTE(SUBSTITUTE( Compil[[#This Row],[DESIGNATION]],"-",""),"–",""),"*",""))</f>
        <v>BÂTIMENT G1/G2/PARKINGS</v>
      </c>
      <c r="E8" s="184"/>
      <c r="F8" s="252"/>
      <c r="G8" s="58"/>
      <c r="H8" s="182"/>
      <c r="I8" t="s">
        <v>580</v>
      </c>
      <c r="J8" t="b">
        <f>AND(NOT(Compil[[#This Row],[Est ouvrage]]), NOT(ISBLANK(Compil[[#This Row],[ART.
CCTP]])))</f>
        <v>0</v>
      </c>
      <c r="K8" t="b">
        <f>OR(Compil[[#This Row],[Unité]]="U",Compil[[#This Row],[Unité]]="ens",Compil[[#This Row],[Unité]]="ml")</f>
        <v>0</v>
      </c>
      <c r="L8" t="b">
        <f>ISBLANK(Compil[[#This Row],[DESIGNATION]])</f>
        <v>0</v>
      </c>
      <c r="M8" s="359"/>
      <c r="N8" s="358"/>
      <c r="O8" s="358"/>
      <c r="P8" s="358"/>
      <c r="Q8" s="358">
        <f>COUNTIF(Compil[[Ma Désignation ]],Compil[[Ma Désignation ]])</f>
        <v>2</v>
      </c>
    </row>
    <row r="9" spans="1:17" ht="13">
      <c r="A9" s="303">
        <v>4</v>
      </c>
      <c r="B9" s="2"/>
      <c r="C9" s="186"/>
      <c r="D9" t="str">
        <f xml:space="preserve"> TRIM( SUBSTITUTE(SUBSTITUTE(SUBSTITUTE( Compil[[#This Row],[DESIGNATION]],"-",""),"–",""),"*",""))</f>
        <v/>
      </c>
      <c r="E9" s="187"/>
      <c r="F9" s="253"/>
      <c r="G9" s="13"/>
      <c r="H9" s="182"/>
      <c r="I9" t="s">
        <v>580</v>
      </c>
      <c r="J9" t="b">
        <f>AND(NOT(Compil[[#This Row],[Est ouvrage]]), NOT(ISBLANK(Compil[[#This Row],[ART.
CCTP]])))</f>
        <v>0</v>
      </c>
      <c r="K9" t="b">
        <f>OR(Compil[[#This Row],[Unité]]="U",Compil[[#This Row],[Unité]]="ens",Compil[[#This Row],[Unité]]="ml")</f>
        <v>0</v>
      </c>
      <c r="L9" t="b">
        <f>ISBLANK(Compil[[#This Row],[DESIGNATION]])</f>
        <v>1</v>
      </c>
      <c r="M9" s="358"/>
      <c r="N9" s="358"/>
      <c r="O9" s="358"/>
      <c r="P9" s="358"/>
      <c r="Q9" s="358">
        <f>COUNTIF(Compil[[Ma Désignation ]],Compil[[Ma Désignation ]])</f>
        <v>306</v>
      </c>
    </row>
    <row r="10" spans="1:17" ht="13">
      <c r="A10" s="303">
        <v>5</v>
      </c>
      <c r="B10" s="2">
        <v>2</v>
      </c>
      <c r="C10" s="188" t="s">
        <v>61</v>
      </c>
      <c r="D10" t="str">
        <f xml:space="preserve"> TRIM( SUBSTITUTE(SUBSTITUTE(SUBSTITUTE( Compil[[#This Row],[DESIGNATION]],"-",""),"–",""),"*",""))</f>
        <v>EQUIPEMENTS DES COMMUNS</v>
      </c>
      <c r="E10" s="189"/>
      <c r="F10" s="253"/>
      <c r="G10" s="13"/>
      <c r="H10" s="182"/>
      <c r="I10" t="s">
        <v>580</v>
      </c>
      <c r="J10" t="b">
        <f>AND(NOT(Compil[[#This Row],[Est ouvrage]]), NOT(ISBLANK(Compil[[#This Row],[ART.
CCTP]])))</f>
        <v>1</v>
      </c>
      <c r="K10" t="b">
        <f>OR(Compil[[#This Row],[Unité]]="U",Compil[[#This Row],[Unité]]="ens",Compil[[#This Row],[Unité]]="ml")</f>
        <v>0</v>
      </c>
      <c r="L10" t="b">
        <f>ISBLANK(Compil[[#This Row],[DESIGNATION]])</f>
        <v>0</v>
      </c>
      <c r="M10" s="359"/>
      <c r="N10" s="358"/>
      <c r="O10" s="358"/>
      <c r="P10" s="358"/>
      <c r="Q10" s="358">
        <f>COUNTIF(Compil[[Ma Désignation ]],Compil[[Ma Désignation ]])</f>
        <v>2</v>
      </c>
    </row>
    <row r="11" spans="1:17" ht="13">
      <c r="A11" s="303">
        <v>6</v>
      </c>
      <c r="B11" s="2"/>
      <c r="C11" s="188"/>
      <c r="D11" t="str">
        <f xml:space="preserve"> TRIM( SUBSTITUTE(SUBSTITUTE(SUBSTITUTE( Compil[[#This Row],[DESIGNATION]],"-",""),"–",""),"*",""))</f>
        <v/>
      </c>
      <c r="E11" s="189"/>
      <c r="F11" s="253"/>
      <c r="G11" s="13"/>
      <c r="H11" s="182"/>
      <c r="I11" t="s">
        <v>580</v>
      </c>
      <c r="J11" t="b">
        <f>AND(NOT(Compil[[#This Row],[Est ouvrage]]), NOT(ISBLANK(Compil[[#This Row],[ART.
CCTP]])))</f>
        <v>0</v>
      </c>
      <c r="K11" t="b">
        <f>OR(Compil[[#This Row],[Unité]]="U",Compil[[#This Row],[Unité]]="ens",Compil[[#This Row],[Unité]]="ml")</f>
        <v>0</v>
      </c>
      <c r="L11" t="b">
        <f>ISBLANK(Compil[[#This Row],[DESIGNATION]])</f>
        <v>1</v>
      </c>
      <c r="M11" s="358"/>
      <c r="N11" s="358"/>
      <c r="O11" s="358"/>
      <c r="P11" s="358"/>
      <c r="Q11" s="358">
        <f>COUNTIF(Compil[[Ma Désignation ]],Compil[[Ma Désignation ]])</f>
        <v>306</v>
      </c>
    </row>
    <row r="12" spans="1:17" ht="26">
      <c r="A12" s="303">
        <v>7</v>
      </c>
      <c r="B12" s="2"/>
      <c r="C12" s="191" t="s">
        <v>154</v>
      </c>
      <c r="D12" t="str">
        <f xml:space="preserve"> TRIM( SUBSTITUTE(SUBSTITUTE(SUBSTITUTE( Compil[[#This Row],[DESIGNATION]],"-",""),"–",""),"*",""))</f>
        <v>NOTA : Unités, quantités, prix unitaires, prix totaux, etc... : à compléter par l'Entreprise</v>
      </c>
      <c r="E12" s="189"/>
      <c r="F12" s="253"/>
      <c r="G12" s="13"/>
      <c r="H12" s="182"/>
      <c r="I12" t="s">
        <v>580</v>
      </c>
      <c r="J12" t="b">
        <f>AND(NOT(Compil[[#This Row],[Est ouvrage]]), NOT(ISBLANK(Compil[[#This Row],[ART.
CCTP]])))</f>
        <v>0</v>
      </c>
      <c r="K12" t="b">
        <f>OR(Compil[[#This Row],[Unité]]="U",Compil[[#This Row],[Unité]]="ens",Compil[[#This Row],[Unité]]="ml")</f>
        <v>0</v>
      </c>
      <c r="L12" t="b">
        <f>ISBLANK(Compil[[#This Row],[DESIGNATION]])</f>
        <v>0</v>
      </c>
      <c r="M12" s="359"/>
      <c r="N12" s="358"/>
      <c r="O12" s="358"/>
      <c r="P12" s="358"/>
      <c r="Q12" s="358">
        <f>COUNTIF(Compil[[Ma Désignation ]],Compil[[Ma Désignation ]])</f>
        <v>2</v>
      </c>
    </row>
    <row r="13" spans="1:17" ht="13">
      <c r="A13" s="303">
        <v>8</v>
      </c>
      <c r="B13" s="2"/>
      <c r="C13" s="224"/>
      <c r="D13" t="str">
        <f xml:space="preserve"> TRIM( SUBSTITUTE(SUBSTITUTE(SUBSTITUTE( Compil[[#This Row],[DESIGNATION]],"-",""),"–",""),"*",""))</f>
        <v/>
      </c>
      <c r="E13" s="189"/>
      <c r="F13" s="253"/>
      <c r="G13" s="13"/>
      <c r="H13" s="182"/>
      <c r="I13" t="s">
        <v>580</v>
      </c>
      <c r="J13" t="b">
        <f>AND(NOT(Compil[[#This Row],[Est ouvrage]]), NOT(ISBLANK(Compil[[#This Row],[ART.
CCTP]])))</f>
        <v>0</v>
      </c>
      <c r="K13" t="b">
        <f>OR(Compil[[#This Row],[Unité]]="U",Compil[[#This Row],[Unité]]="ens",Compil[[#This Row],[Unité]]="ml")</f>
        <v>0</v>
      </c>
      <c r="L13" t="b">
        <f>ISBLANK(Compil[[#This Row],[DESIGNATION]])</f>
        <v>1</v>
      </c>
      <c r="M13" s="358"/>
      <c r="N13" s="358"/>
      <c r="O13" s="358"/>
      <c r="P13" s="358"/>
      <c r="Q13" s="358">
        <f>COUNTIF(Compil[[Ma Désignation ]],Compil[[Ma Désignation ]])</f>
        <v>306</v>
      </c>
    </row>
    <row r="14" spans="1:17" ht="14">
      <c r="A14" s="303">
        <v>9</v>
      </c>
      <c r="B14" s="2" t="s">
        <v>3</v>
      </c>
      <c r="C14" s="192" t="s">
        <v>122</v>
      </c>
      <c r="D14" t="str">
        <f xml:space="preserve"> TRIM( SUBSTITUTE(SUBSTITUTE(SUBSTITUTE( Compil[[#This Row],[DESIGNATION]],"-",""),"–",""),"*",""))</f>
        <v>Alimentation électrique depuis le réseau EDF</v>
      </c>
      <c r="E14" s="189"/>
      <c r="F14" s="252"/>
      <c r="G14" s="289" t="str">
        <f>IF(F14="","",(((L14*$M$6)+(M14*#REF!*#REF!))*$M$7)/F14)</f>
        <v/>
      </c>
      <c r="H14" s="164" t="str">
        <f>IF(F14="","",F14*G14)</f>
        <v/>
      </c>
      <c r="I14" t="s">
        <v>580</v>
      </c>
      <c r="J14" t="b">
        <f>AND(NOT(Compil[[#This Row],[Est ouvrage]]), NOT(ISBLANK(Compil[[#This Row],[ART.
CCTP]])))</f>
        <v>1</v>
      </c>
      <c r="K14" t="b">
        <f>OR(Compil[[#This Row],[Unité]]="U",Compil[[#This Row],[Unité]]="ens",Compil[[#This Row],[Unité]]="ml")</f>
        <v>0</v>
      </c>
      <c r="L14" t="b">
        <f>ISBLANK(Compil[[#This Row],[DESIGNATION]])</f>
        <v>0</v>
      </c>
      <c r="M14" s="359"/>
      <c r="N14" s="358"/>
      <c r="O14" s="358"/>
      <c r="P14" s="358"/>
      <c r="Q14" s="358">
        <f>COUNTIF(Compil[[Ma Désignation ]],Compil[[Ma Désignation ]])</f>
        <v>2</v>
      </c>
    </row>
    <row r="15" spans="1:17" ht="14">
      <c r="A15" s="303">
        <v>10</v>
      </c>
      <c r="B15" s="2"/>
      <c r="C15" s="220"/>
      <c r="D15" t="str">
        <f xml:space="preserve"> TRIM( SUBSTITUTE(SUBSTITUTE(SUBSTITUTE( Compil[[#This Row],[DESIGNATION]],"-",""),"–",""),"*",""))</f>
        <v/>
      </c>
      <c r="E15" s="189"/>
      <c r="F15" s="252"/>
      <c r="G15" s="289" t="str">
        <f>IF(F15="","",(((L15*$M$6)+(M15*#REF!*#REF!))*$M$7)/F15)</f>
        <v/>
      </c>
      <c r="H15" s="164" t="str">
        <f>IF(F15="","",F15*G15)</f>
        <v/>
      </c>
      <c r="I15" t="s">
        <v>580</v>
      </c>
      <c r="J15" t="b">
        <f>AND(NOT(Compil[[#This Row],[Est ouvrage]]), NOT(ISBLANK(Compil[[#This Row],[ART.
CCTP]])))</f>
        <v>0</v>
      </c>
      <c r="K15" t="b">
        <f>OR(Compil[[#This Row],[Unité]]="U",Compil[[#This Row],[Unité]]="ens",Compil[[#This Row],[Unité]]="ml")</f>
        <v>0</v>
      </c>
      <c r="L15" t="b">
        <f>ISBLANK(Compil[[#This Row],[DESIGNATION]])</f>
        <v>1</v>
      </c>
      <c r="M15" s="358"/>
      <c r="N15" s="358"/>
      <c r="O15" s="358"/>
      <c r="P15" s="358"/>
      <c r="Q15" s="358">
        <f>COUNTIF(Compil[[Ma Désignation ]],Compil[[Ma Désignation ]])</f>
        <v>306</v>
      </c>
    </row>
    <row r="16" spans="1:17" ht="37.5">
      <c r="A16" s="303">
        <v>240</v>
      </c>
      <c r="B16" s="2"/>
      <c r="C16" s="206" t="s">
        <v>188</v>
      </c>
      <c r="D16" t="str">
        <f xml:space="preserve"> TRIM( SUBSTITUTE(SUBSTITUTE(SUBSTITUTE( Compil[[#This Row],[DESIGNATION]],"-",""),"–",""),"*",""))</f>
        <v>1 fourreaux ICTA diam. 25mm aiguillé et repéré entre le tableau ce communication de chaque logement et le coin TV su séjour y compris plaque d'obturation en attente.</v>
      </c>
      <c r="E16" s="189" t="s">
        <v>12</v>
      </c>
      <c r="F16" s="252">
        <v>1</v>
      </c>
      <c r="G16" s="289" t="e">
        <f>IF(F16="","",(((L16*$M$6)+(M16*#REF!*#REF!))*$M$7)/F16)</f>
        <v>#VALUE!</v>
      </c>
      <c r="H16" s="164" t="e">
        <f>IF(F16="","",F16*G16)</f>
        <v>#VALUE!</v>
      </c>
      <c r="I16" t="s">
        <v>580</v>
      </c>
      <c r="J16" t="b">
        <f>AND(NOT(Compil[[#This Row],[Est ouvrage]]), NOT(ISBLANK(Compil[[#This Row],[ART.
CCTP]])))</f>
        <v>0</v>
      </c>
      <c r="K16" t="b">
        <f>OR(Compil[[#This Row],[Unité]]="U",Compil[[#This Row],[Unité]]="ens",Compil[[#This Row],[Unité]]="ml")</f>
        <v>1</v>
      </c>
      <c r="L16" t="b">
        <f>ISBLANK(Compil[[#This Row],[DESIGNATION]])</f>
        <v>0</v>
      </c>
      <c r="M16" s="359"/>
      <c r="N16" s="358"/>
      <c r="O16" s="358"/>
      <c r="P16" s="358"/>
      <c r="Q16" s="358">
        <f>COUNTIF(Compil[[Ma Désignation ]],Compil[[Ma Désignation ]])</f>
        <v>2</v>
      </c>
    </row>
    <row r="17" spans="1:17" ht="25">
      <c r="A17" s="303">
        <v>12</v>
      </c>
      <c r="B17" s="195"/>
      <c r="C17" s="200" t="s">
        <v>137</v>
      </c>
      <c r="D17" s="357" t="str">
        <f xml:space="preserve"> TRIM( SUBSTITUTE(SUBSTITUTE(SUBSTITUTE( Compil[[#This Row],[DESIGNATION]],"-",""),"–",""),"*",""))</f>
        <v>Pose des coffrets de coupure sur socle avec embase de téléreport à la charge du lot G.O.</v>
      </c>
      <c r="E17" s="197" t="s">
        <v>33</v>
      </c>
      <c r="F17" s="252"/>
      <c r="G17" s="289" t="str">
        <f>IF(F17="","",(((L17*$M$6)+(M17*#REF!*#REF!))*$M$7)/F17)</f>
        <v/>
      </c>
      <c r="H17" s="164" t="str">
        <f>IF(F17="","",F17*G17)</f>
        <v/>
      </c>
      <c r="I17" t="s">
        <v>580</v>
      </c>
      <c r="J17" t="b">
        <f>AND(NOT(Compil[[#This Row],[Est ouvrage]]), NOT(ISBLANK(Compil[[#This Row],[ART.
CCTP]])))</f>
        <v>0</v>
      </c>
      <c r="K17" t="b">
        <f>OR(Compil[[#This Row],[Unité]]="U",Compil[[#This Row],[Unité]]="ens",Compil[[#This Row],[Unité]]="ml")</f>
        <v>0</v>
      </c>
      <c r="L17" t="b">
        <f>ISBLANK(Compil[[#This Row],[DESIGNATION]])</f>
        <v>0</v>
      </c>
      <c r="M17" s="359"/>
      <c r="N17" s="358"/>
      <c r="O17" s="358"/>
      <c r="P17" s="358"/>
      <c r="Q17" s="358">
        <f>COUNTIF(Compil[[Ma Désignation ]],Compil[[Ma Désignation ]])</f>
        <v>1</v>
      </c>
    </row>
    <row r="18" spans="1:17" ht="37.5">
      <c r="A18" s="312">
        <v>875</v>
      </c>
      <c r="B18" s="19"/>
      <c r="C18" s="88" t="s">
        <v>188</v>
      </c>
      <c r="D18" t="str">
        <f xml:space="preserve"> TRIM( SUBSTITUTE(SUBSTITUTE(SUBSTITUTE( Compil[[#This Row],[DESIGNATION]],"-",""),"–",""),"*",""))</f>
        <v>1 fourreaux ICTA diam. 25mm aiguillé et repéré entre le tableau ce communication de chaque logement et le coin TV su séjour y compris plaque d'obturation en attente.</v>
      </c>
      <c r="E18" s="57" t="s">
        <v>12</v>
      </c>
      <c r="F18" s="262">
        <v>1</v>
      </c>
      <c r="G18" s="289">
        <v>0</v>
      </c>
      <c r="H18" s="164">
        <v>0</v>
      </c>
      <c r="I18" t="s">
        <v>578</v>
      </c>
      <c r="J18" t="b">
        <f>AND(NOT(Compil[[#This Row],[Est ouvrage]]), NOT(ISBLANK(Compil[[#This Row],[ART.
CCTP]])))</f>
        <v>0</v>
      </c>
      <c r="K18" t="b">
        <f>OR(Compil[[#This Row],[Unité]]="U",Compil[[#This Row],[Unité]]="ens",Compil[[#This Row],[Unité]]="ml")</f>
        <v>1</v>
      </c>
      <c r="L18" t="b">
        <f>ISBLANK(Compil[[#This Row],[DESIGNATION]])</f>
        <v>0</v>
      </c>
      <c r="M18" s="359"/>
      <c r="N18" s="358"/>
      <c r="O18" s="358"/>
      <c r="P18" s="358"/>
      <c r="Q18" s="358">
        <f>COUNTIF(Compil[[Ma Désignation ]],Compil[[Ma Désignation ]])</f>
        <v>2</v>
      </c>
    </row>
    <row r="19" spans="1:17" ht="14">
      <c r="A19" s="303">
        <v>14</v>
      </c>
      <c r="B19" s="2"/>
      <c r="C19" s="188"/>
      <c r="D19" t="str">
        <f xml:space="preserve"> TRIM( SUBSTITUTE(SUBSTITUTE(SUBSTITUTE( Compil[[#This Row],[DESIGNATION]],"-",""),"–",""),"*",""))</f>
        <v/>
      </c>
      <c r="E19" s="189"/>
      <c r="F19" s="252"/>
      <c r="G19" s="289" t="str">
        <f>IF(F19="","",(((L19*$M$6)+(M19*#REF!*#REF!))*$M$7)/F19)</f>
        <v/>
      </c>
      <c r="H19" s="164" t="str">
        <f>IF(F19="","",F19*G19)</f>
        <v/>
      </c>
      <c r="I19" t="s">
        <v>580</v>
      </c>
      <c r="J19" t="b">
        <f>AND(NOT(Compil[[#This Row],[Est ouvrage]]), NOT(ISBLANK(Compil[[#This Row],[ART.
CCTP]])))</f>
        <v>0</v>
      </c>
      <c r="K19" t="b">
        <f>OR(Compil[[#This Row],[Unité]]="U",Compil[[#This Row],[Unité]]="ens",Compil[[#This Row],[Unité]]="ml")</f>
        <v>0</v>
      </c>
      <c r="L19" t="b">
        <f>ISBLANK(Compil[[#This Row],[DESIGNATION]])</f>
        <v>1</v>
      </c>
      <c r="M19" s="358"/>
      <c r="N19" s="358"/>
      <c r="O19" s="358"/>
      <c r="P19" s="358"/>
      <c r="Q19" s="358">
        <f>COUNTIF(Compil[[Ma Désignation ]],Compil[[Ma Désignation ]])</f>
        <v>306</v>
      </c>
    </row>
    <row r="20" spans="1:17" ht="25">
      <c r="A20" s="312">
        <v>874</v>
      </c>
      <c r="B20" s="19"/>
      <c r="C20" s="88" t="s">
        <v>187</v>
      </c>
      <c r="D20" t="str">
        <f xml:space="preserve"> TRIM( SUBSTITUTE(SUBSTITUTE(SUBSTITUTE( Compil[[#This Row],[DESIGNATION]],"-",""),"–",""),"*",""))</f>
        <v>2 fourreaux ICTA DN25 aiguillé entre le bureau et les gaines palières</v>
      </c>
      <c r="E20" s="57" t="s">
        <v>12</v>
      </c>
      <c r="F20" s="262">
        <v>1</v>
      </c>
      <c r="G20" s="289">
        <v>0</v>
      </c>
      <c r="H20" s="164">
        <v>0</v>
      </c>
      <c r="I20" t="s">
        <v>578</v>
      </c>
      <c r="J20" t="b">
        <f>AND(NOT(Compil[[#This Row],[Est ouvrage]]), NOT(ISBLANK(Compil[[#This Row],[ART.
CCTP]])))</f>
        <v>0</v>
      </c>
      <c r="K20" t="b">
        <f>OR(Compil[[#This Row],[Unité]]="U",Compil[[#This Row],[Unité]]="ens",Compil[[#This Row],[Unité]]="ml")</f>
        <v>1</v>
      </c>
      <c r="L20" t="b">
        <f>ISBLANK(Compil[[#This Row],[DESIGNATION]])</f>
        <v>0</v>
      </c>
      <c r="M20" s="359"/>
      <c r="N20" s="358"/>
      <c r="O20" s="358"/>
      <c r="P20" s="358"/>
      <c r="Q20" s="358">
        <f>COUNTIF(Compil[[Ma Désignation ]],Compil[[Ma Désignation ]])</f>
        <v>1</v>
      </c>
    </row>
    <row r="21" spans="1:17" ht="14">
      <c r="A21" s="303">
        <v>16</v>
      </c>
      <c r="B21" s="2"/>
      <c r="C21" s="200"/>
      <c r="D21" s="357" t="str">
        <f xml:space="preserve"> TRIM( SUBSTITUTE(SUBSTITUTE(SUBSTITUTE( Compil[[#This Row],[DESIGNATION]],"-",""),"–",""),"*",""))</f>
        <v/>
      </c>
      <c r="E21" s="197"/>
      <c r="F21" s="252"/>
      <c r="G21" s="289" t="str">
        <f>IF(F21="","",(((L21*$M$6)+(M21*#REF!*#REF!))*$M$7)/F21)</f>
        <v/>
      </c>
      <c r="H21" s="164" t="str">
        <f>IF(F21="","",F21*G21)</f>
        <v/>
      </c>
      <c r="I21" t="s">
        <v>580</v>
      </c>
      <c r="J21" t="b">
        <f>AND(NOT(Compil[[#This Row],[Est ouvrage]]), NOT(ISBLANK(Compil[[#This Row],[ART.
CCTP]])))</f>
        <v>0</v>
      </c>
      <c r="K21" t="b">
        <f>OR(Compil[[#This Row],[Unité]]="U",Compil[[#This Row],[Unité]]="ens",Compil[[#This Row],[Unité]]="ml")</f>
        <v>0</v>
      </c>
      <c r="L21" t="b">
        <f>ISBLANK(Compil[[#This Row],[DESIGNATION]])</f>
        <v>1</v>
      </c>
      <c r="M21" s="358"/>
      <c r="N21" s="358"/>
      <c r="O21" s="358"/>
      <c r="P21" s="358"/>
      <c r="Q21" s="358">
        <f>COUNTIF(Compil[[Ma Désignation ]],Compil[[Ma Désignation ]])</f>
        <v>306</v>
      </c>
    </row>
    <row r="22" spans="1:17" ht="25">
      <c r="A22" s="312">
        <v>873</v>
      </c>
      <c r="B22" s="19"/>
      <c r="C22" s="88" t="s">
        <v>186</v>
      </c>
      <c r="D22" t="str">
        <f xml:space="preserve"> TRIM( SUBSTITUTE(SUBSTITUTE(SUBSTITUTE( Compil[[#This Row],[DESIGNATION]],"-",""),"–",""),"*",""))</f>
        <v>2 fourreaux ICTA DN25 aiguillé entre le tableau de communication des logement et les gaines palières</v>
      </c>
      <c r="E22" s="57" t="s">
        <v>12</v>
      </c>
      <c r="F22" s="262">
        <v>1</v>
      </c>
      <c r="G22" s="289">
        <v>0</v>
      </c>
      <c r="H22" s="164">
        <v>0</v>
      </c>
      <c r="I22" t="s">
        <v>578</v>
      </c>
      <c r="J22" t="b">
        <f>AND(NOT(Compil[[#This Row],[Est ouvrage]]), NOT(ISBLANK(Compil[[#This Row],[ART.
CCTP]])))</f>
        <v>0</v>
      </c>
      <c r="K22" t="b">
        <f>OR(Compil[[#This Row],[Unité]]="U",Compil[[#This Row],[Unité]]="ens",Compil[[#This Row],[Unité]]="ml")</f>
        <v>1</v>
      </c>
      <c r="L22" t="b">
        <f>ISBLANK(Compil[[#This Row],[DESIGNATION]])</f>
        <v>0</v>
      </c>
      <c r="M22" s="359"/>
      <c r="N22" s="358"/>
      <c r="O22" s="358"/>
      <c r="P22" s="358"/>
      <c r="Q22" s="358">
        <f>COUNTIF(Compil[[Ma Désignation ]],Compil[[Ma Désignation ]])</f>
        <v>1</v>
      </c>
    </row>
    <row r="23" spans="1:17" ht="14">
      <c r="A23" s="303">
        <v>18</v>
      </c>
      <c r="B23" s="2"/>
      <c r="C23" s="200"/>
      <c r="D23" s="357" t="str">
        <f xml:space="preserve"> TRIM( SUBSTITUTE(SUBSTITUTE(SUBSTITUTE( Compil[[#This Row],[DESIGNATION]],"-",""),"–",""),"*",""))</f>
        <v/>
      </c>
      <c r="E23" s="197"/>
      <c r="F23" s="252"/>
      <c r="G23" s="289" t="str">
        <f>IF(F23="","",(((L23*$M$6)+(M23*#REF!*#REF!))*$M$7)/F23)</f>
        <v/>
      </c>
      <c r="H23" s="164" t="str">
        <f>IF(F23="","",F23*G23)</f>
        <v/>
      </c>
      <c r="I23" t="s">
        <v>580</v>
      </c>
      <c r="J23" t="b">
        <f>AND(NOT(Compil[[#This Row],[Est ouvrage]]), NOT(ISBLANK(Compil[[#This Row],[ART.
CCTP]])))</f>
        <v>0</v>
      </c>
      <c r="K23" t="b">
        <f>OR(Compil[[#This Row],[Unité]]="U",Compil[[#This Row],[Unité]]="ens",Compil[[#This Row],[Unité]]="ml")</f>
        <v>0</v>
      </c>
      <c r="L23" t="b">
        <f>ISBLANK(Compil[[#This Row],[DESIGNATION]])</f>
        <v>1</v>
      </c>
      <c r="M23" s="358"/>
      <c r="N23" s="358"/>
      <c r="O23" s="358"/>
      <c r="P23" s="358"/>
      <c r="Q23" s="358">
        <f>COUNTIF(Compil[[Ma Désignation ]],Compil[[Ma Désignation ]])</f>
        <v>306</v>
      </c>
    </row>
    <row r="24" spans="1:17" ht="25">
      <c r="A24" s="303">
        <v>218</v>
      </c>
      <c r="B24" s="43"/>
      <c r="C24" s="206" t="s">
        <v>315</v>
      </c>
      <c r="D24" t="str">
        <f xml:space="preserve"> TRIM( SUBSTITUTE(SUBSTITUTE(SUBSTITUTE( Compil[[#This Row],[DESIGNATION]],"-",""),"–",""),"*",""))</f>
        <v>2 fourreaux ICTA DN25 aiguillé entre le tableau de communication des logement, les bureaux et les gaines palières</v>
      </c>
      <c r="E24" s="189" t="s">
        <v>12</v>
      </c>
      <c r="F24" s="252">
        <v>1</v>
      </c>
      <c r="G24" s="289" t="e">
        <f>IF(F24="","",(((L24*$M$6)+(M24*#REF!*#REF!))*$M$7)/F24)</f>
        <v>#VALUE!</v>
      </c>
      <c r="H24" s="164" t="e">
        <f>IF(F24="","",F24*G24)</f>
        <v>#VALUE!</v>
      </c>
      <c r="I24" t="s">
        <v>580</v>
      </c>
      <c r="J24" t="b">
        <f>AND(NOT(Compil[[#This Row],[Est ouvrage]]), NOT(ISBLANK(Compil[[#This Row],[ART.
CCTP]])))</f>
        <v>0</v>
      </c>
      <c r="K24" t="b">
        <f>OR(Compil[[#This Row],[Unité]]="U",Compil[[#This Row],[Unité]]="ens",Compil[[#This Row],[Unité]]="ml")</f>
        <v>1</v>
      </c>
      <c r="L24" t="b">
        <f>ISBLANK(Compil[[#This Row],[DESIGNATION]])</f>
        <v>0</v>
      </c>
      <c r="M24" s="359"/>
      <c r="N24" s="358"/>
      <c r="O24" s="358"/>
      <c r="P24" s="358"/>
      <c r="Q24" s="358">
        <f>COUNTIF(Compil[[Ma Désignation ]],Compil[[Ma Désignation ]])</f>
        <v>3</v>
      </c>
    </row>
    <row r="25" spans="1:17" ht="14">
      <c r="A25" s="303">
        <v>20</v>
      </c>
      <c r="B25" s="2"/>
      <c r="C25" s="200"/>
      <c r="D25" s="357" t="str">
        <f xml:space="preserve"> TRIM( SUBSTITUTE(SUBSTITUTE(SUBSTITUTE( Compil[[#This Row],[DESIGNATION]],"-",""),"–",""),"*",""))</f>
        <v/>
      </c>
      <c r="E25" s="197"/>
      <c r="F25" s="252"/>
      <c r="G25" s="289" t="str">
        <f>IF(F25="","",(((L25*$M$6)+(M25*#REF!*#REF!))*$M$7)/F25)</f>
        <v/>
      </c>
      <c r="H25" s="164" t="str">
        <f>IF(F25="","",F25*G25)</f>
        <v/>
      </c>
      <c r="I25" t="s">
        <v>580</v>
      </c>
      <c r="J25" t="b">
        <f>AND(NOT(Compil[[#This Row],[Est ouvrage]]), NOT(ISBLANK(Compil[[#This Row],[ART.
CCTP]])))</f>
        <v>0</v>
      </c>
      <c r="K25" t="b">
        <f>OR(Compil[[#This Row],[Unité]]="U",Compil[[#This Row],[Unité]]="ens",Compil[[#This Row],[Unité]]="ml")</f>
        <v>0</v>
      </c>
      <c r="L25" t="b">
        <f>ISBLANK(Compil[[#This Row],[DESIGNATION]])</f>
        <v>1</v>
      </c>
      <c r="M25" s="358"/>
      <c r="N25" s="358"/>
      <c r="O25" s="358"/>
      <c r="P25" s="358"/>
      <c r="Q25" s="358">
        <f>COUNTIF(Compil[[Ma Désignation ]],Compil[[Ma Désignation ]])</f>
        <v>306</v>
      </c>
    </row>
    <row r="26" spans="1:17" ht="25">
      <c r="A26" s="303">
        <v>239</v>
      </c>
      <c r="B26" s="2"/>
      <c r="C26" s="206" t="s">
        <v>315</v>
      </c>
      <c r="D26" t="str">
        <f xml:space="preserve"> TRIM( SUBSTITUTE(SUBSTITUTE(SUBSTITUTE( Compil[[#This Row],[DESIGNATION]],"-",""),"–",""),"*",""))</f>
        <v>2 fourreaux ICTA DN25 aiguillé entre le tableau de communication des logement, les bureaux et les gaines palières</v>
      </c>
      <c r="E26" s="189" t="s">
        <v>12</v>
      </c>
      <c r="F26" s="252">
        <v>1</v>
      </c>
      <c r="G26" s="289" t="e">
        <f>IF(F26="","",(((L26*$M$6)+(M26*#REF!*#REF!))*$M$7)/F26)</f>
        <v>#VALUE!</v>
      </c>
      <c r="H26" s="164" t="e">
        <f>IF(F26="","",F26*G26)</f>
        <v>#VALUE!</v>
      </c>
      <c r="I26" t="s">
        <v>580</v>
      </c>
      <c r="J26" t="b">
        <f>AND(NOT(Compil[[#This Row],[Est ouvrage]]), NOT(ISBLANK(Compil[[#This Row],[ART.
CCTP]])))</f>
        <v>0</v>
      </c>
      <c r="K26" t="b">
        <f>OR(Compil[[#This Row],[Unité]]="U",Compil[[#This Row],[Unité]]="ens",Compil[[#This Row],[Unité]]="ml")</f>
        <v>1</v>
      </c>
      <c r="L26" t="b">
        <f>ISBLANK(Compil[[#This Row],[DESIGNATION]])</f>
        <v>0</v>
      </c>
      <c r="M26" s="359"/>
      <c r="N26" s="358"/>
      <c r="O26" s="358"/>
      <c r="P26" s="358"/>
      <c r="Q26" s="358">
        <f>COUNTIF(Compil[[Ma Désignation ]],Compil[[Ma Désignation ]])</f>
        <v>3</v>
      </c>
    </row>
    <row r="27" spans="1:17" ht="14">
      <c r="A27" s="303">
        <v>22</v>
      </c>
      <c r="B27" s="202"/>
      <c r="C27" s="200"/>
      <c r="D27" s="357" t="str">
        <f xml:space="preserve"> TRIM( SUBSTITUTE(SUBSTITUTE(SUBSTITUTE( Compil[[#This Row],[DESIGNATION]],"-",""),"–",""),"*",""))</f>
        <v/>
      </c>
      <c r="E27" s="197"/>
      <c r="F27" s="252"/>
      <c r="G27" s="289" t="str">
        <f>IF(F27="","",(((L27*$M$6)+(M27*#REF!*#REF!))*$M$7)/F27)</f>
        <v/>
      </c>
      <c r="H27" s="164" t="str">
        <f>IF(F27="","",F27*G27)</f>
        <v/>
      </c>
      <c r="I27" t="s">
        <v>580</v>
      </c>
      <c r="J27" t="b">
        <f>AND(NOT(Compil[[#This Row],[Est ouvrage]]), NOT(ISBLANK(Compil[[#This Row],[ART.
CCTP]])))</f>
        <v>0</v>
      </c>
      <c r="K27" t="b">
        <f>OR(Compil[[#This Row],[Unité]]="U",Compil[[#This Row],[Unité]]="ens",Compil[[#This Row],[Unité]]="ml")</f>
        <v>0</v>
      </c>
      <c r="L27" t="b">
        <f>ISBLANK(Compil[[#This Row],[DESIGNATION]])</f>
        <v>1</v>
      </c>
      <c r="M27" s="358"/>
      <c r="N27" s="358"/>
      <c r="O27" s="358"/>
      <c r="P27" s="358"/>
      <c r="Q27" s="358">
        <f>COUNTIF(Compil[[Ma Désignation ]],Compil[[Ma Désignation ]])</f>
        <v>306</v>
      </c>
    </row>
    <row r="28" spans="1:17" ht="25">
      <c r="A28" s="312">
        <v>857</v>
      </c>
      <c r="B28" s="104"/>
      <c r="C28" s="88" t="s">
        <v>315</v>
      </c>
      <c r="D28" t="str">
        <f xml:space="preserve"> TRIM( SUBSTITUTE(SUBSTITUTE(SUBSTITUTE( Compil[[#This Row],[DESIGNATION]],"-",""),"–",""),"*",""))</f>
        <v>2 fourreaux ICTA DN25 aiguillé entre le tableau de communication des logement, les bureaux et les gaines palières</v>
      </c>
      <c r="E28" s="57" t="s">
        <v>12</v>
      </c>
      <c r="F28" s="262">
        <v>1</v>
      </c>
      <c r="G28" s="289">
        <v>0</v>
      </c>
      <c r="H28" s="164">
        <v>0</v>
      </c>
      <c r="I28" t="s">
        <v>578</v>
      </c>
      <c r="J28" t="b">
        <f>AND(NOT(Compil[[#This Row],[Est ouvrage]]), NOT(ISBLANK(Compil[[#This Row],[ART.
CCTP]])))</f>
        <v>0</v>
      </c>
      <c r="K28" t="b">
        <f>OR(Compil[[#This Row],[Unité]]="U",Compil[[#This Row],[Unité]]="ens",Compil[[#This Row],[Unité]]="ml")</f>
        <v>1</v>
      </c>
      <c r="L28" t="b">
        <f>ISBLANK(Compil[[#This Row],[DESIGNATION]])</f>
        <v>0</v>
      </c>
      <c r="M28" s="359"/>
      <c r="N28" s="358"/>
      <c r="O28" s="358"/>
      <c r="P28" s="358"/>
      <c r="Q28" s="358">
        <f>COUNTIF(Compil[[Ma Désignation ]],Compil[[Ma Désignation ]])</f>
        <v>3</v>
      </c>
    </row>
    <row r="29" spans="1:17" ht="14">
      <c r="A29" s="303">
        <v>24</v>
      </c>
      <c r="B29" s="202"/>
      <c r="C29" s="200"/>
      <c r="D29" s="357" t="str">
        <f xml:space="preserve"> TRIM( SUBSTITUTE(SUBSTITUTE(SUBSTITUTE( Compil[[#This Row],[DESIGNATION]],"-",""),"–",""),"*",""))</f>
        <v/>
      </c>
      <c r="E29" s="197"/>
      <c r="F29" s="252"/>
      <c r="G29" s="289" t="str">
        <f>IF(F29="","",(((L29*$M$6)+(M29*#REF!*#REF!))*$M$7)/F29)</f>
        <v/>
      </c>
      <c r="H29" s="164" t="str">
        <f>IF(F29="","",F29*G29)</f>
        <v/>
      </c>
      <c r="I29" t="s">
        <v>580</v>
      </c>
      <c r="J29" t="b">
        <f>AND(NOT(Compil[[#This Row],[Est ouvrage]]), NOT(ISBLANK(Compil[[#This Row],[ART.
CCTP]])))</f>
        <v>0</v>
      </c>
      <c r="K29" t="b">
        <f>OR(Compil[[#This Row],[Unité]]="U",Compil[[#This Row],[Unité]]="ens",Compil[[#This Row],[Unité]]="ml")</f>
        <v>0</v>
      </c>
      <c r="L29" t="b">
        <f>ISBLANK(Compil[[#This Row],[DESIGNATION]])</f>
        <v>1</v>
      </c>
      <c r="M29" s="358"/>
      <c r="N29" s="358"/>
      <c r="O29" s="358"/>
      <c r="P29" s="358"/>
      <c r="Q29" s="358">
        <f>COUNTIF(Compil[[Ma Désignation ]],Compil[[Ma Désignation ]])</f>
        <v>306</v>
      </c>
    </row>
    <row r="30" spans="1:17" ht="37.5">
      <c r="A30" s="303">
        <v>25</v>
      </c>
      <c r="B30" s="202"/>
      <c r="C30" s="200" t="s">
        <v>249</v>
      </c>
      <c r="D30" s="357" t="str">
        <f xml:space="preserve"> TRIM( SUBSTITUTE(SUBSTITUTE(SUBSTITUTE( Compil[[#This Row],[DESIGNATION]],"-",""),"–",""),"*",""))</f>
        <v>pose et raccordement des comptages EDF tarif jaune PV G1 (au lot photovoltaïque)</v>
      </c>
      <c r="E30" s="203" t="s">
        <v>254</v>
      </c>
      <c r="F30" s="252"/>
      <c r="G30" s="289" t="str">
        <f>IF(F30="","",(((L30*$M$6)+(M30*#REF!*#REF!))*$M$7)/F30)</f>
        <v/>
      </c>
      <c r="H30" s="164" t="str">
        <f>IF(F30="","",F30*G30)</f>
        <v/>
      </c>
      <c r="I30" t="s">
        <v>580</v>
      </c>
      <c r="J30" t="b">
        <f>AND(NOT(Compil[[#This Row],[Est ouvrage]]), NOT(ISBLANK(Compil[[#This Row],[ART.
CCTP]])))</f>
        <v>0</v>
      </c>
      <c r="K30" t="b">
        <f>OR(Compil[[#This Row],[Unité]]="U",Compil[[#This Row],[Unité]]="ens",Compil[[#This Row],[Unité]]="ml")</f>
        <v>0</v>
      </c>
      <c r="L30" t="b">
        <f>ISBLANK(Compil[[#This Row],[DESIGNATION]])</f>
        <v>0</v>
      </c>
      <c r="M30" s="359"/>
      <c r="N30" s="358"/>
      <c r="O30" s="358"/>
      <c r="P30" s="358"/>
      <c r="Q30" s="358">
        <f>COUNTIF(Compil[[Ma Désignation ]],Compil[[Ma Désignation ]])</f>
        <v>1</v>
      </c>
    </row>
    <row r="31" spans="1:17" ht="14">
      <c r="A31" s="303">
        <v>26</v>
      </c>
      <c r="B31" s="202"/>
      <c r="C31" s="200"/>
      <c r="D31" s="357" t="str">
        <f xml:space="preserve"> TRIM( SUBSTITUTE(SUBSTITUTE(SUBSTITUTE( Compil[[#This Row],[DESIGNATION]],"-",""),"–",""),"*",""))</f>
        <v/>
      </c>
      <c r="E31" s="197"/>
      <c r="F31" s="252"/>
      <c r="G31" s="289" t="str">
        <f>IF(F31="","",(((L31*$M$6)+(M31*#REF!*#REF!))*$M$7)/F31)</f>
        <v/>
      </c>
      <c r="H31" s="164" t="str">
        <f>IF(F31="","",F31*G31)</f>
        <v/>
      </c>
      <c r="I31" t="s">
        <v>580</v>
      </c>
      <c r="J31" t="b">
        <f>AND(NOT(Compil[[#This Row],[Est ouvrage]]), NOT(ISBLANK(Compil[[#This Row],[ART.
CCTP]])))</f>
        <v>0</v>
      </c>
      <c r="K31" t="b">
        <f>OR(Compil[[#This Row],[Unité]]="U",Compil[[#This Row],[Unité]]="ens",Compil[[#This Row],[Unité]]="ml")</f>
        <v>0</v>
      </c>
      <c r="L31" t="b">
        <f>ISBLANK(Compil[[#This Row],[DESIGNATION]])</f>
        <v>1</v>
      </c>
      <c r="M31" s="358"/>
      <c r="N31" s="358"/>
      <c r="O31" s="358"/>
      <c r="P31" s="358"/>
      <c r="Q31" s="358">
        <f>COUNTIF(Compil[[Ma Désignation ]],Compil[[Ma Désignation ]])</f>
        <v>306</v>
      </c>
    </row>
    <row r="32" spans="1:17" ht="25">
      <c r="A32" s="303">
        <v>121</v>
      </c>
      <c r="B32" s="2"/>
      <c r="C32" s="228" t="s">
        <v>74</v>
      </c>
      <c r="D32" s="357" t="str">
        <f xml:space="preserve"> TRIM( SUBSTITUTE(SUBSTITUTE(SUBSTITUTE( Compil[[#This Row],[DESIGNATION]],"-",""),"–",""),"*",""))</f>
        <v>Accessoires, câblage complémentaire, raccordements, essais, etc…</v>
      </c>
      <c r="E32" s="216" t="s">
        <v>12</v>
      </c>
      <c r="F32" s="252">
        <v>1</v>
      </c>
      <c r="G32" s="289" t="e">
        <f>IF(F32="","",(((L32*$M$6)+(M32*#REF!*#REF!))*$M$7)/F32)</f>
        <v>#VALUE!</v>
      </c>
      <c r="H32" s="164" t="e">
        <f>IF(F32="","",F32*G32)</f>
        <v>#VALUE!</v>
      </c>
      <c r="I32" t="s">
        <v>580</v>
      </c>
      <c r="J32" t="b">
        <f>AND(NOT(Compil[[#This Row],[Est ouvrage]]), NOT(ISBLANK(Compil[[#This Row],[ART.
CCTP]])))</f>
        <v>0</v>
      </c>
      <c r="K32" t="b">
        <f>OR(Compil[[#This Row],[Unité]]="U",Compil[[#This Row],[Unité]]="ens",Compil[[#This Row],[Unité]]="ml")</f>
        <v>1</v>
      </c>
      <c r="L32" t="b">
        <f>ISBLANK(Compil[[#This Row],[DESIGNATION]])</f>
        <v>0</v>
      </c>
      <c r="M32" s="359"/>
      <c r="N32" s="358"/>
      <c r="O32" s="358"/>
      <c r="P32" s="358"/>
      <c r="Q32" s="358">
        <f>COUNTIF(Compil[[Ma Désignation ]],Compil[[Ma Désignation ]])</f>
        <v>2</v>
      </c>
    </row>
    <row r="33" spans="1:17" ht="25">
      <c r="A33" s="312">
        <v>804</v>
      </c>
      <c r="B33" s="19"/>
      <c r="C33" s="84" t="s">
        <v>74</v>
      </c>
      <c r="D33" s="357" t="str">
        <f xml:space="preserve"> TRIM( SUBSTITUTE(SUBSTITUTE(SUBSTITUTE( Compil[[#This Row],[DESIGNATION]],"-",""),"–",""),"*",""))</f>
        <v>Accessoires, câblage complémentaire, raccordements, essais, etc…</v>
      </c>
      <c r="E33" s="33" t="s">
        <v>12</v>
      </c>
      <c r="F33" s="262">
        <v>1</v>
      </c>
      <c r="G33" s="289">
        <v>0</v>
      </c>
      <c r="H33" s="164">
        <v>0</v>
      </c>
      <c r="I33" t="s">
        <v>578</v>
      </c>
      <c r="J33" t="b">
        <f>AND(NOT(Compil[[#This Row],[Est ouvrage]]), NOT(ISBLANK(Compil[[#This Row],[ART.
CCTP]])))</f>
        <v>0</v>
      </c>
      <c r="K33" t="b">
        <f>OR(Compil[[#This Row],[Unité]]="U",Compil[[#This Row],[Unité]]="ens",Compil[[#This Row],[Unité]]="ml")</f>
        <v>1</v>
      </c>
      <c r="L33" t="b">
        <f>ISBLANK(Compil[[#This Row],[DESIGNATION]])</f>
        <v>0</v>
      </c>
      <c r="M33" s="359"/>
      <c r="N33" s="358"/>
      <c r="O33" s="358"/>
      <c r="P33" s="358"/>
      <c r="Q33" s="358">
        <f>COUNTIF(Compil[[Ma Désignation ]],Compil[[Ma Désignation ]])</f>
        <v>2</v>
      </c>
    </row>
    <row r="34" spans="1:17" ht="14">
      <c r="A34" s="303">
        <v>29</v>
      </c>
      <c r="B34" s="202"/>
      <c r="C34" s="417"/>
      <c r="D34" s="357" t="str">
        <f xml:space="preserve"> TRIM( SUBSTITUTE(SUBSTITUTE(SUBSTITUTE( Compil[[#This Row],[DESIGNATION]],"-",""),"–",""),"*",""))</f>
        <v/>
      </c>
      <c r="E34" s="197"/>
      <c r="F34" s="252"/>
      <c r="G34" s="289" t="str">
        <f>IF(F34="","",(((L34*$M$6)+(M34*#REF!*#REF!))*$M$7)/F34)</f>
        <v/>
      </c>
      <c r="H34" s="164" t="str">
        <f>IF(F34="","",F34*G34)</f>
        <v/>
      </c>
      <c r="I34" t="s">
        <v>580</v>
      </c>
      <c r="J34" t="b">
        <f>AND(NOT(Compil[[#This Row],[Est ouvrage]]), NOT(ISBLANK(Compil[[#This Row],[ART.
CCTP]])))</f>
        <v>0</v>
      </c>
      <c r="K34" t="b">
        <f>OR(Compil[[#This Row],[Unité]]="U",Compil[[#This Row],[Unité]]="ens",Compil[[#This Row],[Unité]]="ml")</f>
        <v>0</v>
      </c>
      <c r="L34" t="b">
        <f>ISBLANK(Compil[[#This Row],[DESIGNATION]])</f>
        <v>1</v>
      </c>
      <c r="M34" s="358"/>
      <c r="N34" s="358"/>
      <c r="O34" s="358"/>
      <c r="P34" s="358"/>
      <c r="Q34" s="358">
        <f>COUNTIF(Compil[[Ma Désignation ]],Compil[[Ma Désignation ]])</f>
        <v>306</v>
      </c>
    </row>
    <row r="35" spans="1:17" ht="14">
      <c r="A35" s="303">
        <v>275</v>
      </c>
      <c r="B35" s="179"/>
      <c r="C35" s="224" t="s">
        <v>68</v>
      </c>
      <c r="D35" t="str">
        <f xml:space="preserve"> TRIM( SUBSTITUTE(SUBSTITUTE(SUBSTITUTE( Compil[[#This Row],[DESIGNATION]],"-",""),"–",""),"*",""))</f>
        <v>alimentation ventouse+ ventoiuse</v>
      </c>
      <c r="E35" s="216" t="s">
        <v>12</v>
      </c>
      <c r="F35" s="252">
        <f>QTE!J190-'BATIMENT SOHO-ELEC 1'!D194</f>
        <v>-1</v>
      </c>
      <c r="G35" s="289" t="e">
        <f>IF(F35="","",(((L35*$M$6)+(M35*#REF!*#REF!))*$M$7)/F35)</f>
        <v>#VALUE!</v>
      </c>
      <c r="H35" s="164" t="e">
        <f>IF(F35="","",F35*G35)</f>
        <v>#VALUE!</v>
      </c>
      <c r="I35" t="s">
        <v>580</v>
      </c>
      <c r="J35" t="b">
        <f>AND(NOT(Compil[[#This Row],[Est ouvrage]]), NOT(ISBLANK(Compil[[#This Row],[ART.
CCTP]])))</f>
        <v>0</v>
      </c>
      <c r="K35" t="b">
        <f>OR(Compil[[#This Row],[Unité]]="U",Compil[[#This Row],[Unité]]="ens",Compil[[#This Row],[Unité]]="ml")</f>
        <v>1</v>
      </c>
      <c r="L35" t="b">
        <f>ISBLANK(Compil[[#This Row],[DESIGNATION]])</f>
        <v>0</v>
      </c>
      <c r="M35" s="359"/>
      <c r="N35" s="358"/>
      <c r="O35" s="358"/>
      <c r="P35" s="358"/>
      <c r="Q35" s="358">
        <f>COUNTIF(Compil[[Ma Désignation ]],Compil[[Ma Désignation ]])</f>
        <v>1</v>
      </c>
    </row>
    <row r="36" spans="1:17" ht="14">
      <c r="A36" s="312">
        <v>910</v>
      </c>
      <c r="B36" s="17"/>
      <c r="C36" s="86" t="s">
        <v>420</v>
      </c>
      <c r="D36" t="str">
        <f xml:space="preserve"> TRIM( SUBSTITUTE(SUBSTITUTE(SUBSTITUTE( Compil[[#This Row],[DESIGNATION]],"-",""),"–",""),"*",""))</f>
        <v>alimentation ventouse+ ventouse</v>
      </c>
      <c r="E36" s="33" t="s">
        <v>12</v>
      </c>
      <c r="F36" s="262">
        <v>1</v>
      </c>
      <c r="G36" s="289">
        <v>0</v>
      </c>
      <c r="H36" s="164">
        <v>0</v>
      </c>
      <c r="I36" t="s">
        <v>578</v>
      </c>
      <c r="J36" t="b">
        <f>AND(NOT(Compil[[#This Row],[Est ouvrage]]), NOT(ISBLANK(Compil[[#This Row],[ART.
CCTP]])))</f>
        <v>0</v>
      </c>
      <c r="K36" t="b">
        <f>OR(Compil[[#This Row],[Unité]]="U",Compil[[#This Row],[Unité]]="ens",Compil[[#This Row],[Unité]]="ml")</f>
        <v>1</v>
      </c>
      <c r="L36" t="b">
        <f>ISBLANK(Compil[[#This Row],[DESIGNATION]])</f>
        <v>0</v>
      </c>
      <c r="M36" s="359"/>
      <c r="N36" s="358"/>
      <c r="O36" s="358"/>
      <c r="P36" s="358"/>
      <c r="Q36" s="358">
        <f>COUNTIF(Compil[[Ma Désignation ]],Compil[[Ma Désignation ]])</f>
        <v>1</v>
      </c>
    </row>
    <row r="37" spans="1:17" ht="14">
      <c r="A37" s="303">
        <v>178</v>
      </c>
      <c r="B37" s="2"/>
      <c r="C37" s="221" t="s">
        <v>329</v>
      </c>
      <c r="D37" t="str">
        <f xml:space="preserve"> TRIM( SUBSTITUTE(SUBSTITUTE(SUBSTITUTE( Compil[[#This Row],[DESIGNATION]],"-",""),"–",""),"*",""))</f>
        <v>Alimentations Electrique de Sécurité</v>
      </c>
      <c r="E37" s="216" t="s">
        <v>12</v>
      </c>
      <c r="F37" s="252">
        <v>2</v>
      </c>
      <c r="G37" s="289" t="e">
        <f>IF(F37="","",(((L37*$M$6)+(M37*#REF!*#REF!))*$M$7)/F37)</f>
        <v>#VALUE!</v>
      </c>
      <c r="H37" s="164" t="e">
        <f>IF(F37="","",F37*G37)</f>
        <v>#VALUE!</v>
      </c>
      <c r="I37" t="s">
        <v>580</v>
      </c>
      <c r="J37" t="b">
        <f>AND(NOT(Compil[[#This Row],[Est ouvrage]]), NOT(ISBLANK(Compil[[#This Row],[ART.
CCTP]])))</f>
        <v>0</v>
      </c>
      <c r="K37" t="b">
        <f>OR(Compil[[#This Row],[Unité]]="U",Compil[[#This Row],[Unité]]="ens",Compil[[#This Row],[Unité]]="ml")</f>
        <v>1</v>
      </c>
      <c r="L37" t="b">
        <f>ISBLANK(Compil[[#This Row],[DESIGNATION]])</f>
        <v>0</v>
      </c>
      <c r="M37" s="359"/>
      <c r="N37" s="358"/>
      <c r="O37" s="358"/>
      <c r="P37" s="358"/>
      <c r="Q37" s="358">
        <f>COUNTIF(Compil[[Ma Désignation ]],Compil[[Ma Désignation ]])</f>
        <v>1</v>
      </c>
    </row>
    <row r="38" spans="1:17" ht="14">
      <c r="A38" s="312">
        <v>939</v>
      </c>
      <c r="B38" s="19"/>
      <c r="C38" s="88" t="s">
        <v>209</v>
      </c>
      <c r="D38" t="str">
        <f xml:space="preserve"> TRIM( SUBSTITUTE(SUBSTITUTE(SUBSTITUTE( Compil[[#This Row],[DESIGNATION]],"-",""),"–",""),"*",""))</f>
        <v>Alttente plaque cuisson salle d'étude</v>
      </c>
      <c r="E38" s="57" t="s">
        <v>13</v>
      </c>
      <c r="F38" s="262"/>
      <c r="G38" s="289" t="s">
        <v>571</v>
      </c>
      <c r="H38" s="164" t="s">
        <v>571</v>
      </c>
      <c r="I38" t="s">
        <v>578</v>
      </c>
      <c r="J38" t="b">
        <f>AND(NOT(Compil[[#This Row],[Est ouvrage]]), NOT(ISBLANK(Compil[[#This Row],[ART.
CCTP]])))</f>
        <v>0</v>
      </c>
      <c r="K38" t="b">
        <f>OR(Compil[[#This Row],[Unité]]="U",Compil[[#This Row],[Unité]]="ens",Compil[[#This Row],[Unité]]="ml")</f>
        <v>1</v>
      </c>
      <c r="L38" t="b">
        <f>ISBLANK(Compil[[#This Row],[DESIGNATION]])</f>
        <v>0</v>
      </c>
      <c r="M38" s="359"/>
      <c r="N38" s="358"/>
      <c r="O38" s="358"/>
      <c r="P38" s="358"/>
      <c r="Q38" s="358">
        <f>COUNTIF(Compil[[Ma Désignation ]],Compil[[Ma Désignation ]])</f>
        <v>1</v>
      </c>
    </row>
    <row r="39" spans="1:17" ht="14">
      <c r="A39" s="303">
        <v>34</v>
      </c>
      <c r="B39" s="202"/>
      <c r="C39" s="200"/>
      <c r="D39" s="357" t="str">
        <f xml:space="preserve"> TRIM( SUBSTITUTE(SUBSTITUTE(SUBSTITUTE( Compil[[#This Row],[DESIGNATION]],"-",""),"–",""),"*",""))</f>
        <v/>
      </c>
      <c r="E39" s="197"/>
      <c r="F39" s="252"/>
      <c r="G39" s="289" t="str">
        <f>IF(F39="","",(((L39*$M$6)+(M39*#REF!*#REF!))*$M$7)/F39)</f>
        <v/>
      </c>
      <c r="H39" s="164" t="str">
        <f>IF(F39="","",F39*G39)</f>
        <v/>
      </c>
      <c r="I39" t="s">
        <v>580</v>
      </c>
      <c r="J39" t="b">
        <f>AND(NOT(Compil[[#This Row],[Est ouvrage]]), NOT(ISBLANK(Compil[[#This Row],[ART.
CCTP]])))</f>
        <v>0</v>
      </c>
      <c r="K39" t="b">
        <f>OR(Compil[[#This Row],[Unité]]="U",Compil[[#This Row],[Unité]]="ens",Compil[[#This Row],[Unité]]="ml")</f>
        <v>0</v>
      </c>
      <c r="L39" t="b">
        <f>ISBLANK(Compil[[#This Row],[DESIGNATION]])</f>
        <v>1</v>
      </c>
      <c r="M39" s="358"/>
      <c r="N39" s="358"/>
      <c r="O39" s="358"/>
      <c r="P39" s="358"/>
      <c r="Q39" s="358">
        <f>COUNTIF(Compil[[Ma Désignation ]],Compil[[Ma Désignation ]])</f>
        <v>306</v>
      </c>
    </row>
    <row r="40" spans="1:17" ht="14">
      <c r="A40" s="310">
        <v>413</v>
      </c>
      <c r="B40" s="2"/>
      <c r="C40" s="416" t="s">
        <v>166</v>
      </c>
      <c r="D40" t="str">
        <f xml:space="preserve"> TRIM( SUBSTITUTE(SUBSTITUTE(SUBSTITUTE( Compil[[#This Row],[DESIGNATION]],"-",""),"–",""),"*",""))</f>
        <v>Ampli TV en GTL y compris alimentation</v>
      </c>
      <c r="E40" s="33" t="s">
        <v>13</v>
      </c>
      <c r="F40" s="262">
        <v>1</v>
      </c>
      <c r="G40" s="289">
        <v>0</v>
      </c>
      <c r="H40" s="164">
        <v>0</v>
      </c>
      <c r="I40" t="s">
        <v>570</v>
      </c>
      <c r="J40" t="b">
        <f>AND(NOT(Compil[[#This Row],[Est ouvrage]]), NOT(ISBLANK(Compil[[#This Row],[ART.
CCTP]])))</f>
        <v>0</v>
      </c>
      <c r="K40" t="b">
        <f>OR(Compil[[#This Row],[Unité]]="U",Compil[[#This Row],[Unité]]="ens",Compil[[#This Row],[Unité]]="ml")</f>
        <v>1</v>
      </c>
      <c r="L40" t="b">
        <f>ISBLANK(Compil[[#This Row],[DESIGNATION]])</f>
        <v>0</v>
      </c>
      <c r="M40" s="359"/>
      <c r="N40" s="358"/>
      <c r="O40" s="358"/>
      <c r="P40" s="358"/>
      <c r="Q40" s="358">
        <f>COUNTIF(Compil[[Ma Désignation ]],Compil[[Ma Désignation ]])</f>
        <v>7</v>
      </c>
    </row>
    <row r="41" spans="1:17" ht="14">
      <c r="A41" s="310">
        <v>467</v>
      </c>
      <c r="B41" s="2"/>
      <c r="C41" s="416" t="s">
        <v>166</v>
      </c>
      <c r="D41" t="str">
        <f xml:space="preserve"> TRIM( SUBSTITUTE(SUBSTITUTE(SUBSTITUTE( Compil[[#This Row],[DESIGNATION]],"-",""),"–",""),"*",""))</f>
        <v>Ampli TV en GTL y compris alimentation</v>
      </c>
      <c r="E41" s="33" t="s">
        <v>13</v>
      </c>
      <c r="F41" s="262">
        <v>1</v>
      </c>
      <c r="G41" s="289">
        <v>0</v>
      </c>
      <c r="H41" s="164">
        <v>0</v>
      </c>
      <c r="I41" t="s">
        <v>570</v>
      </c>
      <c r="J41" t="b">
        <f>AND(NOT(Compil[[#This Row],[Est ouvrage]]), NOT(ISBLANK(Compil[[#This Row],[ART.
CCTP]])))</f>
        <v>0</v>
      </c>
      <c r="K41" t="b">
        <f>OR(Compil[[#This Row],[Unité]]="U",Compil[[#This Row],[Unité]]="ens",Compil[[#This Row],[Unité]]="ml")</f>
        <v>1</v>
      </c>
      <c r="L41" t="b">
        <f>ISBLANK(Compil[[#This Row],[DESIGNATION]])</f>
        <v>0</v>
      </c>
      <c r="M41" s="359"/>
      <c r="N41" s="358"/>
      <c r="O41" s="358"/>
      <c r="P41" s="358"/>
      <c r="Q41" s="358">
        <f>COUNTIF(Compil[[Ma Désignation ]],Compil[[Ma Désignation ]])</f>
        <v>7</v>
      </c>
    </row>
    <row r="42" spans="1:17" ht="14">
      <c r="A42" s="303">
        <v>37</v>
      </c>
      <c r="B42" s="202"/>
      <c r="C42" s="206"/>
      <c r="D42" t="str">
        <f xml:space="preserve"> TRIM( SUBSTITUTE(SUBSTITUTE(SUBSTITUTE( Compil[[#This Row],[DESIGNATION]],"-",""),"–",""),"*",""))</f>
        <v/>
      </c>
      <c r="E42" s="189"/>
      <c r="F42" s="252"/>
      <c r="G42" s="289" t="str">
        <f>IF(F42="","",(((L42*$M$6)+(M42*#REF!*#REF!))*$M$7)/F42)</f>
        <v/>
      </c>
      <c r="H42" s="164" t="str">
        <f>IF(F42="","",F42*G42)</f>
        <v/>
      </c>
      <c r="I42" t="s">
        <v>580</v>
      </c>
      <c r="J42" t="b">
        <f>AND(NOT(Compil[[#This Row],[Est ouvrage]]), NOT(ISBLANK(Compil[[#This Row],[ART.
CCTP]])))</f>
        <v>0</v>
      </c>
      <c r="K42" t="b">
        <f>OR(Compil[[#This Row],[Unité]]="U",Compil[[#This Row],[Unité]]="ens",Compil[[#This Row],[Unité]]="ml")</f>
        <v>0</v>
      </c>
      <c r="L42" t="b">
        <f>ISBLANK(Compil[[#This Row],[DESIGNATION]])</f>
        <v>1</v>
      </c>
      <c r="M42" s="358"/>
      <c r="N42" s="358"/>
      <c r="O42" s="358"/>
      <c r="P42" s="358"/>
      <c r="Q42" s="358">
        <f>COUNTIF(Compil[[Ma Désignation ]],Compil[[Ma Désignation ]])</f>
        <v>306</v>
      </c>
    </row>
    <row r="43" spans="1:17" ht="14">
      <c r="A43" s="310">
        <v>523</v>
      </c>
      <c r="B43" s="2"/>
      <c r="C43" s="416" t="s">
        <v>166</v>
      </c>
      <c r="D43" t="str">
        <f xml:space="preserve"> TRIM( SUBSTITUTE(SUBSTITUTE(SUBSTITUTE( Compil[[#This Row],[DESIGNATION]],"-",""),"–",""),"*",""))</f>
        <v>Ampli TV en GTL y compris alimentation</v>
      </c>
      <c r="E43" s="33" t="s">
        <v>13</v>
      </c>
      <c r="F43" s="262"/>
      <c r="G43" s="289" t="s">
        <v>571</v>
      </c>
      <c r="H43" s="164" t="s">
        <v>571</v>
      </c>
      <c r="I43" t="s">
        <v>570</v>
      </c>
      <c r="J43" t="b">
        <f>AND(NOT(Compil[[#This Row],[Est ouvrage]]), NOT(ISBLANK(Compil[[#This Row],[ART.
CCTP]])))</f>
        <v>0</v>
      </c>
      <c r="K43" t="b">
        <f>OR(Compil[[#This Row],[Unité]]="U",Compil[[#This Row],[Unité]]="ens",Compil[[#This Row],[Unité]]="ml")</f>
        <v>1</v>
      </c>
      <c r="L43" t="b">
        <f>ISBLANK(Compil[[#This Row],[DESIGNATION]])</f>
        <v>0</v>
      </c>
      <c r="M43" s="359"/>
      <c r="N43" s="358"/>
      <c r="O43" s="358"/>
      <c r="P43" s="358"/>
      <c r="Q43" s="358">
        <f>COUNTIF(Compil[[Ma Désignation ]],Compil[[Ma Désignation ]])</f>
        <v>7</v>
      </c>
    </row>
    <row r="44" spans="1:17" ht="14">
      <c r="A44" s="303">
        <v>39</v>
      </c>
      <c r="B44" s="202"/>
      <c r="C44" s="206"/>
      <c r="D44" t="str">
        <f xml:space="preserve"> TRIM( SUBSTITUTE(SUBSTITUTE(SUBSTITUTE( Compil[[#This Row],[DESIGNATION]],"-",""),"–",""),"*",""))</f>
        <v/>
      </c>
      <c r="E44" s="189"/>
      <c r="F44" s="252"/>
      <c r="G44" s="289" t="str">
        <f>IF(F44="","",(((L44*$M$6)+(M44*#REF!*#REF!))*$M$7)/F44)</f>
        <v/>
      </c>
      <c r="H44" s="164" t="str">
        <f>IF(F44="","",F44*G44)</f>
        <v/>
      </c>
      <c r="I44" t="s">
        <v>580</v>
      </c>
      <c r="J44" t="b">
        <f>AND(NOT(Compil[[#This Row],[Est ouvrage]]), NOT(ISBLANK(Compil[[#This Row],[ART.
CCTP]])))</f>
        <v>0</v>
      </c>
      <c r="K44" t="b">
        <f>OR(Compil[[#This Row],[Unité]]="U",Compil[[#This Row],[Unité]]="ens",Compil[[#This Row],[Unité]]="ml")</f>
        <v>0</v>
      </c>
      <c r="L44" t="b">
        <f>ISBLANK(Compil[[#This Row],[DESIGNATION]])</f>
        <v>1</v>
      </c>
      <c r="M44" s="358"/>
      <c r="N44" s="358"/>
      <c r="O44" s="358"/>
      <c r="P44" s="358"/>
      <c r="Q44" s="358">
        <f>COUNTIF(Compil[[Ma Désignation ]],Compil[[Ma Désignation ]])</f>
        <v>306</v>
      </c>
    </row>
    <row r="45" spans="1:17" ht="14">
      <c r="A45" s="310">
        <v>579</v>
      </c>
      <c r="B45" s="43"/>
      <c r="C45" s="416" t="s">
        <v>166</v>
      </c>
      <c r="D45" t="str">
        <f xml:space="preserve"> TRIM( SUBSTITUTE(SUBSTITUTE(SUBSTITUTE( Compil[[#This Row],[DESIGNATION]],"-",""),"–",""),"*",""))</f>
        <v>Ampli TV en GTL y compris alimentation</v>
      </c>
      <c r="E45" s="33" t="s">
        <v>13</v>
      </c>
      <c r="F45" s="262">
        <v>1</v>
      </c>
      <c r="G45" s="289">
        <v>0</v>
      </c>
      <c r="H45" s="164">
        <v>0</v>
      </c>
      <c r="I45" t="s">
        <v>570</v>
      </c>
      <c r="J45" t="b">
        <f>AND(NOT(Compil[[#This Row],[Est ouvrage]]), NOT(ISBLANK(Compil[[#This Row],[ART.
CCTP]])))</f>
        <v>0</v>
      </c>
      <c r="K45" t="b">
        <f>OR(Compil[[#This Row],[Unité]]="U",Compil[[#This Row],[Unité]]="ens",Compil[[#This Row],[Unité]]="ml")</f>
        <v>1</v>
      </c>
      <c r="L45" t="b">
        <f>ISBLANK(Compil[[#This Row],[DESIGNATION]])</f>
        <v>0</v>
      </c>
      <c r="M45" s="359"/>
      <c r="N45" s="358"/>
      <c r="O45" s="358"/>
      <c r="P45" s="358"/>
      <c r="Q45" s="358">
        <f>COUNTIF(Compil[[Ma Désignation ]],Compil[[Ma Désignation ]])</f>
        <v>7</v>
      </c>
    </row>
    <row r="46" spans="1:17" ht="14">
      <c r="A46" s="303">
        <v>41</v>
      </c>
      <c r="B46" s="202"/>
      <c r="C46" s="206"/>
      <c r="D46" t="str">
        <f xml:space="preserve"> TRIM( SUBSTITUTE(SUBSTITUTE(SUBSTITUTE( Compil[[#This Row],[DESIGNATION]],"-",""),"–",""),"*",""))</f>
        <v/>
      </c>
      <c r="E46" s="189"/>
      <c r="F46" s="252"/>
      <c r="G46" s="289" t="str">
        <f>IF(F46="","",(((L46*$M$6)+(M46*#REF!*#REF!))*$M$7)/F46)</f>
        <v/>
      </c>
      <c r="H46" s="164" t="str">
        <f>IF(F46="","",F46*G46)</f>
        <v/>
      </c>
      <c r="I46" t="s">
        <v>580</v>
      </c>
      <c r="J46" t="b">
        <f>AND(NOT(Compil[[#This Row],[Est ouvrage]]), NOT(ISBLANK(Compil[[#This Row],[ART.
CCTP]])))</f>
        <v>0</v>
      </c>
      <c r="K46" t="b">
        <f>OR(Compil[[#This Row],[Unité]]="U",Compil[[#This Row],[Unité]]="ens",Compil[[#This Row],[Unité]]="ml")</f>
        <v>0</v>
      </c>
      <c r="L46" t="b">
        <f>ISBLANK(Compil[[#This Row],[DESIGNATION]])</f>
        <v>1</v>
      </c>
      <c r="M46" s="358"/>
      <c r="N46" s="358"/>
      <c r="O46" s="358"/>
      <c r="P46" s="358"/>
      <c r="Q46" s="358">
        <f>COUNTIF(Compil[[Ma Désignation ]],Compil[[Ma Désignation ]])</f>
        <v>306</v>
      </c>
    </row>
    <row r="47" spans="1:17" ht="14">
      <c r="A47" s="310">
        <v>635</v>
      </c>
      <c r="B47" s="43"/>
      <c r="C47" s="416" t="s">
        <v>166</v>
      </c>
      <c r="D47" t="str">
        <f xml:space="preserve"> TRIM( SUBSTITUTE(SUBSTITUTE(SUBSTITUTE( Compil[[#This Row],[DESIGNATION]],"-",""),"–",""),"*",""))</f>
        <v>Ampli TV en GTL y compris alimentation</v>
      </c>
      <c r="E47" s="33" t="s">
        <v>13</v>
      </c>
      <c r="F47" s="262">
        <v>1</v>
      </c>
      <c r="G47" s="289">
        <v>0</v>
      </c>
      <c r="H47" s="164">
        <v>0</v>
      </c>
      <c r="I47" t="s">
        <v>570</v>
      </c>
      <c r="J47" t="b">
        <f>AND(NOT(Compil[[#This Row],[Est ouvrage]]), NOT(ISBLANK(Compil[[#This Row],[ART.
CCTP]])))</f>
        <v>0</v>
      </c>
      <c r="K47" t="b">
        <f>OR(Compil[[#This Row],[Unité]]="U",Compil[[#This Row],[Unité]]="ens",Compil[[#This Row],[Unité]]="ml")</f>
        <v>1</v>
      </c>
      <c r="L47" t="b">
        <f>ISBLANK(Compil[[#This Row],[DESIGNATION]])</f>
        <v>0</v>
      </c>
      <c r="M47" s="359"/>
      <c r="N47" s="358"/>
      <c r="O47" s="358"/>
      <c r="P47" s="358"/>
      <c r="Q47" s="358">
        <f>COUNTIF(Compil[[Ma Désignation ]],Compil[[Ma Désignation ]])</f>
        <v>7</v>
      </c>
    </row>
    <row r="48" spans="1:17" ht="14">
      <c r="A48" s="303">
        <v>43</v>
      </c>
      <c r="B48" s="202"/>
      <c r="C48" s="206"/>
      <c r="D48" t="str">
        <f xml:space="preserve"> TRIM( SUBSTITUTE(SUBSTITUTE(SUBSTITUTE( Compil[[#This Row],[DESIGNATION]],"-",""),"–",""),"*",""))</f>
        <v/>
      </c>
      <c r="E48" s="189"/>
      <c r="F48" s="252"/>
      <c r="G48" s="289" t="str">
        <f>IF(F48="","",(((L48*$M$6)+(M48*#REF!*#REF!))*$M$7)/F48)</f>
        <v/>
      </c>
      <c r="H48" s="164" t="str">
        <f>IF(F48="","",F48*G48)</f>
        <v/>
      </c>
      <c r="I48" t="s">
        <v>580</v>
      </c>
      <c r="J48" t="b">
        <f>AND(NOT(Compil[[#This Row],[Est ouvrage]]), NOT(ISBLANK(Compil[[#This Row],[ART.
CCTP]])))</f>
        <v>0</v>
      </c>
      <c r="K48" t="b">
        <f>OR(Compil[[#This Row],[Unité]]="U",Compil[[#This Row],[Unité]]="ens",Compil[[#This Row],[Unité]]="ml")</f>
        <v>0</v>
      </c>
      <c r="L48" t="b">
        <f>ISBLANK(Compil[[#This Row],[DESIGNATION]])</f>
        <v>1</v>
      </c>
      <c r="M48" s="358"/>
      <c r="N48" s="358"/>
      <c r="O48" s="358"/>
      <c r="P48" s="358"/>
      <c r="Q48" s="358">
        <f>COUNTIF(Compil[[Ma Désignation ]],Compil[[Ma Désignation ]])</f>
        <v>306</v>
      </c>
    </row>
    <row r="49" spans="1:17" ht="14">
      <c r="A49" s="310">
        <v>691</v>
      </c>
      <c r="B49" s="43"/>
      <c r="C49" s="416" t="s">
        <v>166</v>
      </c>
      <c r="D49" t="str">
        <f xml:space="preserve"> TRIM( SUBSTITUTE(SUBSTITUTE(SUBSTITUTE( Compil[[#This Row],[DESIGNATION]],"-",""),"–",""),"*",""))</f>
        <v>Ampli TV en GTL y compris alimentation</v>
      </c>
      <c r="E49" s="9" t="s">
        <v>13</v>
      </c>
      <c r="F49" s="262">
        <v>1</v>
      </c>
      <c r="G49" s="289">
        <v>0</v>
      </c>
      <c r="H49" s="164">
        <v>0</v>
      </c>
      <c r="I49" t="s">
        <v>570</v>
      </c>
      <c r="J49" t="b">
        <f>AND(NOT(Compil[[#This Row],[Est ouvrage]]), NOT(ISBLANK(Compil[[#This Row],[ART.
CCTP]])))</f>
        <v>0</v>
      </c>
      <c r="K49" t="b">
        <f>OR(Compil[[#This Row],[Unité]]="U",Compil[[#This Row],[Unité]]="ens",Compil[[#This Row],[Unité]]="ml")</f>
        <v>1</v>
      </c>
      <c r="L49" t="b">
        <f>ISBLANK(Compil[[#This Row],[DESIGNATION]])</f>
        <v>0</v>
      </c>
      <c r="M49" s="359"/>
      <c r="N49" s="358"/>
      <c r="O49" s="358"/>
      <c r="P49" s="358"/>
      <c r="Q49" s="358">
        <f>COUNTIF(Compil[[Ma Désignation ]],Compil[[Ma Désignation ]])</f>
        <v>7</v>
      </c>
    </row>
    <row r="50" spans="1:17">
      <c r="A50" s="360">
        <v>1043</v>
      </c>
      <c r="B50" s="363"/>
      <c r="C50" s="402" t="s">
        <v>166</v>
      </c>
      <c r="D50" t="str">
        <f xml:space="preserve"> TRIM( SUBSTITUTE(SUBSTITUTE(SUBSTITUTE( Compil[[#This Row],[DESIGNATION]],"-",""),"–",""),"*",""))</f>
        <v>Ampli TV en GTL y compris alimentation</v>
      </c>
      <c r="E50" s="369" t="s">
        <v>13</v>
      </c>
      <c r="F50" s="385">
        <v>1</v>
      </c>
      <c r="G50" s="390">
        <v>0</v>
      </c>
      <c r="H50" s="391">
        <v>0</v>
      </c>
      <c r="I50" t="s">
        <v>579</v>
      </c>
      <c r="J50" t="b">
        <f>AND(NOT(Compil[[#This Row],[Est ouvrage]]), NOT(ISBLANK(Compil[[#This Row],[ART.
CCTP]])))</f>
        <v>0</v>
      </c>
      <c r="K50" t="b">
        <f>OR(Compil[[#This Row],[Unité]]="U",Compil[[#This Row],[Unité]]="ens",Compil[[#This Row],[Unité]]="ml")</f>
        <v>1</v>
      </c>
      <c r="L50" t="b">
        <f>ISBLANK(Compil[[#This Row],[DESIGNATION]])</f>
        <v>0</v>
      </c>
      <c r="M50" s="359"/>
      <c r="N50" s="358"/>
      <c r="O50" s="358"/>
      <c r="P50" s="358"/>
      <c r="Q50" s="358">
        <f>COUNTIF(Compil[[Ma Désignation ]],Compil[[Ma Désignation ]])</f>
        <v>7</v>
      </c>
    </row>
    <row r="51" spans="1:17" ht="14">
      <c r="A51" s="310">
        <v>713</v>
      </c>
      <c r="B51" s="2"/>
      <c r="C51" s="427" t="s">
        <v>134</v>
      </c>
      <c r="D51" t="str">
        <f xml:space="preserve"> TRIM( SUBSTITUTE(SUBSTITUTE(SUBSTITUTE( Compil[[#This Row],[DESIGNATION]],"-",""),"–",""),"*",""))</f>
        <v>ampli TV si besoin</v>
      </c>
      <c r="E51" s="9" t="s">
        <v>13</v>
      </c>
      <c r="F51" s="262">
        <v>105</v>
      </c>
      <c r="G51" s="289">
        <v>0</v>
      </c>
      <c r="H51" s="164">
        <v>0</v>
      </c>
      <c r="I51" t="s">
        <v>570</v>
      </c>
      <c r="J51" t="b">
        <f>AND(NOT(Compil[[#This Row],[Est ouvrage]]), NOT(ISBLANK(Compil[[#This Row],[ART.
CCTP]])))</f>
        <v>0</v>
      </c>
      <c r="K51" t="b">
        <f>OR(Compil[[#This Row],[Unité]]="U",Compil[[#This Row],[Unité]]="ens",Compil[[#This Row],[Unité]]="ml")</f>
        <v>1</v>
      </c>
      <c r="L51" t="b">
        <f>ISBLANK(Compil[[#This Row],[DESIGNATION]])</f>
        <v>0</v>
      </c>
      <c r="M51" s="359"/>
      <c r="N51" s="358"/>
      <c r="O51" s="358"/>
      <c r="P51" s="358"/>
      <c r="Q51" s="358">
        <f>COUNTIF(Compil[[Ma Désignation ]],Compil[[Ma Désignation ]])</f>
        <v>1</v>
      </c>
    </row>
    <row r="52" spans="1:17" ht="14">
      <c r="A52" s="303">
        <v>250</v>
      </c>
      <c r="B52" s="2"/>
      <c r="C52" s="224" t="s">
        <v>133</v>
      </c>
      <c r="D52" t="str">
        <f xml:space="preserve"> TRIM( SUBSTITUTE(SUBSTITUTE(SUBSTITUTE( Compil[[#This Row],[DESIGNATION]],"-",""),"–",""),"*",""))</f>
        <v>ampli, préampli et station de traitement</v>
      </c>
      <c r="E52" s="193" t="s">
        <v>12</v>
      </c>
      <c r="F52" s="252">
        <v>1</v>
      </c>
      <c r="G52" s="289" t="e">
        <f>IF(F52="","",(((L52*$M$6)+(M52*#REF!*#REF!))*$M$7)/F52)</f>
        <v>#VALUE!</v>
      </c>
      <c r="H52" s="164" t="e">
        <f>IF(F52="","",F52*G52)</f>
        <v>#VALUE!</v>
      </c>
      <c r="I52" t="s">
        <v>580</v>
      </c>
      <c r="J52" t="b">
        <f>AND(NOT(Compil[[#This Row],[Est ouvrage]]), NOT(ISBLANK(Compil[[#This Row],[ART.
CCTP]])))</f>
        <v>0</v>
      </c>
      <c r="K52" t="b">
        <f>OR(Compil[[#This Row],[Unité]]="U",Compil[[#This Row],[Unité]]="ens",Compil[[#This Row],[Unité]]="ml")</f>
        <v>1</v>
      </c>
      <c r="L52" t="b">
        <f>ISBLANK(Compil[[#This Row],[DESIGNATION]])</f>
        <v>0</v>
      </c>
      <c r="M52" s="359"/>
      <c r="N52" s="358"/>
      <c r="O52" s="358"/>
      <c r="P52" s="358"/>
      <c r="Q52" s="358">
        <f>COUNTIF(Compil[[Ma Désignation ]],Compil[[Ma Désignation ]])</f>
        <v>2</v>
      </c>
    </row>
    <row r="53" spans="1:17" ht="14">
      <c r="A53" s="312">
        <v>885</v>
      </c>
      <c r="B53" s="19"/>
      <c r="C53" s="86" t="s">
        <v>133</v>
      </c>
      <c r="D53" t="str">
        <f xml:space="preserve"> TRIM( SUBSTITUTE(SUBSTITUTE(SUBSTITUTE( Compil[[#This Row],[DESIGNATION]],"-",""),"–",""),"*",""))</f>
        <v>ampli, préampli et station de traitement</v>
      </c>
      <c r="E53" s="9" t="s">
        <v>12</v>
      </c>
      <c r="F53" s="262">
        <v>1</v>
      </c>
      <c r="G53" s="289">
        <v>0</v>
      </c>
      <c r="H53" s="164">
        <v>0</v>
      </c>
      <c r="I53" t="s">
        <v>578</v>
      </c>
      <c r="J53" t="b">
        <f>AND(NOT(Compil[[#This Row],[Est ouvrage]]), NOT(ISBLANK(Compil[[#This Row],[ART.
CCTP]])))</f>
        <v>0</v>
      </c>
      <c r="K53" t="b">
        <f>OR(Compil[[#This Row],[Unité]]="U",Compil[[#This Row],[Unité]]="ens",Compil[[#This Row],[Unité]]="ml")</f>
        <v>1</v>
      </c>
      <c r="L53" t="b">
        <f>ISBLANK(Compil[[#This Row],[DESIGNATION]])</f>
        <v>0</v>
      </c>
      <c r="M53" s="359"/>
      <c r="N53" s="358"/>
      <c r="O53" s="358"/>
      <c r="P53" s="358"/>
      <c r="Q53" s="358">
        <f>COUNTIF(Compil[[Ma Désignation ]],Compil[[Ma Désignation ]])</f>
        <v>2</v>
      </c>
    </row>
    <row r="54" spans="1:17" ht="14">
      <c r="A54" s="303">
        <v>49</v>
      </c>
      <c r="B54" s="2"/>
      <c r="C54" s="404"/>
      <c r="D54" s="357" t="str">
        <f xml:space="preserve"> TRIM( SUBSTITUTE(SUBSTITUTE(SUBSTITUTE( Compil[[#This Row],[DESIGNATION]],"-",""),"–",""),"*",""))</f>
        <v/>
      </c>
      <c r="E54" s="209"/>
      <c r="F54" s="252"/>
      <c r="G54" s="289" t="str">
        <f>IF(F54="","",(((L54*$M$6)+(M54*#REF!*#REF!))*$M$7)/F54)</f>
        <v/>
      </c>
      <c r="H54" s="164" t="str">
        <f>IF(F54="","",F54*G54)</f>
        <v/>
      </c>
      <c r="I54" t="s">
        <v>580</v>
      </c>
      <c r="J54" t="b">
        <f>AND(NOT(Compil[[#This Row],[Est ouvrage]]), NOT(ISBLANK(Compil[[#This Row],[ART.
CCTP]])))</f>
        <v>0</v>
      </c>
      <c r="K54" t="b">
        <f>OR(Compil[[#This Row],[Unité]]="U",Compil[[#This Row],[Unité]]="ens",Compil[[#This Row],[Unité]]="ml")</f>
        <v>0</v>
      </c>
      <c r="L54" t="b">
        <f>ISBLANK(Compil[[#This Row],[DESIGNATION]])</f>
        <v>1</v>
      </c>
      <c r="M54" s="358"/>
      <c r="N54" s="358"/>
      <c r="O54" s="358"/>
      <c r="P54" s="358"/>
      <c r="Q54" s="358">
        <f>COUNTIF(Compil[[Ma Désignation ]],Compil[[Ma Désignation ]])</f>
        <v>306</v>
      </c>
    </row>
    <row r="55" spans="1:17" ht="14">
      <c r="A55" s="310">
        <v>411</v>
      </c>
      <c r="B55" s="2"/>
      <c r="C55" s="428" t="s">
        <v>265</v>
      </c>
      <c r="D55" t="str">
        <f xml:space="preserve"> TRIM( SUBSTITUTE(SUBSTITUTE(SUBSTITUTE( Compil[[#This Row],[DESIGNATION]],"-",""),"–",""),"*",""))</f>
        <v>Ampoule fluocompacte 15W, E27</v>
      </c>
      <c r="E55" s="33" t="s">
        <v>13</v>
      </c>
      <c r="F55" s="262">
        <v>5</v>
      </c>
      <c r="G55" s="289">
        <v>0</v>
      </c>
      <c r="H55" s="164">
        <v>0</v>
      </c>
      <c r="I55" t="s">
        <v>570</v>
      </c>
      <c r="J55" t="b">
        <f>AND(NOT(Compil[[#This Row],[Est ouvrage]]), NOT(ISBLANK(Compil[[#This Row],[ART.
CCTP]])))</f>
        <v>0</v>
      </c>
      <c r="K55" t="b">
        <f>OR(Compil[[#This Row],[Unité]]="U",Compil[[#This Row],[Unité]]="ens",Compil[[#This Row],[Unité]]="ml")</f>
        <v>1</v>
      </c>
      <c r="L55" t="b">
        <f>ISBLANK(Compil[[#This Row],[DESIGNATION]])</f>
        <v>0</v>
      </c>
      <c r="M55" s="359"/>
      <c r="N55" s="358"/>
      <c r="O55" s="358"/>
      <c r="P55" s="358"/>
      <c r="Q55" s="358">
        <f>COUNTIF(Compil[[Ma Désignation ]],Compil[[Ma Désignation ]])</f>
        <v>7</v>
      </c>
    </row>
    <row r="56" spans="1:17" ht="14">
      <c r="A56" s="303">
        <v>51</v>
      </c>
      <c r="B56" s="2"/>
      <c r="C56" s="200"/>
      <c r="D56" s="357" t="str">
        <f xml:space="preserve"> TRIM( SUBSTITUTE(SUBSTITUTE(SUBSTITUTE( Compil[[#This Row],[DESIGNATION]],"-",""),"–",""),"*",""))</f>
        <v/>
      </c>
      <c r="E56" s="197"/>
      <c r="F56" s="252"/>
      <c r="G56" s="289" t="str">
        <f>IF(F56="","",(((L56*$M$6)+(M56*#REF!*#REF!))*$M$7)/F56)</f>
        <v/>
      </c>
      <c r="H56" s="164" t="str">
        <f>IF(F56="","",F56*G56)</f>
        <v/>
      </c>
      <c r="I56" t="s">
        <v>580</v>
      </c>
      <c r="J56" t="b">
        <f>AND(NOT(Compil[[#This Row],[Est ouvrage]]), NOT(ISBLANK(Compil[[#This Row],[ART.
CCTP]])))</f>
        <v>0</v>
      </c>
      <c r="K56" t="b">
        <f>OR(Compil[[#This Row],[Unité]]="U",Compil[[#This Row],[Unité]]="ens",Compil[[#This Row],[Unité]]="ml")</f>
        <v>0</v>
      </c>
      <c r="L56" t="b">
        <f>ISBLANK(Compil[[#This Row],[DESIGNATION]])</f>
        <v>1</v>
      </c>
      <c r="M56" s="358"/>
      <c r="N56" s="358"/>
      <c r="O56" s="358"/>
      <c r="P56" s="358"/>
      <c r="Q56" s="358">
        <f>COUNTIF(Compil[[Ma Désignation ]],Compil[[Ma Désignation ]])</f>
        <v>306</v>
      </c>
    </row>
    <row r="57" spans="1:17" ht="14">
      <c r="A57" s="310">
        <v>465</v>
      </c>
      <c r="B57" s="2"/>
      <c r="C57" s="428" t="s">
        <v>265</v>
      </c>
      <c r="D57" t="str">
        <f xml:space="preserve"> TRIM( SUBSTITUTE(SUBSTITUTE(SUBSTITUTE( Compil[[#This Row],[DESIGNATION]],"-",""),"–",""),"*",""))</f>
        <v>Ampoule fluocompacte 15W, E27</v>
      </c>
      <c r="E57" s="33" t="s">
        <v>13</v>
      </c>
      <c r="F57" s="262">
        <v>6</v>
      </c>
      <c r="G57" s="289">
        <v>0</v>
      </c>
      <c r="H57" s="164">
        <v>0</v>
      </c>
      <c r="I57" t="s">
        <v>570</v>
      </c>
      <c r="J57" t="b">
        <f>AND(NOT(Compil[[#This Row],[Est ouvrage]]), NOT(ISBLANK(Compil[[#This Row],[ART.
CCTP]])))</f>
        <v>0</v>
      </c>
      <c r="K57" t="b">
        <f>OR(Compil[[#This Row],[Unité]]="U",Compil[[#This Row],[Unité]]="ens",Compil[[#This Row],[Unité]]="ml")</f>
        <v>1</v>
      </c>
      <c r="L57" t="b">
        <f>ISBLANK(Compil[[#This Row],[DESIGNATION]])</f>
        <v>0</v>
      </c>
      <c r="M57" s="359"/>
      <c r="N57" s="358"/>
      <c r="O57" s="358"/>
      <c r="P57" s="358"/>
      <c r="Q57" s="358">
        <f>COUNTIF(Compil[[Ma Désignation ]],Compil[[Ma Désignation ]])</f>
        <v>7</v>
      </c>
    </row>
    <row r="58" spans="1:17" ht="14">
      <c r="A58" s="310">
        <v>521</v>
      </c>
      <c r="B58" s="2"/>
      <c r="C58" s="428" t="s">
        <v>265</v>
      </c>
      <c r="D58" t="str">
        <f xml:space="preserve"> TRIM( SUBSTITUTE(SUBSTITUTE(SUBSTITUTE( Compil[[#This Row],[DESIGNATION]],"-",""),"–",""),"*",""))</f>
        <v>Ampoule fluocompacte 15W, E27</v>
      </c>
      <c r="E58" s="9" t="s">
        <v>13</v>
      </c>
      <c r="F58" s="262">
        <v>10</v>
      </c>
      <c r="G58" s="289">
        <v>0</v>
      </c>
      <c r="H58" s="164">
        <v>0</v>
      </c>
      <c r="I58" t="s">
        <v>570</v>
      </c>
      <c r="J58" t="b">
        <f>AND(NOT(Compil[[#This Row],[Est ouvrage]]), NOT(ISBLANK(Compil[[#This Row],[ART.
CCTP]])))</f>
        <v>0</v>
      </c>
      <c r="K58" t="b">
        <f>OR(Compil[[#This Row],[Unité]]="U",Compil[[#This Row],[Unité]]="ens",Compil[[#This Row],[Unité]]="ml")</f>
        <v>1</v>
      </c>
      <c r="L58" t="b">
        <f>ISBLANK(Compil[[#This Row],[DESIGNATION]])</f>
        <v>0</v>
      </c>
      <c r="M58" s="359"/>
      <c r="N58" s="358"/>
      <c r="O58" s="358"/>
      <c r="P58" s="358"/>
      <c r="Q58" s="358">
        <f>COUNTIF(Compil[[Ma Désignation ]],Compil[[Ma Désignation ]])</f>
        <v>7</v>
      </c>
    </row>
    <row r="59" spans="1:17" ht="14">
      <c r="A59" s="303">
        <v>54</v>
      </c>
      <c r="B59" s="2"/>
      <c r="C59" s="186"/>
      <c r="D59" t="str">
        <f xml:space="preserve"> TRIM( SUBSTITUTE(SUBSTITUTE(SUBSTITUTE( Compil[[#This Row],[DESIGNATION]],"-",""),"–",""),"*",""))</f>
        <v/>
      </c>
      <c r="E59" s="209"/>
      <c r="F59" s="252"/>
      <c r="G59" s="289" t="str">
        <f>IF(F59="","",(((L59*$M$6)+(M59*#REF!*#REF!))*$M$7)/F59)</f>
        <v/>
      </c>
      <c r="H59" s="164" t="str">
        <f>IF(F59="","",F59*G59)</f>
        <v/>
      </c>
      <c r="I59" t="s">
        <v>580</v>
      </c>
      <c r="J59" t="b">
        <f>AND(NOT(Compil[[#This Row],[Est ouvrage]]), NOT(ISBLANK(Compil[[#This Row],[ART.
CCTP]])))</f>
        <v>0</v>
      </c>
      <c r="K59" t="b">
        <f>OR(Compil[[#This Row],[Unité]]="U",Compil[[#This Row],[Unité]]="ens",Compil[[#This Row],[Unité]]="ml")</f>
        <v>0</v>
      </c>
      <c r="L59" t="b">
        <f>ISBLANK(Compil[[#This Row],[DESIGNATION]])</f>
        <v>1</v>
      </c>
      <c r="M59" s="358"/>
      <c r="N59" s="358"/>
      <c r="O59" s="358"/>
      <c r="P59" s="358"/>
      <c r="Q59" s="358">
        <f>COUNTIF(Compil[[Ma Désignation ]],Compil[[Ma Désignation ]])</f>
        <v>306</v>
      </c>
    </row>
    <row r="60" spans="1:17" ht="14">
      <c r="A60" s="310">
        <v>577</v>
      </c>
      <c r="B60" s="43"/>
      <c r="C60" s="428" t="s">
        <v>265</v>
      </c>
      <c r="D60" t="str">
        <f xml:space="preserve"> TRIM( SUBSTITUTE(SUBSTITUTE(SUBSTITUTE( Compil[[#This Row],[DESIGNATION]],"-",""),"–",""),"*",""))</f>
        <v>Ampoule fluocompacte 15W, E27</v>
      </c>
      <c r="E60" s="33" t="s">
        <v>13</v>
      </c>
      <c r="F60" s="262">
        <v>8</v>
      </c>
      <c r="G60" s="289">
        <v>0</v>
      </c>
      <c r="H60" s="164">
        <v>0</v>
      </c>
      <c r="I60" t="s">
        <v>570</v>
      </c>
      <c r="J60" t="b">
        <f>AND(NOT(Compil[[#This Row],[Est ouvrage]]), NOT(ISBLANK(Compil[[#This Row],[ART.
CCTP]])))</f>
        <v>0</v>
      </c>
      <c r="K60" t="b">
        <f>OR(Compil[[#This Row],[Unité]]="U",Compil[[#This Row],[Unité]]="ens",Compil[[#This Row],[Unité]]="ml")</f>
        <v>1</v>
      </c>
      <c r="L60" t="b">
        <f>ISBLANK(Compil[[#This Row],[DESIGNATION]])</f>
        <v>0</v>
      </c>
      <c r="M60" s="359"/>
      <c r="N60" s="358"/>
      <c r="O60" s="358"/>
      <c r="P60" s="358"/>
      <c r="Q60" s="358">
        <f>COUNTIF(Compil[[Ma Désignation ]],Compil[[Ma Désignation ]])</f>
        <v>7</v>
      </c>
    </row>
    <row r="61" spans="1:17" ht="14">
      <c r="A61" s="303">
        <v>56</v>
      </c>
      <c r="B61" s="2"/>
      <c r="C61" s="404"/>
      <c r="D61" s="357" t="str">
        <f xml:space="preserve"> TRIM( SUBSTITUTE(SUBSTITUTE(SUBSTITUTE( Compil[[#This Row],[DESIGNATION]],"-",""),"–",""),"*",""))</f>
        <v/>
      </c>
      <c r="E61" s="197"/>
      <c r="F61" s="252"/>
      <c r="G61" s="289" t="str">
        <f>IF(F61="","",(((L61*$M$6)+(M61*#REF!*#REF!))*$M$7)/F61)</f>
        <v/>
      </c>
      <c r="H61" s="164" t="str">
        <f>IF(F61="","",F61*G61)</f>
        <v/>
      </c>
      <c r="I61" t="s">
        <v>580</v>
      </c>
      <c r="J61" t="b">
        <f>AND(NOT(Compil[[#This Row],[Est ouvrage]]), NOT(ISBLANK(Compil[[#This Row],[ART.
CCTP]])))</f>
        <v>0</v>
      </c>
      <c r="K61" t="b">
        <f>OR(Compil[[#This Row],[Unité]]="U",Compil[[#This Row],[Unité]]="ens",Compil[[#This Row],[Unité]]="ml")</f>
        <v>0</v>
      </c>
      <c r="L61" t="b">
        <f>ISBLANK(Compil[[#This Row],[DESIGNATION]])</f>
        <v>1</v>
      </c>
      <c r="M61" s="358"/>
      <c r="N61" s="358"/>
      <c r="O61" s="358"/>
      <c r="P61" s="358"/>
      <c r="Q61" s="358">
        <f>COUNTIF(Compil[[Ma Désignation ]],Compil[[Ma Désignation ]])</f>
        <v>306</v>
      </c>
    </row>
    <row r="62" spans="1:17" ht="14">
      <c r="A62" s="310">
        <v>633</v>
      </c>
      <c r="B62" s="43"/>
      <c r="C62" s="428" t="s">
        <v>265</v>
      </c>
      <c r="D62" t="str">
        <f xml:space="preserve"> TRIM( SUBSTITUTE(SUBSTITUTE(SUBSTITUTE( Compil[[#This Row],[DESIGNATION]],"-",""),"–",""),"*",""))</f>
        <v>Ampoule fluocompacte 15W, E27</v>
      </c>
      <c r="E62" s="33" t="s">
        <v>13</v>
      </c>
      <c r="F62" s="262">
        <v>15</v>
      </c>
      <c r="G62" s="289">
        <v>0</v>
      </c>
      <c r="H62" s="164">
        <v>0</v>
      </c>
      <c r="I62" t="s">
        <v>570</v>
      </c>
      <c r="J62" t="b">
        <f>AND(NOT(Compil[[#This Row],[Est ouvrage]]), NOT(ISBLANK(Compil[[#This Row],[ART.
CCTP]])))</f>
        <v>0</v>
      </c>
      <c r="K62" t="b">
        <f>OR(Compil[[#This Row],[Unité]]="U",Compil[[#This Row],[Unité]]="ens",Compil[[#This Row],[Unité]]="ml")</f>
        <v>1</v>
      </c>
      <c r="L62" t="b">
        <f>ISBLANK(Compil[[#This Row],[DESIGNATION]])</f>
        <v>0</v>
      </c>
      <c r="M62" s="359"/>
      <c r="N62" s="358"/>
      <c r="O62" s="358"/>
      <c r="P62" s="358"/>
      <c r="Q62" s="358">
        <f>COUNTIF(Compil[[Ma Désignation ]],Compil[[Ma Désignation ]])</f>
        <v>7</v>
      </c>
    </row>
    <row r="63" spans="1:17" ht="14">
      <c r="A63" s="303">
        <v>58</v>
      </c>
      <c r="B63" s="2"/>
      <c r="C63" s="404"/>
      <c r="D63" s="357" t="str">
        <f xml:space="preserve"> TRIM( SUBSTITUTE(SUBSTITUTE(SUBSTITUTE( Compil[[#This Row],[DESIGNATION]],"-",""),"–",""),"*",""))</f>
        <v/>
      </c>
      <c r="E63" s="197"/>
      <c r="F63" s="252"/>
      <c r="G63" s="289" t="str">
        <f>IF(F63="","",(((L63*$M$6)+(M63*#REF!*#REF!))*$M$7)/F63)</f>
        <v/>
      </c>
      <c r="H63" s="164" t="str">
        <f>IF(F63="","",F63*G63)</f>
        <v/>
      </c>
      <c r="I63" t="s">
        <v>580</v>
      </c>
      <c r="J63" t="b">
        <f>AND(NOT(Compil[[#This Row],[Est ouvrage]]), NOT(ISBLANK(Compil[[#This Row],[ART.
CCTP]])))</f>
        <v>0</v>
      </c>
      <c r="K63" t="b">
        <f>OR(Compil[[#This Row],[Unité]]="U",Compil[[#This Row],[Unité]]="ens",Compil[[#This Row],[Unité]]="ml")</f>
        <v>0</v>
      </c>
      <c r="L63" t="b">
        <f>ISBLANK(Compil[[#This Row],[DESIGNATION]])</f>
        <v>1</v>
      </c>
      <c r="M63" s="358"/>
      <c r="N63" s="358"/>
      <c r="O63" s="358"/>
      <c r="P63" s="358"/>
      <c r="Q63" s="358">
        <f>COUNTIF(Compil[[Ma Désignation ]],Compil[[Ma Désignation ]])</f>
        <v>306</v>
      </c>
    </row>
    <row r="64" spans="1:17" ht="14">
      <c r="A64" s="310">
        <v>689</v>
      </c>
      <c r="B64" s="43"/>
      <c r="C64" s="428" t="s">
        <v>265</v>
      </c>
      <c r="D64" t="str">
        <f xml:space="preserve"> TRIM( SUBSTITUTE(SUBSTITUTE(SUBSTITUTE( Compil[[#This Row],[DESIGNATION]],"-",""),"–",""),"*",""))</f>
        <v>Ampoule fluocompacte 15W, E27</v>
      </c>
      <c r="E64" s="9" t="s">
        <v>13</v>
      </c>
      <c r="F64" s="262">
        <v>13</v>
      </c>
      <c r="G64" s="289">
        <v>0</v>
      </c>
      <c r="H64" s="164">
        <v>0</v>
      </c>
      <c r="I64" t="s">
        <v>570</v>
      </c>
      <c r="J64" t="b">
        <f>AND(NOT(Compil[[#This Row],[Est ouvrage]]), NOT(ISBLANK(Compil[[#This Row],[ART.
CCTP]])))</f>
        <v>0</v>
      </c>
      <c r="K64" t="b">
        <f>OR(Compil[[#This Row],[Unité]]="U",Compil[[#This Row],[Unité]]="ens",Compil[[#This Row],[Unité]]="ml")</f>
        <v>1</v>
      </c>
      <c r="L64" t="b">
        <f>ISBLANK(Compil[[#This Row],[DESIGNATION]])</f>
        <v>0</v>
      </c>
      <c r="M64" s="359"/>
      <c r="N64" s="358"/>
      <c r="O64" s="358"/>
      <c r="P64" s="358"/>
      <c r="Q64" s="358">
        <f>COUNTIF(Compil[[Ma Désignation ]],Compil[[Ma Désignation ]])</f>
        <v>7</v>
      </c>
    </row>
    <row r="65" spans="1:17">
      <c r="A65" s="360">
        <v>1041</v>
      </c>
      <c r="B65" s="363"/>
      <c r="C65" s="402" t="s">
        <v>265</v>
      </c>
      <c r="D65" t="str">
        <f xml:space="preserve"> TRIM( SUBSTITUTE(SUBSTITUTE(SUBSTITUTE( Compil[[#This Row],[DESIGNATION]],"-",""),"–",""),"*",""))</f>
        <v>Ampoule fluocompacte 15W, E27</v>
      </c>
      <c r="E65" s="369" t="s">
        <v>13</v>
      </c>
      <c r="F65" s="385">
        <v>2</v>
      </c>
      <c r="G65" s="390">
        <v>0</v>
      </c>
      <c r="H65" s="391">
        <v>0</v>
      </c>
      <c r="I65" t="s">
        <v>579</v>
      </c>
      <c r="J65" t="b">
        <f>AND(NOT(Compil[[#This Row],[Est ouvrage]]), NOT(ISBLANK(Compil[[#This Row],[ART.
CCTP]])))</f>
        <v>0</v>
      </c>
      <c r="K65" t="b">
        <f>OR(Compil[[#This Row],[Unité]]="U",Compil[[#This Row],[Unité]]="ens",Compil[[#This Row],[Unité]]="ml")</f>
        <v>1</v>
      </c>
      <c r="L65" t="b">
        <f>ISBLANK(Compil[[#This Row],[DESIGNATION]])</f>
        <v>0</v>
      </c>
      <c r="M65" s="359"/>
      <c r="N65" s="358"/>
      <c r="O65" s="358"/>
      <c r="P65" s="358"/>
      <c r="Q65" s="358">
        <f>COUNTIF(Compil[[Ma Désignation ]],Compil[[Ma Désignation ]])</f>
        <v>7</v>
      </c>
    </row>
    <row r="66" spans="1:17" ht="14">
      <c r="A66" s="303">
        <v>61</v>
      </c>
      <c r="B66" s="2"/>
      <c r="C66" s="418"/>
      <c r="D66" s="357" t="str">
        <f xml:space="preserve"> TRIM( SUBSTITUTE(SUBSTITUTE(SUBSTITUTE( Compil[[#This Row],[DESIGNATION]],"-",""),"–",""),"*",""))</f>
        <v/>
      </c>
      <c r="E66" s="208"/>
      <c r="F66" s="252"/>
      <c r="G66" s="289" t="str">
        <f>IF(F66="","",(((L66*$M$6)+(M66*#REF!*#REF!))*$M$7)/F66)</f>
        <v/>
      </c>
      <c r="H66" s="164" t="str">
        <f>IF(F66="","",F66*G66)</f>
        <v/>
      </c>
      <c r="I66" t="s">
        <v>580</v>
      </c>
      <c r="J66" t="b">
        <f>AND(NOT(Compil[[#This Row],[Est ouvrage]]), NOT(ISBLANK(Compil[[#This Row],[ART.
CCTP]])))</f>
        <v>0</v>
      </c>
      <c r="K66" t="b">
        <f>OR(Compil[[#This Row],[Unité]]="U",Compil[[#This Row],[Unité]]="ens",Compil[[#This Row],[Unité]]="ml")</f>
        <v>0</v>
      </c>
      <c r="L66" t="b">
        <f>ISBLANK(Compil[[#This Row],[DESIGNATION]])</f>
        <v>1</v>
      </c>
      <c r="M66" s="358"/>
      <c r="N66" s="358"/>
      <c r="O66" s="358"/>
      <c r="P66" s="358"/>
      <c r="Q66" s="358">
        <f>COUNTIF(Compil[[Ma Désignation ]],Compil[[Ma Désignation ]])</f>
        <v>306</v>
      </c>
    </row>
    <row r="67" spans="1:17" ht="14">
      <c r="A67" s="312">
        <v>810</v>
      </c>
      <c r="B67" s="19"/>
      <c r="C67" s="86" t="s">
        <v>396</v>
      </c>
      <c r="D67" t="str">
        <f xml:space="preserve"> TRIM( SUBSTITUTE(SUBSTITUTE(SUBSTITUTE( Compil[[#This Row],[DESIGNATION]],"-",""),"–",""),"*",""))</f>
        <v>Attente alarme technique</v>
      </c>
      <c r="E67" s="9" t="s">
        <v>12</v>
      </c>
      <c r="F67" s="262">
        <v>1</v>
      </c>
      <c r="G67" s="289">
        <v>0</v>
      </c>
      <c r="H67" s="164">
        <v>0</v>
      </c>
      <c r="I67" t="s">
        <v>578</v>
      </c>
      <c r="J67" t="b">
        <f>AND(NOT(Compil[[#This Row],[Est ouvrage]]), NOT(ISBLANK(Compil[[#This Row],[ART.
CCTP]])))</f>
        <v>0</v>
      </c>
      <c r="K67" t="b">
        <f>OR(Compil[[#This Row],[Unité]]="U",Compil[[#This Row],[Unité]]="ens",Compil[[#This Row],[Unité]]="ml")</f>
        <v>1</v>
      </c>
      <c r="L67" t="b">
        <f>ISBLANK(Compil[[#This Row],[DESIGNATION]])</f>
        <v>0</v>
      </c>
      <c r="M67" s="359"/>
      <c r="N67" s="358"/>
      <c r="O67" s="358"/>
      <c r="P67" s="358"/>
      <c r="Q67" s="358">
        <f>COUNTIF(Compil[[Ma Désignation ]],Compil[[Ma Désignation ]])</f>
        <v>1</v>
      </c>
    </row>
    <row r="68" spans="1:17" ht="14">
      <c r="A68" s="303">
        <v>143</v>
      </c>
      <c r="B68" s="2"/>
      <c r="C68" s="224" t="s">
        <v>290</v>
      </c>
      <c r="D68" t="str">
        <f xml:space="preserve"> TRIM( SUBSTITUTE(SUBSTITUTE(SUBSTITUTE( Compil[[#This Row],[DESIGNATION]],"-",""),"–",""),"*",""))</f>
        <v>Attente alarmes techniques pour G1</v>
      </c>
      <c r="E68" s="193" t="s">
        <v>12</v>
      </c>
      <c r="F68" s="252">
        <v>1</v>
      </c>
      <c r="G68" s="289" t="e">
        <f>IF(F68="","",(((L68*$M$6)+(M68*#REF!*#REF!))*$M$7)/F68)</f>
        <v>#VALUE!</v>
      </c>
      <c r="H68" s="164" t="e">
        <f>IF(F68="","",F68*G68)</f>
        <v>#VALUE!</v>
      </c>
      <c r="I68" t="s">
        <v>580</v>
      </c>
      <c r="J68" t="b">
        <f>AND(NOT(Compil[[#This Row],[Est ouvrage]]), NOT(ISBLANK(Compil[[#This Row],[ART.
CCTP]])))</f>
        <v>0</v>
      </c>
      <c r="K68" t="b">
        <f>OR(Compil[[#This Row],[Unité]]="U",Compil[[#This Row],[Unité]]="ens",Compil[[#This Row],[Unité]]="ml")</f>
        <v>1</v>
      </c>
      <c r="L68" t="b">
        <f>ISBLANK(Compil[[#This Row],[DESIGNATION]])</f>
        <v>0</v>
      </c>
      <c r="M68" s="359"/>
      <c r="N68" s="358"/>
      <c r="O68" s="358"/>
      <c r="P68" s="358"/>
      <c r="Q68" s="358">
        <f>COUNTIF(Compil[[Ma Désignation ]],Compil[[Ma Désignation ]])</f>
        <v>1</v>
      </c>
    </row>
    <row r="69" spans="1:17" ht="14">
      <c r="A69" s="303">
        <v>144</v>
      </c>
      <c r="B69" s="2"/>
      <c r="C69" s="224" t="s">
        <v>291</v>
      </c>
      <c r="D69" t="str">
        <f xml:space="preserve"> TRIM( SUBSTITUTE(SUBSTITUTE(SUBSTITUTE( Compil[[#This Row],[DESIGNATION]],"-",""),"–",""),"*",""))</f>
        <v>Attente alarmes techniques pour G2</v>
      </c>
      <c r="E69" s="193" t="s">
        <v>12</v>
      </c>
      <c r="F69" s="252">
        <v>1</v>
      </c>
      <c r="G69" s="289" t="e">
        <f>IF(F69="","",(((L69*$M$6)+(M69*#REF!*#REF!))*$M$7)/F69)</f>
        <v>#VALUE!</v>
      </c>
      <c r="H69" s="164" t="e">
        <f>IF(F69="","",F69*G69)</f>
        <v>#VALUE!</v>
      </c>
      <c r="I69" t="s">
        <v>580</v>
      </c>
      <c r="J69" t="b">
        <f>AND(NOT(Compil[[#This Row],[Est ouvrage]]), NOT(ISBLANK(Compil[[#This Row],[ART.
CCTP]])))</f>
        <v>0</v>
      </c>
      <c r="K69" t="b">
        <f>OR(Compil[[#This Row],[Unité]]="U",Compil[[#This Row],[Unité]]="ens",Compil[[#This Row],[Unité]]="ml")</f>
        <v>1</v>
      </c>
      <c r="L69" t="b">
        <f>ISBLANK(Compil[[#This Row],[DESIGNATION]])</f>
        <v>0</v>
      </c>
      <c r="M69" s="359"/>
      <c r="N69" s="358"/>
      <c r="O69" s="358"/>
      <c r="P69" s="358"/>
      <c r="Q69" s="358">
        <f>COUNTIF(Compil[[Ma Désignation ]],Compil[[Ma Désignation ]])</f>
        <v>1</v>
      </c>
    </row>
    <row r="70" spans="1:17" ht="14">
      <c r="A70" s="303">
        <v>145</v>
      </c>
      <c r="B70" s="2"/>
      <c r="C70" s="224" t="s">
        <v>292</v>
      </c>
      <c r="D70" t="str">
        <f xml:space="preserve"> TRIM( SUBSTITUTE(SUBSTITUTE(SUBSTITUTE( Compil[[#This Row],[DESIGNATION]],"-",""),"–",""),"*",""))</f>
        <v>Attente alarmes techniques pour les parkings</v>
      </c>
      <c r="E70" s="193" t="s">
        <v>12</v>
      </c>
      <c r="F70" s="252">
        <v>1</v>
      </c>
      <c r="G70" s="289" t="e">
        <f>IF(F70="","",(((L70*$M$6)+(M70*#REF!*#REF!))*$M$7)/F70)</f>
        <v>#VALUE!</v>
      </c>
      <c r="H70" s="164" t="e">
        <f>IF(F70="","",F70*G70)</f>
        <v>#VALUE!</v>
      </c>
      <c r="I70" t="s">
        <v>580</v>
      </c>
      <c r="J70" t="b">
        <f>AND(NOT(Compil[[#This Row],[Est ouvrage]]), NOT(ISBLANK(Compil[[#This Row],[ART.
CCTP]])))</f>
        <v>0</v>
      </c>
      <c r="K70" t="b">
        <f>OR(Compil[[#This Row],[Unité]]="U",Compil[[#This Row],[Unité]]="ens",Compil[[#This Row],[Unité]]="ml")</f>
        <v>1</v>
      </c>
      <c r="L70" t="b">
        <f>ISBLANK(Compil[[#This Row],[DESIGNATION]])</f>
        <v>0</v>
      </c>
      <c r="M70" s="359"/>
      <c r="N70" s="358"/>
      <c r="O70" s="358"/>
      <c r="P70" s="358"/>
      <c r="Q70" s="358">
        <f>COUNTIF(Compil[[Ma Désignation ]],Compil[[Ma Désignation ]])</f>
        <v>1</v>
      </c>
    </row>
    <row r="71" spans="1:17" ht="14">
      <c r="A71" s="303">
        <v>66</v>
      </c>
      <c r="B71" s="2"/>
      <c r="C71" s="397"/>
      <c r="D71" t="str">
        <f xml:space="preserve"> TRIM( SUBSTITUTE(SUBSTITUTE(SUBSTITUTE( Compil[[#This Row],[DESIGNATION]],"-",""),"–",""),"*",""))</f>
        <v/>
      </c>
      <c r="E71" s="209"/>
      <c r="F71" s="252"/>
      <c r="G71" s="289" t="str">
        <f>IF(F71="","",(((L71*$M$6)+(M71*#REF!*#REF!))*$M$7)/F71)</f>
        <v/>
      </c>
      <c r="H71" s="164" t="str">
        <f>IF(F71="","",F71*G71)</f>
        <v/>
      </c>
      <c r="I71" t="s">
        <v>580</v>
      </c>
      <c r="J71" t="b">
        <f>AND(NOT(Compil[[#This Row],[Est ouvrage]]), NOT(ISBLANK(Compil[[#This Row],[ART.
CCTP]])))</f>
        <v>0</v>
      </c>
      <c r="K71" t="b">
        <f>OR(Compil[[#This Row],[Unité]]="U",Compil[[#This Row],[Unité]]="ens",Compil[[#This Row],[Unité]]="ml")</f>
        <v>0</v>
      </c>
      <c r="L71" t="b">
        <f>ISBLANK(Compil[[#This Row],[DESIGNATION]])</f>
        <v>1</v>
      </c>
      <c r="M71" s="358"/>
      <c r="N71" s="358"/>
      <c r="O71" s="358"/>
      <c r="P71" s="358"/>
      <c r="Q71" s="358">
        <f>COUNTIF(Compil[[Ma Désignation ]],Compil[[Ma Désignation ]])</f>
        <v>306</v>
      </c>
    </row>
    <row r="72" spans="1:17" ht="14">
      <c r="A72" s="303">
        <v>138</v>
      </c>
      <c r="B72" s="2"/>
      <c r="C72" s="224" t="s">
        <v>32</v>
      </c>
      <c r="D72" t="str">
        <f xml:space="preserve"> TRIM( SUBSTITUTE(SUBSTITUTE(SUBSTITUTE( Compil[[#This Row],[DESIGNATION]],"-",""),"–",""),"*",""))</f>
        <v>Attente ampli TV</v>
      </c>
      <c r="E72" s="193" t="s">
        <v>12</v>
      </c>
      <c r="F72" s="252">
        <v>1</v>
      </c>
      <c r="G72" s="289" t="e">
        <f>IF(F72="","",(((L72*$M$6)+(M72*#REF!*#REF!))*$M$7)/F72)</f>
        <v>#VALUE!</v>
      </c>
      <c r="H72" s="164" t="e">
        <f>IF(F72="","",F72*G72)</f>
        <v>#VALUE!</v>
      </c>
      <c r="I72" t="s">
        <v>580</v>
      </c>
      <c r="J72" t="b">
        <f>AND(NOT(Compil[[#This Row],[Est ouvrage]]), NOT(ISBLANK(Compil[[#This Row],[ART.
CCTP]])))</f>
        <v>0</v>
      </c>
      <c r="K72" t="b">
        <f>OR(Compil[[#This Row],[Unité]]="U",Compil[[#This Row],[Unité]]="ens",Compil[[#This Row],[Unité]]="ml")</f>
        <v>1</v>
      </c>
      <c r="L72" t="b">
        <f>ISBLANK(Compil[[#This Row],[DESIGNATION]])</f>
        <v>0</v>
      </c>
      <c r="M72" s="359"/>
      <c r="N72" s="358"/>
      <c r="O72" s="358"/>
      <c r="P72" s="358"/>
      <c r="Q72" s="358">
        <f>COUNTIF(Compil[[Ma Désignation ]],Compil[[Ma Désignation ]])</f>
        <v>2</v>
      </c>
    </row>
    <row r="73" spans="1:17" ht="14">
      <c r="A73" s="303">
        <v>68</v>
      </c>
      <c r="B73" s="2"/>
      <c r="C73" s="186"/>
      <c r="D73" t="str">
        <f xml:space="preserve"> TRIM( SUBSTITUTE(SUBSTITUTE(SUBSTITUTE( Compil[[#This Row],[DESIGNATION]],"-",""),"–",""),"*",""))</f>
        <v/>
      </c>
      <c r="E73" s="208"/>
      <c r="F73" s="252"/>
      <c r="G73" s="289" t="str">
        <f>IF(F73="","",(((L73*$M$6)+(M73*#REF!*#REF!))*$M$7)/F73)</f>
        <v/>
      </c>
      <c r="H73" s="164" t="str">
        <f>IF(F73="","",F73*G73)</f>
        <v/>
      </c>
      <c r="I73" t="s">
        <v>580</v>
      </c>
      <c r="J73" t="b">
        <f>AND(NOT(Compil[[#This Row],[Est ouvrage]]), NOT(ISBLANK(Compil[[#This Row],[ART.
CCTP]])))</f>
        <v>0</v>
      </c>
      <c r="K73" t="b">
        <f>OR(Compil[[#This Row],[Unité]]="U",Compil[[#This Row],[Unité]]="ens",Compil[[#This Row],[Unité]]="ml")</f>
        <v>0</v>
      </c>
      <c r="L73" t="b">
        <f>ISBLANK(Compil[[#This Row],[DESIGNATION]])</f>
        <v>1</v>
      </c>
      <c r="M73" s="358"/>
      <c r="N73" s="358"/>
      <c r="O73" s="358"/>
      <c r="P73" s="358"/>
      <c r="Q73" s="358">
        <f>COUNTIF(Compil[[Ma Désignation ]],Compil[[Ma Désignation ]])</f>
        <v>306</v>
      </c>
    </row>
    <row r="74" spans="1:17" ht="14">
      <c r="A74" s="312">
        <v>811</v>
      </c>
      <c r="B74" s="19"/>
      <c r="C74" s="86" t="s">
        <v>32</v>
      </c>
      <c r="D74" t="str">
        <f xml:space="preserve"> TRIM( SUBSTITUTE(SUBSTITUTE(SUBSTITUTE( Compil[[#This Row],[DESIGNATION]],"-",""),"–",""),"*",""))</f>
        <v>Attente ampli TV</v>
      </c>
      <c r="E74" s="9" t="s">
        <v>12</v>
      </c>
      <c r="F74" s="262">
        <v>1</v>
      </c>
      <c r="G74" s="289">
        <v>0</v>
      </c>
      <c r="H74" s="164">
        <v>0</v>
      </c>
      <c r="I74" t="s">
        <v>578</v>
      </c>
      <c r="J74" t="b">
        <f>AND(NOT(Compil[[#This Row],[Est ouvrage]]), NOT(ISBLANK(Compil[[#This Row],[ART.
CCTP]])))</f>
        <v>0</v>
      </c>
      <c r="K74" t="b">
        <f>OR(Compil[[#This Row],[Unité]]="U",Compil[[#This Row],[Unité]]="ens",Compil[[#This Row],[Unité]]="ml")</f>
        <v>1</v>
      </c>
      <c r="L74" t="b">
        <f>ISBLANK(Compil[[#This Row],[DESIGNATION]])</f>
        <v>0</v>
      </c>
      <c r="M74" s="359"/>
      <c r="N74" s="358"/>
      <c r="O74" s="358"/>
      <c r="P74" s="358"/>
      <c r="Q74" s="358">
        <f>COUNTIF(Compil[[Ma Désignation ]],Compil[[Ma Désignation ]])</f>
        <v>2</v>
      </c>
    </row>
    <row r="75" spans="1:17" ht="14">
      <c r="A75" s="303">
        <v>157</v>
      </c>
      <c r="B75" s="2" t="s">
        <v>561</v>
      </c>
      <c r="C75" s="224" t="s">
        <v>302</v>
      </c>
      <c r="D75" t="str">
        <f xml:space="preserve"> TRIM( SUBSTITUTE(SUBSTITUTE(SUBSTITUTE( Compil[[#This Row],[DESIGNATION]],"-",""),"–",""),"*",""))</f>
        <v>Attente ascenseur pour G1</v>
      </c>
      <c r="E75" s="190" t="s">
        <v>12</v>
      </c>
      <c r="F75" s="252">
        <v>1</v>
      </c>
      <c r="G75" s="289" t="e">
        <f>IF(F75="","",(((L75*$M$6)+(M75*#REF!*#REF!))*$M$7)/F75)</f>
        <v>#VALUE!</v>
      </c>
      <c r="H75" s="164" t="e">
        <f>IF(F75="","",F75*G75)</f>
        <v>#VALUE!</v>
      </c>
      <c r="I75" t="s">
        <v>580</v>
      </c>
      <c r="J75" t="b">
        <f>AND(NOT(Compil[[#This Row],[Est ouvrage]]), NOT(ISBLANK(Compil[[#This Row],[ART.
CCTP]])))</f>
        <v>0</v>
      </c>
      <c r="K75" t="b">
        <f>OR(Compil[[#This Row],[Unité]]="U",Compil[[#This Row],[Unité]]="ens",Compil[[#This Row],[Unité]]="ml")</f>
        <v>1</v>
      </c>
      <c r="L75" t="b">
        <f>ISBLANK(Compil[[#This Row],[DESIGNATION]])</f>
        <v>0</v>
      </c>
      <c r="M75" s="359"/>
      <c r="N75" s="358"/>
      <c r="O75" s="358"/>
      <c r="P75" s="358"/>
      <c r="Q75" s="358">
        <f>COUNTIF(Compil[[Ma Désignation ]],Compil[[Ma Désignation ]])</f>
        <v>1</v>
      </c>
    </row>
    <row r="76" spans="1:17" ht="14">
      <c r="A76" s="303">
        <v>71</v>
      </c>
      <c r="B76" s="2"/>
      <c r="C76" s="419"/>
      <c r="D76" s="357" t="str">
        <f xml:space="preserve"> TRIM( SUBSTITUTE(SUBSTITUTE(SUBSTITUTE( Compil[[#This Row],[DESIGNATION]],"-",""),"–",""),"*",""))</f>
        <v/>
      </c>
      <c r="E76" s="208"/>
      <c r="F76" s="252"/>
      <c r="G76" s="289" t="str">
        <f>IF(F76="","",(((L76*$M$6)+(M76*#REF!*#REF!))*$M$7)/F76)</f>
        <v/>
      </c>
      <c r="H76" s="164" t="str">
        <f>IF(F76="","",F76*G76)</f>
        <v/>
      </c>
      <c r="I76" t="s">
        <v>580</v>
      </c>
      <c r="J76" t="b">
        <f>AND(NOT(Compil[[#This Row],[Est ouvrage]]), NOT(ISBLANK(Compil[[#This Row],[ART.
CCTP]])))</f>
        <v>0</v>
      </c>
      <c r="K76" t="b">
        <f>OR(Compil[[#This Row],[Unité]]="U",Compil[[#This Row],[Unité]]="ens",Compil[[#This Row],[Unité]]="ml")</f>
        <v>0</v>
      </c>
      <c r="L76" t="b">
        <f>ISBLANK(Compil[[#This Row],[DESIGNATION]])</f>
        <v>1</v>
      </c>
      <c r="M76" s="358"/>
      <c r="N76" s="358"/>
      <c r="O76" s="358"/>
      <c r="P76" s="358"/>
      <c r="Q76" s="358">
        <f>COUNTIF(Compil[[Ma Désignation ]],Compil[[Ma Désignation ]])</f>
        <v>306</v>
      </c>
    </row>
    <row r="77" spans="1:17" ht="14">
      <c r="A77" s="312">
        <v>816</v>
      </c>
      <c r="B77" s="19" t="s">
        <v>561</v>
      </c>
      <c r="C77" s="86" t="s">
        <v>304</v>
      </c>
      <c r="D77" t="str">
        <f xml:space="preserve"> TRIM( SUBSTITUTE(SUBSTITUTE(SUBSTITUTE( Compil[[#This Row],[DESIGNATION]],"-",""),"–",""),"*",""))</f>
        <v>Attente ascenseur pour SOHO</v>
      </c>
      <c r="E77" s="8" t="s">
        <v>12</v>
      </c>
      <c r="F77" s="262">
        <v>1</v>
      </c>
      <c r="G77" s="289">
        <v>0</v>
      </c>
      <c r="H77" s="164">
        <v>0</v>
      </c>
      <c r="I77" t="s">
        <v>578</v>
      </c>
      <c r="J77" t="b">
        <f>AND(NOT(Compil[[#This Row],[Est ouvrage]]), NOT(ISBLANK(Compil[[#This Row],[ART.
CCTP]])))</f>
        <v>0</v>
      </c>
      <c r="K77" t="b">
        <f>OR(Compil[[#This Row],[Unité]]="U",Compil[[#This Row],[Unité]]="ens",Compil[[#This Row],[Unité]]="ml")</f>
        <v>1</v>
      </c>
      <c r="L77" t="b">
        <f>ISBLANK(Compil[[#This Row],[DESIGNATION]])</f>
        <v>0</v>
      </c>
      <c r="M77" s="359"/>
      <c r="N77" s="358"/>
      <c r="O77" s="358"/>
      <c r="P77" s="358"/>
      <c r="Q77" s="358">
        <f>COUNTIF(Compil[[Ma Désignation ]],Compil[[Ma Désignation ]])</f>
        <v>1</v>
      </c>
    </row>
    <row r="78" spans="1:17" ht="14">
      <c r="A78" s="303">
        <v>73</v>
      </c>
      <c r="B78" s="2"/>
      <c r="C78" s="186"/>
      <c r="D78" t="str">
        <f xml:space="preserve"> TRIM( SUBSTITUTE(SUBSTITUTE(SUBSTITUTE( Compil[[#This Row],[DESIGNATION]],"-",""),"–",""),"*",""))</f>
        <v/>
      </c>
      <c r="E78" s="208"/>
      <c r="F78" s="252"/>
      <c r="G78" s="289" t="str">
        <f>IF(F78="","",(((L78*$M$6)+(M78*#REF!*#REF!))*$M$7)/F78)</f>
        <v/>
      </c>
      <c r="H78" s="164" t="str">
        <f>IF(F78="","",F78*G78)</f>
        <v/>
      </c>
      <c r="I78" t="s">
        <v>580</v>
      </c>
      <c r="J78" t="b">
        <f>AND(NOT(Compil[[#This Row],[Est ouvrage]]), NOT(ISBLANK(Compil[[#This Row],[ART.
CCTP]])))</f>
        <v>0</v>
      </c>
      <c r="K78" t="b">
        <f>OR(Compil[[#This Row],[Unité]]="U",Compil[[#This Row],[Unité]]="ens",Compil[[#This Row],[Unité]]="ml")</f>
        <v>0</v>
      </c>
      <c r="L78" t="b">
        <f>ISBLANK(Compil[[#This Row],[DESIGNATION]])</f>
        <v>1</v>
      </c>
      <c r="M78" s="358"/>
      <c r="N78" s="358"/>
      <c r="O78" s="358"/>
      <c r="P78" s="358"/>
      <c r="Q78" s="358">
        <f>COUNTIF(Compil[[Ma Désignation ]],Compil[[Ma Désignation ]])</f>
        <v>306</v>
      </c>
    </row>
    <row r="79" spans="1:17" ht="14">
      <c r="A79" s="312">
        <v>812</v>
      </c>
      <c r="B79" s="19" t="s">
        <v>562</v>
      </c>
      <c r="C79" s="86" t="s">
        <v>398</v>
      </c>
      <c r="D79" t="str">
        <f xml:space="preserve"> TRIM( SUBSTITUTE(SUBSTITUTE(SUBSTITUTE( Compil[[#This Row],[DESIGNATION]],"-",""),"–",""),"*",""))</f>
        <v>Attente contrôle d'accès</v>
      </c>
      <c r="E79" s="8" t="s">
        <v>12</v>
      </c>
      <c r="F79" s="262">
        <v>1</v>
      </c>
      <c r="G79" s="289">
        <v>0</v>
      </c>
      <c r="H79" s="164">
        <v>0</v>
      </c>
      <c r="I79" t="s">
        <v>578</v>
      </c>
      <c r="J79" t="b">
        <f>AND(NOT(Compil[[#This Row],[Est ouvrage]]), NOT(ISBLANK(Compil[[#This Row],[ART.
CCTP]])))</f>
        <v>0</v>
      </c>
      <c r="K79" t="b">
        <f>OR(Compil[[#This Row],[Unité]]="U",Compil[[#This Row],[Unité]]="ens",Compil[[#This Row],[Unité]]="ml")</f>
        <v>1</v>
      </c>
      <c r="L79" t="b">
        <f>ISBLANK(Compil[[#This Row],[DESIGNATION]])</f>
        <v>0</v>
      </c>
      <c r="M79" s="359"/>
      <c r="N79" s="358"/>
      <c r="O79" s="358"/>
      <c r="P79" s="358"/>
      <c r="Q79" s="358">
        <f>COUNTIF(Compil[[Ma Désignation ]],Compil[[Ma Désignation ]])</f>
        <v>1</v>
      </c>
    </row>
    <row r="80" spans="1:17" ht="14">
      <c r="A80" s="303">
        <v>75</v>
      </c>
      <c r="B80" s="2"/>
      <c r="C80" s="186"/>
      <c r="D80" t="str">
        <f xml:space="preserve"> TRIM( SUBSTITUTE(SUBSTITUTE(SUBSTITUTE( Compil[[#This Row],[DESIGNATION]],"-",""),"–",""),"*",""))</f>
        <v/>
      </c>
      <c r="E80" s="208"/>
      <c r="F80" s="252"/>
      <c r="G80" s="289" t="str">
        <f>IF(F80="","",(((L80*$M$6)+(M80*#REF!*#REF!))*$M$7)/F80)</f>
        <v/>
      </c>
      <c r="H80" s="164" t="str">
        <f>IF(F80="","",F80*G80)</f>
        <v/>
      </c>
      <c r="I80" t="s">
        <v>580</v>
      </c>
      <c r="J80" t="b">
        <f>AND(NOT(Compil[[#This Row],[Est ouvrage]]), NOT(ISBLANK(Compil[[#This Row],[ART.
CCTP]])))</f>
        <v>0</v>
      </c>
      <c r="K80" t="b">
        <f>OR(Compil[[#This Row],[Unité]]="U",Compil[[#This Row],[Unité]]="ens",Compil[[#This Row],[Unité]]="ml")</f>
        <v>0</v>
      </c>
      <c r="L80" t="b">
        <f>ISBLANK(Compil[[#This Row],[DESIGNATION]])</f>
        <v>1</v>
      </c>
      <c r="M80" s="358"/>
      <c r="N80" s="358"/>
      <c r="O80" s="358"/>
      <c r="P80" s="358"/>
      <c r="Q80" s="358">
        <f>COUNTIF(Compil[[Ma Désignation ]],Compil[[Ma Désignation ]])</f>
        <v>306</v>
      </c>
    </row>
    <row r="81" spans="1:17" ht="14">
      <c r="A81" s="303">
        <v>151</v>
      </c>
      <c r="B81" s="2" t="s">
        <v>562</v>
      </c>
      <c r="C81" s="224" t="s">
        <v>298</v>
      </c>
      <c r="D81" t="str">
        <f xml:space="preserve"> TRIM( SUBSTITUTE(SUBSTITUTE(SUBSTITUTE( Compil[[#This Row],[DESIGNATION]],"-",""),"–",""),"*",""))</f>
        <v>Attente contrôle d'accès pour G1</v>
      </c>
      <c r="E81" s="190" t="s">
        <v>12</v>
      </c>
      <c r="F81" s="252">
        <v>1</v>
      </c>
      <c r="G81" s="289" t="e">
        <f>IF(F81="","",(((L81*$M$6)+(M81*#REF!*#REF!))*$M$7)/F81)</f>
        <v>#VALUE!</v>
      </c>
      <c r="H81" s="164" t="e">
        <f>IF(F81="","",F81*G81)</f>
        <v>#VALUE!</v>
      </c>
      <c r="I81" t="s">
        <v>580</v>
      </c>
      <c r="J81" t="b">
        <f>AND(NOT(Compil[[#This Row],[Est ouvrage]]), NOT(ISBLANK(Compil[[#This Row],[ART.
CCTP]])))</f>
        <v>0</v>
      </c>
      <c r="K81" t="b">
        <f>OR(Compil[[#This Row],[Unité]]="U",Compil[[#This Row],[Unité]]="ens",Compil[[#This Row],[Unité]]="ml")</f>
        <v>1</v>
      </c>
      <c r="L81" t="b">
        <f>ISBLANK(Compil[[#This Row],[DESIGNATION]])</f>
        <v>0</v>
      </c>
      <c r="M81" s="359"/>
      <c r="N81" s="358"/>
      <c r="O81" s="358"/>
      <c r="P81" s="358"/>
      <c r="Q81" s="358">
        <f>COUNTIF(Compil[[Ma Désignation ]],Compil[[Ma Désignation ]])</f>
        <v>1</v>
      </c>
    </row>
    <row r="82" spans="1:17" ht="14">
      <c r="A82" s="303">
        <v>77</v>
      </c>
      <c r="B82" s="2"/>
      <c r="C82" s="397"/>
      <c r="D82" t="str">
        <f xml:space="preserve"> TRIM( SUBSTITUTE(SUBSTITUTE(SUBSTITUTE( Compil[[#This Row],[DESIGNATION]],"-",""),"–",""),"*",""))</f>
        <v/>
      </c>
      <c r="E82" s="209"/>
      <c r="F82" s="252"/>
      <c r="G82" s="289" t="str">
        <f>IF(F82="","",(((L82*$M$6)+(M82*#REF!*#REF!))*$M$7)/F82)</f>
        <v/>
      </c>
      <c r="H82" s="164" t="str">
        <f>IF(F82="","",F82*G82)</f>
        <v/>
      </c>
      <c r="I82" t="s">
        <v>580</v>
      </c>
      <c r="J82" t="b">
        <f>AND(NOT(Compil[[#This Row],[Est ouvrage]]), NOT(ISBLANK(Compil[[#This Row],[ART.
CCTP]])))</f>
        <v>0</v>
      </c>
      <c r="K82" t="b">
        <f>OR(Compil[[#This Row],[Unité]]="U",Compil[[#This Row],[Unité]]="ens",Compil[[#This Row],[Unité]]="ml")</f>
        <v>0</v>
      </c>
      <c r="L82" t="b">
        <f>ISBLANK(Compil[[#This Row],[DESIGNATION]])</f>
        <v>1</v>
      </c>
      <c r="M82" s="358"/>
      <c r="N82" s="358"/>
      <c r="O82" s="358"/>
      <c r="P82" s="358"/>
      <c r="Q82" s="358">
        <f>COUNTIF(Compil[[Ma Désignation ]],Compil[[Ma Désignation ]])</f>
        <v>306</v>
      </c>
    </row>
    <row r="83" spans="1:17" ht="14">
      <c r="A83" s="303">
        <v>152</v>
      </c>
      <c r="B83" s="2" t="s">
        <v>562</v>
      </c>
      <c r="C83" s="224" t="s">
        <v>299</v>
      </c>
      <c r="D83" t="str">
        <f xml:space="preserve"> TRIM( SUBSTITUTE(SUBSTITUTE(SUBSTITUTE( Compil[[#This Row],[DESIGNATION]],"-",""),"–",""),"*",""))</f>
        <v>Attente contrôle d'accès pour G2</v>
      </c>
      <c r="E83" s="190" t="s">
        <v>12</v>
      </c>
      <c r="F83" s="252">
        <v>1</v>
      </c>
      <c r="G83" s="289" t="e">
        <f>IF(F83="","",(((L83*$M$6)+(M83*#REF!*#REF!))*$M$7)/F83)</f>
        <v>#VALUE!</v>
      </c>
      <c r="H83" s="164" t="e">
        <f>IF(F83="","",F83*G83)</f>
        <v>#VALUE!</v>
      </c>
      <c r="I83" t="s">
        <v>580</v>
      </c>
      <c r="J83" t="b">
        <f>AND(NOT(Compil[[#This Row],[Est ouvrage]]), NOT(ISBLANK(Compil[[#This Row],[ART.
CCTP]])))</f>
        <v>0</v>
      </c>
      <c r="K83" t="b">
        <f>OR(Compil[[#This Row],[Unité]]="U",Compil[[#This Row],[Unité]]="ens",Compil[[#This Row],[Unité]]="ml")</f>
        <v>1</v>
      </c>
      <c r="L83" t="b">
        <f>ISBLANK(Compil[[#This Row],[DESIGNATION]])</f>
        <v>0</v>
      </c>
      <c r="M83" s="359"/>
      <c r="N83" s="358"/>
      <c r="O83" s="358"/>
      <c r="P83" s="358"/>
      <c r="Q83" s="358">
        <f>COUNTIF(Compil[[Ma Désignation ]],Compil[[Ma Désignation ]])</f>
        <v>1</v>
      </c>
    </row>
    <row r="84" spans="1:17" ht="14">
      <c r="A84" s="303">
        <v>79</v>
      </c>
      <c r="B84" s="2"/>
      <c r="C84" s="186"/>
      <c r="D84" t="str">
        <f xml:space="preserve"> TRIM( SUBSTITUTE(SUBSTITUTE(SUBSTITUTE( Compil[[#This Row],[DESIGNATION]],"-",""),"–",""),"*",""))</f>
        <v/>
      </c>
      <c r="E84" s="208"/>
      <c r="F84" s="252"/>
      <c r="G84" s="289" t="str">
        <f>IF(F84="","",(((L84*$M$6)+(M84*#REF!*#REF!))*$M$7)/F84)</f>
        <v/>
      </c>
      <c r="H84" s="164" t="str">
        <f>IF(F84="","",F84*G84)</f>
        <v/>
      </c>
      <c r="I84" t="s">
        <v>580</v>
      </c>
      <c r="J84" t="b">
        <f>AND(NOT(Compil[[#This Row],[Est ouvrage]]), NOT(ISBLANK(Compil[[#This Row],[ART.
CCTP]])))</f>
        <v>0</v>
      </c>
      <c r="K84" t="b">
        <f>OR(Compil[[#This Row],[Unité]]="U",Compil[[#This Row],[Unité]]="ens",Compil[[#This Row],[Unité]]="ml")</f>
        <v>0</v>
      </c>
      <c r="L84" t="b">
        <f>ISBLANK(Compil[[#This Row],[DESIGNATION]])</f>
        <v>1</v>
      </c>
      <c r="M84" s="358"/>
      <c r="N84" s="358"/>
      <c r="O84" s="358"/>
      <c r="P84" s="358"/>
      <c r="Q84" s="358">
        <f>COUNTIF(Compil[[Ma Désignation ]],Compil[[Ma Désignation ]])</f>
        <v>306</v>
      </c>
    </row>
    <row r="85" spans="1:17" ht="14">
      <c r="A85" s="312">
        <v>813</v>
      </c>
      <c r="B85" s="19" t="s">
        <v>565</v>
      </c>
      <c r="C85" s="86" t="s">
        <v>402</v>
      </c>
      <c r="D85" t="str">
        <f xml:space="preserve"> TRIM( SUBSTITUTE(SUBSTITUTE(SUBSTITUTE( Compil[[#This Row],[DESIGNATION]],"-",""),"–",""),"*",""))</f>
        <v>Attente CTA</v>
      </c>
      <c r="E85" s="8" t="s">
        <v>12</v>
      </c>
      <c r="F85" s="262">
        <v>1</v>
      </c>
      <c r="G85" s="289">
        <v>0</v>
      </c>
      <c r="H85" s="164">
        <v>0</v>
      </c>
      <c r="I85" t="s">
        <v>578</v>
      </c>
      <c r="J85" t="b">
        <f>AND(NOT(Compil[[#This Row],[Est ouvrage]]), NOT(ISBLANK(Compil[[#This Row],[ART.
CCTP]])))</f>
        <v>0</v>
      </c>
      <c r="K85" t="b">
        <f>OR(Compil[[#This Row],[Unité]]="U",Compil[[#This Row],[Unité]]="ens",Compil[[#This Row],[Unité]]="ml")</f>
        <v>1</v>
      </c>
      <c r="L85" t="b">
        <f>ISBLANK(Compil[[#This Row],[DESIGNATION]])</f>
        <v>0</v>
      </c>
      <c r="M85" s="359"/>
      <c r="N85" s="358"/>
      <c r="O85" s="358"/>
      <c r="P85" s="358"/>
      <c r="Q85" s="358">
        <f>COUNTIF(Compil[[Ma Désignation ]],Compil[[Ma Désignation ]])</f>
        <v>1</v>
      </c>
    </row>
    <row r="86" spans="1:17" ht="14">
      <c r="A86" s="303">
        <v>81</v>
      </c>
      <c r="B86" s="2"/>
      <c r="C86" s="215"/>
      <c r="D86" s="357" t="str">
        <f xml:space="preserve"> TRIM( SUBSTITUTE(SUBSTITUTE(SUBSTITUTE( Compil[[#This Row],[DESIGNATION]],"-",""),"–",""),"*",""))</f>
        <v/>
      </c>
      <c r="E86" s="216"/>
      <c r="F86" s="252"/>
      <c r="G86" s="289" t="str">
        <f>IF(F86="","",(((L86*$M$6)+(M86*#REF!*#REF!))*$M$7)/F86)</f>
        <v/>
      </c>
      <c r="H86" s="164" t="str">
        <f>IF(F86="","",F86*G86)</f>
        <v/>
      </c>
      <c r="I86" t="s">
        <v>580</v>
      </c>
      <c r="J86" t="b">
        <f>AND(NOT(Compil[[#This Row],[Est ouvrage]]), NOT(ISBLANK(Compil[[#This Row],[ART.
CCTP]])))</f>
        <v>0</v>
      </c>
      <c r="K86" t="b">
        <f>OR(Compil[[#This Row],[Unité]]="U",Compil[[#This Row],[Unité]]="ens",Compil[[#This Row],[Unité]]="ml")</f>
        <v>0</v>
      </c>
      <c r="L86" t="b">
        <f>ISBLANK(Compil[[#This Row],[DESIGNATION]])</f>
        <v>1</v>
      </c>
      <c r="M86" s="358"/>
      <c r="N86" s="358"/>
      <c r="O86" s="358"/>
      <c r="P86" s="358"/>
      <c r="Q86" s="358">
        <f>COUNTIF(Compil[[Ma Désignation ]],Compil[[Ma Désignation ]])</f>
        <v>306</v>
      </c>
    </row>
    <row r="87" spans="1:17" ht="14">
      <c r="A87" s="303">
        <v>82</v>
      </c>
      <c r="B87" s="2"/>
      <c r="C87" s="394" t="s">
        <v>103</v>
      </c>
      <c r="D87" t="str">
        <f xml:space="preserve"> TRIM( SUBSTITUTE(SUBSTITUTE(SUBSTITUTE( Compil[[#This Row],[DESIGNATION]],"-",""),"–",""),"*",""))</f>
        <v>Sous total 2.1</v>
      </c>
      <c r="E87" s="216"/>
      <c r="F87" s="252"/>
      <c r="G87" s="289" t="str">
        <f>IF(F87="","",(((L87*$M$6)+(M87*#REF!*#REF!))*$M$7)/F87)</f>
        <v/>
      </c>
      <c r="H87" s="164" t="str">
        <f>IF(F87="","",F87*G87)</f>
        <v/>
      </c>
      <c r="I87" t="s">
        <v>580</v>
      </c>
      <c r="J87" t="b">
        <f>AND(NOT(Compil[[#This Row],[Est ouvrage]]), NOT(ISBLANK(Compil[[#This Row],[ART.
CCTP]])))</f>
        <v>0</v>
      </c>
      <c r="K87" t="b">
        <f>OR(Compil[[#This Row],[Unité]]="U",Compil[[#This Row],[Unité]]="ens",Compil[[#This Row],[Unité]]="ml")</f>
        <v>0</v>
      </c>
      <c r="L87" t="b">
        <f>ISBLANK(Compil[[#This Row],[DESIGNATION]])</f>
        <v>0</v>
      </c>
      <c r="M87" s="359"/>
      <c r="N87" s="358"/>
      <c r="O87" s="358"/>
      <c r="P87" s="358"/>
      <c r="Q87" s="358">
        <f>COUNTIF(Compil[[Ma Désignation ]],Compil[[Ma Désignation ]])</f>
        <v>1</v>
      </c>
    </row>
    <row r="88" spans="1:17" ht="14">
      <c r="A88" s="303">
        <v>83</v>
      </c>
      <c r="B88" s="2"/>
      <c r="C88" s="220"/>
      <c r="D88" t="str">
        <f xml:space="preserve"> TRIM( SUBSTITUTE(SUBSTITUTE(SUBSTITUTE( Compil[[#This Row],[DESIGNATION]],"-",""),"–",""),"*",""))</f>
        <v/>
      </c>
      <c r="E88" s="216"/>
      <c r="F88" s="252"/>
      <c r="G88" s="289" t="str">
        <f>IF(F88="","",(((L88*$M$6)+(M88*#REF!*#REF!))*$M$7)/F88)</f>
        <v/>
      </c>
      <c r="H88" s="164" t="str">
        <f>IF(F88="","",F88*G88)</f>
        <v/>
      </c>
      <c r="I88" t="s">
        <v>580</v>
      </c>
      <c r="J88" t="b">
        <f>AND(NOT(Compil[[#This Row],[Est ouvrage]]), NOT(ISBLANK(Compil[[#This Row],[ART.
CCTP]])))</f>
        <v>0</v>
      </c>
      <c r="K88" t="b">
        <f>OR(Compil[[#This Row],[Unité]]="U",Compil[[#This Row],[Unité]]="ens",Compil[[#This Row],[Unité]]="ml")</f>
        <v>0</v>
      </c>
      <c r="L88" t="b">
        <f>ISBLANK(Compil[[#This Row],[DESIGNATION]])</f>
        <v>1</v>
      </c>
      <c r="M88" s="358"/>
      <c r="N88" s="358"/>
      <c r="O88" s="358"/>
      <c r="P88" s="358"/>
      <c r="Q88" s="358">
        <f>COUNTIF(Compil[[Ma Désignation ]],Compil[[Ma Désignation ]])</f>
        <v>306</v>
      </c>
    </row>
    <row r="89" spans="1:17" ht="14">
      <c r="A89" s="303">
        <v>84</v>
      </c>
      <c r="B89" s="2" t="s">
        <v>4</v>
      </c>
      <c r="C89" s="192" t="s">
        <v>29</v>
      </c>
      <c r="D89" t="str">
        <f xml:space="preserve"> TRIM( SUBSTITUTE(SUBSTITUTE(SUBSTITUTE( Compil[[#This Row],[DESIGNATION]],"-",""),"–",""),"*",""))</f>
        <v>Circuit de terreLiaison équipotentielle</v>
      </c>
      <c r="E89" s="216"/>
      <c r="F89" s="252"/>
      <c r="G89" s="289" t="str">
        <f>IF(F89="","",(((L89*$M$6)+(M89*#REF!*#REF!))*$M$7)/F89)</f>
        <v/>
      </c>
      <c r="H89" s="164" t="str">
        <f>IF(F89="","",F89*G89)</f>
        <v/>
      </c>
      <c r="I89" t="s">
        <v>580</v>
      </c>
      <c r="J89" t="b">
        <f>AND(NOT(Compil[[#This Row],[Est ouvrage]]), NOT(ISBLANK(Compil[[#This Row],[ART.
CCTP]])))</f>
        <v>1</v>
      </c>
      <c r="K89" t="b">
        <f>OR(Compil[[#This Row],[Unité]]="U",Compil[[#This Row],[Unité]]="ens",Compil[[#This Row],[Unité]]="ml")</f>
        <v>0</v>
      </c>
      <c r="L89" t="b">
        <f>ISBLANK(Compil[[#This Row],[DESIGNATION]])</f>
        <v>0</v>
      </c>
      <c r="M89" s="359"/>
      <c r="N89" s="358"/>
      <c r="O89" s="358"/>
      <c r="P89" s="358"/>
      <c r="Q89" s="358">
        <f>COUNTIF(Compil[[Ma Désignation ]],Compil[[Ma Désignation ]])</f>
        <v>2</v>
      </c>
    </row>
    <row r="90" spans="1:17" ht="14">
      <c r="A90" s="303">
        <v>85</v>
      </c>
      <c r="B90" s="2"/>
      <c r="C90" s="220"/>
      <c r="D90" t="str">
        <f xml:space="preserve"> TRIM( SUBSTITUTE(SUBSTITUTE(SUBSTITUTE( Compil[[#This Row],[DESIGNATION]],"-",""),"–",""),"*",""))</f>
        <v/>
      </c>
      <c r="E90" s="216"/>
      <c r="F90" s="252"/>
      <c r="G90" s="289" t="str">
        <f>IF(F90="","",(((L90*$M$6)+(M90*#REF!*#REF!))*$M$7)/F90)</f>
        <v/>
      </c>
      <c r="H90" s="164" t="str">
        <f>IF(F90="","",F90*G90)</f>
        <v/>
      </c>
      <c r="I90" t="s">
        <v>580</v>
      </c>
      <c r="J90" t="b">
        <f>AND(NOT(Compil[[#This Row],[Est ouvrage]]), NOT(ISBLANK(Compil[[#This Row],[ART.
CCTP]])))</f>
        <v>0</v>
      </c>
      <c r="K90" t="b">
        <f>OR(Compil[[#This Row],[Unité]]="U",Compil[[#This Row],[Unité]]="ens",Compil[[#This Row],[Unité]]="ml")</f>
        <v>0</v>
      </c>
      <c r="L90" t="b">
        <f>ISBLANK(Compil[[#This Row],[DESIGNATION]])</f>
        <v>1</v>
      </c>
      <c r="M90" s="358"/>
      <c r="N90" s="358"/>
      <c r="O90" s="358"/>
      <c r="P90" s="358"/>
      <c r="Q90" s="358">
        <f>COUNTIF(Compil[[Ma Désignation ]],Compil[[Ma Désignation ]])</f>
        <v>306</v>
      </c>
    </row>
    <row r="91" spans="1:17" ht="14">
      <c r="A91" s="310">
        <v>381</v>
      </c>
      <c r="B91" s="43"/>
      <c r="C91" s="416" t="s">
        <v>126</v>
      </c>
      <c r="D91" t="str">
        <f xml:space="preserve"> TRIM( SUBSTITUTE(SUBSTITUTE(SUBSTITUTE( Compil[[#This Row],[DESIGNATION]],"-",""),"–",""),"*",""))</f>
        <v>Attente cuisson</v>
      </c>
      <c r="E91" s="33" t="s">
        <v>13</v>
      </c>
      <c r="F91" s="262">
        <v>1</v>
      </c>
      <c r="G91" s="289">
        <v>0</v>
      </c>
      <c r="H91" s="164">
        <v>0</v>
      </c>
      <c r="I91" t="s">
        <v>570</v>
      </c>
      <c r="J91" t="b">
        <f>AND(NOT(Compil[[#This Row],[Est ouvrage]]), NOT(ISBLANK(Compil[[#This Row],[ART.
CCTP]])))</f>
        <v>0</v>
      </c>
      <c r="K91" t="b">
        <f>OR(Compil[[#This Row],[Unité]]="U",Compil[[#This Row],[Unité]]="ens",Compil[[#This Row],[Unité]]="ml")</f>
        <v>1</v>
      </c>
      <c r="L91" t="b">
        <f>ISBLANK(Compil[[#This Row],[DESIGNATION]])</f>
        <v>0</v>
      </c>
      <c r="M91" s="359"/>
      <c r="N91" s="358"/>
      <c r="O91" s="358"/>
      <c r="P91" s="358"/>
      <c r="Q91" s="358">
        <f>COUNTIF(Compil[[Ma Désignation ]],Compil[[Ma Désignation ]])</f>
        <v>14</v>
      </c>
    </row>
    <row r="92" spans="1:17" ht="14">
      <c r="A92" s="310">
        <v>398</v>
      </c>
      <c r="B92" s="43"/>
      <c r="C92" s="416" t="s">
        <v>126</v>
      </c>
      <c r="D92" t="str">
        <f xml:space="preserve"> TRIM( SUBSTITUTE(SUBSTITUTE(SUBSTITUTE( Compil[[#This Row],[DESIGNATION]],"-",""),"–",""),"*",""))</f>
        <v>Attente cuisson</v>
      </c>
      <c r="E92" s="33" t="s">
        <v>13</v>
      </c>
      <c r="F92" s="262"/>
      <c r="G92" s="289" t="s">
        <v>571</v>
      </c>
      <c r="H92" s="164" t="s">
        <v>571</v>
      </c>
      <c r="I92" t="s">
        <v>570</v>
      </c>
      <c r="J92" t="b">
        <f>AND(NOT(Compil[[#This Row],[Est ouvrage]]), NOT(ISBLANK(Compil[[#This Row],[ART.
CCTP]])))</f>
        <v>0</v>
      </c>
      <c r="K92" t="b">
        <f>OR(Compil[[#This Row],[Unité]]="U",Compil[[#This Row],[Unité]]="ens",Compil[[#This Row],[Unité]]="ml")</f>
        <v>1</v>
      </c>
      <c r="L92" t="b">
        <f>ISBLANK(Compil[[#This Row],[DESIGNATION]])</f>
        <v>0</v>
      </c>
      <c r="M92" s="359"/>
      <c r="N92" s="358"/>
      <c r="O92" s="358"/>
      <c r="P92" s="358"/>
      <c r="Q92" s="358">
        <f>COUNTIF(Compil[[Ma Désignation ]],Compil[[Ma Désignation ]])</f>
        <v>14</v>
      </c>
    </row>
    <row r="93" spans="1:17" ht="14">
      <c r="A93" s="310">
        <v>434</v>
      </c>
      <c r="B93" s="43"/>
      <c r="C93" s="416" t="s">
        <v>126</v>
      </c>
      <c r="D93" t="str">
        <f xml:space="preserve"> TRIM( SUBSTITUTE(SUBSTITUTE(SUBSTITUTE( Compil[[#This Row],[DESIGNATION]],"-",""),"–",""),"*",""))</f>
        <v>Attente cuisson</v>
      </c>
      <c r="E93" s="33" t="s">
        <v>13</v>
      </c>
      <c r="F93" s="262">
        <v>1</v>
      </c>
      <c r="G93" s="289">
        <v>0</v>
      </c>
      <c r="H93" s="164">
        <v>0</v>
      </c>
      <c r="I93" t="s">
        <v>570</v>
      </c>
      <c r="J93" t="b">
        <f>AND(NOT(Compil[[#This Row],[Est ouvrage]]), NOT(ISBLANK(Compil[[#This Row],[ART.
CCTP]])))</f>
        <v>0</v>
      </c>
      <c r="K93" t="b">
        <f>OR(Compil[[#This Row],[Unité]]="U",Compil[[#This Row],[Unité]]="ens",Compil[[#This Row],[Unité]]="ml")</f>
        <v>1</v>
      </c>
      <c r="L93" t="b">
        <f>ISBLANK(Compil[[#This Row],[DESIGNATION]])</f>
        <v>0</v>
      </c>
      <c r="M93" s="359"/>
      <c r="N93" s="358"/>
      <c r="O93" s="358"/>
      <c r="P93" s="358"/>
      <c r="Q93" s="358">
        <f>COUNTIF(Compil[[Ma Désignation ]],Compil[[Ma Désignation ]])</f>
        <v>14</v>
      </c>
    </row>
    <row r="94" spans="1:17" ht="14">
      <c r="A94" s="310">
        <v>452</v>
      </c>
      <c r="B94" s="43"/>
      <c r="C94" s="416" t="s">
        <v>126</v>
      </c>
      <c r="D94" t="str">
        <f xml:space="preserve"> TRIM( SUBSTITUTE(SUBSTITUTE(SUBSTITUTE( Compil[[#This Row],[DESIGNATION]],"-",""),"–",""),"*",""))</f>
        <v>Attente cuisson</v>
      </c>
      <c r="E94" s="33" t="s">
        <v>13</v>
      </c>
      <c r="F94" s="262"/>
      <c r="G94" s="289" t="s">
        <v>571</v>
      </c>
      <c r="H94" s="164" t="s">
        <v>571</v>
      </c>
      <c r="I94" t="s">
        <v>570</v>
      </c>
      <c r="J94" t="b">
        <f>AND(NOT(Compil[[#This Row],[Est ouvrage]]), NOT(ISBLANK(Compil[[#This Row],[ART.
CCTP]])))</f>
        <v>0</v>
      </c>
      <c r="K94" t="b">
        <f>OR(Compil[[#This Row],[Unité]]="U",Compil[[#This Row],[Unité]]="ens",Compil[[#This Row],[Unité]]="ml")</f>
        <v>1</v>
      </c>
      <c r="L94" t="b">
        <f>ISBLANK(Compil[[#This Row],[DESIGNATION]])</f>
        <v>0</v>
      </c>
      <c r="M94" s="359"/>
      <c r="N94" s="358"/>
      <c r="O94" s="358"/>
      <c r="P94" s="358"/>
      <c r="Q94" s="358">
        <f>COUNTIF(Compil[[Ma Désignation ]],Compil[[Ma Désignation ]])</f>
        <v>14</v>
      </c>
    </row>
    <row r="95" spans="1:17" ht="14">
      <c r="A95" s="310">
        <v>489</v>
      </c>
      <c r="B95" s="43"/>
      <c r="C95" s="416" t="s">
        <v>126</v>
      </c>
      <c r="D95" t="str">
        <f xml:space="preserve"> TRIM( SUBSTITUTE(SUBSTITUTE(SUBSTITUTE( Compil[[#This Row],[DESIGNATION]],"-",""),"–",""),"*",""))</f>
        <v>Attente cuisson</v>
      </c>
      <c r="E95" s="33" t="s">
        <v>13</v>
      </c>
      <c r="F95" s="262">
        <v>1</v>
      </c>
      <c r="G95" s="289">
        <v>0</v>
      </c>
      <c r="H95" s="164">
        <v>0</v>
      </c>
      <c r="I95" t="s">
        <v>570</v>
      </c>
      <c r="J95" t="b">
        <f>AND(NOT(Compil[[#This Row],[Est ouvrage]]), NOT(ISBLANK(Compil[[#This Row],[ART.
CCTP]])))</f>
        <v>0</v>
      </c>
      <c r="K95" t="b">
        <f>OR(Compil[[#This Row],[Unité]]="U",Compil[[#This Row],[Unité]]="ens",Compil[[#This Row],[Unité]]="ml")</f>
        <v>1</v>
      </c>
      <c r="L95" t="b">
        <f>ISBLANK(Compil[[#This Row],[DESIGNATION]])</f>
        <v>0</v>
      </c>
      <c r="M95" s="359"/>
      <c r="N95" s="358"/>
      <c r="O95" s="358"/>
      <c r="P95" s="358"/>
      <c r="Q95" s="358">
        <f>COUNTIF(Compil[[Ma Désignation ]],Compil[[Ma Désignation ]])</f>
        <v>14</v>
      </c>
    </row>
    <row r="96" spans="1:17" ht="14">
      <c r="A96" s="310">
        <v>508</v>
      </c>
      <c r="B96" s="43"/>
      <c r="C96" s="416" t="s">
        <v>126</v>
      </c>
      <c r="D96" t="str">
        <f xml:space="preserve"> TRIM( SUBSTITUTE(SUBSTITUTE(SUBSTITUTE( Compil[[#This Row],[DESIGNATION]],"-",""),"–",""),"*",""))</f>
        <v>Attente cuisson</v>
      </c>
      <c r="E96" s="33" t="s">
        <v>13</v>
      </c>
      <c r="F96" s="262"/>
      <c r="G96" s="289" t="s">
        <v>571</v>
      </c>
      <c r="H96" s="164" t="s">
        <v>571</v>
      </c>
      <c r="I96" t="s">
        <v>570</v>
      </c>
      <c r="J96" t="b">
        <f>AND(NOT(Compil[[#This Row],[Est ouvrage]]), NOT(ISBLANK(Compil[[#This Row],[ART.
CCTP]])))</f>
        <v>0</v>
      </c>
      <c r="K96" t="b">
        <f>OR(Compil[[#This Row],[Unité]]="U",Compil[[#This Row],[Unité]]="ens",Compil[[#This Row],[Unité]]="ml")</f>
        <v>1</v>
      </c>
      <c r="L96" t="b">
        <f>ISBLANK(Compil[[#This Row],[DESIGNATION]])</f>
        <v>0</v>
      </c>
      <c r="M96" s="359"/>
      <c r="N96" s="358"/>
      <c r="O96" s="358"/>
      <c r="P96" s="358"/>
      <c r="Q96" s="358">
        <f>COUNTIF(Compil[[Ma Désignation ]],Compil[[Ma Désignation ]])</f>
        <v>14</v>
      </c>
    </row>
    <row r="97" spans="1:17" ht="14">
      <c r="A97" s="303">
        <v>92</v>
      </c>
      <c r="B97" s="2"/>
      <c r="C97" s="220"/>
      <c r="D97" t="str">
        <f xml:space="preserve"> TRIM( SUBSTITUTE(SUBSTITUTE(SUBSTITUTE( Compil[[#This Row],[DESIGNATION]],"-",""),"–",""),"*",""))</f>
        <v/>
      </c>
      <c r="E97" s="216"/>
      <c r="F97" s="252"/>
      <c r="G97" s="289" t="str">
        <f>IF(F97="","",(((L97*$M$6)+(M97*#REF!*#REF!))*$M$7)/F97)</f>
        <v/>
      </c>
      <c r="H97" s="164" t="str">
        <f>IF(F97="","",F97*G97)</f>
        <v/>
      </c>
      <c r="I97" t="s">
        <v>580</v>
      </c>
      <c r="J97" t="b">
        <f>AND(NOT(Compil[[#This Row],[Est ouvrage]]), NOT(ISBLANK(Compil[[#This Row],[ART.
CCTP]])))</f>
        <v>0</v>
      </c>
      <c r="K97" t="b">
        <f>OR(Compil[[#This Row],[Unité]]="U",Compil[[#This Row],[Unité]]="ens",Compil[[#This Row],[Unité]]="ml")</f>
        <v>0</v>
      </c>
      <c r="L97" t="b">
        <f>ISBLANK(Compil[[#This Row],[DESIGNATION]])</f>
        <v>1</v>
      </c>
      <c r="M97" s="358"/>
      <c r="N97" s="358"/>
      <c r="O97" s="358"/>
      <c r="P97" s="358"/>
      <c r="Q97" s="358">
        <f>COUNTIF(Compil[[Ma Désignation ]],Compil[[Ma Désignation ]])</f>
        <v>306</v>
      </c>
    </row>
    <row r="98" spans="1:17" ht="14">
      <c r="A98" s="303">
        <v>93</v>
      </c>
      <c r="B98" s="2"/>
      <c r="C98" s="394" t="s">
        <v>106</v>
      </c>
      <c r="D98" t="str">
        <f xml:space="preserve"> TRIM( SUBSTITUTE(SUBSTITUTE(SUBSTITUTE( Compil[[#This Row],[DESIGNATION]],"-",""),"–",""),"*",""))</f>
        <v>Sous total 2.2</v>
      </c>
      <c r="E98" s="216"/>
      <c r="F98" s="252"/>
      <c r="G98" s="289" t="str">
        <f>IF(F98="","",(((L98*$M$6)+(M98*#REF!*#REF!))*$M$7)/F98)</f>
        <v/>
      </c>
      <c r="H98" s="164" t="str">
        <f>IF(F98="","",F98*G98)</f>
        <v/>
      </c>
      <c r="I98" t="s">
        <v>580</v>
      </c>
      <c r="J98" t="b">
        <f>AND(NOT(Compil[[#This Row],[Est ouvrage]]), NOT(ISBLANK(Compil[[#This Row],[ART.
CCTP]])))</f>
        <v>0</v>
      </c>
      <c r="K98" t="b">
        <f>OR(Compil[[#This Row],[Unité]]="U",Compil[[#This Row],[Unité]]="ens",Compil[[#This Row],[Unité]]="ml")</f>
        <v>0</v>
      </c>
      <c r="L98" t="b">
        <f>ISBLANK(Compil[[#This Row],[DESIGNATION]])</f>
        <v>0</v>
      </c>
      <c r="M98" s="359"/>
      <c r="N98" s="358"/>
      <c r="O98" s="358"/>
      <c r="P98" s="358"/>
      <c r="Q98" s="358">
        <f>COUNTIF(Compil[[Ma Désignation ]],Compil[[Ma Désignation ]])</f>
        <v>1</v>
      </c>
    </row>
    <row r="99" spans="1:17" ht="14">
      <c r="A99" s="303">
        <v>94</v>
      </c>
      <c r="B99" s="2"/>
      <c r="C99" s="220"/>
      <c r="D99" t="str">
        <f xml:space="preserve"> TRIM( SUBSTITUTE(SUBSTITUTE(SUBSTITUTE( Compil[[#This Row],[DESIGNATION]],"-",""),"–",""),"*",""))</f>
        <v/>
      </c>
      <c r="E99" s="216"/>
      <c r="F99" s="252"/>
      <c r="G99" s="289" t="str">
        <f>IF(F99="","",(((L99*$M$6)+(M99*#REF!*#REF!))*$M$7)/F99)</f>
        <v/>
      </c>
      <c r="H99" s="164" t="str">
        <f>IF(F99="","",F99*G99)</f>
        <v/>
      </c>
      <c r="I99" t="s">
        <v>580</v>
      </c>
      <c r="J99" t="b">
        <f>AND(NOT(Compil[[#This Row],[Est ouvrage]]), NOT(ISBLANK(Compil[[#This Row],[ART.
CCTP]])))</f>
        <v>0</v>
      </c>
      <c r="K99" t="b">
        <f>OR(Compil[[#This Row],[Unité]]="U",Compil[[#This Row],[Unité]]="ens",Compil[[#This Row],[Unité]]="ml")</f>
        <v>0</v>
      </c>
      <c r="L99" t="b">
        <f>ISBLANK(Compil[[#This Row],[DESIGNATION]])</f>
        <v>1</v>
      </c>
      <c r="M99" s="358"/>
      <c r="N99" s="358"/>
      <c r="O99" s="358"/>
      <c r="P99" s="358"/>
      <c r="Q99" s="358">
        <f>COUNTIF(Compil[[Ma Désignation ]],Compil[[Ma Désignation ]])</f>
        <v>306</v>
      </c>
    </row>
    <row r="100" spans="1:17" ht="14">
      <c r="A100" s="303">
        <v>95</v>
      </c>
      <c r="B100" s="2" t="s">
        <v>5</v>
      </c>
      <c r="C100" s="222" t="s">
        <v>157</v>
      </c>
      <c r="D100" t="str">
        <f xml:space="preserve"> TRIM( SUBSTITUTE(SUBSTITUTE(SUBSTITUTE( Compil[[#This Row],[DESIGNATION]],"-",""),"–",""),"*",""))</f>
        <v>Distribution principale</v>
      </c>
      <c r="E100" s="189"/>
      <c r="F100" s="252"/>
      <c r="G100" s="289" t="str">
        <f>IF(F100="","",(((L100*$M$6)+(M100*#REF!*#REF!))*$M$7)/F100)</f>
        <v/>
      </c>
      <c r="H100" s="164" t="str">
        <f>IF(F100="","",F100*G100)</f>
        <v/>
      </c>
      <c r="I100" t="s">
        <v>580</v>
      </c>
      <c r="J100" t="b">
        <f>AND(NOT(Compil[[#This Row],[Est ouvrage]]), NOT(ISBLANK(Compil[[#This Row],[ART.
CCTP]])))</f>
        <v>1</v>
      </c>
      <c r="K100" t="b">
        <f>OR(Compil[[#This Row],[Unité]]="U",Compil[[#This Row],[Unité]]="ens",Compil[[#This Row],[Unité]]="ml")</f>
        <v>0</v>
      </c>
      <c r="L100" t="b">
        <f>ISBLANK(Compil[[#This Row],[DESIGNATION]])</f>
        <v>0</v>
      </c>
      <c r="M100" s="359"/>
      <c r="N100" s="358"/>
      <c r="O100" s="358"/>
      <c r="P100" s="358"/>
      <c r="Q100" s="358">
        <f>COUNTIF(Compil[[Ma Désignation ]],Compil[[Ma Désignation ]])</f>
        <v>2</v>
      </c>
    </row>
    <row r="101" spans="1:17" ht="14">
      <c r="A101" s="303">
        <v>96</v>
      </c>
      <c r="B101" s="2"/>
      <c r="C101" s="222"/>
      <c r="D101" t="str">
        <f xml:space="preserve"> TRIM( SUBSTITUTE(SUBSTITUTE(SUBSTITUTE( Compil[[#This Row],[DESIGNATION]],"-",""),"–",""),"*",""))</f>
        <v/>
      </c>
      <c r="E101" s="189"/>
      <c r="F101" s="252"/>
      <c r="G101" s="289" t="str">
        <f>IF(F101="","",(((L101*$M$6)+(M101*#REF!*#REF!))*$M$7)/F101)</f>
        <v/>
      </c>
      <c r="H101" s="164" t="str">
        <f>IF(F101="","",F101*G101)</f>
        <v/>
      </c>
      <c r="I101" t="s">
        <v>580</v>
      </c>
      <c r="J101" t="b">
        <f>AND(NOT(Compil[[#This Row],[Est ouvrage]]), NOT(ISBLANK(Compil[[#This Row],[ART.
CCTP]])))</f>
        <v>0</v>
      </c>
      <c r="K101" t="b">
        <f>OR(Compil[[#This Row],[Unité]]="U",Compil[[#This Row],[Unité]]="ens",Compil[[#This Row],[Unité]]="ml")</f>
        <v>0</v>
      </c>
      <c r="L101" t="b">
        <f>ISBLANK(Compil[[#This Row],[DESIGNATION]])</f>
        <v>1</v>
      </c>
      <c r="M101" s="358"/>
      <c r="N101" s="358"/>
      <c r="O101" s="358"/>
      <c r="P101" s="358"/>
      <c r="Q101" s="358">
        <f>COUNTIF(Compil[[Ma Désignation ]],Compil[[Ma Désignation ]])</f>
        <v>306</v>
      </c>
    </row>
    <row r="102" spans="1:17" ht="14">
      <c r="A102" s="303">
        <v>97</v>
      </c>
      <c r="B102" s="2"/>
      <c r="C102" s="223" t="s">
        <v>158</v>
      </c>
      <c r="D102" t="str">
        <f xml:space="preserve"> TRIM( SUBSTITUTE(SUBSTITUTE(SUBSTITUTE( Compil[[#This Row],[DESIGNATION]],"-",""),"–",""),"*",""))</f>
        <v>Courants forts</v>
      </c>
      <c r="E102" s="189"/>
      <c r="F102" s="252"/>
      <c r="G102" s="289" t="str">
        <f>IF(F102="","",(((L102*$M$6)+(M102*#REF!*#REF!))*$M$7)/F102)</f>
        <v/>
      </c>
      <c r="H102" s="164" t="str">
        <f>IF(F102="","",F102*G102)</f>
        <v/>
      </c>
      <c r="I102" t="s">
        <v>580</v>
      </c>
      <c r="J102" t="b">
        <f>AND(NOT(Compil[[#This Row],[Est ouvrage]]), NOT(ISBLANK(Compil[[#This Row],[ART.
CCTP]])))</f>
        <v>0</v>
      </c>
      <c r="K102" t="b">
        <f>OR(Compil[[#This Row],[Unité]]="U",Compil[[#This Row],[Unité]]="ens",Compil[[#This Row],[Unité]]="ml")</f>
        <v>0</v>
      </c>
      <c r="L102" t="b">
        <f>ISBLANK(Compil[[#This Row],[DESIGNATION]])</f>
        <v>0</v>
      </c>
      <c r="M102" s="359"/>
      <c r="N102" s="358"/>
      <c r="O102" s="358"/>
      <c r="P102" s="358"/>
      <c r="Q102" s="358">
        <f>COUNTIF(Compil[[Ma Désignation ]],Compil[[Ma Désignation ]])</f>
        <v>2</v>
      </c>
    </row>
    <row r="103" spans="1:17" ht="14">
      <c r="A103" s="310">
        <v>545</v>
      </c>
      <c r="B103" s="43"/>
      <c r="C103" s="416" t="s">
        <v>126</v>
      </c>
      <c r="D103" t="str">
        <f xml:space="preserve"> TRIM( SUBSTITUTE(SUBSTITUTE(SUBSTITUTE( Compil[[#This Row],[DESIGNATION]],"-",""),"–",""),"*",""))</f>
        <v>Attente cuisson</v>
      </c>
      <c r="E103" s="33" t="s">
        <v>13</v>
      </c>
      <c r="F103" s="262">
        <v>1</v>
      </c>
      <c r="G103" s="289">
        <v>0</v>
      </c>
      <c r="H103" s="164">
        <v>0</v>
      </c>
      <c r="I103" t="s">
        <v>570</v>
      </c>
      <c r="J103" t="b">
        <f>AND(NOT(Compil[[#This Row],[Est ouvrage]]), NOT(ISBLANK(Compil[[#This Row],[ART.
CCTP]])))</f>
        <v>0</v>
      </c>
      <c r="K103" t="b">
        <f>OR(Compil[[#This Row],[Unité]]="U",Compil[[#This Row],[Unité]]="ens",Compil[[#This Row],[Unité]]="ml")</f>
        <v>1</v>
      </c>
      <c r="L103" t="b">
        <f>ISBLANK(Compil[[#This Row],[DESIGNATION]])</f>
        <v>0</v>
      </c>
      <c r="M103" s="359"/>
      <c r="N103" s="358"/>
      <c r="O103" s="358"/>
      <c r="P103" s="358"/>
      <c r="Q103" s="358">
        <f>COUNTIF(Compil[[Ma Désignation ]],Compil[[Ma Désignation ]])</f>
        <v>14</v>
      </c>
    </row>
    <row r="104" spans="1:17" ht="14">
      <c r="A104" s="310">
        <v>564</v>
      </c>
      <c r="B104" s="43"/>
      <c r="C104" s="416" t="s">
        <v>126</v>
      </c>
      <c r="D104" t="str">
        <f xml:space="preserve"> TRIM( SUBSTITUTE(SUBSTITUTE(SUBSTITUTE( Compil[[#This Row],[DESIGNATION]],"-",""),"–",""),"*",""))</f>
        <v>Attente cuisson</v>
      </c>
      <c r="E104" s="33" t="s">
        <v>13</v>
      </c>
      <c r="F104" s="262"/>
      <c r="G104" s="289" t="s">
        <v>571</v>
      </c>
      <c r="H104" s="164" t="s">
        <v>571</v>
      </c>
      <c r="I104" t="s">
        <v>570</v>
      </c>
      <c r="J104" t="b">
        <f>AND(NOT(Compil[[#This Row],[Est ouvrage]]), NOT(ISBLANK(Compil[[#This Row],[ART.
CCTP]])))</f>
        <v>0</v>
      </c>
      <c r="K104" t="b">
        <f>OR(Compil[[#This Row],[Unité]]="U",Compil[[#This Row],[Unité]]="ens",Compil[[#This Row],[Unité]]="ml")</f>
        <v>1</v>
      </c>
      <c r="L104" t="b">
        <f>ISBLANK(Compil[[#This Row],[DESIGNATION]])</f>
        <v>0</v>
      </c>
      <c r="M104" s="359"/>
      <c r="N104" s="358"/>
      <c r="O104" s="358"/>
      <c r="P104" s="358"/>
      <c r="Q104" s="358">
        <f>COUNTIF(Compil[[Ma Désignation ]],Compil[[Ma Désignation ]])</f>
        <v>14</v>
      </c>
    </row>
    <row r="105" spans="1:17" ht="14">
      <c r="A105" s="310">
        <v>601</v>
      </c>
      <c r="B105" s="43"/>
      <c r="C105" s="416" t="s">
        <v>126</v>
      </c>
      <c r="D105" t="str">
        <f xml:space="preserve"> TRIM( SUBSTITUTE(SUBSTITUTE(SUBSTITUTE( Compil[[#This Row],[DESIGNATION]],"-",""),"–",""),"*",""))</f>
        <v>Attente cuisson</v>
      </c>
      <c r="E105" s="33" t="s">
        <v>13</v>
      </c>
      <c r="F105" s="262">
        <v>1</v>
      </c>
      <c r="G105" s="289">
        <v>0</v>
      </c>
      <c r="H105" s="164">
        <v>0</v>
      </c>
      <c r="I105" t="s">
        <v>570</v>
      </c>
      <c r="J105" t="b">
        <f>AND(NOT(Compil[[#This Row],[Est ouvrage]]), NOT(ISBLANK(Compil[[#This Row],[ART.
CCTP]])))</f>
        <v>0</v>
      </c>
      <c r="K105" t="b">
        <f>OR(Compil[[#This Row],[Unité]]="U",Compil[[#This Row],[Unité]]="ens",Compil[[#This Row],[Unité]]="ml")</f>
        <v>1</v>
      </c>
      <c r="L105" t="b">
        <f>ISBLANK(Compil[[#This Row],[DESIGNATION]])</f>
        <v>0</v>
      </c>
      <c r="M105" s="359"/>
      <c r="N105" s="358"/>
      <c r="O105" s="358"/>
      <c r="P105" s="358"/>
      <c r="Q105" s="358">
        <f>COUNTIF(Compil[[Ma Désignation ]],Compil[[Ma Désignation ]])</f>
        <v>14</v>
      </c>
    </row>
    <row r="106" spans="1:17" ht="14">
      <c r="A106" s="303">
        <v>101</v>
      </c>
      <c r="B106" s="2"/>
      <c r="C106" s="224" t="s">
        <v>220</v>
      </c>
      <c r="D106" t="str">
        <f xml:space="preserve"> TRIM( SUBSTITUTE(SUBSTITUTE(SUBSTITUTE( Compil[[#This Row],[DESIGNATION]],"-",""),"–",""),"*",""))</f>
        <v>Chemin de câble isolant spécifique EDF</v>
      </c>
      <c r="E106" s="225" t="s">
        <v>257</v>
      </c>
      <c r="F106" s="252"/>
      <c r="G106" s="289" t="str">
        <f>IF(F106="","",(((L106*$M$6)+(M106*#REF!*#REF!))*$M$7)/F106)</f>
        <v/>
      </c>
      <c r="H106" s="164" t="str">
        <f>IF(F106="","",F106*G106)</f>
        <v/>
      </c>
      <c r="I106" t="s">
        <v>580</v>
      </c>
      <c r="J106" t="b">
        <f>AND(NOT(Compil[[#This Row],[Est ouvrage]]), NOT(ISBLANK(Compil[[#This Row],[ART.
CCTP]])))</f>
        <v>0</v>
      </c>
      <c r="K106" t="b">
        <f>OR(Compil[[#This Row],[Unité]]="U",Compil[[#This Row],[Unité]]="ens",Compil[[#This Row],[Unité]]="ml")</f>
        <v>0</v>
      </c>
      <c r="L106" t="b">
        <f>ISBLANK(Compil[[#This Row],[DESIGNATION]])</f>
        <v>0</v>
      </c>
      <c r="M106" s="359"/>
      <c r="N106" s="358"/>
      <c r="O106" s="358"/>
      <c r="P106" s="358"/>
      <c r="Q106" s="358">
        <f>COUNTIF(Compil[[Ma Désignation ]],Compil[[Ma Désignation ]])</f>
        <v>2</v>
      </c>
    </row>
    <row r="107" spans="1:17" ht="14">
      <c r="A107" s="310">
        <v>620</v>
      </c>
      <c r="B107" s="43"/>
      <c r="C107" s="416" t="s">
        <v>126</v>
      </c>
      <c r="D107" t="str">
        <f xml:space="preserve"> TRIM( SUBSTITUTE(SUBSTITUTE(SUBSTITUTE( Compil[[#This Row],[DESIGNATION]],"-",""),"–",""),"*",""))</f>
        <v>Attente cuisson</v>
      </c>
      <c r="E107" s="33" t="s">
        <v>13</v>
      </c>
      <c r="F107" s="262"/>
      <c r="G107" s="289" t="s">
        <v>571</v>
      </c>
      <c r="H107" s="164" t="s">
        <v>571</v>
      </c>
      <c r="I107" t="s">
        <v>570</v>
      </c>
      <c r="J107" t="b">
        <f>AND(NOT(Compil[[#This Row],[Est ouvrage]]), NOT(ISBLANK(Compil[[#This Row],[ART.
CCTP]])))</f>
        <v>0</v>
      </c>
      <c r="K107" t="b">
        <f>OR(Compil[[#This Row],[Unité]]="U",Compil[[#This Row],[Unité]]="ens",Compil[[#This Row],[Unité]]="ml")</f>
        <v>1</v>
      </c>
      <c r="L107" t="b">
        <f>ISBLANK(Compil[[#This Row],[DESIGNATION]])</f>
        <v>0</v>
      </c>
      <c r="M107" s="359"/>
      <c r="N107" s="358"/>
      <c r="O107" s="358"/>
      <c r="P107" s="358"/>
      <c r="Q107" s="358">
        <f>COUNTIF(Compil[[Ma Désignation ]],Compil[[Ma Désignation ]])</f>
        <v>14</v>
      </c>
    </row>
    <row r="108" spans="1:17" ht="14">
      <c r="A108" s="310">
        <v>657</v>
      </c>
      <c r="B108" s="43"/>
      <c r="C108" s="416" t="s">
        <v>126</v>
      </c>
      <c r="D108" t="str">
        <f xml:space="preserve"> TRIM( SUBSTITUTE(SUBSTITUTE(SUBSTITUTE( Compil[[#This Row],[DESIGNATION]],"-",""),"–",""),"*",""))</f>
        <v>Attente cuisson</v>
      </c>
      <c r="E108" s="33" t="s">
        <v>13</v>
      </c>
      <c r="F108" s="262">
        <v>1</v>
      </c>
      <c r="G108" s="289">
        <v>0</v>
      </c>
      <c r="H108" s="164">
        <v>0</v>
      </c>
      <c r="I108" t="s">
        <v>570</v>
      </c>
      <c r="J108" t="b">
        <f>AND(NOT(Compil[[#This Row],[Est ouvrage]]), NOT(ISBLANK(Compil[[#This Row],[ART.
CCTP]])))</f>
        <v>0</v>
      </c>
      <c r="K108" t="b">
        <f>OR(Compil[[#This Row],[Unité]]="U",Compil[[#This Row],[Unité]]="ens",Compil[[#This Row],[Unité]]="ml")</f>
        <v>1</v>
      </c>
      <c r="L108" t="b">
        <f>ISBLANK(Compil[[#This Row],[DESIGNATION]])</f>
        <v>0</v>
      </c>
      <c r="M108" s="359"/>
      <c r="N108" s="358"/>
      <c r="O108" s="358"/>
      <c r="P108" s="358"/>
      <c r="Q108" s="358">
        <f>COUNTIF(Compil[[Ma Désignation ]],Compil[[Ma Désignation ]])</f>
        <v>14</v>
      </c>
    </row>
    <row r="109" spans="1:17" ht="14">
      <c r="A109" s="303">
        <v>104</v>
      </c>
      <c r="B109" s="2"/>
      <c r="C109" s="224"/>
      <c r="D109" t="str">
        <f xml:space="preserve"> TRIM( SUBSTITUTE(SUBSTITUTE(SUBSTITUTE( Compil[[#This Row],[DESIGNATION]],"-",""),"–",""),"*",""))</f>
        <v/>
      </c>
      <c r="E109" s="189"/>
      <c r="F109" s="252"/>
      <c r="G109" s="289" t="str">
        <f>IF(F109="","",(((L109*$M$6)+(M109*#REF!*#REF!))*$M$7)/F109)</f>
        <v/>
      </c>
      <c r="H109" s="164" t="str">
        <f>IF(F109="","",F109*G109)</f>
        <v/>
      </c>
      <c r="I109" t="s">
        <v>580</v>
      </c>
      <c r="J109" t="b">
        <f>AND(NOT(Compil[[#This Row],[Est ouvrage]]), NOT(ISBLANK(Compil[[#This Row],[ART.
CCTP]])))</f>
        <v>0</v>
      </c>
      <c r="K109" t="b">
        <f>OR(Compil[[#This Row],[Unité]]="U",Compil[[#This Row],[Unité]]="ens",Compil[[#This Row],[Unité]]="ml")</f>
        <v>0</v>
      </c>
      <c r="L109" t="b">
        <f>ISBLANK(Compil[[#This Row],[DESIGNATION]])</f>
        <v>1</v>
      </c>
      <c r="M109" s="358"/>
      <c r="N109" s="358"/>
      <c r="O109" s="358"/>
      <c r="P109" s="358"/>
      <c r="Q109" s="358">
        <f>COUNTIF(Compil[[Ma Désignation ]],Compil[[Ma Désignation ]])</f>
        <v>306</v>
      </c>
    </row>
    <row r="110" spans="1:17" ht="14">
      <c r="A110" s="303">
        <v>105</v>
      </c>
      <c r="B110" s="2"/>
      <c r="C110" s="223" t="s">
        <v>159</v>
      </c>
      <c r="D110" t="str">
        <f xml:space="preserve"> TRIM( SUBSTITUTE(SUBSTITUTE(SUBSTITUTE( Compil[[#This Row],[DESIGNATION]],"-",""),"–",""),"*",""))</f>
        <v>Courants faibles</v>
      </c>
      <c r="E110" s="189"/>
      <c r="F110" s="252"/>
      <c r="G110" s="289" t="str">
        <f>IF(F110="","",(((L110*$M$6)+(M110*#REF!*#REF!))*$M$7)/F110)</f>
        <v/>
      </c>
      <c r="H110" s="164" t="str">
        <f>IF(F110="","",F110*G110)</f>
        <v/>
      </c>
      <c r="I110" t="s">
        <v>580</v>
      </c>
      <c r="J110" t="b">
        <f>AND(NOT(Compil[[#This Row],[Est ouvrage]]), NOT(ISBLANK(Compil[[#This Row],[ART.
CCTP]])))</f>
        <v>0</v>
      </c>
      <c r="K110" t="b">
        <f>OR(Compil[[#This Row],[Unité]]="U",Compil[[#This Row],[Unité]]="ens",Compil[[#This Row],[Unité]]="ml")</f>
        <v>0</v>
      </c>
      <c r="L110" t="b">
        <f>ISBLANK(Compil[[#This Row],[DESIGNATION]])</f>
        <v>0</v>
      </c>
      <c r="M110" s="359"/>
      <c r="N110" s="358"/>
      <c r="O110" s="358"/>
      <c r="P110" s="358"/>
      <c r="Q110" s="358">
        <f>COUNTIF(Compil[[Ma Désignation ]],Compil[[Ma Désignation ]])</f>
        <v>2</v>
      </c>
    </row>
    <row r="111" spans="1:17" ht="14">
      <c r="A111" s="310">
        <v>676</v>
      </c>
      <c r="B111" s="43"/>
      <c r="C111" s="416" t="s">
        <v>126</v>
      </c>
      <c r="D111" t="str">
        <f xml:space="preserve"> TRIM( SUBSTITUTE(SUBSTITUTE(SUBSTITUTE( Compil[[#This Row],[DESIGNATION]],"-",""),"–",""),"*",""))</f>
        <v>Attente cuisson</v>
      </c>
      <c r="E111" s="33" t="s">
        <v>13</v>
      </c>
      <c r="F111" s="262"/>
      <c r="G111" s="289" t="s">
        <v>571</v>
      </c>
      <c r="H111" s="164" t="s">
        <v>571</v>
      </c>
      <c r="I111" t="s">
        <v>570</v>
      </c>
      <c r="J111" t="b">
        <f>AND(NOT(Compil[[#This Row],[Est ouvrage]]), NOT(ISBLANK(Compil[[#This Row],[ART.
CCTP]])))</f>
        <v>0</v>
      </c>
      <c r="K111" t="b">
        <f>OR(Compil[[#This Row],[Unité]]="U",Compil[[#This Row],[Unité]]="ens",Compil[[#This Row],[Unité]]="ml")</f>
        <v>1</v>
      </c>
      <c r="L111" t="b">
        <f>ISBLANK(Compil[[#This Row],[DESIGNATION]])</f>
        <v>0</v>
      </c>
      <c r="M111" s="359"/>
      <c r="N111" s="358"/>
      <c r="O111" s="358"/>
      <c r="P111" s="358"/>
      <c r="Q111" s="358">
        <f>COUNTIF(Compil[[Ma Désignation ]],Compil[[Ma Désignation ]])</f>
        <v>14</v>
      </c>
    </row>
    <row r="112" spans="1:17">
      <c r="A112" s="360">
        <v>1015</v>
      </c>
      <c r="B112" s="363"/>
      <c r="C112" s="402" t="s">
        <v>126</v>
      </c>
      <c r="D112" t="str">
        <f xml:space="preserve"> TRIM( SUBSTITUTE(SUBSTITUTE(SUBSTITUTE( Compil[[#This Row],[DESIGNATION]],"-",""),"–",""),"*",""))</f>
        <v>Attente cuisson</v>
      </c>
      <c r="E112" s="374" t="s">
        <v>13</v>
      </c>
      <c r="F112" s="385">
        <v>1</v>
      </c>
      <c r="G112" s="390">
        <v>0</v>
      </c>
      <c r="H112" s="391">
        <v>0</v>
      </c>
      <c r="I112" t="s">
        <v>579</v>
      </c>
      <c r="J112" t="b">
        <f>AND(NOT(Compil[[#This Row],[Est ouvrage]]), NOT(ISBLANK(Compil[[#This Row],[ART.
CCTP]])))</f>
        <v>0</v>
      </c>
      <c r="K112" t="b">
        <f>OR(Compil[[#This Row],[Unité]]="U",Compil[[#This Row],[Unité]]="ens",Compil[[#This Row],[Unité]]="ml")</f>
        <v>1</v>
      </c>
      <c r="L112" t="b">
        <f>ISBLANK(Compil[[#This Row],[DESIGNATION]])</f>
        <v>0</v>
      </c>
      <c r="M112" s="359"/>
      <c r="N112" s="358"/>
      <c r="O112" s="358"/>
      <c r="P112" s="358"/>
      <c r="Q112" s="358">
        <f>COUNTIF(Compil[[Ma Désignation ]],Compil[[Ma Désignation ]])</f>
        <v>14</v>
      </c>
    </row>
    <row r="113" spans="1:17">
      <c r="A113" s="360">
        <v>1031</v>
      </c>
      <c r="B113" s="363"/>
      <c r="C113" s="402" t="s">
        <v>126</v>
      </c>
      <c r="D113" t="str">
        <f xml:space="preserve"> TRIM( SUBSTITUTE(SUBSTITUTE(SUBSTITUTE( Compil[[#This Row],[DESIGNATION]],"-",""),"–",""),"*",""))</f>
        <v>Attente cuisson</v>
      </c>
      <c r="E113" s="374" t="s">
        <v>13</v>
      </c>
      <c r="F113" s="385"/>
      <c r="G113" s="390" t="s">
        <v>571</v>
      </c>
      <c r="H113" s="391" t="s">
        <v>571</v>
      </c>
      <c r="I113" t="s">
        <v>579</v>
      </c>
      <c r="J113" t="b">
        <f>AND(NOT(Compil[[#This Row],[Est ouvrage]]), NOT(ISBLANK(Compil[[#This Row],[ART.
CCTP]])))</f>
        <v>0</v>
      </c>
      <c r="K113" t="b">
        <f>OR(Compil[[#This Row],[Unité]]="U",Compil[[#This Row],[Unité]]="ens",Compil[[#This Row],[Unité]]="ml")</f>
        <v>1</v>
      </c>
      <c r="L113" t="b">
        <f>ISBLANK(Compil[[#This Row],[DESIGNATION]])</f>
        <v>0</v>
      </c>
      <c r="M113" s="359"/>
      <c r="N113" s="358"/>
      <c r="O113" s="358"/>
      <c r="P113" s="358"/>
      <c r="Q113" s="358">
        <f>COUNTIF(Compil[[Ma Désignation ]],Compil[[Ma Désignation ]])</f>
        <v>14</v>
      </c>
    </row>
    <row r="114" spans="1:17" ht="14">
      <c r="A114" s="310">
        <v>382</v>
      </c>
      <c r="B114" s="43"/>
      <c r="C114" s="416" t="s">
        <v>161</v>
      </c>
      <c r="D114" t="str">
        <f xml:space="preserve"> TRIM( SUBSTITUTE(SUBSTITUTE(SUBSTITUTE( Compil[[#This Row],[DESIGNATION]],"-",""),"–",""),"*",""))</f>
        <v>Attente éclairage évier cuisine</v>
      </c>
      <c r="E114" s="33" t="s">
        <v>13</v>
      </c>
      <c r="F114" s="262">
        <v>1</v>
      </c>
      <c r="G114" s="289">
        <v>0</v>
      </c>
      <c r="H114" s="164">
        <v>0</v>
      </c>
      <c r="I114" t="s">
        <v>570</v>
      </c>
      <c r="J114" t="b">
        <f>AND(NOT(Compil[[#This Row],[Est ouvrage]]), NOT(ISBLANK(Compil[[#This Row],[ART.
CCTP]])))</f>
        <v>0</v>
      </c>
      <c r="K114" t="b">
        <f>OR(Compil[[#This Row],[Unité]]="U",Compil[[#This Row],[Unité]]="ens",Compil[[#This Row],[Unité]]="ml")</f>
        <v>1</v>
      </c>
      <c r="L114" t="b">
        <f>ISBLANK(Compil[[#This Row],[DESIGNATION]])</f>
        <v>0</v>
      </c>
      <c r="M114" s="359"/>
      <c r="N114" s="358"/>
      <c r="O114" s="358"/>
      <c r="P114" s="358"/>
      <c r="Q114" s="358">
        <f>COUNTIF(Compil[[Ma Désignation ]],Compil[[Ma Désignation ]])</f>
        <v>2</v>
      </c>
    </row>
    <row r="115" spans="1:17" ht="14">
      <c r="A115" s="303">
        <v>110</v>
      </c>
      <c r="B115" s="2"/>
      <c r="C115" s="224"/>
      <c r="D115" t="str">
        <f xml:space="preserve"> TRIM( SUBSTITUTE(SUBSTITUTE(SUBSTITUTE( Compil[[#This Row],[DESIGNATION]],"-",""),"–",""),"*",""))</f>
        <v/>
      </c>
      <c r="E115" s="189"/>
      <c r="F115" s="252"/>
      <c r="G115" s="289" t="str">
        <f>IF(F115="","",(((L115*$M$6)+(M115*#REF!*#REF!))*$M$7)/F115)</f>
        <v/>
      </c>
      <c r="H115" s="164" t="str">
        <f>IF(F115="","",F115*G115)</f>
        <v/>
      </c>
      <c r="I115" t="s">
        <v>580</v>
      </c>
      <c r="J115" t="b">
        <f>AND(NOT(Compil[[#This Row],[Est ouvrage]]), NOT(ISBLANK(Compil[[#This Row],[ART.
CCTP]])))</f>
        <v>0</v>
      </c>
      <c r="K115" t="b">
        <f>OR(Compil[[#This Row],[Unité]]="U",Compil[[#This Row],[Unité]]="ens",Compil[[#This Row],[Unité]]="ml")</f>
        <v>0</v>
      </c>
      <c r="L115" t="b">
        <f>ISBLANK(Compil[[#This Row],[DESIGNATION]])</f>
        <v>1</v>
      </c>
      <c r="M115" s="358"/>
      <c r="N115" s="358"/>
      <c r="O115" s="358"/>
      <c r="P115" s="358"/>
      <c r="Q115" s="358">
        <f>COUNTIF(Compil[[Ma Désignation ]],Compil[[Ma Désignation ]])</f>
        <v>306</v>
      </c>
    </row>
    <row r="116" spans="1:17" ht="14">
      <c r="A116" s="303">
        <v>111</v>
      </c>
      <c r="B116" s="2"/>
      <c r="C116" s="377" t="s">
        <v>107</v>
      </c>
      <c r="D116" t="str">
        <f xml:space="preserve"> TRIM( SUBSTITUTE(SUBSTITUTE(SUBSTITUTE( Compil[[#This Row],[DESIGNATION]],"-",""),"–",""),"*",""))</f>
        <v>Sous total 2.3</v>
      </c>
      <c r="E116" s="216"/>
      <c r="F116" s="252"/>
      <c r="G116" s="289" t="str">
        <f>IF(F116="","",(((L116*$M$6)+(M116*#REF!*#REF!))*$M$7)/F116)</f>
        <v/>
      </c>
      <c r="H116" s="164" t="str">
        <f>IF(F116="","",F116*G116)</f>
        <v/>
      </c>
      <c r="I116" t="s">
        <v>580</v>
      </c>
      <c r="J116" t="b">
        <f>AND(NOT(Compil[[#This Row],[Est ouvrage]]), NOT(ISBLANK(Compil[[#This Row],[ART.
CCTP]])))</f>
        <v>0</v>
      </c>
      <c r="K116" t="b">
        <f>OR(Compil[[#This Row],[Unité]]="U",Compil[[#This Row],[Unité]]="ens",Compil[[#This Row],[Unité]]="ml")</f>
        <v>0</v>
      </c>
      <c r="L116" t="b">
        <f>ISBLANK(Compil[[#This Row],[DESIGNATION]])</f>
        <v>0</v>
      </c>
      <c r="M116" s="359"/>
      <c r="N116" s="358"/>
      <c r="O116" s="358"/>
      <c r="P116" s="358"/>
      <c r="Q116" s="358">
        <f>COUNTIF(Compil[[Ma Désignation ]],Compil[[Ma Désignation ]])</f>
        <v>1</v>
      </c>
    </row>
    <row r="117" spans="1:17" ht="14">
      <c r="A117" s="303">
        <v>112</v>
      </c>
      <c r="B117" s="2"/>
      <c r="C117" s="224"/>
      <c r="D117" t="str">
        <f xml:space="preserve"> TRIM( SUBSTITUTE(SUBSTITUTE(SUBSTITUTE( Compil[[#This Row],[DESIGNATION]],"-",""),"–",""),"*",""))</f>
        <v/>
      </c>
      <c r="E117" s="216"/>
      <c r="F117" s="252"/>
      <c r="G117" s="289" t="str">
        <f>IF(F117="","",(((L117*$M$6)+(M117*#REF!*#REF!))*$M$7)/F117)</f>
        <v/>
      </c>
      <c r="H117" s="164" t="str">
        <f>IF(F117="","",F117*G117)</f>
        <v/>
      </c>
      <c r="I117" t="s">
        <v>580</v>
      </c>
      <c r="J117" t="b">
        <f>AND(NOT(Compil[[#This Row],[Est ouvrage]]), NOT(ISBLANK(Compil[[#This Row],[ART.
CCTP]])))</f>
        <v>0</v>
      </c>
      <c r="K117" t="b">
        <f>OR(Compil[[#This Row],[Unité]]="U",Compil[[#This Row],[Unité]]="ens",Compil[[#This Row],[Unité]]="ml")</f>
        <v>0</v>
      </c>
      <c r="L117" t="b">
        <f>ISBLANK(Compil[[#This Row],[DESIGNATION]])</f>
        <v>1</v>
      </c>
      <c r="M117" s="358"/>
      <c r="N117" s="358"/>
      <c r="O117" s="358"/>
      <c r="P117" s="358"/>
      <c r="Q117" s="358">
        <f>COUNTIF(Compil[[Ma Désignation ]],Compil[[Ma Désignation ]])</f>
        <v>306</v>
      </c>
    </row>
    <row r="118" spans="1:17" ht="14">
      <c r="A118" s="303">
        <v>113</v>
      </c>
      <c r="B118" s="2" t="s">
        <v>28</v>
      </c>
      <c r="C118" s="222" t="s">
        <v>73</v>
      </c>
      <c r="D118" t="str">
        <f xml:space="preserve"> TRIM( SUBSTITUTE(SUBSTITUTE(SUBSTITUTE( Compil[[#This Row],[DESIGNATION]],"-",""),"–",""),"*",""))</f>
        <v>Tableau Général Basse Tension</v>
      </c>
      <c r="E118" s="216"/>
      <c r="F118" s="252"/>
      <c r="G118" s="289" t="str">
        <f>IF(F118="","",(((L118*$M$6)+(M118*#REF!*#REF!))*$M$7)/F118)</f>
        <v/>
      </c>
      <c r="H118" s="164" t="str">
        <f>IF(F118="","",F118*G118)</f>
        <v/>
      </c>
      <c r="I118" t="s">
        <v>580</v>
      </c>
      <c r="J118" t="b">
        <f>AND(NOT(Compil[[#This Row],[Est ouvrage]]), NOT(ISBLANK(Compil[[#This Row],[ART.
CCTP]])))</f>
        <v>1</v>
      </c>
      <c r="K118" t="b">
        <f>OR(Compil[[#This Row],[Unité]]="U",Compil[[#This Row],[Unité]]="ens",Compil[[#This Row],[Unité]]="ml")</f>
        <v>0</v>
      </c>
      <c r="L118" t="b">
        <f>ISBLANK(Compil[[#This Row],[DESIGNATION]])</f>
        <v>0</v>
      </c>
      <c r="M118" s="359"/>
      <c r="N118" s="358"/>
      <c r="O118" s="358"/>
      <c r="P118" s="358"/>
      <c r="Q118" s="358">
        <f>COUNTIF(Compil[[Ma Désignation ]],Compil[[Ma Désignation ]])</f>
        <v>2</v>
      </c>
    </row>
    <row r="119" spans="1:17" ht="14">
      <c r="A119" s="303">
        <v>114</v>
      </c>
      <c r="B119" s="2"/>
      <c r="C119" s="224"/>
      <c r="D119" t="str">
        <f xml:space="preserve"> TRIM( SUBSTITUTE(SUBSTITUTE(SUBSTITUTE( Compil[[#This Row],[DESIGNATION]],"-",""),"–",""),"*",""))</f>
        <v/>
      </c>
      <c r="E119" s="216"/>
      <c r="F119" s="252"/>
      <c r="G119" s="289" t="str">
        <f>IF(F119="","",(((L119*$M$6)+(M119*#REF!*#REF!))*$M$7)/F119)</f>
        <v/>
      </c>
      <c r="H119" s="164" t="str">
        <f>IF(F119="","",F119*G119)</f>
        <v/>
      </c>
      <c r="I119" t="s">
        <v>580</v>
      </c>
      <c r="J119" t="b">
        <f>AND(NOT(Compil[[#This Row],[Est ouvrage]]), NOT(ISBLANK(Compil[[#This Row],[ART.
CCTP]])))</f>
        <v>0</v>
      </c>
      <c r="K119" t="b">
        <f>OR(Compil[[#This Row],[Unité]]="U",Compil[[#This Row],[Unité]]="ens",Compil[[#This Row],[Unité]]="ml")</f>
        <v>0</v>
      </c>
      <c r="L119" t="b">
        <f>ISBLANK(Compil[[#This Row],[DESIGNATION]])</f>
        <v>1</v>
      </c>
      <c r="M119" s="358"/>
      <c r="N119" s="358"/>
      <c r="O119" s="358"/>
      <c r="P119" s="358"/>
      <c r="Q119" s="358">
        <f>COUNTIF(Compil[[Ma Désignation ]],Compil[[Ma Désignation ]])</f>
        <v>306</v>
      </c>
    </row>
    <row r="120" spans="1:17">
      <c r="A120" s="360">
        <v>1016</v>
      </c>
      <c r="B120" s="363"/>
      <c r="C120" s="402" t="s">
        <v>161</v>
      </c>
      <c r="D120" t="str">
        <f xml:space="preserve"> TRIM( SUBSTITUTE(SUBSTITUTE(SUBSTITUTE( Compil[[#This Row],[DESIGNATION]],"-",""),"–",""),"*",""))</f>
        <v>Attente éclairage évier cuisine</v>
      </c>
      <c r="E120" s="369" t="s">
        <v>13</v>
      </c>
      <c r="F120" s="385">
        <v>1</v>
      </c>
      <c r="G120" s="390">
        <v>0</v>
      </c>
      <c r="H120" s="391">
        <v>0</v>
      </c>
      <c r="I120" t="s">
        <v>579</v>
      </c>
      <c r="J120" t="b">
        <f>AND(NOT(Compil[[#This Row],[Est ouvrage]]), NOT(ISBLANK(Compil[[#This Row],[ART.
CCTP]])))</f>
        <v>0</v>
      </c>
      <c r="K120" t="b">
        <f>OR(Compil[[#This Row],[Unité]]="U",Compil[[#This Row],[Unité]]="ens",Compil[[#This Row],[Unité]]="ml")</f>
        <v>1</v>
      </c>
      <c r="L120" t="b">
        <f>ISBLANK(Compil[[#This Row],[DESIGNATION]])</f>
        <v>0</v>
      </c>
      <c r="M120" s="359"/>
      <c r="N120" s="358"/>
      <c r="O120" s="358"/>
      <c r="P120" s="358"/>
      <c r="Q120" s="358">
        <f>COUNTIF(Compil[[Ma Désignation ]],Compil[[Ma Désignation ]])</f>
        <v>2</v>
      </c>
    </row>
    <row r="121" spans="1:17" ht="14">
      <c r="A121" s="310">
        <v>383</v>
      </c>
      <c r="B121" s="43"/>
      <c r="C121" s="416" t="s">
        <v>101</v>
      </c>
      <c r="D121" t="str">
        <f xml:space="preserve"> TRIM( SUBSTITUTE(SUBSTITUTE(SUBSTITUTE( Compil[[#This Row],[DESIGNATION]],"-",""),"–",""),"*",""))</f>
        <v>Attente éclairage vasque salle de bain</v>
      </c>
      <c r="E121" s="9" t="s">
        <v>13</v>
      </c>
      <c r="F121" s="262">
        <v>1</v>
      </c>
      <c r="G121" s="289">
        <v>0</v>
      </c>
      <c r="H121" s="164">
        <v>0</v>
      </c>
      <c r="I121" t="s">
        <v>570</v>
      </c>
      <c r="J121" t="b">
        <f>AND(NOT(Compil[[#This Row],[Est ouvrage]]), NOT(ISBLANK(Compil[[#This Row],[ART.
CCTP]])))</f>
        <v>0</v>
      </c>
      <c r="K121" t="b">
        <f>OR(Compil[[#This Row],[Unité]]="U",Compil[[#This Row],[Unité]]="ens",Compil[[#This Row],[Unité]]="ml")</f>
        <v>1</v>
      </c>
      <c r="L121" t="b">
        <f>ISBLANK(Compil[[#This Row],[DESIGNATION]])</f>
        <v>0</v>
      </c>
      <c r="M121" s="359"/>
      <c r="N121" s="358"/>
      <c r="O121" s="358"/>
      <c r="P121" s="358"/>
      <c r="Q121" s="358">
        <f>COUNTIF(Compil[[Ma Désignation ]],Compil[[Ma Désignation ]])</f>
        <v>14</v>
      </c>
    </row>
    <row r="122" spans="1:17" ht="14">
      <c r="A122" s="310">
        <v>399</v>
      </c>
      <c r="B122" s="43"/>
      <c r="C122" s="416" t="s">
        <v>101</v>
      </c>
      <c r="D122" t="str">
        <f xml:space="preserve"> TRIM( SUBSTITUTE(SUBSTITUTE(SUBSTITUTE( Compil[[#This Row],[DESIGNATION]],"-",""),"–",""),"*",""))</f>
        <v>Attente éclairage vasque salle de bain</v>
      </c>
      <c r="E122" s="9" t="s">
        <v>13</v>
      </c>
      <c r="F122" s="262"/>
      <c r="G122" s="289" t="s">
        <v>571</v>
      </c>
      <c r="H122" s="164" t="s">
        <v>571</v>
      </c>
      <c r="I122" t="s">
        <v>570</v>
      </c>
      <c r="J122" t="b">
        <f>AND(NOT(Compil[[#This Row],[Est ouvrage]]), NOT(ISBLANK(Compil[[#This Row],[ART.
CCTP]])))</f>
        <v>0</v>
      </c>
      <c r="K122" t="b">
        <f>OR(Compil[[#This Row],[Unité]]="U",Compil[[#This Row],[Unité]]="ens",Compil[[#This Row],[Unité]]="ml")</f>
        <v>1</v>
      </c>
      <c r="L122" t="b">
        <f>ISBLANK(Compil[[#This Row],[DESIGNATION]])</f>
        <v>0</v>
      </c>
      <c r="M122" s="359"/>
      <c r="N122" s="358"/>
      <c r="O122" s="358"/>
      <c r="P122" s="358"/>
      <c r="Q122" s="358">
        <f>COUNTIF(Compil[[Ma Désignation ]],Compil[[Ma Désignation ]])</f>
        <v>14</v>
      </c>
    </row>
    <row r="123" spans="1:17" ht="14">
      <c r="A123" s="303">
        <v>118</v>
      </c>
      <c r="B123" s="2"/>
      <c r="C123" s="221"/>
      <c r="D123" t="str">
        <f xml:space="preserve"> TRIM( SUBSTITUTE(SUBSTITUTE(SUBSTITUTE( Compil[[#This Row],[DESIGNATION]],"-",""),"–",""),"*",""))</f>
        <v/>
      </c>
      <c r="E123" s="193"/>
      <c r="F123" s="252"/>
      <c r="G123" s="289" t="str">
        <f>IF(F123="","",(((L123*$M$6)+(M123*#REF!*#REF!))*$M$7)/F123)</f>
        <v/>
      </c>
      <c r="H123" s="164" t="str">
        <f>IF(F123="","",F123*G123)</f>
        <v/>
      </c>
      <c r="I123" t="s">
        <v>580</v>
      </c>
      <c r="J123" t="b">
        <f>AND(NOT(Compil[[#This Row],[Est ouvrage]]), NOT(ISBLANK(Compil[[#This Row],[ART.
CCTP]])))</f>
        <v>0</v>
      </c>
      <c r="K123" t="b">
        <f>OR(Compil[[#This Row],[Unité]]="U",Compil[[#This Row],[Unité]]="ens",Compil[[#This Row],[Unité]]="ml")</f>
        <v>0</v>
      </c>
      <c r="L123" t="b">
        <f>ISBLANK(Compil[[#This Row],[DESIGNATION]])</f>
        <v>1</v>
      </c>
      <c r="M123" s="358"/>
      <c r="N123" s="358"/>
      <c r="O123" s="358"/>
      <c r="P123" s="358"/>
      <c r="Q123" s="358">
        <f>COUNTIF(Compil[[Ma Désignation ]],Compil[[Ma Désignation ]])</f>
        <v>306</v>
      </c>
    </row>
    <row r="124" spans="1:17" ht="14">
      <c r="A124" s="310">
        <v>435</v>
      </c>
      <c r="B124" s="43"/>
      <c r="C124" s="416" t="s">
        <v>101</v>
      </c>
      <c r="D124" t="str">
        <f xml:space="preserve"> TRIM( SUBSTITUTE(SUBSTITUTE(SUBSTITUTE( Compil[[#This Row],[DESIGNATION]],"-",""),"–",""),"*",""))</f>
        <v>Attente éclairage vasque salle de bain</v>
      </c>
      <c r="E124" s="9" t="s">
        <v>13</v>
      </c>
      <c r="F124" s="262">
        <v>1</v>
      </c>
      <c r="G124" s="289">
        <v>0</v>
      </c>
      <c r="H124" s="164">
        <v>0</v>
      </c>
      <c r="I124" t="s">
        <v>570</v>
      </c>
      <c r="J124" t="b">
        <f>AND(NOT(Compil[[#This Row],[Est ouvrage]]), NOT(ISBLANK(Compil[[#This Row],[ART.
CCTP]])))</f>
        <v>0</v>
      </c>
      <c r="K124" t="b">
        <f>OR(Compil[[#This Row],[Unité]]="U",Compil[[#This Row],[Unité]]="ens",Compil[[#This Row],[Unité]]="ml")</f>
        <v>1</v>
      </c>
      <c r="L124" t="b">
        <f>ISBLANK(Compil[[#This Row],[DESIGNATION]])</f>
        <v>0</v>
      </c>
      <c r="M124" s="359"/>
      <c r="N124" s="358"/>
      <c r="O124" s="358"/>
      <c r="P124" s="358"/>
      <c r="Q124" s="358">
        <f>COUNTIF(Compil[[Ma Désignation ]],Compil[[Ma Désignation ]])</f>
        <v>14</v>
      </c>
    </row>
    <row r="125" spans="1:17" ht="14">
      <c r="A125" s="310">
        <v>453</v>
      </c>
      <c r="B125" s="43"/>
      <c r="C125" s="416" t="s">
        <v>101</v>
      </c>
      <c r="D125" t="str">
        <f xml:space="preserve"> TRIM( SUBSTITUTE(SUBSTITUTE(SUBSTITUTE( Compil[[#This Row],[DESIGNATION]],"-",""),"–",""),"*",""))</f>
        <v>Attente éclairage vasque salle de bain</v>
      </c>
      <c r="E125" s="9" t="s">
        <v>13</v>
      </c>
      <c r="F125" s="262"/>
      <c r="G125" s="289" t="s">
        <v>571</v>
      </c>
      <c r="H125" s="164" t="s">
        <v>571</v>
      </c>
      <c r="I125" t="s">
        <v>570</v>
      </c>
      <c r="J125" t="b">
        <f>AND(NOT(Compil[[#This Row],[Est ouvrage]]), NOT(ISBLANK(Compil[[#This Row],[ART.
CCTP]])))</f>
        <v>0</v>
      </c>
      <c r="K125" t="b">
        <f>OR(Compil[[#This Row],[Unité]]="U",Compil[[#This Row],[Unité]]="ens",Compil[[#This Row],[Unité]]="ml")</f>
        <v>1</v>
      </c>
      <c r="L125" t="b">
        <f>ISBLANK(Compil[[#This Row],[DESIGNATION]])</f>
        <v>0</v>
      </c>
      <c r="M125" s="359"/>
      <c r="N125" s="358"/>
      <c r="O125" s="358"/>
      <c r="P125" s="358"/>
      <c r="Q125" s="358">
        <f>COUNTIF(Compil[[Ma Désignation ]],Compil[[Ma Désignation ]])</f>
        <v>14</v>
      </c>
    </row>
    <row r="126" spans="1:17" ht="14">
      <c r="A126" s="310">
        <v>490</v>
      </c>
      <c r="B126" s="43"/>
      <c r="C126" s="416" t="s">
        <v>101</v>
      </c>
      <c r="D126" t="str">
        <f xml:space="preserve"> TRIM( SUBSTITUTE(SUBSTITUTE(SUBSTITUTE( Compil[[#This Row],[DESIGNATION]],"-",""),"–",""),"*",""))</f>
        <v>Attente éclairage vasque salle de bain</v>
      </c>
      <c r="E126" s="33" t="s">
        <v>13</v>
      </c>
      <c r="F126" s="262">
        <v>1</v>
      </c>
      <c r="G126" s="289">
        <v>0</v>
      </c>
      <c r="H126" s="164">
        <v>0</v>
      </c>
      <c r="I126" t="s">
        <v>570</v>
      </c>
      <c r="J126" t="b">
        <f>AND(NOT(Compil[[#This Row],[Est ouvrage]]), NOT(ISBLANK(Compil[[#This Row],[ART.
CCTP]])))</f>
        <v>0</v>
      </c>
      <c r="K126" t="b">
        <f>OR(Compil[[#This Row],[Unité]]="U",Compil[[#This Row],[Unité]]="ens",Compil[[#This Row],[Unité]]="ml")</f>
        <v>1</v>
      </c>
      <c r="L126" t="b">
        <f>ISBLANK(Compil[[#This Row],[DESIGNATION]])</f>
        <v>0</v>
      </c>
      <c r="M126" s="359"/>
      <c r="N126" s="358"/>
      <c r="O126" s="358"/>
      <c r="P126" s="358"/>
      <c r="Q126" s="358">
        <f>COUNTIF(Compil[[Ma Désignation ]],Compil[[Ma Désignation ]])</f>
        <v>14</v>
      </c>
    </row>
    <row r="127" spans="1:17" ht="14">
      <c r="A127" s="303">
        <v>122</v>
      </c>
      <c r="B127" s="2"/>
      <c r="C127" s="228"/>
      <c r="D127" s="357" t="str">
        <f xml:space="preserve"> TRIM( SUBSTITUTE(SUBSTITUTE(SUBSTITUTE( Compil[[#This Row],[DESIGNATION]],"-",""),"–",""),"*",""))</f>
        <v/>
      </c>
      <c r="E127" s="216"/>
      <c r="F127" s="252"/>
      <c r="G127" s="289" t="str">
        <f>IF(F127="","",(((L127*$M$6)+(M127*#REF!*#REF!))*$M$7)/F127)</f>
        <v/>
      </c>
      <c r="H127" s="164" t="str">
        <f>IF(F127="","",F127*G127)</f>
        <v/>
      </c>
      <c r="I127" t="s">
        <v>580</v>
      </c>
      <c r="J127" t="b">
        <f>AND(NOT(Compil[[#This Row],[Est ouvrage]]), NOT(ISBLANK(Compil[[#This Row],[ART.
CCTP]])))</f>
        <v>0</v>
      </c>
      <c r="K127" t="b">
        <f>OR(Compil[[#This Row],[Unité]]="U",Compil[[#This Row],[Unité]]="ens",Compil[[#This Row],[Unité]]="ml")</f>
        <v>0</v>
      </c>
      <c r="L127" t="b">
        <f>ISBLANK(Compil[[#This Row],[DESIGNATION]])</f>
        <v>1</v>
      </c>
      <c r="M127" s="358"/>
      <c r="N127" s="358"/>
      <c r="O127" s="358"/>
      <c r="P127" s="358"/>
      <c r="Q127" s="358">
        <f>COUNTIF(Compil[[Ma Désignation ]],Compil[[Ma Désignation ]])</f>
        <v>306</v>
      </c>
    </row>
    <row r="128" spans="1:17" ht="14">
      <c r="A128" s="303">
        <v>123</v>
      </c>
      <c r="B128" s="2"/>
      <c r="C128" s="394" t="s">
        <v>108</v>
      </c>
      <c r="D128" t="str">
        <f xml:space="preserve"> TRIM( SUBSTITUTE(SUBSTITUTE(SUBSTITUTE( Compil[[#This Row],[DESIGNATION]],"-",""),"–",""),"*",""))</f>
        <v>Sous total 2.4</v>
      </c>
      <c r="E128" s="216"/>
      <c r="F128" s="252"/>
      <c r="G128" s="289" t="str">
        <f>IF(F128="","",(((L128*$M$6)+(M128*#REF!*#REF!))*$M$7)/F128)</f>
        <v/>
      </c>
      <c r="H128" s="164" t="str">
        <f>IF(F128="","",F128*G128)</f>
        <v/>
      </c>
      <c r="I128" t="s">
        <v>580</v>
      </c>
      <c r="J128" t="b">
        <f>AND(NOT(Compil[[#This Row],[Est ouvrage]]), NOT(ISBLANK(Compil[[#This Row],[ART.
CCTP]])))</f>
        <v>0</v>
      </c>
      <c r="K128" t="b">
        <f>OR(Compil[[#This Row],[Unité]]="U",Compil[[#This Row],[Unité]]="ens",Compil[[#This Row],[Unité]]="ml")</f>
        <v>0</v>
      </c>
      <c r="L128" t="b">
        <f>ISBLANK(Compil[[#This Row],[DESIGNATION]])</f>
        <v>0</v>
      </c>
      <c r="M128" s="359"/>
      <c r="N128" s="358"/>
      <c r="O128" s="358"/>
      <c r="P128" s="358"/>
      <c r="Q128" s="358">
        <f>COUNTIF(Compil[[Ma Désignation ]],Compil[[Ma Désignation ]])</f>
        <v>1</v>
      </c>
    </row>
    <row r="129" spans="1:17" ht="14">
      <c r="A129" s="303">
        <v>124</v>
      </c>
      <c r="B129" s="2"/>
      <c r="C129" s="228"/>
      <c r="D129" s="357" t="str">
        <f xml:space="preserve"> TRIM( SUBSTITUTE(SUBSTITUTE(SUBSTITUTE( Compil[[#This Row],[DESIGNATION]],"-",""),"–",""),"*",""))</f>
        <v/>
      </c>
      <c r="E129" s="216"/>
      <c r="F129" s="252"/>
      <c r="G129" s="289" t="str">
        <f>IF(F129="","",(((L129*$M$6)+(M129*#REF!*#REF!))*$M$7)/F129)</f>
        <v/>
      </c>
      <c r="H129" s="164" t="str">
        <f>IF(F129="","",F129*G129)</f>
        <v/>
      </c>
      <c r="I129" t="s">
        <v>580</v>
      </c>
      <c r="J129" t="b">
        <f>AND(NOT(Compil[[#This Row],[Est ouvrage]]), NOT(ISBLANK(Compil[[#This Row],[ART.
CCTP]])))</f>
        <v>0</v>
      </c>
      <c r="K129" t="b">
        <f>OR(Compil[[#This Row],[Unité]]="U",Compil[[#This Row],[Unité]]="ens",Compil[[#This Row],[Unité]]="ml")</f>
        <v>0</v>
      </c>
      <c r="L129" t="b">
        <f>ISBLANK(Compil[[#This Row],[DESIGNATION]])</f>
        <v>1</v>
      </c>
      <c r="M129" s="358"/>
      <c r="N129" s="358"/>
      <c r="O129" s="358"/>
      <c r="P129" s="358"/>
      <c r="Q129" s="358">
        <f>COUNTIF(Compil[[Ma Désignation ]],Compil[[Ma Désignation ]])</f>
        <v>306</v>
      </c>
    </row>
    <row r="130" spans="1:17" ht="14">
      <c r="A130" s="303">
        <v>125</v>
      </c>
      <c r="B130" s="2" t="s">
        <v>75</v>
      </c>
      <c r="C130" s="222" t="s">
        <v>258</v>
      </c>
      <c r="D130" t="str">
        <f xml:space="preserve"> TRIM( SUBSTITUTE(SUBSTITUTE(SUBSTITUTE( Compil[[#This Row],[DESIGNATION]],"-",""),"–",""),"*",""))</f>
        <v>Coupure générale électricité des parkings</v>
      </c>
      <c r="E130" s="216"/>
      <c r="F130" s="252"/>
      <c r="G130" s="289" t="str">
        <f>IF(F130="","",(((L130*$M$6)+(M130*#REF!*#REF!))*$M$7)/F130)</f>
        <v/>
      </c>
      <c r="H130" s="164" t="str">
        <f>IF(F130="","",F130*G130)</f>
        <v/>
      </c>
      <c r="I130" t="s">
        <v>580</v>
      </c>
      <c r="J130" t="b">
        <f>AND(NOT(Compil[[#This Row],[Est ouvrage]]), NOT(ISBLANK(Compil[[#This Row],[ART.
CCTP]])))</f>
        <v>1</v>
      </c>
      <c r="K130" t="b">
        <f>OR(Compil[[#This Row],[Unité]]="U",Compil[[#This Row],[Unité]]="ens",Compil[[#This Row],[Unité]]="ml")</f>
        <v>0</v>
      </c>
      <c r="L130" t="b">
        <f>ISBLANK(Compil[[#This Row],[DESIGNATION]])</f>
        <v>0</v>
      </c>
      <c r="M130" s="359"/>
      <c r="N130" s="358"/>
      <c r="O130" s="358"/>
      <c r="P130" s="358"/>
      <c r="Q130" s="358">
        <f>COUNTIF(Compil[[Ma Désignation ]],Compil[[Ma Désignation ]])</f>
        <v>1</v>
      </c>
    </row>
    <row r="131" spans="1:17" ht="14">
      <c r="A131" s="303">
        <v>126</v>
      </c>
      <c r="B131" s="2"/>
      <c r="C131" s="229"/>
      <c r="D131" s="357" t="str">
        <f xml:space="preserve"> TRIM( SUBSTITUTE(SUBSTITUTE(SUBSTITUTE( Compil[[#This Row],[DESIGNATION]],"-",""),"–",""),"*",""))</f>
        <v/>
      </c>
      <c r="E131" s="216"/>
      <c r="F131" s="252"/>
      <c r="G131" s="289" t="str">
        <f>IF(F131="","",(((L131*$M$6)+(M131*#REF!*#REF!))*$M$7)/F131)</f>
        <v/>
      </c>
      <c r="H131" s="164" t="str">
        <f>IF(F131="","",F131*G131)</f>
        <v/>
      </c>
      <c r="I131" t="s">
        <v>580</v>
      </c>
      <c r="J131" t="b">
        <f>AND(NOT(Compil[[#This Row],[Est ouvrage]]), NOT(ISBLANK(Compil[[#This Row],[ART.
CCTP]])))</f>
        <v>0</v>
      </c>
      <c r="K131" t="b">
        <f>OR(Compil[[#This Row],[Unité]]="U",Compil[[#This Row],[Unité]]="ens",Compil[[#This Row],[Unité]]="ml")</f>
        <v>0</v>
      </c>
      <c r="L131" t="b">
        <f>ISBLANK(Compil[[#This Row],[DESIGNATION]])</f>
        <v>1</v>
      </c>
      <c r="M131" s="358"/>
      <c r="N131" s="358"/>
      <c r="O131" s="358"/>
      <c r="P131" s="358"/>
      <c r="Q131" s="358">
        <f>COUNTIF(Compil[[Ma Désignation ]],Compil[[Ma Désignation ]])</f>
        <v>306</v>
      </c>
    </row>
    <row r="132" spans="1:17" ht="14">
      <c r="A132" s="310">
        <v>509</v>
      </c>
      <c r="B132" s="43"/>
      <c r="C132" s="416" t="s">
        <v>101</v>
      </c>
      <c r="D132" t="str">
        <f xml:space="preserve"> TRIM( SUBSTITUTE(SUBSTITUTE(SUBSTITUTE( Compil[[#This Row],[DESIGNATION]],"-",""),"–",""),"*",""))</f>
        <v>Attente éclairage vasque salle de bain</v>
      </c>
      <c r="E132" s="9" t="s">
        <v>13</v>
      </c>
      <c r="F132" s="262"/>
      <c r="G132" s="289" t="s">
        <v>571</v>
      </c>
      <c r="H132" s="164" t="s">
        <v>571</v>
      </c>
      <c r="I132" t="s">
        <v>570</v>
      </c>
      <c r="J132" t="b">
        <f>AND(NOT(Compil[[#This Row],[Est ouvrage]]), NOT(ISBLANK(Compil[[#This Row],[ART.
CCTP]])))</f>
        <v>0</v>
      </c>
      <c r="K132" t="b">
        <f>OR(Compil[[#This Row],[Unité]]="U",Compil[[#This Row],[Unité]]="ens",Compil[[#This Row],[Unité]]="ml")</f>
        <v>1</v>
      </c>
      <c r="L132" t="b">
        <f>ISBLANK(Compil[[#This Row],[DESIGNATION]])</f>
        <v>0</v>
      </c>
      <c r="M132" s="359"/>
      <c r="N132" s="358"/>
      <c r="O132" s="358"/>
      <c r="P132" s="358"/>
      <c r="Q132" s="358">
        <f>COUNTIF(Compil[[Ma Désignation ]],Compil[[Ma Désignation ]])</f>
        <v>14</v>
      </c>
    </row>
    <row r="133" spans="1:17" ht="14">
      <c r="A133" s="303">
        <v>128</v>
      </c>
      <c r="B133" s="2"/>
      <c r="C133" s="229"/>
      <c r="D133" s="357" t="str">
        <f xml:space="preserve"> TRIM( SUBSTITUTE(SUBSTITUTE(SUBSTITUTE( Compil[[#This Row],[DESIGNATION]],"-",""),"–",""),"*",""))</f>
        <v/>
      </c>
      <c r="E133" s="216"/>
      <c r="F133" s="252"/>
      <c r="G133" s="289" t="str">
        <f>IF(F133="","",(((L133*$M$6)+(M133*#REF!*#REF!))*$M$7)/F133)</f>
        <v/>
      </c>
      <c r="H133" s="164" t="str">
        <f>IF(F133="","",F133*G133)</f>
        <v/>
      </c>
      <c r="I133" t="s">
        <v>580</v>
      </c>
      <c r="J133" t="b">
        <f>AND(NOT(Compil[[#This Row],[Est ouvrage]]), NOT(ISBLANK(Compil[[#This Row],[ART.
CCTP]])))</f>
        <v>0</v>
      </c>
      <c r="K133" t="b">
        <f>OR(Compil[[#This Row],[Unité]]="U",Compil[[#This Row],[Unité]]="ens",Compil[[#This Row],[Unité]]="ml")</f>
        <v>0</v>
      </c>
      <c r="L133" t="b">
        <f>ISBLANK(Compil[[#This Row],[DESIGNATION]])</f>
        <v>1</v>
      </c>
      <c r="M133" s="358"/>
      <c r="N133" s="358"/>
      <c r="O133" s="358"/>
      <c r="P133" s="358"/>
      <c r="Q133" s="358">
        <f>COUNTIF(Compil[[Ma Désignation ]],Compil[[Ma Désignation ]])</f>
        <v>306</v>
      </c>
    </row>
    <row r="134" spans="1:17" ht="14">
      <c r="A134" s="303">
        <v>129</v>
      </c>
      <c r="B134" s="2"/>
      <c r="C134" s="377" t="s">
        <v>109</v>
      </c>
      <c r="D134" t="str">
        <f xml:space="preserve"> TRIM( SUBSTITUTE(SUBSTITUTE(SUBSTITUTE( Compil[[#This Row],[DESIGNATION]],"-",""),"–",""),"*",""))</f>
        <v>Sous total 2.5</v>
      </c>
      <c r="E134" s="216"/>
      <c r="F134" s="252"/>
      <c r="G134" s="289" t="str">
        <f>IF(F134="","",(((L134*$M$6)+(M134*#REF!*#REF!))*$M$7)/F134)</f>
        <v/>
      </c>
      <c r="H134" s="164" t="str">
        <f>IF(F134="","",F134*G134)</f>
        <v/>
      </c>
      <c r="I134" t="s">
        <v>580</v>
      </c>
      <c r="J134" t="b">
        <f>AND(NOT(Compil[[#This Row],[Est ouvrage]]), NOT(ISBLANK(Compil[[#This Row],[ART.
CCTP]])))</f>
        <v>0</v>
      </c>
      <c r="K134" t="b">
        <f>OR(Compil[[#This Row],[Unité]]="U",Compil[[#This Row],[Unité]]="ens",Compil[[#This Row],[Unité]]="ml")</f>
        <v>0</v>
      </c>
      <c r="L134" t="b">
        <f>ISBLANK(Compil[[#This Row],[DESIGNATION]])</f>
        <v>0</v>
      </c>
      <c r="M134" s="359"/>
      <c r="N134" s="358"/>
      <c r="O134" s="358"/>
      <c r="P134" s="358"/>
      <c r="Q134" s="358">
        <f>COUNTIF(Compil[[Ma Désignation ]],Compil[[Ma Désignation ]])</f>
        <v>1</v>
      </c>
    </row>
    <row r="135" spans="1:17" ht="14">
      <c r="A135" s="303">
        <v>130</v>
      </c>
      <c r="B135" s="2"/>
      <c r="C135" s="224"/>
      <c r="D135" t="str">
        <f xml:space="preserve"> TRIM( SUBSTITUTE(SUBSTITUTE(SUBSTITUTE( Compil[[#This Row],[DESIGNATION]],"-",""),"–",""),"*",""))</f>
        <v/>
      </c>
      <c r="E135" s="216"/>
      <c r="F135" s="252"/>
      <c r="G135" s="289" t="str">
        <f>IF(F135="","",(((L135*$M$6)+(M135*#REF!*#REF!))*$M$7)/F135)</f>
        <v/>
      </c>
      <c r="H135" s="164" t="str">
        <f>IF(F135="","",F135*G135)</f>
        <v/>
      </c>
      <c r="I135" t="s">
        <v>580</v>
      </c>
      <c r="J135" t="b">
        <f>AND(NOT(Compil[[#This Row],[Est ouvrage]]), NOT(ISBLANK(Compil[[#This Row],[ART.
CCTP]])))</f>
        <v>0</v>
      </c>
      <c r="K135" t="b">
        <f>OR(Compil[[#This Row],[Unité]]="U",Compil[[#This Row],[Unité]]="ens",Compil[[#This Row],[Unité]]="ml")</f>
        <v>0</v>
      </c>
      <c r="L135" t="b">
        <f>ISBLANK(Compil[[#This Row],[DESIGNATION]])</f>
        <v>1</v>
      </c>
      <c r="M135" s="358"/>
      <c r="N135" s="358"/>
      <c r="O135" s="358"/>
      <c r="P135" s="358"/>
      <c r="Q135" s="358">
        <f>COUNTIF(Compil[[Ma Désignation ]],Compil[[Ma Désignation ]])</f>
        <v>306</v>
      </c>
    </row>
    <row r="136" spans="1:17" ht="14">
      <c r="A136" s="303">
        <v>131</v>
      </c>
      <c r="B136" s="2" t="s">
        <v>78</v>
      </c>
      <c r="C136" s="222" t="s">
        <v>34</v>
      </c>
      <c r="D136" t="str">
        <f xml:space="preserve"> TRIM( SUBSTITUTE(SUBSTITUTE(SUBSTITUTE( Compil[[#This Row],[DESIGNATION]],"-",""),"–",""),"*",""))</f>
        <v>Alimentations diverses des communs</v>
      </c>
      <c r="E136" s="216"/>
      <c r="F136" s="252"/>
      <c r="G136" s="289" t="str">
        <f>IF(F136="","",(((L136*$M$6)+(M136*#REF!*#REF!))*$M$7)/F136)</f>
        <v/>
      </c>
      <c r="H136" s="164" t="str">
        <f>IF(F136="","",F136*G136)</f>
        <v/>
      </c>
      <c r="I136" t="s">
        <v>580</v>
      </c>
      <c r="J136" t="b">
        <f>AND(NOT(Compil[[#This Row],[Est ouvrage]]), NOT(ISBLANK(Compil[[#This Row],[ART.
CCTP]])))</f>
        <v>1</v>
      </c>
      <c r="K136" t="b">
        <f>OR(Compil[[#This Row],[Unité]]="U",Compil[[#This Row],[Unité]]="ens",Compil[[#This Row],[Unité]]="ml")</f>
        <v>0</v>
      </c>
      <c r="L136" t="b">
        <f>ISBLANK(Compil[[#This Row],[DESIGNATION]])</f>
        <v>0</v>
      </c>
      <c r="M136" s="359"/>
      <c r="N136" s="358"/>
      <c r="O136" s="358"/>
      <c r="P136" s="358"/>
      <c r="Q136" s="358">
        <f>COUNTIF(Compil[[Ma Désignation ]],Compil[[Ma Désignation ]])</f>
        <v>2</v>
      </c>
    </row>
    <row r="137" spans="1:17" ht="14">
      <c r="A137" s="303">
        <v>132</v>
      </c>
      <c r="B137" s="2"/>
      <c r="C137" s="224"/>
      <c r="D137" t="str">
        <f xml:space="preserve"> TRIM( SUBSTITUTE(SUBSTITUTE(SUBSTITUTE( Compil[[#This Row],[DESIGNATION]],"-",""),"–",""),"*",""))</f>
        <v/>
      </c>
      <c r="E137" s="216"/>
      <c r="F137" s="252"/>
      <c r="G137" s="289" t="str">
        <f>IF(F137="","",(((L137*$M$6)+(M137*#REF!*#REF!))*$M$7)/F137)</f>
        <v/>
      </c>
      <c r="H137" s="164" t="str">
        <f>IF(F137="","",F137*G137)</f>
        <v/>
      </c>
      <c r="I137" t="s">
        <v>580</v>
      </c>
      <c r="J137" t="b">
        <f>AND(NOT(Compil[[#This Row],[Est ouvrage]]), NOT(ISBLANK(Compil[[#This Row],[ART.
CCTP]])))</f>
        <v>0</v>
      </c>
      <c r="K137" t="b">
        <f>OR(Compil[[#This Row],[Unité]]="U",Compil[[#This Row],[Unité]]="ens",Compil[[#This Row],[Unité]]="ml")</f>
        <v>0</v>
      </c>
      <c r="L137" t="b">
        <f>ISBLANK(Compil[[#This Row],[DESIGNATION]])</f>
        <v>1</v>
      </c>
      <c r="M137" s="358"/>
      <c r="N137" s="358"/>
      <c r="O137" s="358"/>
      <c r="P137" s="358"/>
      <c r="Q137" s="358">
        <f>COUNTIF(Compil[[Ma Désignation ]],Compil[[Ma Désignation ]])</f>
        <v>306</v>
      </c>
    </row>
    <row r="138" spans="1:17" ht="14">
      <c r="A138" s="310">
        <v>546</v>
      </c>
      <c r="B138" s="43"/>
      <c r="C138" s="416" t="s">
        <v>101</v>
      </c>
      <c r="D138" t="str">
        <f xml:space="preserve"> TRIM( SUBSTITUTE(SUBSTITUTE(SUBSTITUTE( Compil[[#This Row],[DESIGNATION]],"-",""),"–",""),"*",""))</f>
        <v>Attente éclairage vasque salle de bain</v>
      </c>
      <c r="E138" s="33" t="s">
        <v>13</v>
      </c>
      <c r="F138" s="262">
        <v>1</v>
      </c>
      <c r="G138" s="289">
        <v>0</v>
      </c>
      <c r="H138" s="164">
        <v>0</v>
      </c>
      <c r="I138" t="s">
        <v>570</v>
      </c>
      <c r="J138" t="b">
        <f>AND(NOT(Compil[[#This Row],[Est ouvrage]]), NOT(ISBLANK(Compil[[#This Row],[ART.
CCTP]])))</f>
        <v>0</v>
      </c>
      <c r="K138" t="b">
        <f>OR(Compil[[#This Row],[Unité]]="U",Compil[[#This Row],[Unité]]="ens",Compil[[#This Row],[Unité]]="ml")</f>
        <v>1</v>
      </c>
      <c r="L138" t="b">
        <f>ISBLANK(Compil[[#This Row],[DESIGNATION]])</f>
        <v>0</v>
      </c>
      <c r="M138" s="359"/>
      <c r="N138" s="358"/>
      <c r="O138" s="358"/>
      <c r="P138" s="358"/>
      <c r="Q138" s="358">
        <f>COUNTIF(Compil[[Ma Désignation ]],Compil[[Ma Désignation ]])</f>
        <v>14</v>
      </c>
    </row>
    <row r="139" spans="1:17" ht="14">
      <c r="A139" s="310">
        <v>565</v>
      </c>
      <c r="B139" s="43"/>
      <c r="C139" s="416" t="s">
        <v>101</v>
      </c>
      <c r="D139" t="str">
        <f xml:space="preserve"> TRIM( SUBSTITUTE(SUBSTITUTE(SUBSTITUTE( Compil[[#This Row],[DESIGNATION]],"-",""),"–",""),"*",""))</f>
        <v>Attente éclairage vasque salle de bain</v>
      </c>
      <c r="E139" s="33" t="s">
        <v>13</v>
      </c>
      <c r="F139" s="262"/>
      <c r="G139" s="289" t="s">
        <v>571</v>
      </c>
      <c r="H139" s="164" t="s">
        <v>571</v>
      </c>
      <c r="I139" t="s">
        <v>570</v>
      </c>
      <c r="J139" t="b">
        <f>AND(NOT(Compil[[#This Row],[Est ouvrage]]), NOT(ISBLANK(Compil[[#This Row],[ART.
CCTP]])))</f>
        <v>0</v>
      </c>
      <c r="K139" t="b">
        <f>OR(Compil[[#This Row],[Unité]]="U",Compil[[#This Row],[Unité]]="ens",Compil[[#This Row],[Unité]]="ml")</f>
        <v>1</v>
      </c>
      <c r="L139" t="b">
        <f>ISBLANK(Compil[[#This Row],[DESIGNATION]])</f>
        <v>0</v>
      </c>
      <c r="M139" s="359"/>
      <c r="N139" s="358"/>
      <c r="O139" s="358"/>
      <c r="P139" s="358"/>
      <c r="Q139" s="358">
        <f>COUNTIF(Compil[[Ma Désignation ]],Compil[[Ma Désignation ]])</f>
        <v>14</v>
      </c>
    </row>
    <row r="140" spans="1:17" ht="14">
      <c r="A140" s="310">
        <v>602</v>
      </c>
      <c r="B140" s="43"/>
      <c r="C140" s="416" t="s">
        <v>101</v>
      </c>
      <c r="D140" t="str">
        <f xml:space="preserve"> TRIM( SUBSTITUTE(SUBSTITUTE(SUBSTITUTE( Compil[[#This Row],[DESIGNATION]],"-",""),"–",""),"*",""))</f>
        <v>Attente éclairage vasque salle de bain</v>
      </c>
      <c r="E140" s="33" t="s">
        <v>13</v>
      </c>
      <c r="F140" s="262">
        <v>1</v>
      </c>
      <c r="G140" s="289">
        <v>0</v>
      </c>
      <c r="H140" s="164">
        <v>0</v>
      </c>
      <c r="I140" t="s">
        <v>570</v>
      </c>
      <c r="J140" t="b">
        <f>AND(NOT(Compil[[#This Row],[Est ouvrage]]), NOT(ISBLANK(Compil[[#This Row],[ART.
CCTP]])))</f>
        <v>0</v>
      </c>
      <c r="K140" t="b">
        <f>OR(Compil[[#This Row],[Unité]]="U",Compil[[#This Row],[Unité]]="ens",Compil[[#This Row],[Unité]]="ml")</f>
        <v>1</v>
      </c>
      <c r="L140" t="b">
        <f>ISBLANK(Compil[[#This Row],[DESIGNATION]])</f>
        <v>0</v>
      </c>
      <c r="M140" s="359"/>
      <c r="N140" s="358"/>
      <c r="O140" s="358"/>
      <c r="P140" s="358"/>
      <c r="Q140" s="358">
        <f>COUNTIF(Compil[[Ma Désignation ]],Compil[[Ma Désignation ]])</f>
        <v>14</v>
      </c>
    </row>
    <row r="141" spans="1:17" ht="14">
      <c r="A141" s="310">
        <v>621</v>
      </c>
      <c r="B141" s="43"/>
      <c r="C141" s="416" t="s">
        <v>101</v>
      </c>
      <c r="D141" t="str">
        <f xml:space="preserve"> TRIM( SUBSTITUTE(SUBSTITUTE(SUBSTITUTE( Compil[[#This Row],[DESIGNATION]],"-",""),"–",""),"*",""))</f>
        <v>Attente éclairage vasque salle de bain</v>
      </c>
      <c r="E141" s="33" t="s">
        <v>13</v>
      </c>
      <c r="F141" s="262"/>
      <c r="G141" s="289" t="s">
        <v>571</v>
      </c>
      <c r="H141" s="164" t="s">
        <v>571</v>
      </c>
      <c r="I141" t="s">
        <v>570</v>
      </c>
      <c r="J141" t="b">
        <f>AND(NOT(Compil[[#This Row],[Est ouvrage]]), NOT(ISBLANK(Compil[[#This Row],[ART.
CCTP]])))</f>
        <v>0</v>
      </c>
      <c r="K141" t="b">
        <f>OR(Compil[[#This Row],[Unité]]="U",Compil[[#This Row],[Unité]]="ens",Compil[[#This Row],[Unité]]="ml")</f>
        <v>1</v>
      </c>
      <c r="L141" t="b">
        <f>ISBLANK(Compil[[#This Row],[DESIGNATION]])</f>
        <v>0</v>
      </c>
      <c r="M141" s="359"/>
      <c r="N141" s="358"/>
      <c r="O141" s="358"/>
      <c r="P141" s="358"/>
      <c r="Q141" s="358">
        <f>COUNTIF(Compil[[Ma Désignation ]],Compil[[Ma Désignation ]])</f>
        <v>14</v>
      </c>
    </row>
    <row r="142" spans="1:17" ht="14">
      <c r="A142" s="310">
        <v>658</v>
      </c>
      <c r="B142" s="43"/>
      <c r="C142" s="416" t="s">
        <v>101</v>
      </c>
      <c r="D142" t="str">
        <f xml:space="preserve"> TRIM( SUBSTITUTE(SUBSTITUTE(SUBSTITUTE( Compil[[#This Row],[DESIGNATION]],"-",""),"–",""),"*",""))</f>
        <v>Attente éclairage vasque salle de bain</v>
      </c>
      <c r="E142" s="33" t="s">
        <v>13</v>
      </c>
      <c r="F142" s="262">
        <v>1</v>
      </c>
      <c r="G142" s="289">
        <v>0</v>
      </c>
      <c r="H142" s="164">
        <v>0</v>
      </c>
      <c r="I142" t="s">
        <v>570</v>
      </c>
      <c r="J142" t="b">
        <f>AND(NOT(Compil[[#This Row],[Est ouvrage]]), NOT(ISBLANK(Compil[[#This Row],[ART.
CCTP]])))</f>
        <v>0</v>
      </c>
      <c r="K142" t="b">
        <f>OR(Compil[[#This Row],[Unité]]="U",Compil[[#This Row],[Unité]]="ens",Compil[[#This Row],[Unité]]="ml")</f>
        <v>1</v>
      </c>
      <c r="L142" t="b">
        <f>ISBLANK(Compil[[#This Row],[DESIGNATION]])</f>
        <v>0</v>
      </c>
      <c r="M142" s="359"/>
      <c r="N142" s="358"/>
      <c r="O142" s="358"/>
      <c r="P142" s="358"/>
      <c r="Q142" s="358">
        <f>COUNTIF(Compil[[Ma Désignation ]],Compil[[Ma Désignation ]])</f>
        <v>14</v>
      </c>
    </row>
    <row r="143" spans="1:17" ht="14">
      <c r="A143" s="310">
        <v>677</v>
      </c>
      <c r="B143" s="43"/>
      <c r="C143" s="416" t="s">
        <v>101</v>
      </c>
      <c r="D143" t="str">
        <f xml:space="preserve"> TRIM( SUBSTITUTE(SUBSTITUTE(SUBSTITUTE( Compil[[#This Row],[DESIGNATION]],"-",""),"–",""),"*",""))</f>
        <v>Attente éclairage vasque salle de bain</v>
      </c>
      <c r="E143" s="33" t="s">
        <v>13</v>
      </c>
      <c r="F143" s="262"/>
      <c r="G143" s="289" t="s">
        <v>571</v>
      </c>
      <c r="H143" s="164" t="s">
        <v>571</v>
      </c>
      <c r="I143" t="s">
        <v>570</v>
      </c>
      <c r="J143" t="b">
        <f>AND(NOT(Compil[[#This Row],[Est ouvrage]]), NOT(ISBLANK(Compil[[#This Row],[ART.
CCTP]])))</f>
        <v>0</v>
      </c>
      <c r="K143" t="b">
        <f>OR(Compil[[#This Row],[Unité]]="U",Compil[[#This Row],[Unité]]="ens",Compil[[#This Row],[Unité]]="ml")</f>
        <v>1</v>
      </c>
      <c r="L143" t="b">
        <f>ISBLANK(Compil[[#This Row],[DESIGNATION]])</f>
        <v>0</v>
      </c>
      <c r="M143" s="359"/>
      <c r="N143" s="358"/>
      <c r="O143" s="358"/>
      <c r="P143" s="358"/>
      <c r="Q143" s="358">
        <f>COUNTIF(Compil[[Ma Désignation ]],Compil[[Ma Désignation ]])</f>
        <v>14</v>
      </c>
    </row>
    <row r="144" spans="1:17">
      <c r="A144" s="360">
        <v>1017</v>
      </c>
      <c r="B144" s="363"/>
      <c r="C144" s="402" t="s">
        <v>101</v>
      </c>
      <c r="D144" t="str">
        <f xml:space="preserve"> TRIM( SUBSTITUTE(SUBSTITUTE(SUBSTITUTE( Compil[[#This Row],[DESIGNATION]],"-",""),"–",""),"*",""))</f>
        <v>Attente éclairage vasque salle de bain</v>
      </c>
      <c r="E144" s="374" t="s">
        <v>13</v>
      </c>
      <c r="F144" s="385">
        <v>1</v>
      </c>
      <c r="G144" s="390">
        <v>0</v>
      </c>
      <c r="H144" s="391">
        <v>0</v>
      </c>
      <c r="I144" t="s">
        <v>579</v>
      </c>
      <c r="J144" t="b">
        <f>AND(NOT(Compil[[#This Row],[Est ouvrage]]), NOT(ISBLANK(Compil[[#This Row],[ART.
CCTP]])))</f>
        <v>0</v>
      </c>
      <c r="K144" t="b">
        <f>OR(Compil[[#This Row],[Unité]]="U",Compil[[#This Row],[Unité]]="ens",Compil[[#This Row],[Unité]]="ml")</f>
        <v>1</v>
      </c>
      <c r="L144" t="b">
        <f>ISBLANK(Compil[[#This Row],[DESIGNATION]])</f>
        <v>0</v>
      </c>
      <c r="M144" s="359"/>
      <c r="N144" s="358"/>
      <c r="O144" s="358"/>
      <c r="P144" s="358"/>
      <c r="Q144" s="358">
        <f>COUNTIF(Compil[[Ma Désignation ]],Compil[[Ma Désignation ]])</f>
        <v>14</v>
      </c>
    </row>
    <row r="145" spans="1:17">
      <c r="A145" s="360">
        <v>1032</v>
      </c>
      <c r="B145" s="363"/>
      <c r="C145" s="402" t="s">
        <v>101</v>
      </c>
      <c r="D145" t="str">
        <f xml:space="preserve"> TRIM( SUBSTITUTE(SUBSTITUTE(SUBSTITUTE( Compil[[#This Row],[DESIGNATION]],"-",""),"–",""),"*",""))</f>
        <v>Attente éclairage vasque salle de bain</v>
      </c>
      <c r="E145" s="374" t="s">
        <v>13</v>
      </c>
      <c r="F145" s="385"/>
      <c r="G145" s="390" t="s">
        <v>571</v>
      </c>
      <c r="H145" s="391" t="s">
        <v>571</v>
      </c>
      <c r="I145" t="s">
        <v>579</v>
      </c>
      <c r="J145" t="b">
        <f>AND(NOT(Compil[[#This Row],[Est ouvrage]]), NOT(ISBLANK(Compil[[#This Row],[ART.
CCTP]])))</f>
        <v>0</v>
      </c>
      <c r="K145" t="b">
        <f>OR(Compil[[#This Row],[Unité]]="U",Compil[[#This Row],[Unité]]="ens",Compil[[#This Row],[Unité]]="ml")</f>
        <v>1</v>
      </c>
      <c r="L145" t="b">
        <f>ISBLANK(Compil[[#This Row],[DESIGNATION]])</f>
        <v>0</v>
      </c>
      <c r="M145" s="359"/>
      <c r="N145" s="358"/>
      <c r="O145" s="358"/>
      <c r="P145" s="358"/>
      <c r="Q145" s="358">
        <f>COUNTIF(Compil[[Ma Désignation ]],Compil[[Ma Désignation ]])</f>
        <v>14</v>
      </c>
    </row>
    <row r="146" spans="1:17" ht="25">
      <c r="A146" s="303">
        <v>148</v>
      </c>
      <c r="B146" s="2"/>
      <c r="C146" s="206" t="s">
        <v>295</v>
      </c>
      <c r="D146" t="str">
        <f xml:space="preserve"> TRIM( SUBSTITUTE(SUBSTITUTE(SUBSTITUTE( Compil[[#This Row],[DESIGNATION]],"-",""),"–",""),"*",""))</f>
        <v>Attente extracteurs de désenfumage des circulations palières du bâtiment G1</v>
      </c>
      <c r="E146" s="216" t="s">
        <v>12</v>
      </c>
      <c r="F146" s="252">
        <v>1</v>
      </c>
      <c r="G146" s="289" t="e">
        <f>IF(F146="","",(((L146*$M$6)+(M146*#REF!*#REF!))*$M$7)/F146)</f>
        <v>#VALUE!</v>
      </c>
      <c r="H146" s="164" t="e">
        <f>IF(F146="","",F146*G146)</f>
        <v>#VALUE!</v>
      </c>
      <c r="I146" t="s">
        <v>580</v>
      </c>
      <c r="J146" t="b">
        <f>AND(NOT(Compil[[#This Row],[Est ouvrage]]), NOT(ISBLANK(Compil[[#This Row],[ART.
CCTP]])))</f>
        <v>0</v>
      </c>
      <c r="K146" t="b">
        <f>OR(Compil[[#This Row],[Unité]]="U",Compil[[#This Row],[Unité]]="ens",Compil[[#This Row],[Unité]]="ml")</f>
        <v>1</v>
      </c>
      <c r="L146" t="b">
        <f>ISBLANK(Compil[[#This Row],[DESIGNATION]])</f>
        <v>0</v>
      </c>
      <c r="M146" s="359"/>
      <c r="N146" s="358"/>
      <c r="O146" s="358"/>
      <c r="P146" s="358"/>
      <c r="Q146" s="358">
        <f>COUNTIF(Compil[[Ma Désignation ]],Compil[[Ma Désignation ]])</f>
        <v>1</v>
      </c>
    </row>
    <row r="147" spans="1:17" ht="25">
      <c r="A147" s="303">
        <v>149</v>
      </c>
      <c r="B147" s="2"/>
      <c r="C147" s="206" t="s">
        <v>296</v>
      </c>
      <c r="D147" t="str">
        <f xml:space="preserve"> TRIM( SUBSTITUTE(SUBSTITUTE(SUBSTITUTE( Compil[[#This Row],[DESIGNATION]],"-",""),"–",""),"*",""))</f>
        <v>Attente extracteurs de désenfumage des circulations palières du bâtiment G2</v>
      </c>
      <c r="E147" s="216" t="s">
        <v>12</v>
      </c>
      <c r="F147" s="252">
        <v>1</v>
      </c>
      <c r="G147" s="289" t="e">
        <f>IF(F147="","",(((L147*$M$6)+(M147*#REF!*#REF!))*$M$7)/F147)</f>
        <v>#VALUE!</v>
      </c>
      <c r="H147" s="164" t="e">
        <f>IF(F147="","",F147*G147)</f>
        <v>#VALUE!</v>
      </c>
      <c r="I147" t="s">
        <v>580</v>
      </c>
      <c r="J147" t="b">
        <f>AND(NOT(Compil[[#This Row],[Est ouvrage]]), NOT(ISBLANK(Compil[[#This Row],[ART.
CCTP]])))</f>
        <v>0</v>
      </c>
      <c r="K147" t="b">
        <f>OR(Compil[[#This Row],[Unité]]="U",Compil[[#This Row],[Unité]]="ens",Compil[[#This Row],[Unité]]="ml")</f>
        <v>1</v>
      </c>
      <c r="L147" t="b">
        <f>ISBLANK(Compil[[#This Row],[DESIGNATION]])</f>
        <v>0</v>
      </c>
      <c r="M147" s="359"/>
      <c r="N147" s="358"/>
      <c r="O147" s="358"/>
      <c r="P147" s="358"/>
      <c r="Q147" s="358">
        <f>COUNTIF(Compil[[Ma Désignation ]],Compil[[Ma Désignation ]])</f>
        <v>1</v>
      </c>
    </row>
    <row r="148" spans="1:17" ht="14">
      <c r="A148" s="303">
        <v>137</v>
      </c>
      <c r="B148" s="2" t="s">
        <v>558</v>
      </c>
      <c r="C148" s="224" t="s">
        <v>285</v>
      </c>
      <c r="D148" t="str">
        <f xml:space="preserve"> TRIM( SUBSTITUTE(SUBSTITUTE(SUBSTITUTE( Compil[[#This Row],[DESIGNATION]],"-",""),"–",""),"*",""))</f>
        <v>Attente extracteurs de désenfumage parkings</v>
      </c>
      <c r="E148" s="216" t="s">
        <v>12</v>
      </c>
      <c r="F148" s="252">
        <v>2</v>
      </c>
      <c r="G148" s="289" t="e">
        <f>IF(F148="","",(((L148*$M$6)+(M148*#REF!*#REF!))*$M$7)/F148)</f>
        <v>#VALUE!</v>
      </c>
      <c r="H148" s="164" t="e">
        <f>IF(F148="","",F148*G148)</f>
        <v>#VALUE!</v>
      </c>
      <c r="I148" t="s">
        <v>580</v>
      </c>
      <c r="J148" t="b">
        <f>AND(NOT(Compil[[#This Row],[Est ouvrage]]), NOT(ISBLANK(Compil[[#This Row],[ART.
CCTP]])))</f>
        <v>0</v>
      </c>
      <c r="K148" t="b">
        <f>OR(Compil[[#This Row],[Unité]]="U",Compil[[#This Row],[Unité]]="ens",Compil[[#This Row],[Unité]]="ml")</f>
        <v>1</v>
      </c>
      <c r="L148" t="b">
        <f>ISBLANK(Compil[[#This Row],[DESIGNATION]])</f>
        <v>0</v>
      </c>
      <c r="M148" s="359"/>
      <c r="N148" s="358"/>
      <c r="O148" s="358"/>
      <c r="P148" s="358"/>
      <c r="Q148" s="358">
        <f>COUNTIF(Compil[[Ma Désignation ]],Compil[[Ma Désignation ]])</f>
        <v>1</v>
      </c>
    </row>
    <row r="149" spans="1:17" ht="14">
      <c r="A149" s="312">
        <v>814</v>
      </c>
      <c r="B149" s="19"/>
      <c r="C149" s="86" t="s">
        <v>397</v>
      </c>
      <c r="D149" t="str">
        <f xml:space="preserve"> TRIM( SUBSTITUTE(SUBSTITUTE(SUBSTITUTE( Compil[[#This Row],[DESIGNATION]],"-",""),"–",""),"*",""))</f>
        <v>Attente groupe VMC en CR1 depuis le TGBT</v>
      </c>
      <c r="E149" s="57" t="s">
        <v>12</v>
      </c>
      <c r="F149" s="262">
        <v>1</v>
      </c>
      <c r="G149" s="289">
        <v>0</v>
      </c>
      <c r="H149" s="164">
        <v>0</v>
      </c>
      <c r="I149" t="s">
        <v>578</v>
      </c>
      <c r="J149" t="b">
        <f>AND(NOT(Compil[[#This Row],[Est ouvrage]]), NOT(ISBLANK(Compil[[#This Row],[ART.
CCTP]])))</f>
        <v>0</v>
      </c>
      <c r="K149" t="b">
        <f>OR(Compil[[#This Row],[Unité]]="U",Compil[[#This Row],[Unité]]="ens",Compil[[#This Row],[Unité]]="ml")</f>
        <v>1</v>
      </c>
      <c r="L149" t="b">
        <f>ISBLANK(Compil[[#This Row],[DESIGNATION]])</f>
        <v>0</v>
      </c>
      <c r="M149" s="359"/>
      <c r="N149" s="358"/>
      <c r="O149" s="358"/>
      <c r="P149" s="358"/>
      <c r="Q149" s="358">
        <f>COUNTIF(Compil[[Ma Désignation ]],Compil[[Ma Désignation ]])</f>
        <v>1</v>
      </c>
    </row>
    <row r="150" spans="1:17" ht="14">
      <c r="A150" s="303">
        <v>135</v>
      </c>
      <c r="B150" s="2" t="s">
        <v>560</v>
      </c>
      <c r="C150" s="224" t="s">
        <v>283</v>
      </c>
      <c r="D150" t="str">
        <f xml:space="preserve"> TRIM( SUBSTITUTE(SUBSTITUTE(SUBSTITUTE( Compil[[#This Row],[DESIGNATION]],"-",""),"–",""),"*",""))</f>
        <v>Attente groupe VMC en CR1 depuis le TGBT G1</v>
      </c>
      <c r="E150" s="216" t="s">
        <v>12</v>
      </c>
      <c r="F150" s="252">
        <v>2</v>
      </c>
      <c r="G150" s="289" t="e">
        <f>IF(F150="","",(((L150*$M$6)+(M150*#REF!*#REF!))*$M$7)/F150)</f>
        <v>#VALUE!</v>
      </c>
      <c r="H150" s="164" t="e">
        <f>IF(F150="","",F150*G150)</f>
        <v>#VALUE!</v>
      </c>
      <c r="I150" t="s">
        <v>580</v>
      </c>
      <c r="J150" t="b">
        <f>AND(NOT(Compil[[#This Row],[Est ouvrage]]), NOT(ISBLANK(Compil[[#This Row],[ART.
CCTP]])))</f>
        <v>0</v>
      </c>
      <c r="K150" t="b">
        <f>OR(Compil[[#This Row],[Unité]]="U",Compil[[#This Row],[Unité]]="ens",Compil[[#This Row],[Unité]]="ml")</f>
        <v>1</v>
      </c>
      <c r="L150" t="b">
        <f>ISBLANK(Compil[[#This Row],[DESIGNATION]])</f>
        <v>0</v>
      </c>
      <c r="M150" s="359"/>
      <c r="N150" s="358"/>
      <c r="O150" s="358"/>
      <c r="P150" s="358"/>
      <c r="Q150" s="358">
        <f>COUNTIF(Compil[[Ma Désignation ]],Compil[[Ma Désignation ]])</f>
        <v>1</v>
      </c>
    </row>
    <row r="151" spans="1:17" ht="14">
      <c r="A151" s="303">
        <v>136</v>
      </c>
      <c r="B151" s="2" t="s">
        <v>560</v>
      </c>
      <c r="C151" s="224" t="s">
        <v>284</v>
      </c>
      <c r="D151" t="str">
        <f xml:space="preserve"> TRIM( SUBSTITUTE(SUBSTITUTE(SUBSTITUTE( Compil[[#This Row],[DESIGNATION]],"-",""),"–",""),"*",""))</f>
        <v>Attente groupe VMC en CR1 depuis le TGBT G2</v>
      </c>
      <c r="E151" s="216" t="s">
        <v>12</v>
      </c>
      <c r="F151" s="252">
        <v>3</v>
      </c>
      <c r="G151" s="289" t="e">
        <f>IF(F151="","",(((L151*$M$6)+(M151*#REF!*#REF!))*$M$7)/F151)</f>
        <v>#VALUE!</v>
      </c>
      <c r="H151" s="164" t="e">
        <f>IF(F151="","",F151*G151)</f>
        <v>#VALUE!</v>
      </c>
      <c r="I151" t="s">
        <v>580</v>
      </c>
      <c r="J151" t="b">
        <f>AND(NOT(Compil[[#This Row],[Est ouvrage]]), NOT(ISBLANK(Compil[[#This Row],[ART.
CCTP]])))</f>
        <v>0</v>
      </c>
      <c r="K151" t="b">
        <f>OR(Compil[[#This Row],[Unité]]="U",Compil[[#This Row],[Unité]]="ens",Compil[[#This Row],[Unité]]="ml")</f>
        <v>1</v>
      </c>
      <c r="L151" t="b">
        <f>ISBLANK(Compil[[#This Row],[DESIGNATION]])</f>
        <v>0</v>
      </c>
      <c r="M151" s="359"/>
      <c r="N151" s="358"/>
      <c r="O151" s="358"/>
      <c r="P151" s="358"/>
      <c r="Q151" s="358">
        <f>COUNTIF(Compil[[Ma Désignation ]],Compil[[Ma Désignation ]])</f>
        <v>1</v>
      </c>
    </row>
    <row r="152" spans="1:17" ht="14">
      <c r="A152" s="303">
        <v>141</v>
      </c>
      <c r="B152" s="2" t="s">
        <v>561</v>
      </c>
      <c r="C152" s="224" t="s">
        <v>288</v>
      </c>
      <c r="D152" t="str">
        <f xml:space="preserve"> TRIM( SUBSTITUTE(SUBSTITUTE(SUBSTITUTE( Compil[[#This Row],[DESIGNATION]],"-",""),"–",""),"*",""))</f>
        <v>Attente PAC ERS pour G1</v>
      </c>
      <c r="E152" s="189" t="s">
        <v>12</v>
      </c>
      <c r="F152" s="252">
        <v>1</v>
      </c>
      <c r="G152" s="289" t="e">
        <f>IF(F152="","",(((L152*$M$6)+(M152*#REF!*#REF!))*$M$7)/F152)</f>
        <v>#VALUE!</v>
      </c>
      <c r="H152" s="164" t="e">
        <f>IF(F152="","",F152*G152)</f>
        <v>#VALUE!</v>
      </c>
      <c r="I152" t="s">
        <v>580</v>
      </c>
      <c r="J152" t="b">
        <f>AND(NOT(Compil[[#This Row],[Est ouvrage]]), NOT(ISBLANK(Compil[[#This Row],[ART.
CCTP]])))</f>
        <v>0</v>
      </c>
      <c r="K152" t="b">
        <f>OR(Compil[[#This Row],[Unité]]="U",Compil[[#This Row],[Unité]]="ens",Compil[[#This Row],[Unité]]="ml")</f>
        <v>1</v>
      </c>
      <c r="L152" t="b">
        <f>ISBLANK(Compil[[#This Row],[DESIGNATION]])</f>
        <v>0</v>
      </c>
      <c r="M152" s="359"/>
      <c r="N152" s="358"/>
      <c r="O152" s="358"/>
      <c r="P152" s="358"/>
      <c r="Q152" s="358">
        <f>COUNTIF(Compil[[Ma Désignation ]],Compil[[Ma Désignation ]])</f>
        <v>1</v>
      </c>
    </row>
    <row r="153" spans="1:17" ht="14">
      <c r="A153" s="303">
        <v>142</v>
      </c>
      <c r="B153" s="2" t="s">
        <v>566</v>
      </c>
      <c r="C153" s="224" t="s">
        <v>289</v>
      </c>
      <c r="D153" t="str">
        <f xml:space="preserve"> TRIM( SUBSTITUTE(SUBSTITUTE(SUBSTITUTE( Compil[[#This Row],[DESIGNATION]],"-",""),"–",""),"*",""))</f>
        <v>Attente PAC ERS pour G2</v>
      </c>
      <c r="E153" s="189" t="s">
        <v>12</v>
      </c>
      <c r="F153" s="252">
        <v>1</v>
      </c>
      <c r="G153" s="289" t="e">
        <f>IF(F153="","",(((L153*$M$6)+(M153*#REF!*#REF!))*$M$7)/F153)</f>
        <v>#VALUE!</v>
      </c>
      <c r="H153" s="164" t="e">
        <f>IF(F153="","",F153*G153)</f>
        <v>#VALUE!</v>
      </c>
      <c r="I153" t="s">
        <v>580</v>
      </c>
      <c r="J153" t="b">
        <f>AND(NOT(Compil[[#This Row],[Est ouvrage]]), NOT(ISBLANK(Compil[[#This Row],[ART.
CCTP]])))</f>
        <v>0</v>
      </c>
      <c r="K153" t="b">
        <f>OR(Compil[[#This Row],[Unité]]="U",Compil[[#This Row],[Unité]]="ens",Compil[[#This Row],[Unité]]="ml")</f>
        <v>1</v>
      </c>
      <c r="L153" t="b">
        <f>ISBLANK(Compil[[#This Row],[DESIGNATION]])</f>
        <v>0</v>
      </c>
      <c r="M153" s="359"/>
      <c r="N153" s="358"/>
      <c r="O153" s="358"/>
      <c r="P153" s="358"/>
      <c r="Q153" s="358">
        <f>COUNTIF(Compil[[Ma Désignation ]],Compil[[Ma Désignation ]])</f>
        <v>1</v>
      </c>
    </row>
    <row r="154" spans="1:17" ht="14">
      <c r="A154" s="310">
        <v>384</v>
      </c>
      <c r="B154" s="43"/>
      <c r="C154" s="416" t="s">
        <v>266</v>
      </c>
      <c r="D154" t="str">
        <f xml:space="preserve"> TRIM( SUBSTITUTE(SUBSTITUTE(SUBSTITUTE( Compil[[#This Row],[DESIGNATION]],"-",""),"–",""),"*",""))</f>
        <v>Attente protections solaires</v>
      </c>
      <c r="E154" s="33" t="s">
        <v>13</v>
      </c>
      <c r="F154" s="262">
        <v>1</v>
      </c>
      <c r="G154" s="289">
        <v>0</v>
      </c>
      <c r="H154" s="164">
        <v>0</v>
      </c>
      <c r="I154" t="s">
        <v>570</v>
      </c>
      <c r="J154" t="b">
        <f>AND(NOT(Compil[[#This Row],[Est ouvrage]]), NOT(ISBLANK(Compil[[#This Row],[ART.
CCTP]])))</f>
        <v>0</v>
      </c>
      <c r="K154" t="b">
        <f>OR(Compil[[#This Row],[Unité]]="U",Compil[[#This Row],[Unité]]="ens",Compil[[#This Row],[Unité]]="ml")</f>
        <v>1</v>
      </c>
      <c r="L154" t="b">
        <f>ISBLANK(Compil[[#This Row],[DESIGNATION]])</f>
        <v>0</v>
      </c>
      <c r="M154" s="359"/>
      <c r="N154" s="358"/>
      <c r="O154" s="358"/>
      <c r="P154" s="358"/>
      <c r="Q154" s="358">
        <f>COUNTIF(Compil[[Ma Désignation ]],Compil[[Ma Désignation ]])</f>
        <v>16</v>
      </c>
    </row>
    <row r="155" spans="1:17" ht="14">
      <c r="A155" s="310">
        <v>400</v>
      </c>
      <c r="B155" s="43"/>
      <c r="C155" s="416" t="s">
        <v>266</v>
      </c>
      <c r="D155" t="str">
        <f xml:space="preserve"> TRIM( SUBSTITUTE(SUBSTITUTE(SUBSTITUTE( Compil[[#This Row],[DESIGNATION]],"-",""),"–",""),"*",""))</f>
        <v>Attente protections solaires</v>
      </c>
      <c r="E155" s="33" t="s">
        <v>13</v>
      </c>
      <c r="F155" s="262"/>
      <c r="G155" s="289" t="s">
        <v>571</v>
      </c>
      <c r="H155" s="164" t="s">
        <v>571</v>
      </c>
      <c r="I155" t="s">
        <v>570</v>
      </c>
      <c r="J155" t="b">
        <f>AND(NOT(Compil[[#This Row],[Est ouvrage]]), NOT(ISBLANK(Compil[[#This Row],[ART.
CCTP]])))</f>
        <v>0</v>
      </c>
      <c r="K155" t="b">
        <f>OR(Compil[[#This Row],[Unité]]="U",Compil[[#This Row],[Unité]]="ens",Compil[[#This Row],[Unité]]="ml")</f>
        <v>1</v>
      </c>
      <c r="L155" t="b">
        <f>ISBLANK(Compil[[#This Row],[DESIGNATION]])</f>
        <v>0</v>
      </c>
      <c r="M155" s="359"/>
      <c r="N155" s="358"/>
      <c r="O155" s="358"/>
      <c r="P155" s="358"/>
      <c r="Q155" s="358">
        <f>COUNTIF(Compil[[Ma Désignation ]],Compil[[Ma Désignation ]])</f>
        <v>16</v>
      </c>
    </row>
    <row r="156" spans="1:17" ht="14">
      <c r="A156" s="310">
        <v>436</v>
      </c>
      <c r="B156" s="43"/>
      <c r="C156" s="416" t="s">
        <v>266</v>
      </c>
      <c r="D156" t="str">
        <f xml:space="preserve"> TRIM( SUBSTITUTE(SUBSTITUTE(SUBSTITUTE( Compil[[#This Row],[DESIGNATION]],"-",""),"–",""),"*",""))</f>
        <v>Attente protections solaires</v>
      </c>
      <c r="E156" s="33" t="s">
        <v>13</v>
      </c>
      <c r="F156" s="262">
        <v>2</v>
      </c>
      <c r="G156" s="289">
        <v>0</v>
      </c>
      <c r="H156" s="164">
        <v>0</v>
      </c>
      <c r="I156" t="s">
        <v>570</v>
      </c>
      <c r="J156" t="b">
        <f>AND(NOT(Compil[[#This Row],[Est ouvrage]]), NOT(ISBLANK(Compil[[#This Row],[ART.
CCTP]])))</f>
        <v>0</v>
      </c>
      <c r="K156" t="b">
        <f>OR(Compil[[#This Row],[Unité]]="U",Compil[[#This Row],[Unité]]="ens",Compil[[#This Row],[Unité]]="ml")</f>
        <v>1</v>
      </c>
      <c r="L156" t="b">
        <f>ISBLANK(Compil[[#This Row],[DESIGNATION]])</f>
        <v>0</v>
      </c>
      <c r="M156" s="359"/>
      <c r="N156" s="358"/>
      <c r="O156" s="358"/>
      <c r="P156" s="358"/>
      <c r="Q156" s="358">
        <f>COUNTIF(Compil[[Ma Désignation ]],Compil[[Ma Désignation ]])</f>
        <v>16</v>
      </c>
    </row>
    <row r="157" spans="1:17" ht="14">
      <c r="A157" s="310">
        <v>454</v>
      </c>
      <c r="B157" s="43"/>
      <c r="C157" s="416" t="s">
        <v>266</v>
      </c>
      <c r="D157" t="str">
        <f xml:space="preserve"> TRIM( SUBSTITUTE(SUBSTITUTE(SUBSTITUTE( Compil[[#This Row],[DESIGNATION]],"-",""),"–",""),"*",""))</f>
        <v>Attente protections solaires</v>
      </c>
      <c r="E157" s="33" t="s">
        <v>13</v>
      </c>
      <c r="F157" s="262"/>
      <c r="G157" s="289" t="s">
        <v>571</v>
      </c>
      <c r="H157" s="164" t="s">
        <v>571</v>
      </c>
      <c r="I157" t="s">
        <v>570</v>
      </c>
      <c r="J157" t="b">
        <f>AND(NOT(Compil[[#This Row],[Est ouvrage]]), NOT(ISBLANK(Compil[[#This Row],[ART.
CCTP]])))</f>
        <v>0</v>
      </c>
      <c r="K157" t="b">
        <f>OR(Compil[[#This Row],[Unité]]="U",Compil[[#This Row],[Unité]]="ens",Compil[[#This Row],[Unité]]="ml")</f>
        <v>1</v>
      </c>
      <c r="L157" t="b">
        <f>ISBLANK(Compil[[#This Row],[DESIGNATION]])</f>
        <v>0</v>
      </c>
      <c r="M157" s="359"/>
      <c r="N157" s="358"/>
      <c r="O157" s="358"/>
      <c r="P157" s="358"/>
      <c r="Q157" s="358">
        <f>COUNTIF(Compil[[Ma Désignation ]],Compil[[Ma Désignation ]])</f>
        <v>16</v>
      </c>
    </row>
    <row r="158" spans="1:17" ht="14">
      <c r="A158" s="310">
        <v>491</v>
      </c>
      <c r="B158" s="43"/>
      <c r="C158" s="416" t="s">
        <v>266</v>
      </c>
      <c r="D158" t="str">
        <f xml:space="preserve"> TRIM( SUBSTITUTE(SUBSTITUTE(SUBSTITUTE( Compil[[#This Row],[DESIGNATION]],"-",""),"–",""),"*",""))</f>
        <v>Attente protections solaires</v>
      </c>
      <c r="E158" s="33" t="s">
        <v>13</v>
      </c>
      <c r="F158" s="262">
        <v>5</v>
      </c>
      <c r="G158" s="289">
        <v>0</v>
      </c>
      <c r="H158" s="164">
        <v>0</v>
      </c>
      <c r="I158" t="s">
        <v>570</v>
      </c>
      <c r="J158" t="b">
        <f>AND(NOT(Compil[[#This Row],[Est ouvrage]]), NOT(ISBLANK(Compil[[#This Row],[ART.
CCTP]])))</f>
        <v>0</v>
      </c>
      <c r="K158" t="b">
        <f>OR(Compil[[#This Row],[Unité]]="U",Compil[[#This Row],[Unité]]="ens",Compil[[#This Row],[Unité]]="ml")</f>
        <v>1</v>
      </c>
      <c r="L158" t="b">
        <f>ISBLANK(Compil[[#This Row],[DESIGNATION]])</f>
        <v>0</v>
      </c>
      <c r="M158" s="359"/>
      <c r="N158" s="358"/>
      <c r="O158" s="358"/>
      <c r="P158" s="358"/>
      <c r="Q158" s="358">
        <f>COUNTIF(Compil[[Ma Désignation ]],Compil[[Ma Désignation ]])</f>
        <v>16</v>
      </c>
    </row>
    <row r="159" spans="1:17" ht="14">
      <c r="A159" s="310">
        <v>510</v>
      </c>
      <c r="B159" s="2"/>
      <c r="C159" s="416" t="s">
        <v>266</v>
      </c>
      <c r="D159" t="str">
        <f xml:space="preserve"> TRIM( SUBSTITUTE(SUBSTITUTE(SUBSTITUTE( Compil[[#This Row],[DESIGNATION]],"-",""),"–",""),"*",""))</f>
        <v>Attente protections solaires</v>
      </c>
      <c r="E159" s="33" t="s">
        <v>13</v>
      </c>
      <c r="F159" s="262"/>
      <c r="G159" s="289" t="s">
        <v>571</v>
      </c>
      <c r="H159" s="164" t="s">
        <v>571</v>
      </c>
      <c r="I159" t="s">
        <v>570</v>
      </c>
      <c r="J159" t="b">
        <f>AND(NOT(Compil[[#This Row],[Est ouvrage]]), NOT(ISBLANK(Compil[[#This Row],[ART.
CCTP]])))</f>
        <v>0</v>
      </c>
      <c r="K159" t="b">
        <f>OR(Compil[[#This Row],[Unité]]="U",Compil[[#This Row],[Unité]]="ens",Compil[[#This Row],[Unité]]="ml")</f>
        <v>1</v>
      </c>
      <c r="L159" t="b">
        <f>ISBLANK(Compil[[#This Row],[DESIGNATION]])</f>
        <v>0</v>
      </c>
      <c r="M159" s="359"/>
      <c r="N159" s="358"/>
      <c r="O159" s="358"/>
      <c r="P159" s="358"/>
      <c r="Q159" s="358">
        <f>COUNTIF(Compil[[Ma Désignation ]],Compil[[Ma Désignation ]])</f>
        <v>16</v>
      </c>
    </row>
    <row r="160" spans="1:17" ht="14">
      <c r="A160" s="310">
        <v>547</v>
      </c>
      <c r="B160" s="43"/>
      <c r="C160" s="416" t="s">
        <v>266</v>
      </c>
      <c r="D160" t="str">
        <f xml:space="preserve"> TRIM( SUBSTITUTE(SUBSTITUTE(SUBSTITUTE( Compil[[#This Row],[DESIGNATION]],"-",""),"–",""),"*",""))</f>
        <v>Attente protections solaires</v>
      </c>
      <c r="E160" s="33" t="s">
        <v>13</v>
      </c>
      <c r="F160" s="262">
        <v>7</v>
      </c>
      <c r="G160" s="289">
        <v>0</v>
      </c>
      <c r="H160" s="164">
        <v>0</v>
      </c>
      <c r="I160" t="s">
        <v>570</v>
      </c>
      <c r="J160" t="b">
        <f>AND(NOT(Compil[[#This Row],[Est ouvrage]]), NOT(ISBLANK(Compil[[#This Row],[ART.
CCTP]])))</f>
        <v>0</v>
      </c>
      <c r="K160" t="b">
        <f>OR(Compil[[#This Row],[Unité]]="U",Compil[[#This Row],[Unité]]="ens",Compil[[#This Row],[Unité]]="ml")</f>
        <v>1</v>
      </c>
      <c r="L160" t="b">
        <f>ISBLANK(Compil[[#This Row],[DESIGNATION]])</f>
        <v>0</v>
      </c>
      <c r="M160" s="359"/>
      <c r="N160" s="358"/>
      <c r="O160" s="358"/>
      <c r="P160" s="358"/>
      <c r="Q160" s="358">
        <f>COUNTIF(Compil[[Ma Désignation ]],Compil[[Ma Désignation ]])</f>
        <v>16</v>
      </c>
    </row>
    <row r="161" spans="1:17" ht="14">
      <c r="A161" s="310">
        <v>566</v>
      </c>
      <c r="B161" s="43"/>
      <c r="C161" s="416" t="s">
        <v>266</v>
      </c>
      <c r="D161" t="str">
        <f xml:space="preserve"> TRIM( SUBSTITUTE(SUBSTITUTE(SUBSTITUTE( Compil[[#This Row],[DESIGNATION]],"-",""),"–",""),"*",""))</f>
        <v>Attente protections solaires</v>
      </c>
      <c r="E161" s="33" t="s">
        <v>13</v>
      </c>
      <c r="F161" s="262"/>
      <c r="G161" s="289" t="s">
        <v>571</v>
      </c>
      <c r="H161" s="164" t="s">
        <v>571</v>
      </c>
      <c r="I161" t="s">
        <v>570</v>
      </c>
      <c r="J161" t="b">
        <f>AND(NOT(Compil[[#This Row],[Est ouvrage]]), NOT(ISBLANK(Compil[[#This Row],[ART.
CCTP]])))</f>
        <v>0</v>
      </c>
      <c r="K161" t="b">
        <f>OR(Compil[[#This Row],[Unité]]="U",Compil[[#This Row],[Unité]]="ens",Compil[[#This Row],[Unité]]="ml")</f>
        <v>1</v>
      </c>
      <c r="L161" t="b">
        <f>ISBLANK(Compil[[#This Row],[DESIGNATION]])</f>
        <v>0</v>
      </c>
      <c r="M161" s="359"/>
      <c r="N161" s="358"/>
      <c r="O161" s="358"/>
      <c r="P161" s="358"/>
      <c r="Q161" s="358">
        <f>COUNTIF(Compil[[Ma Désignation ]],Compil[[Ma Désignation ]])</f>
        <v>16</v>
      </c>
    </row>
    <row r="162" spans="1:17" ht="14">
      <c r="A162" s="310">
        <v>603</v>
      </c>
      <c r="B162" s="43"/>
      <c r="C162" s="416" t="s">
        <v>266</v>
      </c>
      <c r="D162" t="str">
        <f xml:space="preserve"> TRIM( SUBSTITUTE(SUBSTITUTE(SUBSTITUTE( Compil[[#This Row],[DESIGNATION]],"-",""),"–",""),"*",""))</f>
        <v>Attente protections solaires</v>
      </c>
      <c r="E162" s="33" t="s">
        <v>13</v>
      </c>
      <c r="F162" s="262">
        <v>8</v>
      </c>
      <c r="G162" s="289">
        <v>0</v>
      </c>
      <c r="H162" s="164">
        <v>0</v>
      </c>
      <c r="I162" t="s">
        <v>570</v>
      </c>
      <c r="J162" t="b">
        <f>AND(NOT(Compil[[#This Row],[Est ouvrage]]), NOT(ISBLANK(Compil[[#This Row],[ART.
CCTP]])))</f>
        <v>0</v>
      </c>
      <c r="K162" t="b">
        <f>OR(Compil[[#This Row],[Unité]]="U",Compil[[#This Row],[Unité]]="ens",Compil[[#This Row],[Unité]]="ml")</f>
        <v>1</v>
      </c>
      <c r="L162" t="b">
        <f>ISBLANK(Compil[[#This Row],[DESIGNATION]])</f>
        <v>0</v>
      </c>
      <c r="M162" s="359"/>
      <c r="N162" s="358"/>
      <c r="O162" s="358"/>
      <c r="P162" s="358"/>
      <c r="Q162" s="358">
        <f>COUNTIF(Compil[[Ma Désignation ]],Compil[[Ma Désignation ]])</f>
        <v>16</v>
      </c>
    </row>
    <row r="163" spans="1:17" ht="14">
      <c r="A163" s="310">
        <v>622</v>
      </c>
      <c r="B163" s="43"/>
      <c r="C163" s="416" t="s">
        <v>266</v>
      </c>
      <c r="D163" t="str">
        <f xml:space="preserve"> TRIM( SUBSTITUTE(SUBSTITUTE(SUBSTITUTE( Compil[[#This Row],[DESIGNATION]],"-",""),"–",""),"*",""))</f>
        <v>Attente protections solaires</v>
      </c>
      <c r="E163" s="33" t="s">
        <v>13</v>
      </c>
      <c r="F163" s="262"/>
      <c r="G163" s="289" t="s">
        <v>571</v>
      </c>
      <c r="H163" s="164" t="s">
        <v>571</v>
      </c>
      <c r="I163" t="s">
        <v>570</v>
      </c>
      <c r="J163" t="b">
        <f>AND(NOT(Compil[[#This Row],[Est ouvrage]]), NOT(ISBLANK(Compil[[#This Row],[ART.
CCTP]])))</f>
        <v>0</v>
      </c>
      <c r="K163" t="b">
        <f>OR(Compil[[#This Row],[Unité]]="U",Compil[[#This Row],[Unité]]="ens",Compil[[#This Row],[Unité]]="ml")</f>
        <v>1</v>
      </c>
      <c r="L163" t="b">
        <f>ISBLANK(Compil[[#This Row],[DESIGNATION]])</f>
        <v>0</v>
      </c>
      <c r="M163" s="359"/>
      <c r="N163" s="358"/>
      <c r="O163" s="358"/>
      <c r="P163" s="358"/>
      <c r="Q163" s="358">
        <f>COUNTIF(Compil[[Ma Désignation ]],Compil[[Ma Désignation ]])</f>
        <v>16</v>
      </c>
    </row>
    <row r="164" spans="1:17" ht="14">
      <c r="A164" s="310">
        <v>659</v>
      </c>
      <c r="B164" s="43"/>
      <c r="C164" s="416" t="s">
        <v>266</v>
      </c>
      <c r="D164" t="str">
        <f xml:space="preserve"> TRIM( SUBSTITUTE(SUBSTITUTE(SUBSTITUTE( Compil[[#This Row],[DESIGNATION]],"-",""),"–",""),"*",""))</f>
        <v>Attente protections solaires</v>
      </c>
      <c r="E164" s="33" t="s">
        <v>13</v>
      </c>
      <c r="F164" s="262">
        <v>8</v>
      </c>
      <c r="G164" s="289">
        <v>0</v>
      </c>
      <c r="H164" s="164">
        <v>0</v>
      </c>
      <c r="I164" t="s">
        <v>570</v>
      </c>
      <c r="J164" t="b">
        <f>AND(NOT(Compil[[#This Row],[Est ouvrage]]), NOT(ISBLANK(Compil[[#This Row],[ART.
CCTP]])))</f>
        <v>0</v>
      </c>
      <c r="K164" t="b">
        <f>OR(Compil[[#This Row],[Unité]]="U",Compil[[#This Row],[Unité]]="ens",Compil[[#This Row],[Unité]]="ml")</f>
        <v>1</v>
      </c>
      <c r="L164" t="b">
        <f>ISBLANK(Compil[[#This Row],[DESIGNATION]])</f>
        <v>0</v>
      </c>
      <c r="M164" s="359"/>
      <c r="N164" s="358"/>
      <c r="O164" s="358"/>
      <c r="P164" s="358"/>
      <c r="Q164" s="358">
        <f>COUNTIF(Compil[[Ma Désignation ]],Compil[[Ma Désignation ]])</f>
        <v>16</v>
      </c>
    </row>
    <row r="165" spans="1:17" ht="14">
      <c r="A165" s="310">
        <v>678</v>
      </c>
      <c r="B165" s="43"/>
      <c r="C165" s="416" t="s">
        <v>266</v>
      </c>
      <c r="D165" t="str">
        <f xml:space="preserve"> TRIM( SUBSTITUTE(SUBSTITUTE(SUBSTITUTE( Compil[[#This Row],[DESIGNATION]],"-",""),"–",""),"*",""))</f>
        <v>Attente protections solaires</v>
      </c>
      <c r="E165" s="33" t="s">
        <v>13</v>
      </c>
      <c r="F165" s="262"/>
      <c r="G165" s="289" t="s">
        <v>571</v>
      </c>
      <c r="H165" s="164" t="s">
        <v>571</v>
      </c>
      <c r="I165" t="s">
        <v>570</v>
      </c>
      <c r="J165" t="b">
        <f>AND(NOT(Compil[[#This Row],[Est ouvrage]]), NOT(ISBLANK(Compil[[#This Row],[ART.
CCTP]])))</f>
        <v>0</v>
      </c>
      <c r="K165" t="b">
        <f>OR(Compil[[#This Row],[Unité]]="U",Compil[[#This Row],[Unité]]="ens",Compil[[#This Row],[Unité]]="ml")</f>
        <v>1</v>
      </c>
      <c r="L165" t="b">
        <f>ISBLANK(Compil[[#This Row],[DESIGNATION]])</f>
        <v>0</v>
      </c>
      <c r="M165" s="359"/>
      <c r="N165" s="358"/>
      <c r="O165" s="358"/>
      <c r="P165" s="358"/>
      <c r="Q165" s="358">
        <f>COUNTIF(Compil[[Ma Désignation ]],Compil[[Ma Désignation ]])</f>
        <v>16</v>
      </c>
    </row>
    <row r="166" spans="1:17">
      <c r="A166" s="360">
        <v>1018</v>
      </c>
      <c r="B166" s="363"/>
      <c r="C166" s="402" t="s">
        <v>266</v>
      </c>
      <c r="D166" t="str">
        <f xml:space="preserve"> TRIM( SUBSTITUTE(SUBSTITUTE(SUBSTITUTE( Compil[[#This Row],[DESIGNATION]],"-",""),"–",""),"*",""))</f>
        <v>Attente protections solaires</v>
      </c>
      <c r="E166" s="374" t="s">
        <v>13</v>
      </c>
      <c r="F166" s="385">
        <v>1</v>
      </c>
      <c r="G166" s="390">
        <v>0</v>
      </c>
      <c r="H166" s="391">
        <v>0</v>
      </c>
      <c r="I166" t="s">
        <v>579</v>
      </c>
      <c r="J166" t="b">
        <f>AND(NOT(Compil[[#This Row],[Est ouvrage]]), NOT(ISBLANK(Compil[[#This Row],[ART.
CCTP]])))</f>
        <v>0</v>
      </c>
      <c r="K166" t="b">
        <f>OR(Compil[[#This Row],[Unité]]="U",Compil[[#This Row],[Unité]]="ens",Compil[[#This Row],[Unité]]="ml")</f>
        <v>1</v>
      </c>
      <c r="L166" t="b">
        <f>ISBLANK(Compil[[#This Row],[DESIGNATION]])</f>
        <v>0</v>
      </c>
      <c r="M166" s="359"/>
      <c r="N166" s="358"/>
      <c r="O166" s="358"/>
      <c r="P166" s="358"/>
      <c r="Q166" s="358">
        <f>COUNTIF(Compil[[Ma Désignation ]],Compil[[Ma Désignation ]])</f>
        <v>16</v>
      </c>
    </row>
    <row r="167" spans="1:17" ht="14">
      <c r="A167" s="303">
        <v>162</v>
      </c>
      <c r="B167" s="2"/>
      <c r="C167" s="220"/>
      <c r="D167" t="str">
        <f xml:space="preserve"> TRIM( SUBSTITUTE(SUBSTITUTE(SUBSTITUTE( Compil[[#This Row],[DESIGNATION]],"-",""),"–",""),"*",""))</f>
        <v/>
      </c>
      <c r="E167" s="216"/>
      <c r="F167" s="252"/>
      <c r="G167" s="289" t="str">
        <f>IF(F167="","",(((L167*$M$6)+(M167*#REF!*#REF!))*$M$7)/F167)</f>
        <v/>
      </c>
      <c r="H167" s="164" t="str">
        <f>IF(F167="","",F167*G167)</f>
        <v/>
      </c>
      <c r="I167" t="s">
        <v>580</v>
      </c>
      <c r="J167" t="b">
        <f>AND(NOT(Compil[[#This Row],[Est ouvrage]]), NOT(ISBLANK(Compil[[#This Row],[ART.
CCTP]])))</f>
        <v>0</v>
      </c>
      <c r="K167" t="b">
        <f>OR(Compil[[#This Row],[Unité]]="U",Compil[[#This Row],[Unité]]="ens",Compil[[#This Row],[Unité]]="ml")</f>
        <v>0</v>
      </c>
      <c r="L167" t="b">
        <f>ISBLANK(Compil[[#This Row],[DESIGNATION]])</f>
        <v>1</v>
      </c>
      <c r="M167" s="358"/>
      <c r="N167" s="358"/>
      <c r="O167" s="358"/>
      <c r="P167" s="358"/>
      <c r="Q167" s="358">
        <f>COUNTIF(Compil[[Ma Désignation ]],Compil[[Ma Désignation ]])</f>
        <v>306</v>
      </c>
    </row>
    <row r="168" spans="1:17" ht="14">
      <c r="A168" s="303">
        <v>163</v>
      </c>
      <c r="B168" s="2"/>
      <c r="C168" s="394" t="s">
        <v>112</v>
      </c>
      <c r="D168" t="str">
        <f xml:space="preserve"> TRIM( SUBSTITUTE(SUBSTITUTE(SUBSTITUTE( Compil[[#This Row],[DESIGNATION]],"-",""),"–",""),"*",""))</f>
        <v>Sous total 2.8</v>
      </c>
      <c r="E168" s="216"/>
      <c r="F168" s="252"/>
      <c r="G168" s="289" t="str">
        <f>IF(F168="","",(((L168*$M$6)+(M168*#REF!*#REF!))*$M$7)/F168)</f>
        <v/>
      </c>
      <c r="H168" s="164" t="str">
        <f>IF(F168="","",F168*G168)</f>
        <v/>
      </c>
      <c r="I168" t="s">
        <v>580</v>
      </c>
      <c r="J168" t="b">
        <f>AND(NOT(Compil[[#This Row],[Est ouvrage]]), NOT(ISBLANK(Compil[[#This Row],[ART.
CCTP]])))</f>
        <v>0</v>
      </c>
      <c r="K168" t="b">
        <f>OR(Compil[[#This Row],[Unité]]="U",Compil[[#This Row],[Unité]]="ens",Compil[[#This Row],[Unité]]="ml")</f>
        <v>0</v>
      </c>
      <c r="L168" t="b">
        <f>ISBLANK(Compil[[#This Row],[DESIGNATION]])</f>
        <v>0</v>
      </c>
      <c r="M168" s="359"/>
      <c r="N168" s="358"/>
      <c r="O168" s="358"/>
      <c r="P168" s="358"/>
      <c r="Q168" s="358">
        <f>COUNTIF(Compil[[Ma Désignation ]],Compil[[Ma Désignation ]])</f>
        <v>1</v>
      </c>
    </row>
    <row r="169" spans="1:17" ht="14">
      <c r="A169" s="303">
        <v>164</v>
      </c>
      <c r="B169" s="2"/>
      <c r="C169" s="220"/>
      <c r="D169" t="str">
        <f xml:space="preserve"> TRIM( SUBSTITUTE(SUBSTITUTE(SUBSTITUTE( Compil[[#This Row],[DESIGNATION]],"-",""),"–",""),"*",""))</f>
        <v/>
      </c>
      <c r="E169" s="216"/>
      <c r="F169" s="252"/>
      <c r="G169" s="289" t="str">
        <f>IF(F169="","",(((L169*$M$6)+(M169*#REF!*#REF!))*$M$7)/F169)</f>
        <v/>
      </c>
      <c r="H169" s="164" t="str">
        <f>IF(F169="","",F169*G169)</f>
        <v/>
      </c>
      <c r="I169" t="s">
        <v>580</v>
      </c>
      <c r="J169" t="b">
        <f>AND(NOT(Compil[[#This Row],[Est ouvrage]]), NOT(ISBLANK(Compil[[#This Row],[ART.
CCTP]])))</f>
        <v>0</v>
      </c>
      <c r="K169" t="b">
        <f>OR(Compil[[#This Row],[Unité]]="U",Compil[[#This Row],[Unité]]="ens",Compil[[#This Row],[Unité]]="ml")</f>
        <v>0</v>
      </c>
      <c r="L169" t="b">
        <f>ISBLANK(Compil[[#This Row],[DESIGNATION]])</f>
        <v>1</v>
      </c>
      <c r="M169" s="358"/>
      <c r="N169" s="358"/>
      <c r="O169" s="358"/>
      <c r="P169" s="358"/>
      <c r="Q169" s="358">
        <f>COUNTIF(Compil[[Ma Désignation ]],Compil[[Ma Désignation ]])</f>
        <v>306</v>
      </c>
    </row>
    <row r="170" spans="1:17" ht="14">
      <c r="A170" s="303">
        <v>165</v>
      </c>
      <c r="B170" s="2" t="s">
        <v>79</v>
      </c>
      <c r="C170" s="231" t="s">
        <v>25</v>
      </c>
      <c r="D170" t="str">
        <f xml:space="preserve"> TRIM( SUBSTITUTE(SUBSTITUTE(SUBSTITUTE( Compil[[#This Row],[DESIGNATION]],"-",""),"–",""),"*",""))</f>
        <v>Alarme technique</v>
      </c>
      <c r="E170" s="216"/>
      <c r="F170" s="252"/>
      <c r="G170" s="289" t="str">
        <f>IF(F170="","",(((L170*$M$6)+(M170*#REF!*#REF!))*$M$7)/F170)</f>
        <v/>
      </c>
      <c r="H170" s="164" t="str">
        <f>IF(F170="","",F170*G170)</f>
        <v/>
      </c>
      <c r="I170" t="s">
        <v>580</v>
      </c>
      <c r="J170" t="b">
        <f>AND(NOT(Compil[[#This Row],[Est ouvrage]]), NOT(ISBLANK(Compil[[#This Row],[ART.
CCTP]])))</f>
        <v>1</v>
      </c>
      <c r="K170" t="b">
        <f>OR(Compil[[#This Row],[Unité]]="U",Compil[[#This Row],[Unité]]="ens",Compil[[#This Row],[Unité]]="ml")</f>
        <v>0</v>
      </c>
      <c r="L170" t="b">
        <f>ISBLANK(Compil[[#This Row],[DESIGNATION]])</f>
        <v>0</v>
      </c>
      <c r="M170" s="359"/>
      <c r="N170" s="358"/>
      <c r="O170" s="358"/>
      <c r="P170" s="358"/>
      <c r="Q170" s="358">
        <f>COUNTIF(Compil[[Ma Désignation ]],Compil[[Ma Désignation ]])</f>
        <v>2</v>
      </c>
    </row>
    <row r="171" spans="1:17" ht="14">
      <c r="A171" s="303">
        <v>166</v>
      </c>
      <c r="B171" s="2"/>
      <c r="C171" s="221"/>
      <c r="D171" t="str">
        <f xml:space="preserve"> TRIM( SUBSTITUTE(SUBSTITUTE(SUBSTITUTE( Compil[[#This Row],[DESIGNATION]],"-",""),"–",""),"*",""))</f>
        <v/>
      </c>
      <c r="E171" s="216"/>
      <c r="F171" s="252"/>
      <c r="G171" s="289" t="str">
        <f>IF(F171="","",(((L171*$M$6)+(M171*#REF!*#REF!))*$M$7)/F171)</f>
        <v/>
      </c>
      <c r="H171" s="164" t="str">
        <f>IF(F171="","",F171*G171)</f>
        <v/>
      </c>
      <c r="I171" t="s">
        <v>580</v>
      </c>
      <c r="J171" t="b">
        <f>AND(NOT(Compil[[#This Row],[Est ouvrage]]), NOT(ISBLANK(Compil[[#This Row],[ART.
CCTP]])))</f>
        <v>0</v>
      </c>
      <c r="K171" t="b">
        <f>OR(Compil[[#This Row],[Unité]]="U",Compil[[#This Row],[Unité]]="ens",Compil[[#This Row],[Unité]]="ml")</f>
        <v>0</v>
      </c>
      <c r="L171" t="b">
        <f>ISBLANK(Compil[[#This Row],[DESIGNATION]])</f>
        <v>1</v>
      </c>
      <c r="M171" s="358"/>
      <c r="N171" s="358"/>
      <c r="O171" s="358"/>
      <c r="P171" s="358"/>
      <c r="Q171" s="358">
        <f>COUNTIF(Compil[[Ma Désignation ]],Compil[[Ma Désignation ]])</f>
        <v>306</v>
      </c>
    </row>
    <row r="172" spans="1:17">
      <c r="A172" s="360">
        <v>1033</v>
      </c>
      <c r="B172" s="363"/>
      <c r="C172" s="402" t="s">
        <v>266</v>
      </c>
      <c r="D172" t="str">
        <f xml:space="preserve"> TRIM( SUBSTITUTE(SUBSTITUTE(SUBSTITUTE( Compil[[#This Row],[DESIGNATION]],"-",""),"–",""),"*",""))</f>
        <v>Attente protections solaires</v>
      </c>
      <c r="E172" s="374" t="s">
        <v>13</v>
      </c>
      <c r="F172" s="385"/>
      <c r="G172" s="390" t="s">
        <v>571</v>
      </c>
      <c r="H172" s="391" t="s">
        <v>571</v>
      </c>
      <c r="I172" t="s">
        <v>579</v>
      </c>
      <c r="J172" t="b">
        <f>AND(NOT(Compil[[#This Row],[Est ouvrage]]), NOT(ISBLANK(Compil[[#This Row],[ART.
CCTP]])))</f>
        <v>0</v>
      </c>
      <c r="K172" t="b">
        <f>OR(Compil[[#This Row],[Unité]]="U",Compil[[#This Row],[Unité]]="ens",Compil[[#This Row],[Unité]]="ml")</f>
        <v>1</v>
      </c>
      <c r="L172" t="b">
        <f>ISBLANK(Compil[[#This Row],[DESIGNATION]])</f>
        <v>0</v>
      </c>
      <c r="M172" s="359"/>
      <c r="N172" s="358"/>
      <c r="O172" s="358"/>
      <c r="P172" s="358"/>
      <c r="Q172" s="358">
        <f>COUNTIF(Compil[[Ma Désignation ]],Compil[[Ma Désignation ]])</f>
        <v>16</v>
      </c>
    </row>
    <row r="173" spans="1:17">
      <c r="A173" s="360">
        <v>1072</v>
      </c>
      <c r="B173" s="363"/>
      <c r="C173" s="402" t="s">
        <v>266</v>
      </c>
      <c r="D173" t="str">
        <f xml:space="preserve"> TRIM( SUBSTITUTE(SUBSTITUTE(SUBSTITUTE( Compil[[#This Row],[DESIGNATION]],"-",""),"–",""),"*",""))</f>
        <v>Attente protections solaires</v>
      </c>
      <c r="E173" s="374" t="s">
        <v>13</v>
      </c>
      <c r="F173" s="385">
        <v>3</v>
      </c>
      <c r="G173" s="390">
        <v>0</v>
      </c>
      <c r="H173" s="391">
        <v>0</v>
      </c>
      <c r="I173" t="s">
        <v>579</v>
      </c>
      <c r="J173" t="b">
        <f>AND(NOT(Compil[[#This Row],[Est ouvrage]]), NOT(ISBLANK(Compil[[#This Row],[ART.
CCTP]])))</f>
        <v>0</v>
      </c>
      <c r="K173" t="b">
        <f>OR(Compil[[#This Row],[Unité]]="U",Compil[[#This Row],[Unité]]="ens",Compil[[#This Row],[Unité]]="ml")</f>
        <v>1</v>
      </c>
      <c r="L173" t="b">
        <f>ISBLANK(Compil[[#This Row],[DESIGNATION]])</f>
        <v>0</v>
      </c>
      <c r="M173" s="359"/>
      <c r="N173" s="358"/>
      <c r="O173" s="358"/>
      <c r="P173" s="358"/>
      <c r="Q173" s="358">
        <f>COUNTIF(Compil[[Ma Désignation ]],Compil[[Ma Désignation ]])</f>
        <v>16</v>
      </c>
    </row>
    <row r="174" spans="1:17">
      <c r="A174" s="360">
        <v>1108</v>
      </c>
      <c r="B174" s="363"/>
      <c r="C174" s="402" t="s">
        <v>266</v>
      </c>
      <c r="D174" t="str">
        <f xml:space="preserve"> TRIM( SUBSTITUTE(SUBSTITUTE(SUBSTITUTE( Compil[[#This Row],[DESIGNATION]],"-",""),"–",""),"*",""))</f>
        <v>Attente protections solaires</v>
      </c>
      <c r="E174" s="374" t="s">
        <v>13</v>
      </c>
      <c r="F174" s="385"/>
      <c r="G174" s="390" t="s">
        <v>571</v>
      </c>
      <c r="H174" s="391" t="s">
        <v>571</v>
      </c>
      <c r="I174" t="s">
        <v>579</v>
      </c>
      <c r="J174" t="b">
        <f>AND(NOT(Compil[[#This Row],[Est ouvrage]]), NOT(ISBLANK(Compil[[#This Row],[ART.
CCTP]])))</f>
        <v>0</v>
      </c>
      <c r="K174" t="b">
        <f>OR(Compil[[#This Row],[Unité]]="U",Compil[[#This Row],[Unité]]="ens",Compil[[#This Row],[Unité]]="ml")</f>
        <v>1</v>
      </c>
      <c r="L174" t="b">
        <f>ISBLANK(Compil[[#This Row],[DESIGNATION]])</f>
        <v>0</v>
      </c>
      <c r="M174" s="359"/>
      <c r="N174" s="358"/>
      <c r="O174" s="358"/>
      <c r="P174" s="358"/>
      <c r="Q174" s="358">
        <f>COUNTIF(Compil[[Ma Désignation ]],Compil[[Ma Désignation ]])</f>
        <v>16</v>
      </c>
    </row>
    <row r="175" spans="1:17">
      <c r="A175" s="360">
        <v>1073</v>
      </c>
      <c r="B175" s="363"/>
      <c r="C175" s="402" t="s">
        <v>449</v>
      </c>
      <c r="D175" t="str">
        <f xml:space="preserve"> TRIM( SUBSTITUTE(SUBSTITUTE(SUBSTITUTE( Compil[[#This Row],[DESIGNATION]],"-",""),"–",""),"*",""))</f>
        <v>Attente rideau métalique</v>
      </c>
      <c r="E175" s="374" t="s">
        <v>13</v>
      </c>
      <c r="F175" s="385"/>
      <c r="G175" s="390" t="s">
        <v>571</v>
      </c>
      <c r="H175" s="391" t="s">
        <v>571</v>
      </c>
      <c r="I175" t="s">
        <v>579</v>
      </c>
      <c r="J175" t="b">
        <f>AND(NOT(Compil[[#This Row],[Est ouvrage]]), NOT(ISBLANK(Compil[[#This Row],[ART.
CCTP]])))</f>
        <v>0</v>
      </c>
      <c r="K175" t="b">
        <f>OR(Compil[[#This Row],[Unité]]="U",Compil[[#This Row],[Unité]]="ens",Compil[[#This Row],[Unité]]="ml")</f>
        <v>1</v>
      </c>
      <c r="L175" t="b">
        <f>ISBLANK(Compil[[#This Row],[DESIGNATION]])</f>
        <v>0</v>
      </c>
      <c r="M175" s="359"/>
      <c r="N175" s="358"/>
      <c r="O175" s="358"/>
      <c r="P175" s="358"/>
      <c r="Q175" s="358">
        <f>COUNTIF(Compil[[Ma Désignation ]],Compil[[Ma Désignation ]])</f>
        <v>2</v>
      </c>
    </row>
    <row r="176" spans="1:17" ht="14">
      <c r="A176" s="303">
        <v>171</v>
      </c>
      <c r="B176" s="2"/>
      <c r="C176" s="220"/>
      <c r="D176" t="str">
        <f xml:space="preserve"> TRIM( SUBSTITUTE(SUBSTITUTE(SUBSTITUTE( Compil[[#This Row],[DESIGNATION]],"-",""),"–",""),"*",""))</f>
        <v/>
      </c>
      <c r="E176" s="216"/>
      <c r="F176" s="252"/>
      <c r="G176" s="289" t="str">
        <f>IF(F176="","",(((L176*$M$6)+(M176*#REF!*#REF!))*$M$7)/F176)</f>
        <v/>
      </c>
      <c r="H176" s="164" t="str">
        <f>IF(F176="","",F176*G176)</f>
        <v/>
      </c>
      <c r="I176" t="s">
        <v>580</v>
      </c>
      <c r="J176" t="b">
        <f>AND(NOT(Compil[[#This Row],[Est ouvrage]]), NOT(ISBLANK(Compil[[#This Row],[ART.
CCTP]])))</f>
        <v>0</v>
      </c>
      <c r="K176" t="b">
        <f>OR(Compil[[#This Row],[Unité]]="U",Compil[[#This Row],[Unité]]="ens",Compil[[#This Row],[Unité]]="ml")</f>
        <v>0</v>
      </c>
      <c r="L176" t="b">
        <f>ISBLANK(Compil[[#This Row],[DESIGNATION]])</f>
        <v>1</v>
      </c>
      <c r="M176" s="358"/>
      <c r="N176" s="358"/>
      <c r="O176" s="358"/>
      <c r="P176" s="358"/>
      <c r="Q176" s="358">
        <f>COUNTIF(Compil[[Ma Désignation ]],Compil[[Ma Désignation ]])</f>
        <v>306</v>
      </c>
    </row>
    <row r="177" spans="1:17" ht="14">
      <c r="A177" s="303">
        <v>172</v>
      </c>
      <c r="B177" s="2"/>
      <c r="C177" s="394" t="s">
        <v>113</v>
      </c>
      <c r="D177" t="str">
        <f xml:space="preserve"> TRIM( SUBSTITUTE(SUBSTITUTE(SUBSTITUTE( Compil[[#This Row],[DESIGNATION]],"-",""),"–",""),"*",""))</f>
        <v>Sous total 2.9</v>
      </c>
      <c r="E177" s="216"/>
      <c r="F177" s="252"/>
      <c r="G177" s="289" t="str">
        <f>IF(F177="","",(((L177*$M$6)+(M177*#REF!*#REF!))*$M$7)/F177)</f>
        <v/>
      </c>
      <c r="H177" s="164" t="str">
        <f>IF(F177="","",F177*G177)</f>
        <v/>
      </c>
      <c r="I177" t="s">
        <v>580</v>
      </c>
      <c r="J177" t="b">
        <f>AND(NOT(Compil[[#This Row],[Est ouvrage]]), NOT(ISBLANK(Compil[[#This Row],[ART.
CCTP]])))</f>
        <v>0</v>
      </c>
      <c r="K177" t="b">
        <f>OR(Compil[[#This Row],[Unité]]="U",Compil[[#This Row],[Unité]]="ens",Compil[[#This Row],[Unité]]="ml")</f>
        <v>0</v>
      </c>
      <c r="L177" t="b">
        <f>ISBLANK(Compil[[#This Row],[DESIGNATION]])</f>
        <v>0</v>
      </c>
      <c r="M177" s="359"/>
      <c r="N177" s="358"/>
      <c r="O177" s="358"/>
      <c r="P177" s="358"/>
      <c r="Q177" s="358">
        <f>COUNTIF(Compil[[Ma Désignation ]],Compil[[Ma Désignation ]])</f>
        <v>1</v>
      </c>
    </row>
    <row r="178" spans="1:17" ht="14">
      <c r="A178" s="303">
        <v>173</v>
      </c>
      <c r="B178" s="2"/>
      <c r="C178" s="224"/>
      <c r="D178" t="str">
        <f xml:space="preserve"> TRIM( SUBSTITUTE(SUBSTITUTE(SUBSTITUTE( Compil[[#This Row],[DESIGNATION]],"-",""),"–",""),"*",""))</f>
        <v/>
      </c>
      <c r="E178" s="216"/>
      <c r="F178" s="252"/>
      <c r="G178" s="289" t="str">
        <f>IF(F178="","",(((L178*$M$6)+(M178*#REF!*#REF!))*$M$7)/F178)</f>
        <v/>
      </c>
      <c r="H178" s="164" t="str">
        <f>IF(F178="","",F178*G178)</f>
        <v/>
      </c>
      <c r="I178" t="s">
        <v>580</v>
      </c>
      <c r="J178" t="b">
        <f>AND(NOT(Compil[[#This Row],[Est ouvrage]]), NOT(ISBLANK(Compil[[#This Row],[ART.
CCTP]])))</f>
        <v>0</v>
      </c>
      <c r="K178" t="b">
        <f>OR(Compil[[#This Row],[Unité]]="U",Compil[[#This Row],[Unité]]="ens",Compil[[#This Row],[Unité]]="ml")</f>
        <v>0</v>
      </c>
      <c r="L178" t="b">
        <f>ISBLANK(Compil[[#This Row],[DESIGNATION]])</f>
        <v>1</v>
      </c>
      <c r="M178" s="358"/>
      <c r="N178" s="358"/>
      <c r="O178" s="358"/>
      <c r="P178" s="358"/>
      <c r="Q178" s="358">
        <f>COUNTIF(Compil[[Ma Désignation ]],Compil[[Ma Désignation ]])</f>
        <v>306</v>
      </c>
    </row>
    <row r="179" spans="1:17" ht="14">
      <c r="A179" s="303">
        <v>174</v>
      </c>
      <c r="B179" s="2" t="s">
        <v>170</v>
      </c>
      <c r="C179" s="188" t="s">
        <v>132</v>
      </c>
      <c r="D179" t="str">
        <f xml:space="preserve"> TRIM( SUBSTITUTE(SUBSTITUTE(SUBSTITUTE( Compil[[#This Row],[DESIGNATION]],"-",""),"–",""),"*",""))</f>
        <v>Commande de désenfumage des circulations</v>
      </c>
      <c r="E179" s="216"/>
      <c r="F179" s="252"/>
      <c r="G179" s="289" t="str">
        <f>IF(F179="","",(((L179*$M$6)+(M179*#REF!*#REF!))*$M$7)/F179)</f>
        <v/>
      </c>
      <c r="H179" s="164" t="str">
        <f>IF(F179="","",F179*G179)</f>
        <v/>
      </c>
      <c r="I179" t="s">
        <v>580</v>
      </c>
      <c r="J179" t="b">
        <f>AND(NOT(Compil[[#This Row],[Est ouvrage]]), NOT(ISBLANK(Compil[[#This Row],[ART.
CCTP]])))</f>
        <v>1</v>
      </c>
      <c r="K179" t="b">
        <f>OR(Compil[[#This Row],[Unité]]="U",Compil[[#This Row],[Unité]]="ens",Compil[[#This Row],[Unité]]="ml")</f>
        <v>0</v>
      </c>
      <c r="L179" t="b">
        <f>ISBLANK(Compil[[#This Row],[DESIGNATION]])</f>
        <v>0</v>
      </c>
      <c r="M179" s="359"/>
      <c r="N179" s="358"/>
      <c r="O179" s="358"/>
      <c r="P179" s="358"/>
      <c r="Q179" s="358">
        <f>COUNTIF(Compil[[Ma Désignation ]],Compil[[Ma Désignation ]])</f>
        <v>1</v>
      </c>
    </row>
    <row r="180" spans="1:17" ht="14">
      <c r="A180" s="303">
        <v>175</v>
      </c>
      <c r="B180" s="2"/>
      <c r="C180" s="232"/>
      <c r="D180" t="str">
        <f xml:space="preserve"> TRIM( SUBSTITUTE(SUBSTITUTE(SUBSTITUTE( Compil[[#This Row],[DESIGNATION]],"-",""),"–",""),"*",""))</f>
        <v/>
      </c>
      <c r="E180" s="216"/>
      <c r="F180" s="252"/>
      <c r="G180" s="289" t="str">
        <f>IF(F180="","",(((L180*$M$6)+(M180*#REF!*#REF!))*$M$7)/F180)</f>
        <v/>
      </c>
      <c r="H180" s="164" t="str">
        <f>IF(F180="","",F180*G180)</f>
        <v/>
      </c>
      <c r="I180" t="s">
        <v>580</v>
      </c>
      <c r="J180" t="b">
        <f>AND(NOT(Compil[[#This Row],[Est ouvrage]]), NOT(ISBLANK(Compil[[#This Row],[ART.
CCTP]])))</f>
        <v>0</v>
      </c>
      <c r="K180" t="b">
        <f>OR(Compil[[#This Row],[Unité]]="U",Compil[[#This Row],[Unité]]="ens",Compil[[#This Row],[Unité]]="ml")</f>
        <v>0</v>
      </c>
      <c r="L180" t="b">
        <f>ISBLANK(Compil[[#This Row],[DESIGNATION]])</f>
        <v>1</v>
      </c>
      <c r="M180" s="358"/>
      <c r="N180" s="358"/>
      <c r="O180" s="358"/>
      <c r="P180" s="358"/>
      <c r="Q180" s="358">
        <f>COUNTIF(Compil[[Ma Désignation ]],Compil[[Ma Désignation ]])</f>
        <v>306</v>
      </c>
    </row>
    <row r="181" spans="1:17" ht="14">
      <c r="A181" s="303">
        <v>176</v>
      </c>
      <c r="B181" s="2"/>
      <c r="C181" s="206" t="s">
        <v>382</v>
      </c>
      <c r="D181" t="str">
        <f xml:space="preserve"> TRIM( SUBSTITUTE(SUBSTITUTE(SUBSTITUTE( Compil[[#This Row],[DESIGNATION]],"-",""),"–",""),"*",""))</f>
        <v>Bâtiment G1 et G2</v>
      </c>
      <c r="E181" s="216"/>
      <c r="F181" s="252"/>
      <c r="G181" s="289" t="str">
        <f>IF(F181="","",(((L181*$M$6)+(M181*#REF!*#REF!))*$M$7)/F181)</f>
        <v/>
      </c>
      <c r="H181" s="164" t="str">
        <f>IF(F181="","",F181*G181)</f>
        <v/>
      </c>
      <c r="I181" t="s">
        <v>580</v>
      </c>
      <c r="J181" t="b">
        <f>AND(NOT(Compil[[#This Row],[Est ouvrage]]), NOT(ISBLANK(Compil[[#This Row],[ART.
CCTP]])))</f>
        <v>0</v>
      </c>
      <c r="K181" t="b">
        <f>OR(Compil[[#This Row],[Unité]]="U",Compil[[#This Row],[Unité]]="ens",Compil[[#This Row],[Unité]]="ml")</f>
        <v>0</v>
      </c>
      <c r="L181" t="b">
        <f>ISBLANK(Compil[[#This Row],[DESIGNATION]])</f>
        <v>0</v>
      </c>
      <c r="M181" s="359"/>
      <c r="N181" s="358"/>
      <c r="O181" s="358"/>
      <c r="P181" s="358"/>
      <c r="Q181" s="358">
        <f>COUNTIF(Compil[[Ma Désignation ]],Compil[[Ma Désignation ]])</f>
        <v>1</v>
      </c>
    </row>
    <row r="182" spans="1:17">
      <c r="A182" s="360">
        <v>1109</v>
      </c>
      <c r="B182" s="363"/>
      <c r="C182" s="402" t="s">
        <v>449</v>
      </c>
      <c r="D182" t="str">
        <f xml:space="preserve"> TRIM( SUBSTITUTE(SUBSTITUTE(SUBSTITUTE( Compil[[#This Row],[DESIGNATION]],"-",""),"–",""),"*",""))</f>
        <v>Attente rideau métalique</v>
      </c>
      <c r="E182" s="374" t="s">
        <v>13</v>
      </c>
      <c r="F182" s="385">
        <v>2.1428571428571428</v>
      </c>
      <c r="G182" s="390">
        <v>0</v>
      </c>
      <c r="H182" s="391">
        <v>0</v>
      </c>
      <c r="I182" t="s">
        <v>579</v>
      </c>
      <c r="J182" t="b">
        <f>AND(NOT(Compil[[#This Row],[Est ouvrage]]), NOT(ISBLANK(Compil[[#This Row],[ART.
CCTP]])))</f>
        <v>0</v>
      </c>
      <c r="K182" t="b">
        <f>OR(Compil[[#This Row],[Unité]]="U",Compil[[#This Row],[Unité]]="ens",Compil[[#This Row],[Unité]]="ml")</f>
        <v>1</v>
      </c>
      <c r="L182" t="b">
        <f>ISBLANK(Compil[[#This Row],[DESIGNATION]])</f>
        <v>0</v>
      </c>
      <c r="M182" s="359"/>
      <c r="N182" s="358"/>
      <c r="O182" s="358"/>
      <c r="P182" s="358"/>
      <c r="Q182" s="358">
        <f>COUNTIF(Compil[[Ma Désignation ]],Compil[[Ma Désignation ]])</f>
        <v>2</v>
      </c>
    </row>
    <row r="183" spans="1:17" ht="14">
      <c r="A183" s="303">
        <v>133</v>
      </c>
      <c r="B183" s="2" t="s">
        <v>561</v>
      </c>
      <c r="C183" s="224" t="s">
        <v>241</v>
      </c>
      <c r="D183" t="str">
        <f xml:space="preserve"> TRIM( SUBSTITUTE(SUBSTITUTE(SUBSTITUTE( Compil[[#This Row],[DESIGNATION]],"-",""),"–",""),"*",""))</f>
        <v>Attente sousstation lumière+force bâtiment G1</v>
      </c>
      <c r="E183" s="216" t="s">
        <v>12</v>
      </c>
      <c r="F183" s="252">
        <v>1</v>
      </c>
      <c r="G183" s="289" t="e">
        <f>IF(F183="","",(((L183*$M$6)+(M183*#REF!*#REF!))*$M$7)/F183)</f>
        <v>#VALUE!</v>
      </c>
      <c r="H183" s="164" t="e">
        <f>IF(F183="","",F183*G183)</f>
        <v>#VALUE!</v>
      </c>
      <c r="I183" t="s">
        <v>580</v>
      </c>
      <c r="J183" t="b">
        <f>AND(NOT(Compil[[#This Row],[Est ouvrage]]), NOT(ISBLANK(Compil[[#This Row],[ART.
CCTP]])))</f>
        <v>0</v>
      </c>
      <c r="K183" t="b">
        <f>OR(Compil[[#This Row],[Unité]]="U",Compil[[#This Row],[Unité]]="ens",Compil[[#This Row],[Unité]]="ml")</f>
        <v>1</v>
      </c>
      <c r="L183" t="b">
        <f>ISBLANK(Compil[[#This Row],[DESIGNATION]])</f>
        <v>0</v>
      </c>
      <c r="M183" s="359"/>
      <c r="N183" s="358"/>
      <c r="O183" s="358"/>
      <c r="P183" s="358"/>
      <c r="Q183" s="358">
        <f>COUNTIF(Compil[[Ma Désignation ]],Compil[[Ma Désignation ]])</f>
        <v>1</v>
      </c>
    </row>
    <row r="184" spans="1:17" ht="14">
      <c r="A184" s="303">
        <v>134</v>
      </c>
      <c r="B184" s="2" t="s">
        <v>561</v>
      </c>
      <c r="C184" s="224" t="s">
        <v>242</v>
      </c>
      <c r="D184" t="str">
        <f xml:space="preserve"> TRIM( SUBSTITUTE(SUBSTITUTE(SUBSTITUTE( Compil[[#This Row],[DESIGNATION]],"-",""),"–",""),"*",""))</f>
        <v>Attente sousstation lumière+force bâtiment G2/SOHO</v>
      </c>
      <c r="E184" s="216" t="s">
        <v>12</v>
      </c>
      <c r="F184" s="252">
        <v>1</v>
      </c>
      <c r="G184" s="289" t="e">
        <f>IF(F184="","",(((L184*$M$6)+(M184*#REF!*#REF!))*$M$7)/F184)</f>
        <v>#VALUE!</v>
      </c>
      <c r="H184" s="164" t="e">
        <f>IF(F184="","",F184*G184)</f>
        <v>#VALUE!</v>
      </c>
      <c r="I184" t="s">
        <v>580</v>
      </c>
      <c r="J184" t="b">
        <f>AND(NOT(Compil[[#This Row],[Est ouvrage]]), NOT(ISBLANK(Compil[[#This Row],[ART.
CCTP]])))</f>
        <v>0</v>
      </c>
      <c r="K184" t="b">
        <f>OR(Compil[[#This Row],[Unité]]="U",Compil[[#This Row],[Unité]]="ens",Compil[[#This Row],[Unité]]="ml")</f>
        <v>1</v>
      </c>
      <c r="L184" t="b">
        <f>ISBLANK(Compil[[#This Row],[DESIGNATION]])</f>
        <v>0</v>
      </c>
      <c r="M184" s="359"/>
      <c r="N184" s="358"/>
      <c r="O184" s="358"/>
      <c r="P184" s="358"/>
      <c r="Q184" s="358">
        <f>COUNTIF(Compil[[Ma Désignation ]],Compil[[Ma Désignation ]])</f>
        <v>1</v>
      </c>
    </row>
    <row r="185" spans="1:17" ht="14">
      <c r="A185" s="303">
        <v>139</v>
      </c>
      <c r="B185" s="2" t="s">
        <v>563</v>
      </c>
      <c r="C185" s="224" t="s">
        <v>286</v>
      </c>
      <c r="D185" t="str">
        <f xml:space="preserve"> TRIM( SUBSTITUTE(SUBSTITUTE(SUBSTITUTE( Compil[[#This Row],[DESIGNATION]],"-",""),"–",""),"*",""))</f>
        <v>Attente surpresseurs pour G1</v>
      </c>
      <c r="E185" s="189" t="s">
        <v>12</v>
      </c>
      <c r="F185" s="252">
        <v>1</v>
      </c>
      <c r="G185" s="289" t="e">
        <f>IF(F185="","",(((L185*$M$6)+(M185*#REF!*#REF!))*$M$7)/F185)</f>
        <v>#VALUE!</v>
      </c>
      <c r="H185" s="164" t="e">
        <f>IF(F185="","",F185*G185)</f>
        <v>#VALUE!</v>
      </c>
      <c r="I185" t="s">
        <v>580</v>
      </c>
      <c r="J185" t="b">
        <f>AND(NOT(Compil[[#This Row],[Est ouvrage]]), NOT(ISBLANK(Compil[[#This Row],[ART.
CCTP]])))</f>
        <v>0</v>
      </c>
      <c r="K185" t="b">
        <f>OR(Compil[[#This Row],[Unité]]="U",Compil[[#This Row],[Unité]]="ens",Compil[[#This Row],[Unité]]="ml")</f>
        <v>1</v>
      </c>
      <c r="L185" t="b">
        <f>ISBLANK(Compil[[#This Row],[DESIGNATION]])</f>
        <v>0</v>
      </c>
      <c r="M185" s="359"/>
      <c r="N185" s="358"/>
      <c r="O185" s="358"/>
      <c r="P185" s="358"/>
      <c r="Q185" s="358">
        <f>COUNTIF(Compil[[Ma Désignation ]],Compil[[Ma Désignation ]])</f>
        <v>1</v>
      </c>
    </row>
    <row r="186" spans="1:17" ht="14">
      <c r="A186" s="303">
        <v>140</v>
      </c>
      <c r="B186" s="2" t="s">
        <v>563</v>
      </c>
      <c r="C186" s="224" t="s">
        <v>287</v>
      </c>
      <c r="D186" t="str">
        <f xml:space="preserve"> TRIM( SUBSTITUTE(SUBSTITUTE(SUBSTITUTE( Compil[[#This Row],[DESIGNATION]],"-",""),"–",""),"*",""))</f>
        <v>Attente surpresseurs pour G2</v>
      </c>
      <c r="E186" s="189" t="s">
        <v>12</v>
      </c>
      <c r="F186" s="252">
        <v>1</v>
      </c>
      <c r="G186" s="289" t="e">
        <f>IF(F186="","",(((L186*$M$6)+(M186*#REF!*#REF!))*$M$7)/F186)</f>
        <v>#VALUE!</v>
      </c>
      <c r="H186" s="164" t="e">
        <f>IF(F186="","",F186*G186)</f>
        <v>#VALUE!</v>
      </c>
      <c r="I186" t="s">
        <v>580</v>
      </c>
      <c r="J186" t="b">
        <f>AND(NOT(Compil[[#This Row],[Est ouvrage]]), NOT(ISBLANK(Compil[[#This Row],[ART.
CCTP]])))</f>
        <v>0</v>
      </c>
      <c r="K186" t="b">
        <f>OR(Compil[[#This Row],[Unité]]="U",Compil[[#This Row],[Unité]]="ens",Compil[[#This Row],[Unité]]="ml")</f>
        <v>1</v>
      </c>
      <c r="L186" t="b">
        <f>ISBLANK(Compil[[#This Row],[DESIGNATION]])</f>
        <v>0</v>
      </c>
      <c r="M186" s="359"/>
      <c r="N186" s="358"/>
      <c r="O186" s="358"/>
      <c r="P186" s="358"/>
      <c r="Q186" s="358">
        <f>COUNTIF(Compil[[Ma Désignation ]],Compil[[Ma Désignation ]])</f>
        <v>1</v>
      </c>
    </row>
    <row r="187" spans="1:17" ht="14">
      <c r="A187" s="303">
        <v>146</v>
      </c>
      <c r="B187" s="2"/>
      <c r="C187" s="224" t="s">
        <v>293</v>
      </c>
      <c r="D187" t="str">
        <f xml:space="preserve"> TRIM( SUBSTITUTE(SUBSTITUTE(SUBSTITUTE( Compil[[#This Row],[DESIGNATION]],"-",""),"–",""),"*",""))</f>
        <v>Attente tableau désenfuamge habiattion pour G1</v>
      </c>
      <c r="E187" s="216" t="s">
        <v>12</v>
      </c>
      <c r="F187" s="252">
        <v>1</v>
      </c>
      <c r="G187" s="289" t="e">
        <f>IF(F187="","",(((L187*$M$6)+(M187*#REF!*#REF!))*$M$7)/F187)</f>
        <v>#VALUE!</v>
      </c>
      <c r="H187" s="164" t="e">
        <f>IF(F187="","",F187*G187)</f>
        <v>#VALUE!</v>
      </c>
      <c r="I187" t="s">
        <v>580</v>
      </c>
      <c r="J187" t="b">
        <f>AND(NOT(Compil[[#This Row],[Est ouvrage]]), NOT(ISBLANK(Compil[[#This Row],[ART.
CCTP]])))</f>
        <v>0</v>
      </c>
      <c r="K187" t="b">
        <f>OR(Compil[[#This Row],[Unité]]="U",Compil[[#This Row],[Unité]]="ens",Compil[[#This Row],[Unité]]="ml")</f>
        <v>1</v>
      </c>
      <c r="L187" t="b">
        <f>ISBLANK(Compil[[#This Row],[DESIGNATION]])</f>
        <v>0</v>
      </c>
      <c r="M187" s="359"/>
      <c r="N187" s="358"/>
      <c r="O187" s="358"/>
      <c r="P187" s="358"/>
      <c r="Q187" s="358">
        <f>COUNTIF(Compil[[Ma Désignation ]],Compil[[Ma Désignation ]])</f>
        <v>1</v>
      </c>
    </row>
    <row r="188" spans="1:17" ht="14">
      <c r="A188" s="303">
        <v>147</v>
      </c>
      <c r="B188" s="2"/>
      <c r="C188" s="224" t="s">
        <v>294</v>
      </c>
      <c r="D188" t="str">
        <f xml:space="preserve"> TRIM( SUBSTITUTE(SUBSTITUTE(SUBSTITUTE( Compil[[#This Row],[DESIGNATION]],"-",""),"–",""),"*",""))</f>
        <v>Attente tableau désenfuamge habiattion pour G2</v>
      </c>
      <c r="E188" s="216" t="s">
        <v>12</v>
      </c>
      <c r="F188" s="252">
        <v>1</v>
      </c>
      <c r="G188" s="289" t="e">
        <f>IF(F188="","",(((L188*$M$6)+(M188*#REF!*#REF!))*$M$7)/F188)</f>
        <v>#VALUE!</v>
      </c>
      <c r="H188" s="164" t="e">
        <f>IF(F188="","",F188*G188)</f>
        <v>#VALUE!</v>
      </c>
      <c r="I188" t="s">
        <v>580</v>
      </c>
      <c r="J188" t="b">
        <f>AND(NOT(Compil[[#This Row],[Est ouvrage]]), NOT(ISBLANK(Compil[[#This Row],[ART.
CCTP]])))</f>
        <v>0</v>
      </c>
      <c r="K188" t="b">
        <f>OR(Compil[[#This Row],[Unité]]="U",Compil[[#This Row],[Unité]]="ens",Compil[[#This Row],[Unité]]="ml")</f>
        <v>1</v>
      </c>
      <c r="L188" t="b">
        <f>ISBLANK(Compil[[#This Row],[DESIGNATION]])</f>
        <v>0</v>
      </c>
      <c r="M188" s="359"/>
      <c r="N188" s="358"/>
      <c r="O188" s="358"/>
      <c r="P188" s="358"/>
      <c r="Q188" s="358">
        <f>COUNTIF(Compil[[Ma Désignation ]],Compil[[Ma Désignation ]])</f>
        <v>1</v>
      </c>
    </row>
    <row r="189" spans="1:17" ht="14">
      <c r="A189" s="303">
        <v>150</v>
      </c>
      <c r="B189" s="2"/>
      <c r="C189" s="224" t="s">
        <v>297</v>
      </c>
      <c r="D189" t="str">
        <f xml:space="preserve"> TRIM( SUBSTITUTE(SUBSTITUTE(SUBSTITUTE( Compil[[#This Row],[DESIGNATION]],"-",""),"–",""),"*",""))</f>
        <v>Attente ventilateur de surpression pour G2</v>
      </c>
      <c r="E189" s="216" t="s">
        <v>12</v>
      </c>
      <c r="F189" s="252">
        <v>1</v>
      </c>
      <c r="G189" s="289" t="e">
        <f>IF(F189="","",(((L189*$M$6)+(M189*#REF!*#REF!))*$M$7)/F189)</f>
        <v>#VALUE!</v>
      </c>
      <c r="H189" s="164" t="e">
        <f>IF(F189="","",F189*G189)</f>
        <v>#VALUE!</v>
      </c>
      <c r="I189" t="s">
        <v>580</v>
      </c>
      <c r="J189" t="b">
        <f>AND(NOT(Compil[[#This Row],[Est ouvrage]]), NOT(ISBLANK(Compil[[#This Row],[ART.
CCTP]])))</f>
        <v>0</v>
      </c>
      <c r="K189" t="b">
        <f>OR(Compil[[#This Row],[Unité]]="U",Compil[[#This Row],[Unité]]="ens",Compil[[#This Row],[Unité]]="ml")</f>
        <v>1</v>
      </c>
      <c r="L189" t="b">
        <f>ISBLANK(Compil[[#This Row],[DESIGNATION]])</f>
        <v>0</v>
      </c>
      <c r="M189" s="359"/>
      <c r="N189" s="358"/>
      <c r="O189" s="358"/>
      <c r="P189" s="358"/>
      <c r="Q189" s="358">
        <f>COUNTIF(Compil[[Ma Désignation ]],Compil[[Ma Désignation ]])</f>
        <v>1</v>
      </c>
    </row>
    <row r="190" spans="1:17" ht="14">
      <c r="A190" s="303">
        <v>185</v>
      </c>
      <c r="B190" s="2"/>
      <c r="C190" s="220"/>
      <c r="D190" t="str">
        <f xml:space="preserve"> TRIM( SUBSTITUTE(SUBSTITUTE(SUBSTITUTE( Compil[[#This Row],[DESIGNATION]],"-",""),"–",""),"*",""))</f>
        <v/>
      </c>
      <c r="E190" s="216"/>
      <c r="F190" s="252"/>
      <c r="G190" s="289" t="str">
        <f>IF(F190="","",(((L190*$M$6)+(M190*#REF!*#REF!))*$M$7)/F190)</f>
        <v/>
      </c>
      <c r="H190" s="164" t="str">
        <f>IF(F190="","",F190*G190)</f>
        <v/>
      </c>
      <c r="I190" t="s">
        <v>580</v>
      </c>
      <c r="J190" t="b">
        <f>AND(NOT(Compil[[#This Row],[Est ouvrage]]), NOT(ISBLANK(Compil[[#This Row],[ART.
CCTP]])))</f>
        <v>0</v>
      </c>
      <c r="K190" t="b">
        <f>OR(Compil[[#This Row],[Unité]]="U",Compil[[#This Row],[Unité]]="ens",Compil[[#This Row],[Unité]]="ml")</f>
        <v>0</v>
      </c>
      <c r="L190" t="b">
        <f>ISBLANK(Compil[[#This Row],[DESIGNATION]])</f>
        <v>1</v>
      </c>
      <c r="M190" s="358"/>
      <c r="N190" s="358"/>
      <c r="O190" s="358"/>
      <c r="P190" s="358"/>
      <c r="Q190" s="358">
        <f>COUNTIF(Compil[[Ma Désignation ]],Compil[[Ma Désignation ]])</f>
        <v>306</v>
      </c>
    </row>
    <row r="191" spans="1:17" ht="14">
      <c r="A191" s="303">
        <v>186</v>
      </c>
      <c r="B191" s="2"/>
      <c r="C191" s="394" t="s">
        <v>120</v>
      </c>
      <c r="D191" t="str">
        <f xml:space="preserve"> TRIM( SUBSTITUTE(SUBSTITUTE(SUBSTITUTE( Compil[[#This Row],[DESIGNATION]],"-",""),"–",""),"*",""))</f>
        <v>Sous total 2.10</v>
      </c>
      <c r="E191" s="216"/>
      <c r="F191" s="252"/>
      <c r="G191" s="289" t="str">
        <f>IF(F191="","",(((L191*$M$6)+(M191*#REF!*#REF!))*$M$7)/F191)</f>
        <v/>
      </c>
      <c r="H191" s="164" t="str">
        <f>IF(F191="","",F191*G191)</f>
        <v/>
      </c>
      <c r="I191" t="s">
        <v>580</v>
      </c>
      <c r="J191" t="b">
        <f>AND(NOT(Compil[[#This Row],[Est ouvrage]]), NOT(ISBLANK(Compil[[#This Row],[ART.
CCTP]])))</f>
        <v>0</v>
      </c>
      <c r="K191" t="b">
        <f>OR(Compil[[#This Row],[Unité]]="U",Compil[[#This Row],[Unité]]="ens",Compil[[#This Row],[Unité]]="ml")</f>
        <v>0</v>
      </c>
      <c r="L191" t="b">
        <f>ISBLANK(Compil[[#This Row],[DESIGNATION]])</f>
        <v>0</v>
      </c>
      <c r="M191" s="359"/>
      <c r="N191" s="358"/>
      <c r="O191" s="358"/>
      <c r="P191" s="358"/>
      <c r="Q191" s="358">
        <f>COUNTIF(Compil[[Ma Désignation ]],Compil[[Ma Désignation ]])</f>
        <v>1</v>
      </c>
    </row>
    <row r="192" spans="1:17" ht="14">
      <c r="A192" s="303">
        <v>187</v>
      </c>
      <c r="B192" s="2"/>
      <c r="C192" s="220"/>
      <c r="D192" t="str">
        <f xml:space="preserve"> TRIM( SUBSTITUTE(SUBSTITUTE(SUBSTITUTE( Compil[[#This Row],[DESIGNATION]],"-",""),"–",""),"*",""))</f>
        <v/>
      </c>
      <c r="E192" s="216"/>
      <c r="F192" s="252"/>
      <c r="G192" s="289" t="str">
        <f>IF(F192="","",(((L192*$M$6)+(M192*#REF!*#REF!))*$M$7)/F192)</f>
        <v/>
      </c>
      <c r="H192" s="164" t="str">
        <f>IF(F192="","",F192*G192)</f>
        <v/>
      </c>
      <c r="I192" t="s">
        <v>580</v>
      </c>
      <c r="J192" t="b">
        <f>AND(NOT(Compil[[#This Row],[Est ouvrage]]), NOT(ISBLANK(Compil[[#This Row],[ART.
CCTP]])))</f>
        <v>0</v>
      </c>
      <c r="K192" t="b">
        <f>OR(Compil[[#This Row],[Unité]]="U",Compil[[#This Row],[Unité]]="ens",Compil[[#This Row],[Unité]]="ml")</f>
        <v>0</v>
      </c>
      <c r="L192" t="b">
        <f>ISBLANK(Compil[[#This Row],[DESIGNATION]])</f>
        <v>1</v>
      </c>
      <c r="M192" s="358"/>
      <c r="N192" s="358"/>
      <c r="O192" s="358"/>
      <c r="P192" s="358"/>
      <c r="Q192" s="358">
        <f>COUNTIF(Compil[[Ma Désignation ]],Compil[[Ma Désignation ]])</f>
        <v>306</v>
      </c>
    </row>
    <row r="193" spans="1:17" ht="14">
      <c r="A193" s="303">
        <v>188</v>
      </c>
      <c r="B193" s="2" t="s">
        <v>385</v>
      </c>
      <c r="C193" s="188" t="s">
        <v>87</v>
      </c>
      <c r="D193" t="str">
        <f xml:space="preserve"> TRIM( SUBSTITUTE(SUBSTITUTE(SUBSTITUTE( Compil[[#This Row],[DESIGNATION]],"-",""),"–",""),"*",""))</f>
        <v>Eclairage de sécurité</v>
      </c>
      <c r="E193" s="216"/>
      <c r="F193" s="252"/>
      <c r="G193" s="289" t="str">
        <f>IF(F193="","",(((L193*$M$6)+(M193*#REF!*#REF!))*$M$7)/F193)</f>
        <v/>
      </c>
      <c r="H193" s="164" t="str">
        <f>IF(F193="","",F193*G193)</f>
        <v/>
      </c>
      <c r="I193" t="s">
        <v>580</v>
      </c>
      <c r="J193" t="b">
        <f>AND(NOT(Compil[[#This Row],[Est ouvrage]]), NOT(ISBLANK(Compil[[#This Row],[ART.
CCTP]])))</f>
        <v>1</v>
      </c>
      <c r="K193" t="b">
        <f>OR(Compil[[#This Row],[Unité]]="U",Compil[[#This Row],[Unité]]="ens",Compil[[#This Row],[Unité]]="ml")</f>
        <v>0</v>
      </c>
      <c r="L193" t="b">
        <f>ISBLANK(Compil[[#This Row],[DESIGNATION]])</f>
        <v>0</v>
      </c>
      <c r="M193" s="359"/>
      <c r="N193" s="358"/>
      <c r="O193" s="358"/>
      <c r="P193" s="358"/>
      <c r="Q193" s="358">
        <f>COUNTIF(Compil[[Ma Désignation ]],Compil[[Ma Désignation ]])</f>
        <v>2</v>
      </c>
    </row>
    <row r="194" spans="1:17" ht="14">
      <c r="A194" s="303">
        <v>189</v>
      </c>
      <c r="B194" s="2"/>
      <c r="C194" s="188"/>
      <c r="D194" t="str">
        <f xml:space="preserve"> TRIM( SUBSTITUTE(SUBSTITUTE(SUBSTITUTE( Compil[[#This Row],[DESIGNATION]],"-",""),"–",""),"*",""))</f>
        <v/>
      </c>
      <c r="E194" s="216"/>
      <c r="F194" s="252"/>
      <c r="G194" s="289" t="str">
        <f>IF(F194="","",(((L194*$M$6)+(M194*#REF!*#REF!))*$M$7)/F194)</f>
        <v/>
      </c>
      <c r="H194" s="164" t="str">
        <f>IF(F194="","",F194*G194)</f>
        <v/>
      </c>
      <c r="I194" t="s">
        <v>580</v>
      </c>
      <c r="J194" t="b">
        <f>AND(NOT(Compil[[#This Row],[Est ouvrage]]), NOT(ISBLANK(Compil[[#This Row],[ART.
CCTP]])))</f>
        <v>0</v>
      </c>
      <c r="K194" t="b">
        <f>OR(Compil[[#This Row],[Unité]]="U",Compil[[#This Row],[Unité]]="ens",Compil[[#This Row],[Unité]]="ml")</f>
        <v>0</v>
      </c>
      <c r="L194" t="b">
        <f>ISBLANK(Compil[[#This Row],[DESIGNATION]])</f>
        <v>1</v>
      </c>
      <c r="M194" s="358"/>
      <c r="N194" s="358"/>
      <c r="O194" s="358"/>
      <c r="P194" s="358"/>
      <c r="Q194" s="358">
        <f>COUNTIF(Compil[[Ma Désignation ]],Compil[[Ma Désignation ]])</f>
        <v>306</v>
      </c>
    </row>
    <row r="195" spans="1:17" ht="14">
      <c r="A195" s="303">
        <v>190</v>
      </c>
      <c r="B195" s="2"/>
      <c r="C195" s="206" t="s">
        <v>383</v>
      </c>
      <c r="D195" t="str">
        <f xml:space="preserve"> TRIM( SUBSTITUTE(SUBSTITUTE(SUBSTITUTE( Compil[[#This Row],[DESIGNATION]],"-",""),"–",""),"*",""))</f>
        <v>Bâtiment G1, G2 et Pking</v>
      </c>
      <c r="E195" s="216"/>
      <c r="F195" s="252"/>
      <c r="G195" s="289" t="str">
        <f>IF(F195="","",(((L195*$M$6)+(M195*#REF!*#REF!))*$M$7)/F195)</f>
        <v/>
      </c>
      <c r="H195" s="164" t="str">
        <f>IF(F195="","",F195*G195)</f>
        <v/>
      </c>
      <c r="I195" t="s">
        <v>580</v>
      </c>
      <c r="J195" t="b">
        <f>AND(NOT(Compil[[#This Row],[Est ouvrage]]), NOT(ISBLANK(Compil[[#This Row],[ART.
CCTP]])))</f>
        <v>0</v>
      </c>
      <c r="K195" t="b">
        <f>OR(Compil[[#This Row],[Unité]]="U",Compil[[#This Row],[Unité]]="ens",Compil[[#This Row],[Unité]]="ml")</f>
        <v>0</v>
      </c>
      <c r="L195" t="b">
        <f>ISBLANK(Compil[[#This Row],[DESIGNATION]])</f>
        <v>0</v>
      </c>
      <c r="M195" s="359"/>
      <c r="N195" s="358"/>
      <c r="O195" s="358"/>
      <c r="P195" s="358"/>
      <c r="Q195" s="358">
        <f>COUNTIF(Compil[[Ma Désignation ]],Compil[[Ma Désignation ]])</f>
        <v>1</v>
      </c>
    </row>
    <row r="196" spans="1:17" ht="14">
      <c r="A196" s="310">
        <v>386</v>
      </c>
      <c r="B196" s="43"/>
      <c r="C196" s="416" t="s">
        <v>277</v>
      </c>
      <c r="D196" t="str">
        <f xml:space="preserve"> TRIM( SUBSTITUTE(SUBSTITUTE(SUBSTITUTE( Compil[[#This Row],[DESIGNATION]],"-",""),"–",""),"*",""))</f>
        <v>Attente VMC SdB et WC</v>
      </c>
      <c r="E196" s="33" t="s">
        <v>13</v>
      </c>
      <c r="F196" s="262">
        <v>1</v>
      </c>
      <c r="G196" s="289">
        <v>0</v>
      </c>
      <c r="H196" s="164">
        <v>0</v>
      </c>
      <c r="I196" t="s">
        <v>570</v>
      </c>
      <c r="J196" t="b">
        <f>AND(NOT(Compil[[#This Row],[Est ouvrage]]), NOT(ISBLANK(Compil[[#This Row],[ART.
CCTP]])))</f>
        <v>0</v>
      </c>
      <c r="K196" t="b">
        <f>OR(Compil[[#This Row],[Unité]]="U",Compil[[#This Row],[Unité]]="ens",Compil[[#This Row],[Unité]]="ml")</f>
        <v>1</v>
      </c>
      <c r="L196" t="b">
        <f>ISBLANK(Compil[[#This Row],[DESIGNATION]])</f>
        <v>0</v>
      </c>
      <c r="M196" s="359"/>
      <c r="N196" s="358"/>
      <c r="O196" s="358"/>
      <c r="P196" s="358"/>
      <c r="Q196" s="358">
        <f>COUNTIF(Compil[[Ma Désignation ]],Compil[[Ma Désignation ]])</f>
        <v>14</v>
      </c>
    </row>
    <row r="197" spans="1:17" ht="14">
      <c r="A197" s="310">
        <v>402</v>
      </c>
      <c r="B197" s="43"/>
      <c r="C197" s="416" t="s">
        <v>277</v>
      </c>
      <c r="D197" t="str">
        <f xml:space="preserve"> TRIM( SUBSTITUTE(SUBSTITUTE(SUBSTITUTE( Compil[[#This Row],[DESIGNATION]],"-",""),"–",""),"*",""))</f>
        <v>Attente VMC SdB et WC</v>
      </c>
      <c r="E197" s="33" t="s">
        <v>13</v>
      </c>
      <c r="F197" s="262"/>
      <c r="G197" s="289" t="s">
        <v>571</v>
      </c>
      <c r="H197" s="164" t="s">
        <v>571</v>
      </c>
      <c r="I197" t="s">
        <v>570</v>
      </c>
      <c r="J197" t="b">
        <f>AND(NOT(Compil[[#This Row],[Est ouvrage]]), NOT(ISBLANK(Compil[[#This Row],[ART.
CCTP]])))</f>
        <v>0</v>
      </c>
      <c r="K197" t="b">
        <f>OR(Compil[[#This Row],[Unité]]="U",Compil[[#This Row],[Unité]]="ens",Compil[[#This Row],[Unité]]="ml")</f>
        <v>1</v>
      </c>
      <c r="L197" t="b">
        <f>ISBLANK(Compil[[#This Row],[DESIGNATION]])</f>
        <v>0</v>
      </c>
      <c r="M197" s="359"/>
      <c r="N197" s="358"/>
      <c r="O197" s="358"/>
      <c r="P197" s="358"/>
      <c r="Q197" s="358">
        <f>COUNTIF(Compil[[Ma Désignation ]],Compil[[Ma Désignation ]])</f>
        <v>14</v>
      </c>
    </row>
    <row r="198" spans="1:17" ht="14">
      <c r="A198" s="310">
        <v>438</v>
      </c>
      <c r="B198" s="43"/>
      <c r="C198" s="416" t="s">
        <v>277</v>
      </c>
      <c r="D198" t="str">
        <f xml:space="preserve"> TRIM( SUBSTITUTE(SUBSTITUTE(SUBSTITUTE( Compil[[#This Row],[DESIGNATION]],"-",""),"–",""),"*",""))</f>
        <v>Attente VMC SdB et WC</v>
      </c>
      <c r="E198" s="33" t="s">
        <v>13</v>
      </c>
      <c r="F198" s="262">
        <v>1</v>
      </c>
      <c r="G198" s="289">
        <v>0</v>
      </c>
      <c r="H198" s="164">
        <v>0</v>
      </c>
      <c r="I198" t="s">
        <v>570</v>
      </c>
      <c r="J198" t="b">
        <f>AND(NOT(Compil[[#This Row],[Est ouvrage]]), NOT(ISBLANK(Compil[[#This Row],[ART.
CCTP]])))</f>
        <v>0</v>
      </c>
      <c r="K198" t="b">
        <f>OR(Compil[[#This Row],[Unité]]="U",Compil[[#This Row],[Unité]]="ens",Compil[[#This Row],[Unité]]="ml")</f>
        <v>1</v>
      </c>
      <c r="L198" t="b">
        <f>ISBLANK(Compil[[#This Row],[DESIGNATION]])</f>
        <v>0</v>
      </c>
      <c r="M198" s="359"/>
      <c r="N198" s="358"/>
      <c r="O198" s="358"/>
      <c r="P198" s="358"/>
      <c r="Q198" s="358">
        <f>COUNTIF(Compil[[Ma Désignation ]],Compil[[Ma Désignation ]])</f>
        <v>14</v>
      </c>
    </row>
    <row r="199" spans="1:17" ht="14">
      <c r="A199" s="310">
        <v>456</v>
      </c>
      <c r="B199" s="43"/>
      <c r="C199" s="416" t="s">
        <v>277</v>
      </c>
      <c r="D199" t="str">
        <f xml:space="preserve"> TRIM( SUBSTITUTE(SUBSTITUTE(SUBSTITUTE( Compil[[#This Row],[DESIGNATION]],"-",""),"–",""),"*",""))</f>
        <v>Attente VMC SdB et WC</v>
      </c>
      <c r="E199" s="33" t="s">
        <v>13</v>
      </c>
      <c r="F199" s="262"/>
      <c r="G199" s="289" t="s">
        <v>571</v>
      </c>
      <c r="H199" s="164" t="s">
        <v>571</v>
      </c>
      <c r="I199" t="s">
        <v>570</v>
      </c>
      <c r="J199" t="b">
        <f>AND(NOT(Compil[[#This Row],[Est ouvrage]]), NOT(ISBLANK(Compil[[#This Row],[ART.
CCTP]])))</f>
        <v>0</v>
      </c>
      <c r="K199" t="b">
        <f>OR(Compil[[#This Row],[Unité]]="U",Compil[[#This Row],[Unité]]="ens",Compil[[#This Row],[Unité]]="ml")</f>
        <v>1</v>
      </c>
      <c r="L199" t="b">
        <f>ISBLANK(Compil[[#This Row],[DESIGNATION]])</f>
        <v>0</v>
      </c>
      <c r="M199" s="359"/>
      <c r="N199" s="358"/>
      <c r="O199" s="358"/>
      <c r="P199" s="358"/>
      <c r="Q199" s="358">
        <f>COUNTIF(Compil[[Ma Désignation ]],Compil[[Ma Désignation ]])</f>
        <v>14</v>
      </c>
    </row>
    <row r="200" spans="1:17" ht="14">
      <c r="A200" s="310">
        <v>493</v>
      </c>
      <c r="B200" s="43"/>
      <c r="C200" s="416" t="s">
        <v>277</v>
      </c>
      <c r="D200" t="str">
        <f xml:space="preserve"> TRIM( SUBSTITUTE(SUBSTITUTE(SUBSTITUTE( Compil[[#This Row],[DESIGNATION]],"-",""),"–",""),"*",""))</f>
        <v>Attente VMC SdB et WC</v>
      </c>
      <c r="E200" s="33" t="s">
        <v>13</v>
      </c>
      <c r="F200" s="262">
        <v>1</v>
      </c>
      <c r="G200" s="289">
        <v>0</v>
      </c>
      <c r="H200" s="164">
        <v>0</v>
      </c>
      <c r="I200" t="s">
        <v>570</v>
      </c>
      <c r="J200" t="b">
        <f>AND(NOT(Compil[[#This Row],[Est ouvrage]]), NOT(ISBLANK(Compil[[#This Row],[ART.
CCTP]])))</f>
        <v>0</v>
      </c>
      <c r="K200" t="b">
        <f>OR(Compil[[#This Row],[Unité]]="U",Compil[[#This Row],[Unité]]="ens",Compil[[#This Row],[Unité]]="ml")</f>
        <v>1</v>
      </c>
      <c r="L200" t="b">
        <f>ISBLANK(Compil[[#This Row],[DESIGNATION]])</f>
        <v>0</v>
      </c>
      <c r="M200" s="359"/>
      <c r="N200" s="358"/>
      <c r="O200" s="358"/>
      <c r="P200" s="358"/>
      <c r="Q200" s="358">
        <f>COUNTIF(Compil[[Ma Désignation ]],Compil[[Ma Désignation ]])</f>
        <v>14</v>
      </c>
    </row>
    <row r="201" spans="1:17" ht="14">
      <c r="A201" s="310">
        <v>512</v>
      </c>
      <c r="B201" s="2"/>
      <c r="C201" s="416" t="s">
        <v>277</v>
      </c>
      <c r="D201" t="str">
        <f xml:space="preserve"> TRIM( SUBSTITUTE(SUBSTITUTE(SUBSTITUTE( Compil[[#This Row],[DESIGNATION]],"-",""),"–",""),"*",""))</f>
        <v>Attente VMC SdB et WC</v>
      </c>
      <c r="E201" s="33" t="s">
        <v>13</v>
      </c>
      <c r="F201" s="262"/>
      <c r="G201" s="289" t="s">
        <v>571</v>
      </c>
      <c r="H201" s="164" t="s">
        <v>571</v>
      </c>
      <c r="I201" t="s">
        <v>570</v>
      </c>
      <c r="J201" t="b">
        <f>AND(NOT(Compil[[#This Row],[Est ouvrage]]), NOT(ISBLANK(Compil[[#This Row],[ART.
CCTP]])))</f>
        <v>0</v>
      </c>
      <c r="K201" t="b">
        <f>OR(Compil[[#This Row],[Unité]]="U",Compil[[#This Row],[Unité]]="ens",Compil[[#This Row],[Unité]]="ml")</f>
        <v>1</v>
      </c>
      <c r="L201" t="b">
        <f>ISBLANK(Compil[[#This Row],[DESIGNATION]])</f>
        <v>0</v>
      </c>
      <c r="M201" s="359"/>
      <c r="N201" s="358"/>
      <c r="O201" s="358"/>
      <c r="P201" s="358"/>
      <c r="Q201" s="358">
        <f>COUNTIF(Compil[[Ma Désignation ]],Compil[[Ma Désignation ]])</f>
        <v>14</v>
      </c>
    </row>
    <row r="202" spans="1:17" ht="14">
      <c r="A202" s="310">
        <v>549</v>
      </c>
      <c r="B202" s="43"/>
      <c r="C202" s="416" t="s">
        <v>277</v>
      </c>
      <c r="D202" t="str">
        <f xml:space="preserve"> TRIM( SUBSTITUTE(SUBSTITUTE(SUBSTITUTE( Compil[[#This Row],[DESIGNATION]],"-",""),"–",""),"*",""))</f>
        <v>Attente VMC SdB et WC</v>
      </c>
      <c r="E202" s="33" t="s">
        <v>13</v>
      </c>
      <c r="F202" s="262">
        <v>1</v>
      </c>
      <c r="G202" s="289">
        <v>0</v>
      </c>
      <c r="H202" s="164">
        <v>0</v>
      </c>
      <c r="I202" t="s">
        <v>570</v>
      </c>
      <c r="J202" t="b">
        <f>AND(NOT(Compil[[#This Row],[Est ouvrage]]), NOT(ISBLANK(Compil[[#This Row],[ART.
CCTP]])))</f>
        <v>0</v>
      </c>
      <c r="K202" t="b">
        <f>OR(Compil[[#This Row],[Unité]]="U",Compil[[#This Row],[Unité]]="ens",Compil[[#This Row],[Unité]]="ml")</f>
        <v>1</v>
      </c>
      <c r="L202" t="b">
        <f>ISBLANK(Compil[[#This Row],[DESIGNATION]])</f>
        <v>0</v>
      </c>
      <c r="M202" s="359"/>
      <c r="N202" s="358"/>
      <c r="O202" s="358"/>
      <c r="P202" s="358"/>
      <c r="Q202" s="358">
        <f>COUNTIF(Compil[[Ma Désignation ]],Compil[[Ma Désignation ]])</f>
        <v>14</v>
      </c>
    </row>
    <row r="203" spans="1:17" ht="14">
      <c r="A203" s="303">
        <v>198</v>
      </c>
      <c r="B203" s="2"/>
      <c r="C203" s="220"/>
      <c r="D203" t="str">
        <f xml:space="preserve"> TRIM( SUBSTITUTE(SUBSTITUTE(SUBSTITUTE( Compil[[#This Row],[DESIGNATION]],"-",""),"–",""),"*",""))</f>
        <v/>
      </c>
      <c r="E203" s="216"/>
      <c r="F203" s="252"/>
      <c r="G203" s="289" t="str">
        <f>IF(F203="","",(((L203*$M$6)+(M203*#REF!*#REF!))*$M$7)/F203)</f>
        <v/>
      </c>
      <c r="H203" s="164" t="str">
        <f>IF(F203="","",F203*G203)</f>
        <v/>
      </c>
      <c r="I203" t="s">
        <v>580</v>
      </c>
      <c r="J203" t="b">
        <f>AND(NOT(Compil[[#This Row],[Est ouvrage]]), NOT(ISBLANK(Compil[[#This Row],[ART.
CCTP]])))</f>
        <v>0</v>
      </c>
      <c r="K203" t="b">
        <f>OR(Compil[[#This Row],[Unité]]="U",Compil[[#This Row],[Unité]]="ens",Compil[[#This Row],[Unité]]="ml")</f>
        <v>0</v>
      </c>
      <c r="L203" t="b">
        <f>ISBLANK(Compil[[#This Row],[DESIGNATION]])</f>
        <v>1</v>
      </c>
      <c r="M203" s="358"/>
      <c r="N203" s="358"/>
      <c r="O203" s="358"/>
      <c r="P203" s="358"/>
      <c r="Q203" s="358">
        <f>COUNTIF(Compil[[Ma Désignation ]],Compil[[Ma Désignation ]])</f>
        <v>306</v>
      </c>
    </row>
    <row r="204" spans="1:17" ht="14">
      <c r="A204" s="303">
        <v>199</v>
      </c>
      <c r="B204" s="2"/>
      <c r="C204" s="394" t="s">
        <v>173</v>
      </c>
      <c r="D204" t="str">
        <f xml:space="preserve"> TRIM( SUBSTITUTE(SUBSTITUTE(SUBSTITUTE( Compil[[#This Row],[DESIGNATION]],"-",""),"–",""),"*",""))</f>
        <v>Sous total 2.11</v>
      </c>
      <c r="E204" s="216"/>
      <c r="F204" s="252"/>
      <c r="G204" s="289" t="str">
        <f>IF(F204="","",(((L204*$M$6)+(M204*#REF!*#REF!))*$M$7)/F204)</f>
        <v/>
      </c>
      <c r="H204" s="164" t="str">
        <f>IF(F204="","",F204*G204)</f>
        <v/>
      </c>
      <c r="I204" t="s">
        <v>580</v>
      </c>
      <c r="J204" t="b">
        <f>AND(NOT(Compil[[#This Row],[Est ouvrage]]), NOT(ISBLANK(Compil[[#This Row],[ART.
CCTP]])))</f>
        <v>0</v>
      </c>
      <c r="K204" t="b">
        <f>OR(Compil[[#This Row],[Unité]]="U",Compil[[#This Row],[Unité]]="ens",Compil[[#This Row],[Unité]]="ml")</f>
        <v>0</v>
      </c>
      <c r="L204" t="b">
        <f>ISBLANK(Compil[[#This Row],[DESIGNATION]])</f>
        <v>0</v>
      </c>
      <c r="M204" s="359"/>
      <c r="N204" s="358"/>
      <c r="O204" s="358"/>
      <c r="P204" s="358"/>
      <c r="Q204" s="358">
        <f>COUNTIF(Compil[[Ma Désignation ]],Compil[[Ma Désignation ]])</f>
        <v>1</v>
      </c>
    </row>
    <row r="205" spans="1:17" ht="14">
      <c r="A205" s="303">
        <v>200</v>
      </c>
      <c r="B205" s="2"/>
      <c r="C205" s="224"/>
      <c r="D205" t="str">
        <f xml:space="preserve"> TRIM( SUBSTITUTE(SUBSTITUTE(SUBSTITUTE( Compil[[#This Row],[DESIGNATION]],"-",""),"–",""),"*",""))</f>
        <v/>
      </c>
      <c r="E205" s="216"/>
      <c r="F205" s="252"/>
      <c r="G205" s="289" t="str">
        <f>IF(F205="","",(((L205*$M$6)+(M205*#REF!*#REF!))*$M$7)/F205)</f>
        <v/>
      </c>
      <c r="H205" s="164" t="str">
        <f>IF(F205="","",F205*G205)</f>
        <v/>
      </c>
      <c r="I205" t="s">
        <v>580</v>
      </c>
      <c r="J205" t="b">
        <f>AND(NOT(Compil[[#This Row],[Est ouvrage]]), NOT(ISBLANK(Compil[[#This Row],[ART.
CCTP]])))</f>
        <v>0</v>
      </c>
      <c r="K205" t="b">
        <f>OR(Compil[[#This Row],[Unité]]="U",Compil[[#This Row],[Unité]]="ens",Compil[[#This Row],[Unité]]="ml")</f>
        <v>0</v>
      </c>
      <c r="L205" t="b">
        <f>ISBLANK(Compil[[#This Row],[DESIGNATION]])</f>
        <v>1</v>
      </c>
      <c r="M205" s="358"/>
      <c r="N205" s="358"/>
      <c r="O205" s="358"/>
      <c r="P205" s="358"/>
      <c r="Q205" s="358">
        <f>COUNTIF(Compil[[Ma Désignation ]],Compil[[Ma Désignation ]])</f>
        <v>306</v>
      </c>
    </row>
    <row r="206" spans="1:17" ht="14">
      <c r="A206" s="303">
        <v>201</v>
      </c>
      <c r="B206" s="2" t="s">
        <v>190</v>
      </c>
      <c r="C206" s="188" t="s">
        <v>60</v>
      </c>
      <c r="D206" t="str">
        <f xml:space="preserve"> TRIM( SUBSTITUTE(SUBSTITUTE(SUBSTITUTE( Compil[[#This Row],[DESIGNATION]],"-",""),"–",""),"*",""))</f>
        <v>Téléphone / Fibre optique</v>
      </c>
      <c r="E206" s="216"/>
      <c r="F206" s="252"/>
      <c r="G206" s="289" t="str">
        <f>IF(F206="","",(((L206*$M$6)+(M206*#REF!*#REF!))*$M$7)/F206)</f>
        <v/>
      </c>
      <c r="H206" s="164" t="str">
        <f>IF(F206="","",F206*G206)</f>
        <v/>
      </c>
      <c r="I206" t="s">
        <v>580</v>
      </c>
      <c r="J206" t="b">
        <f>AND(NOT(Compil[[#This Row],[Est ouvrage]]), NOT(ISBLANK(Compil[[#This Row],[ART.
CCTP]])))</f>
        <v>1</v>
      </c>
      <c r="K206" t="b">
        <f>OR(Compil[[#This Row],[Unité]]="U",Compil[[#This Row],[Unité]]="ens",Compil[[#This Row],[Unité]]="ml")</f>
        <v>0</v>
      </c>
      <c r="L206" t="b">
        <f>ISBLANK(Compil[[#This Row],[DESIGNATION]])</f>
        <v>0</v>
      </c>
      <c r="M206" s="359"/>
      <c r="N206" s="358"/>
      <c r="O206" s="358"/>
      <c r="P206" s="358"/>
      <c r="Q206" s="358">
        <f>COUNTIF(Compil[[Ma Désignation ]],Compil[[Ma Désignation ]])</f>
        <v>4</v>
      </c>
    </row>
    <row r="207" spans="1:17" ht="14">
      <c r="A207" s="303">
        <v>202</v>
      </c>
      <c r="B207" s="2"/>
      <c r="C207" s="206"/>
      <c r="D207" t="str">
        <f xml:space="preserve"> TRIM( SUBSTITUTE(SUBSTITUTE(SUBSTITUTE( Compil[[#This Row],[DESIGNATION]],"-",""),"–",""),"*",""))</f>
        <v/>
      </c>
      <c r="E207" s="216"/>
      <c r="F207" s="252"/>
      <c r="G207" s="289" t="str">
        <f>IF(F207="","",(((L207*$M$6)+(M207*#REF!*#REF!))*$M$7)/F207)</f>
        <v/>
      </c>
      <c r="H207" s="164" t="str">
        <f>IF(F207="","",F207*G207)</f>
        <v/>
      </c>
      <c r="I207" t="s">
        <v>580</v>
      </c>
      <c r="J207" t="b">
        <f>AND(NOT(Compil[[#This Row],[Est ouvrage]]), NOT(ISBLANK(Compil[[#This Row],[ART.
CCTP]])))</f>
        <v>0</v>
      </c>
      <c r="K207" t="b">
        <f>OR(Compil[[#This Row],[Unité]]="U",Compil[[#This Row],[Unité]]="ens",Compil[[#This Row],[Unité]]="ml")</f>
        <v>0</v>
      </c>
      <c r="L207" t="b">
        <f>ISBLANK(Compil[[#This Row],[DESIGNATION]])</f>
        <v>1</v>
      </c>
      <c r="M207" s="358"/>
      <c r="N207" s="358"/>
      <c r="O207" s="358"/>
      <c r="P207" s="358"/>
      <c r="Q207" s="358">
        <f>COUNTIF(Compil[[Ma Désignation ]],Compil[[Ma Désignation ]])</f>
        <v>306</v>
      </c>
    </row>
    <row r="208" spans="1:17" ht="14">
      <c r="A208" s="303">
        <v>203</v>
      </c>
      <c r="B208" s="2" t="s">
        <v>386</v>
      </c>
      <c r="C208" s="188" t="s">
        <v>26</v>
      </c>
      <c r="D208" t="str">
        <f xml:space="preserve"> TRIM( SUBSTITUTE(SUBSTITUTE(SUBSTITUTE( Compil[[#This Row],[DESIGNATION]],"-",""),"–",""),"*",""))</f>
        <v>Téléphone</v>
      </c>
      <c r="E208" s="216"/>
      <c r="F208" s="252"/>
      <c r="G208" s="289" t="str">
        <f>IF(F208="","",(((L208*$M$6)+(M208*#REF!*#REF!))*$M$7)/F208)</f>
        <v/>
      </c>
      <c r="H208" s="164" t="str">
        <f>IF(F208="","",F208*G208)</f>
        <v/>
      </c>
      <c r="I208" t="s">
        <v>580</v>
      </c>
      <c r="J208" t="b">
        <f>AND(NOT(Compil[[#This Row],[Est ouvrage]]), NOT(ISBLANK(Compil[[#This Row],[ART.
CCTP]])))</f>
        <v>1</v>
      </c>
      <c r="K208" t="b">
        <f>OR(Compil[[#This Row],[Unité]]="U",Compil[[#This Row],[Unité]]="ens",Compil[[#This Row],[Unité]]="ml")</f>
        <v>0</v>
      </c>
      <c r="L208" t="b">
        <f>ISBLANK(Compil[[#This Row],[DESIGNATION]])</f>
        <v>0</v>
      </c>
      <c r="M208" s="359"/>
      <c r="N208" s="358"/>
      <c r="O208" s="358"/>
      <c r="P208" s="358"/>
      <c r="Q208" s="358">
        <f>COUNTIF(Compil[[Ma Désignation ]],Compil[[Ma Désignation ]])</f>
        <v>2</v>
      </c>
    </row>
    <row r="209" spans="1:17" ht="25">
      <c r="A209" s="303">
        <v>204</v>
      </c>
      <c r="B209" s="2"/>
      <c r="C209" s="206" t="s">
        <v>181</v>
      </c>
      <c r="D209" t="str">
        <f xml:space="preserve"> TRIM( SUBSTITUTE(SUBSTITUTE(SUBSTITUTE( Compil[[#This Row],[DESIGNATION]],"-",""),"–",""),"*",""))</f>
        <v>fourreaux PVC TLST diam. 45 minimum à l'intérieur du bâtiment</v>
      </c>
      <c r="E209" s="216" t="s">
        <v>33</v>
      </c>
      <c r="F209" s="252"/>
      <c r="G209" s="289" t="str">
        <f>IF(F209="","",(((L209*$M$6)+(M209*#REF!*#REF!))*$M$7)/F209)</f>
        <v/>
      </c>
      <c r="H209" s="164" t="str">
        <f>IF(F209="","",F209*G209)</f>
        <v/>
      </c>
      <c r="I209" t="s">
        <v>580</v>
      </c>
      <c r="J209" t="b">
        <f>AND(NOT(Compil[[#This Row],[Est ouvrage]]), NOT(ISBLANK(Compil[[#This Row],[ART.
CCTP]])))</f>
        <v>0</v>
      </c>
      <c r="K209" t="b">
        <f>OR(Compil[[#This Row],[Unité]]="U",Compil[[#This Row],[Unité]]="ens",Compil[[#This Row],[Unité]]="ml")</f>
        <v>0</v>
      </c>
      <c r="L209" t="b">
        <f>ISBLANK(Compil[[#This Row],[DESIGNATION]])</f>
        <v>0</v>
      </c>
      <c r="M209" s="359"/>
      <c r="N209" s="358"/>
      <c r="O209" s="358"/>
      <c r="P209" s="358"/>
      <c r="Q209" s="358">
        <f>COUNTIF(Compil[[Ma Désignation ]],Compil[[Ma Désignation ]])</f>
        <v>4</v>
      </c>
    </row>
    <row r="210" spans="1:17" ht="14">
      <c r="A210" s="310">
        <v>568</v>
      </c>
      <c r="B210" s="43"/>
      <c r="C210" s="416" t="s">
        <v>277</v>
      </c>
      <c r="D210" t="str">
        <f xml:space="preserve"> TRIM( SUBSTITUTE(SUBSTITUTE(SUBSTITUTE( Compil[[#This Row],[DESIGNATION]],"-",""),"–",""),"*",""))</f>
        <v>Attente VMC SdB et WC</v>
      </c>
      <c r="E210" s="33" t="s">
        <v>13</v>
      </c>
      <c r="F210" s="262"/>
      <c r="G210" s="289" t="s">
        <v>571</v>
      </c>
      <c r="H210" s="164" t="s">
        <v>571</v>
      </c>
      <c r="I210" t="s">
        <v>570</v>
      </c>
      <c r="J210" t="b">
        <f>AND(NOT(Compil[[#This Row],[Est ouvrage]]), NOT(ISBLANK(Compil[[#This Row],[ART.
CCTP]])))</f>
        <v>0</v>
      </c>
      <c r="K210" t="b">
        <f>OR(Compil[[#This Row],[Unité]]="U",Compil[[#This Row],[Unité]]="ens",Compil[[#This Row],[Unité]]="ml")</f>
        <v>1</v>
      </c>
      <c r="L210" t="b">
        <f>ISBLANK(Compil[[#This Row],[DESIGNATION]])</f>
        <v>0</v>
      </c>
      <c r="M210" s="359"/>
      <c r="N210" s="358"/>
      <c r="O210" s="358"/>
      <c r="P210" s="358"/>
      <c r="Q210" s="358">
        <f>COUNTIF(Compil[[Ma Désignation ]],Compil[[Ma Désignation ]])</f>
        <v>14</v>
      </c>
    </row>
    <row r="211" spans="1:17" ht="14">
      <c r="A211" s="310">
        <v>605</v>
      </c>
      <c r="B211" s="43"/>
      <c r="C211" s="416" t="s">
        <v>277</v>
      </c>
      <c r="D211" t="str">
        <f xml:space="preserve"> TRIM( SUBSTITUTE(SUBSTITUTE(SUBSTITUTE( Compil[[#This Row],[DESIGNATION]],"-",""),"–",""),"*",""))</f>
        <v>Attente VMC SdB et WC</v>
      </c>
      <c r="E211" s="33" t="s">
        <v>13</v>
      </c>
      <c r="F211" s="262">
        <v>1</v>
      </c>
      <c r="G211" s="289">
        <v>0</v>
      </c>
      <c r="H211" s="164">
        <v>0</v>
      </c>
      <c r="I211" t="s">
        <v>570</v>
      </c>
      <c r="J211" t="b">
        <f>AND(NOT(Compil[[#This Row],[Est ouvrage]]), NOT(ISBLANK(Compil[[#This Row],[ART.
CCTP]])))</f>
        <v>0</v>
      </c>
      <c r="K211" t="b">
        <f>OR(Compil[[#This Row],[Unité]]="U",Compil[[#This Row],[Unité]]="ens",Compil[[#This Row],[Unité]]="ml")</f>
        <v>1</v>
      </c>
      <c r="L211" t="b">
        <f>ISBLANK(Compil[[#This Row],[DESIGNATION]])</f>
        <v>0</v>
      </c>
      <c r="M211" s="359"/>
      <c r="N211" s="358"/>
      <c r="O211" s="358"/>
      <c r="P211" s="358"/>
      <c r="Q211" s="358">
        <f>COUNTIF(Compil[[Ma Désignation ]],Compil[[Ma Désignation ]])</f>
        <v>14</v>
      </c>
    </row>
    <row r="212" spans="1:17" ht="14">
      <c r="A212" s="310">
        <v>624</v>
      </c>
      <c r="B212" s="43"/>
      <c r="C212" s="416" t="s">
        <v>277</v>
      </c>
      <c r="D212" t="str">
        <f xml:space="preserve"> TRIM( SUBSTITUTE(SUBSTITUTE(SUBSTITUTE( Compil[[#This Row],[DESIGNATION]],"-",""),"–",""),"*",""))</f>
        <v>Attente VMC SdB et WC</v>
      </c>
      <c r="E212" s="33" t="s">
        <v>13</v>
      </c>
      <c r="F212" s="262"/>
      <c r="G212" s="289" t="s">
        <v>571</v>
      </c>
      <c r="H212" s="164" t="s">
        <v>571</v>
      </c>
      <c r="I212" t="s">
        <v>570</v>
      </c>
      <c r="J212" t="b">
        <f>AND(NOT(Compil[[#This Row],[Est ouvrage]]), NOT(ISBLANK(Compil[[#This Row],[ART.
CCTP]])))</f>
        <v>0</v>
      </c>
      <c r="K212" t="b">
        <f>OR(Compil[[#This Row],[Unité]]="U",Compil[[#This Row],[Unité]]="ens",Compil[[#This Row],[Unité]]="ml")</f>
        <v>1</v>
      </c>
      <c r="L212" t="b">
        <f>ISBLANK(Compil[[#This Row],[DESIGNATION]])</f>
        <v>0</v>
      </c>
      <c r="M212" s="359"/>
      <c r="N212" s="358"/>
      <c r="O212" s="358"/>
      <c r="P212" s="358"/>
      <c r="Q212" s="358">
        <f>COUNTIF(Compil[[Ma Désignation ]],Compil[[Ma Désignation ]])</f>
        <v>14</v>
      </c>
    </row>
    <row r="213" spans="1:17" ht="14">
      <c r="A213" s="310">
        <v>661</v>
      </c>
      <c r="B213" s="43"/>
      <c r="C213" s="416" t="s">
        <v>277</v>
      </c>
      <c r="D213" t="str">
        <f xml:space="preserve"> TRIM( SUBSTITUTE(SUBSTITUTE(SUBSTITUTE( Compil[[#This Row],[DESIGNATION]],"-",""),"–",""),"*",""))</f>
        <v>Attente VMC SdB et WC</v>
      </c>
      <c r="E213" s="33" t="s">
        <v>13</v>
      </c>
      <c r="F213" s="262">
        <v>2</v>
      </c>
      <c r="G213" s="289">
        <v>0</v>
      </c>
      <c r="H213" s="164">
        <v>0</v>
      </c>
      <c r="I213" t="s">
        <v>570</v>
      </c>
      <c r="J213" t="b">
        <f>AND(NOT(Compil[[#This Row],[Est ouvrage]]), NOT(ISBLANK(Compil[[#This Row],[ART.
CCTP]])))</f>
        <v>0</v>
      </c>
      <c r="K213" t="b">
        <f>OR(Compil[[#This Row],[Unité]]="U",Compil[[#This Row],[Unité]]="ens",Compil[[#This Row],[Unité]]="ml")</f>
        <v>1</v>
      </c>
      <c r="L213" t="b">
        <f>ISBLANK(Compil[[#This Row],[DESIGNATION]])</f>
        <v>0</v>
      </c>
      <c r="M213" s="359"/>
      <c r="N213" s="358"/>
      <c r="O213" s="358"/>
      <c r="P213" s="358"/>
      <c r="Q213" s="358">
        <f>COUNTIF(Compil[[Ma Désignation ]],Compil[[Ma Désignation ]])</f>
        <v>14</v>
      </c>
    </row>
    <row r="214" spans="1:17" ht="14">
      <c r="A214" s="303">
        <v>209</v>
      </c>
      <c r="B214" s="43"/>
      <c r="C214" s="206" t="s">
        <v>333</v>
      </c>
      <c r="D214" t="str">
        <f xml:space="preserve"> TRIM( SUBSTITUTE(SUBSTITUTE(SUBSTITUTE( Compil[[#This Row],[DESIGNATION]],"-",""),"–",""),"*",""))</f>
        <v>chemin de câble parking</v>
      </c>
      <c r="E214" s="216" t="s">
        <v>33</v>
      </c>
      <c r="F214" s="252"/>
      <c r="G214" s="289" t="str">
        <f>IF(F214="","",(((L214*$M$6)+(M214*#REF!*#REF!))*$M$7)/F214)</f>
        <v/>
      </c>
      <c r="H214" s="164" t="str">
        <f>IF(F214="","",F214*G214)</f>
        <v/>
      </c>
      <c r="I214" t="s">
        <v>580</v>
      </c>
      <c r="J214" t="b">
        <f>AND(NOT(Compil[[#This Row],[Est ouvrage]]), NOT(ISBLANK(Compil[[#This Row],[ART.
CCTP]])))</f>
        <v>0</v>
      </c>
      <c r="K214" t="b">
        <f>OR(Compil[[#This Row],[Unité]]="U",Compil[[#This Row],[Unité]]="ens",Compil[[#This Row],[Unité]]="ml")</f>
        <v>0</v>
      </c>
      <c r="L214" t="b">
        <f>ISBLANK(Compil[[#This Row],[DESIGNATION]])</f>
        <v>0</v>
      </c>
      <c r="M214" s="359"/>
      <c r="N214" s="358"/>
      <c r="O214" s="358"/>
      <c r="P214" s="358"/>
      <c r="Q214" s="358">
        <f>COUNTIF(Compil[[Ma Désignation ]],Compil[[Ma Désignation ]])</f>
        <v>2</v>
      </c>
    </row>
    <row r="215" spans="1:17" ht="14">
      <c r="A215" s="303">
        <v>210</v>
      </c>
      <c r="B215" s="43"/>
      <c r="C215" s="206" t="s">
        <v>174</v>
      </c>
      <c r="D215" t="str">
        <f xml:space="preserve"> TRIM( SUBSTITUTE(SUBSTITUTE(SUBSTITUTE( Compil[[#This Row],[DESIGNATION]],"-",""),"–",""),"*",""))</f>
        <v>chemin de câble vertical</v>
      </c>
      <c r="E215" s="216" t="s">
        <v>33</v>
      </c>
      <c r="F215" s="252"/>
      <c r="G215" s="289" t="str">
        <f>IF(F215="","",(((L215*$M$6)+(M215*#REF!*#REF!))*$M$7)/F215)</f>
        <v/>
      </c>
      <c r="H215" s="164" t="str">
        <f>IF(F215="","",F215*G215)</f>
        <v/>
      </c>
      <c r="I215" t="s">
        <v>580</v>
      </c>
      <c r="J215" t="b">
        <f>AND(NOT(Compil[[#This Row],[Est ouvrage]]), NOT(ISBLANK(Compil[[#This Row],[ART.
CCTP]])))</f>
        <v>0</v>
      </c>
      <c r="K215" t="b">
        <f>OR(Compil[[#This Row],[Unité]]="U",Compil[[#This Row],[Unité]]="ens",Compil[[#This Row],[Unité]]="ml")</f>
        <v>0</v>
      </c>
      <c r="L215" t="b">
        <f>ISBLANK(Compil[[#This Row],[DESIGNATION]])</f>
        <v>0</v>
      </c>
      <c r="M215" s="359"/>
      <c r="N215" s="358"/>
      <c r="O215" s="358"/>
      <c r="P215" s="358"/>
      <c r="Q215" s="358">
        <f>COUNTIF(Compil[[Ma Désignation ]],Compil[[Ma Désignation ]])</f>
        <v>4</v>
      </c>
    </row>
    <row r="216" spans="1:17" ht="14">
      <c r="A216" s="310">
        <v>680</v>
      </c>
      <c r="B216" s="43"/>
      <c r="C216" s="416" t="s">
        <v>277</v>
      </c>
      <c r="D216" t="str">
        <f xml:space="preserve"> TRIM( SUBSTITUTE(SUBSTITUTE(SUBSTITUTE( Compil[[#This Row],[DESIGNATION]],"-",""),"–",""),"*",""))</f>
        <v>Attente VMC SdB et WC</v>
      </c>
      <c r="E216" s="33" t="s">
        <v>13</v>
      </c>
      <c r="F216" s="262"/>
      <c r="G216" s="289" t="s">
        <v>571</v>
      </c>
      <c r="H216" s="164" t="s">
        <v>571</v>
      </c>
      <c r="I216" t="s">
        <v>570</v>
      </c>
      <c r="J216" t="b">
        <f>AND(NOT(Compil[[#This Row],[Est ouvrage]]), NOT(ISBLANK(Compil[[#This Row],[ART.
CCTP]])))</f>
        <v>0</v>
      </c>
      <c r="K216" t="b">
        <f>OR(Compil[[#This Row],[Unité]]="U",Compil[[#This Row],[Unité]]="ens",Compil[[#This Row],[Unité]]="ml")</f>
        <v>1</v>
      </c>
      <c r="L216" t="b">
        <f>ISBLANK(Compil[[#This Row],[DESIGNATION]])</f>
        <v>0</v>
      </c>
      <c r="M216" s="359"/>
      <c r="N216" s="358"/>
      <c r="O216" s="358"/>
      <c r="P216" s="358"/>
      <c r="Q216" s="358">
        <f>COUNTIF(Compil[[Ma Désignation ]],Compil[[Ma Désignation ]])</f>
        <v>14</v>
      </c>
    </row>
    <row r="217" spans="1:17">
      <c r="A217" s="360">
        <v>1020</v>
      </c>
      <c r="B217" s="363"/>
      <c r="C217" s="402" t="s">
        <v>277</v>
      </c>
      <c r="D217" t="str">
        <f xml:space="preserve"> TRIM( SUBSTITUTE(SUBSTITUTE(SUBSTITUTE( Compil[[#This Row],[DESIGNATION]],"-",""),"–",""),"*",""))</f>
        <v>Attente VMC SdB et WC</v>
      </c>
      <c r="E217" s="374" t="s">
        <v>13</v>
      </c>
      <c r="F217" s="385">
        <v>1</v>
      </c>
      <c r="G217" s="390">
        <v>0</v>
      </c>
      <c r="H217" s="391">
        <v>0</v>
      </c>
      <c r="I217" t="s">
        <v>579</v>
      </c>
      <c r="J217" t="b">
        <f>AND(NOT(Compil[[#This Row],[Est ouvrage]]), NOT(ISBLANK(Compil[[#This Row],[ART.
CCTP]])))</f>
        <v>0</v>
      </c>
      <c r="K217" t="b">
        <f>OR(Compil[[#This Row],[Unité]]="U",Compil[[#This Row],[Unité]]="ens",Compil[[#This Row],[Unité]]="ml")</f>
        <v>1</v>
      </c>
      <c r="L217" t="b">
        <f>ISBLANK(Compil[[#This Row],[DESIGNATION]])</f>
        <v>0</v>
      </c>
      <c r="M217" s="359"/>
      <c r="N217" s="358"/>
      <c r="O217" s="358"/>
      <c r="P217" s="358"/>
      <c r="Q217" s="358">
        <f>COUNTIF(Compil[[Ma Désignation ]],Compil[[Ma Désignation ]])</f>
        <v>14</v>
      </c>
    </row>
    <row r="218" spans="1:17">
      <c r="A218" s="360">
        <v>1035</v>
      </c>
      <c r="B218" s="363"/>
      <c r="C218" s="402" t="s">
        <v>277</v>
      </c>
      <c r="D218" t="str">
        <f xml:space="preserve"> TRIM( SUBSTITUTE(SUBSTITUTE(SUBSTITUTE( Compil[[#This Row],[DESIGNATION]],"-",""),"–",""),"*",""))</f>
        <v>Attente VMC SdB et WC</v>
      </c>
      <c r="E218" s="374" t="s">
        <v>13</v>
      </c>
      <c r="F218" s="385"/>
      <c r="G218" s="390" t="s">
        <v>571</v>
      </c>
      <c r="H218" s="391" t="s">
        <v>571</v>
      </c>
      <c r="I218" t="s">
        <v>579</v>
      </c>
      <c r="J218" t="b">
        <f>AND(NOT(Compil[[#This Row],[Est ouvrage]]), NOT(ISBLANK(Compil[[#This Row],[ART.
CCTP]])))</f>
        <v>0</v>
      </c>
      <c r="K218" t="b">
        <f>OR(Compil[[#This Row],[Unité]]="U",Compil[[#This Row],[Unité]]="ens",Compil[[#This Row],[Unité]]="ml")</f>
        <v>1</v>
      </c>
      <c r="L218" t="b">
        <f>ISBLANK(Compil[[#This Row],[DESIGNATION]])</f>
        <v>0</v>
      </c>
      <c r="M218" s="359"/>
      <c r="N218" s="358"/>
      <c r="O218" s="358"/>
      <c r="P218" s="358"/>
      <c r="Q218" s="358">
        <f>COUNTIF(Compil[[Ma Désignation ]],Compil[[Ma Désignation ]])</f>
        <v>14</v>
      </c>
    </row>
    <row r="219" spans="1:17" ht="14">
      <c r="A219" s="310">
        <v>385</v>
      </c>
      <c r="B219" s="43"/>
      <c r="C219" s="416" t="s">
        <v>276</v>
      </c>
      <c r="D219" t="str">
        <f xml:space="preserve"> TRIM( SUBSTITUTE(SUBSTITUTE(SUBSTITUTE( Compil[[#This Row],[DESIGNATION]],"-",""),"–",""),"*",""))</f>
        <v>Attente VMC y compris interrupteur cuisine</v>
      </c>
      <c r="E219" s="33" t="s">
        <v>13</v>
      </c>
      <c r="F219" s="262">
        <v>1</v>
      </c>
      <c r="G219" s="289">
        <v>0</v>
      </c>
      <c r="H219" s="164">
        <v>0</v>
      </c>
      <c r="I219" t="s">
        <v>570</v>
      </c>
      <c r="J219" t="b">
        <f>AND(NOT(Compil[[#This Row],[Est ouvrage]]), NOT(ISBLANK(Compil[[#This Row],[ART.
CCTP]])))</f>
        <v>0</v>
      </c>
      <c r="K219" t="b">
        <f>OR(Compil[[#This Row],[Unité]]="U",Compil[[#This Row],[Unité]]="ens",Compil[[#This Row],[Unité]]="ml")</f>
        <v>1</v>
      </c>
      <c r="L219" t="b">
        <f>ISBLANK(Compil[[#This Row],[DESIGNATION]])</f>
        <v>0</v>
      </c>
      <c r="M219" s="359"/>
      <c r="N219" s="358"/>
      <c r="O219" s="358"/>
      <c r="P219" s="358"/>
      <c r="Q219" s="358">
        <f>COUNTIF(Compil[[Ma Désignation ]],Compil[[Ma Désignation ]])</f>
        <v>14</v>
      </c>
    </row>
    <row r="220" spans="1:17" ht="14">
      <c r="A220" s="310">
        <v>401</v>
      </c>
      <c r="B220" s="43"/>
      <c r="C220" s="416" t="s">
        <v>276</v>
      </c>
      <c r="D220" t="str">
        <f xml:space="preserve"> TRIM( SUBSTITUTE(SUBSTITUTE(SUBSTITUTE( Compil[[#This Row],[DESIGNATION]],"-",""),"–",""),"*",""))</f>
        <v>Attente VMC y compris interrupteur cuisine</v>
      </c>
      <c r="E220" s="33" t="s">
        <v>13</v>
      </c>
      <c r="F220" s="262"/>
      <c r="G220" s="289" t="s">
        <v>571</v>
      </c>
      <c r="H220" s="164" t="s">
        <v>571</v>
      </c>
      <c r="I220" t="s">
        <v>570</v>
      </c>
      <c r="J220" t="b">
        <f>AND(NOT(Compil[[#This Row],[Est ouvrage]]), NOT(ISBLANK(Compil[[#This Row],[ART.
CCTP]])))</f>
        <v>0</v>
      </c>
      <c r="K220" t="b">
        <f>OR(Compil[[#This Row],[Unité]]="U",Compil[[#This Row],[Unité]]="ens",Compil[[#This Row],[Unité]]="ml")</f>
        <v>1</v>
      </c>
      <c r="L220" t="b">
        <f>ISBLANK(Compil[[#This Row],[DESIGNATION]])</f>
        <v>0</v>
      </c>
      <c r="M220" s="359"/>
      <c r="N220" s="358"/>
      <c r="O220" s="358"/>
      <c r="P220" s="358"/>
      <c r="Q220" s="358">
        <f>COUNTIF(Compil[[Ma Désignation ]],Compil[[Ma Désignation ]])</f>
        <v>14</v>
      </c>
    </row>
    <row r="221" spans="1:17" ht="14">
      <c r="A221" s="310">
        <v>437</v>
      </c>
      <c r="B221" s="43"/>
      <c r="C221" s="416" t="s">
        <v>276</v>
      </c>
      <c r="D221" t="str">
        <f xml:space="preserve"> TRIM( SUBSTITUTE(SUBSTITUTE(SUBSTITUTE( Compil[[#This Row],[DESIGNATION]],"-",""),"–",""),"*",""))</f>
        <v>Attente VMC y compris interrupteur cuisine</v>
      </c>
      <c r="E221" s="33" t="s">
        <v>13</v>
      </c>
      <c r="F221" s="262">
        <v>1</v>
      </c>
      <c r="G221" s="289">
        <v>0</v>
      </c>
      <c r="H221" s="164">
        <v>0</v>
      </c>
      <c r="I221" t="s">
        <v>570</v>
      </c>
      <c r="J221" t="b">
        <f>AND(NOT(Compil[[#This Row],[Est ouvrage]]), NOT(ISBLANK(Compil[[#This Row],[ART.
CCTP]])))</f>
        <v>0</v>
      </c>
      <c r="K221" t="b">
        <f>OR(Compil[[#This Row],[Unité]]="U",Compil[[#This Row],[Unité]]="ens",Compil[[#This Row],[Unité]]="ml")</f>
        <v>1</v>
      </c>
      <c r="L221" t="b">
        <f>ISBLANK(Compil[[#This Row],[DESIGNATION]])</f>
        <v>0</v>
      </c>
      <c r="M221" s="359"/>
      <c r="N221" s="358"/>
      <c r="O221" s="358"/>
      <c r="P221" s="358"/>
      <c r="Q221" s="358">
        <f>COUNTIF(Compil[[Ma Désignation ]],Compil[[Ma Désignation ]])</f>
        <v>14</v>
      </c>
    </row>
    <row r="222" spans="1:17" ht="14">
      <c r="A222" s="303">
        <v>217</v>
      </c>
      <c r="B222" s="43"/>
      <c r="C222" s="206"/>
      <c r="D222" t="str">
        <f xml:space="preserve"> TRIM( SUBSTITUTE(SUBSTITUTE(SUBSTITUTE( Compil[[#This Row],[DESIGNATION]],"-",""),"–",""),"*",""))</f>
        <v/>
      </c>
      <c r="E222" s="216"/>
      <c r="F222" s="252"/>
      <c r="G222" s="289" t="str">
        <f>IF(F222="","",(((L222*$M$6)+(M222*#REF!*#REF!))*$M$7)/F222)</f>
        <v/>
      </c>
      <c r="H222" s="164" t="str">
        <f>IF(F222="","",F222*G222)</f>
        <v/>
      </c>
      <c r="I222" t="s">
        <v>580</v>
      </c>
      <c r="J222" t="b">
        <f>AND(NOT(Compil[[#This Row],[Est ouvrage]]), NOT(ISBLANK(Compil[[#This Row],[ART.
CCTP]])))</f>
        <v>0</v>
      </c>
      <c r="K222" t="b">
        <f>OR(Compil[[#This Row],[Unité]]="U",Compil[[#This Row],[Unité]]="ens",Compil[[#This Row],[Unité]]="ml")</f>
        <v>0</v>
      </c>
      <c r="L222" t="b">
        <f>ISBLANK(Compil[[#This Row],[DESIGNATION]])</f>
        <v>1</v>
      </c>
      <c r="M222" s="358"/>
      <c r="N222" s="358"/>
      <c r="O222" s="358"/>
      <c r="P222" s="358"/>
      <c r="Q222" s="358">
        <f>COUNTIF(Compil[[Ma Désignation ]],Compil[[Ma Désignation ]])</f>
        <v>306</v>
      </c>
    </row>
    <row r="223" spans="1:17" ht="14">
      <c r="A223" s="310">
        <v>455</v>
      </c>
      <c r="B223" s="43"/>
      <c r="C223" s="416" t="s">
        <v>276</v>
      </c>
      <c r="D223" t="str">
        <f xml:space="preserve"> TRIM( SUBSTITUTE(SUBSTITUTE(SUBSTITUTE( Compil[[#This Row],[DESIGNATION]],"-",""),"–",""),"*",""))</f>
        <v>Attente VMC y compris interrupteur cuisine</v>
      </c>
      <c r="E223" s="33" t="s">
        <v>13</v>
      </c>
      <c r="F223" s="262"/>
      <c r="G223" s="289" t="s">
        <v>571</v>
      </c>
      <c r="H223" s="164" t="s">
        <v>571</v>
      </c>
      <c r="I223" t="s">
        <v>570</v>
      </c>
      <c r="J223" t="b">
        <f>AND(NOT(Compil[[#This Row],[Est ouvrage]]), NOT(ISBLANK(Compil[[#This Row],[ART.
CCTP]])))</f>
        <v>0</v>
      </c>
      <c r="K223" t="b">
        <f>OR(Compil[[#This Row],[Unité]]="U",Compil[[#This Row],[Unité]]="ens",Compil[[#This Row],[Unité]]="ml")</f>
        <v>1</v>
      </c>
      <c r="L223" t="b">
        <f>ISBLANK(Compil[[#This Row],[DESIGNATION]])</f>
        <v>0</v>
      </c>
      <c r="M223" s="359"/>
      <c r="N223" s="358"/>
      <c r="O223" s="358"/>
      <c r="P223" s="358"/>
      <c r="Q223" s="358">
        <f>COUNTIF(Compil[[Ma Désignation ]],Compil[[Ma Désignation ]])</f>
        <v>14</v>
      </c>
    </row>
    <row r="224" spans="1:17" ht="14">
      <c r="A224" s="303">
        <v>219</v>
      </c>
      <c r="B224" s="2"/>
      <c r="C224" s="206"/>
      <c r="D224" t="str">
        <f xml:space="preserve"> TRIM( SUBSTITUTE(SUBSTITUTE(SUBSTITUTE( Compil[[#This Row],[DESIGNATION]],"-",""),"–",""),"*",""))</f>
        <v/>
      </c>
      <c r="E224" s="216"/>
      <c r="F224" s="252"/>
      <c r="G224" s="289" t="str">
        <f>IF(F224="","",(((L224*$M$6)+(M224*#REF!*#REF!))*$M$7)/F224)</f>
        <v/>
      </c>
      <c r="H224" s="164" t="str">
        <f>IF(F224="","",F224*G224)</f>
        <v/>
      </c>
      <c r="I224" t="s">
        <v>580</v>
      </c>
      <c r="J224" t="b">
        <f>AND(NOT(Compil[[#This Row],[Est ouvrage]]), NOT(ISBLANK(Compil[[#This Row],[ART.
CCTP]])))</f>
        <v>0</v>
      </c>
      <c r="K224" t="b">
        <f>OR(Compil[[#This Row],[Unité]]="U",Compil[[#This Row],[Unité]]="ens",Compil[[#This Row],[Unité]]="ml")</f>
        <v>0</v>
      </c>
      <c r="L224" t="b">
        <f>ISBLANK(Compil[[#This Row],[DESIGNATION]])</f>
        <v>1</v>
      </c>
      <c r="M224" s="358"/>
      <c r="N224" s="358"/>
      <c r="O224" s="358"/>
      <c r="P224" s="358"/>
      <c r="Q224" s="358">
        <f>COUNTIF(Compil[[Ma Désignation ]],Compil[[Ma Désignation ]])</f>
        <v>306</v>
      </c>
    </row>
    <row r="225" spans="1:17" ht="14">
      <c r="A225" s="303">
        <v>220</v>
      </c>
      <c r="B225" s="2" t="s">
        <v>387</v>
      </c>
      <c r="C225" s="293" t="s">
        <v>63</v>
      </c>
      <c r="D225" t="str">
        <f xml:space="preserve"> TRIM( SUBSTITUTE(SUBSTITUTE(SUBSTITUTE( Compil[[#This Row],[DESIGNATION]],"-",""),"–",""),"*",""))</f>
        <v>Fibre optique</v>
      </c>
      <c r="E225" s="216"/>
      <c r="F225" s="252"/>
      <c r="G225" s="289" t="str">
        <f>IF(F225="","",(((L225*$M$6)+(M225*#REF!*#REF!))*$M$7)/F225)</f>
        <v/>
      </c>
      <c r="H225" s="164" t="str">
        <f>IF(F225="","",F225*G225)</f>
        <v/>
      </c>
      <c r="I225" t="s">
        <v>580</v>
      </c>
      <c r="J225" t="b">
        <f>AND(NOT(Compil[[#This Row],[Est ouvrage]]), NOT(ISBLANK(Compil[[#This Row],[ART.
CCTP]])))</f>
        <v>1</v>
      </c>
      <c r="K225" t="b">
        <f>OR(Compil[[#This Row],[Unité]]="U",Compil[[#This Row],[Unité]]="ens",Compil[[#This Row],[Unité]]="ml")</f>
        <v>0</v>
      </c>
      <c r="L225" t="b">
        <f>ISBLANK(Compil[[#This Row],[DESIGNATION]])</f>
        <v>0</v>
      </c>
      <c r="M225" s="359"/>
      <c r="N225" s="358"/>
      <c r="O225" s="358"/>
      <c r="P225" s="358"/>
      <c r="Q225" s="358">
        <f>COUNTIF(Compil[[Ma Désignation ]],Compil[[Ma Désignation ]])</f>
        <v>2</v>
      </c>
    </row>
    <row r="226" spans="1:17" ht="14">
      <c r="A226" s="303">
        <v>221</v>
      </c>
      <c r="B226" s="2"/>
      <c r="C226" s="231"/>
      <c r="D226" t="str">
        <f xml:space="preserve"> TRIM( SUBSTITUTE(SUBSTITUTE(SUBSTITUTE( Compil[[#This Row],[DESIGNATION]],"-",""),"–",""),"*",""))</f>
        <v/>
      </c>
      <c r="E226" s="189"/>
      <c r="F226" s="252"/>
      <c r="G226" s="289" t="str">
        <f>IF(F226="","",(((L226*$M$6)+(M226*#REF!*#REF!))*$M$7)/F226)</f>
        <v/>
      </c>
      <c r="H226" s="164" t="str">
        <f>IF(F226="","",F226*G226)</f>
        <v/>
      </c>
      <c r="I226" t="s">
        <v>580</v>
      </c>
      <c r="J226" t="b">
        <f>AND(NOT(Compil[[#This Row],[Est ouvrage]]), NOT(ISBLANK(Compil[[#This Row],[ART.
CCTP]])))</f>
        <v>0</v>
      </c>
      <c r="K226" t="b">
        <f>OR(Compil[[#This Row],[Unité]]="U",Compil[[#This Row],[Unité]]="ens",Compil[[#This Row],[Unité]]="ml")</f>
        <v>0</v>
      </c>
      <c r="L226" t="b">
        <f>ISBLANK(Compil[[#This Row],[DESIGNATION]])</f>
        <v>1</v>
      </c>
      <c r="M226" s="358"/>
      <c r="N226" s="358"/>
      <c r="O226" s="358"/>
      <c r="P226" s="358"/>
      <c r="Q226" s="358">
        <f>COUNTIF(Compil[[Ma Désignation ]],Compil[[Ma Désignation ]])</f>
        <v>306</v>
      </c>
    </row>
    <row r="227" spans="1:17" ht="25">
      <c r="A227" s="303">
        <v>222</v>
      </c>
      <c r="B227" s="2"/>
      <c r="C227" s="206" t="s">
        <v>181</v>
      </c>
      <c r="D227" t="str">
        <f xml:space="preserve"> TRIM( SUBSTITUTE(SUBSTITUTE(SUBSTITUTE( Compil[[#This Row],[DESIGNATION]],"-",""),"–",""),"*",""))</f>
        <v>fourreaux PVC TLST diam. 45 minimum à l'intérieur du bâtiment</v>
      </c>
      <c r="E227" s="189" t="s">
        <v>33</v>
      </c>
      <c r="F227" s="252"/>
      <c r="G227" s="289" t="str">
        <f>IF(F227="","",(((L227*$M$6)+(M227*#REF!*#REF!))*$M$7)/F227)</f>
        <v/>
      </c>
      <c r="H227" s="164" t="str">
        <f>IF(F227="","",F227*G227)</f>
        <v/>
      </c>
      <c r="I227" t="s">
        <v>580</v>
      </c>
      <c r="J227" t="b">
        <f>AND(NOT(Compil[[#This Row],[Est ouvrage]]), NOT(ISBLANK(Compil[[#This Row],[ART.
CCTP]])))</f>
        <v>0</v>
      </c>
      <c r="K227" t="b">
        <f>OR(Compil[[#This Row],[Unité]]="U",Compil[[#This Row],[Unité]]="ens",Compil[[#This Row],[Unité]]="ml")</f>
        <v>0</v>
      </c>
      <c r="L227" t="b">
        <f>ISBLANK(Compil[[#This Row],[DESIGNATION]])</f>
        <v>0</v>
      </c>
      <c r="M227" s="359"/>
      <c r="N227" s="358"/>
      <c r="O227" s="358"/>
      <c r="P227" s="358"/>
      <c r="Q227" s="358">
        <f>COUNTIF(Compil[[Ma Désignation ]],Compil[[Ma Désignation ]])</f>
        <v>4</v>
      </c>
    </row>
    <row r="228" spans="1:17" ht="14">
      <c r="A228" s="310">
        <v>492</v>
      </c>
      <c r="B228" s="43"/>
      <c r="C228" s="416" t="s">
        <v>276</v>
      </c>
      <c r="D228" t="str">
        <f xml:space="preserve"> TRIM( SUBSTITUTE(SUBSTITUTE(SUBSTITUTE( Compil[[#This Row],[DESIGNATION]],"-",""),"–",""),"*",""))</f>
        <v>Attente VMC y compris interrupteur cuisine</v>
      </c>
      <c r="E228" s="33" t="s">
        <v>13</v>
      </c>
      <c r="F228" s="262">
        <v>1</v>
      </c>
      <c r="G228" s="289">
        <v>0</v>
      </c>
      <c r="H228" s="164">
        <v>0</v>
      </c>
      <c r="I228" t="s">
        <v>570</v>
      </c>
      <c r="J228" t="b">
        <f>AND(NOT(Compil[[#This Row],[Est ouvrage]]), NOT(ISBLANK(Compil[[#This Row],[ART.
CCTP]])))</f>
        <v>0</v>
      </c>
      <c r="K228" t="b">
        <f>OR(Compil[[#This Row],[Unité]]="U",Compil[[#This Row],[Unité]]="ens",Compil[[#This Row],[Unité]]="ml")</f>
        <v>1</v>
      </c>
      <c r="L228" t="b">
        <f>ISBLANK(Compil[[#This Row],[DESIGNATION]])</f>
        <v>0</v>
      </c>
      <c r="M228" s="359"/>
      <c r="N228" s="358"/>
      <c r="O228" s="358"/>
      <c r="P228" s="358"/>
      <c r="Q228" s="358">
        <f>COUNTIF(Compil[[Ma Désignation ]],Compil[[Ma Désignation ]])</f>
        <v>14</v>
      </c>
    </row>
    <row r="229" spans="1:17" ht="14">
      <c r="A229" s="303">
        <v>224</v>
      </c>
      <c r="B229" s="2"/>
      <c r="C229" s="206"/>
      <c r="D229" t="str">
        <f xml:space="preserve"> TRIM( SUBSTITUTE(SUBSTITUTE(SUBSTITUTE( Compil[[#This Row],[DESIGNATION]],"-",""),"–",""),"*",""))</f>
        <v/>
      </c>
      <c r="E229" s="189"/>
      <c r="F229" s="252"/>
      <c r="G229" s="289" t="str">
        <f>IF(F229="","",(((L229*$M$6)+(M229*#REF!*#REF!))*$M$7)/F229)</f>
        <v/>
      </c>
      <c r="H229" s="164" t="str">
        <f>IF(F229="","",F229*G229)</f>
        <v/>
      </c>
      <c r="I229" t="s">
        <v>580</v>
      </c>
      <c r="J229" t="b">
        <f>AND(NOT(Compil[[#This Row],[Est ouvrage]]), NOT(ISBLANK(Compil[[#This Row],[ART.
CCTP]])))</f>
        <v>0</v>
      </c>
      <c r="K229" t="b">
        <f>OR(Compil[[#This Row],[Unité]]="U",Compil[[#This Row],[Unité]]="ens",Compil[[#This Row],[Unité]]="ml")</f>
        <v>0</v>
      </c>
      <c r="L229" t="b">
        <f>ISBLANK(Compil[[#This Row],[DESIGNATION]])</f>
        <v>1</v>
      </c>
      <c r="M229" s="358"/>
      <c r="N229" s="358"/>
      <c r="O229" s="358"/>
      <c r="P229" s="358"/>
      <c r="Q229" s="358">
        <f>COUNTIF(Compil[[Ma Désignation ]],Compil[[Ma Désignation ]])</f>
        <v>306</v>
      </c>
    </row>
    <row r="230" spans="1:17" ht="14">
      <c r="A230" s="303">
        <v>225</v>
      </c>
      <c r="B230" s="2"/>
      <c r="C230" s="206" t="s">
        <v>333</v>
      </c>
      <c r="D230" t="str">
        <f xml:space="preserve"> TRIM( SUBSTITUTE(SUBSTITUTE(SUBSTITUTE( Compil[[#This Row],[DESIGNATION]],"-",""),"–",""),"*",""))</f>
        <v>chemin de câble parking</v>
      </c>
      <c r="E230" s="216" t="s">
        <v>33</v>
      </c>
      <c r="F230" s="252"/>
      <c r="G230" s="289" t="str">
        <f>IF(F230="","",(((L230*$M$6)+(M230*#REF!*#REF!))*$M$7)/F230)</f>
        <v/>
      </c>
      <c r="H230" s="164" t="str">
        <f>IF(F230="","",F230*G230)</f>
        <v/>
      </c>
      <c r="I230" t="s">
        <v>580</v>
      </c>
      <c r="J230" t="b">
        <f>AND(NOT(Compil[[#This Row],[Est ouvrage]]), NOT(ISBLANK(Compil[[#This Row],[ART.
CCTP]])))</f>
        <v>0</v>
      </c>
      <c r="K230" t="b">
        <f>OR(Compil[[#This Row],[Unité]]="U",Compil[[#This Row],[Unité]]="ens",Compil[[#This Row],[Unité]]="ml")</f>
        <v>0</v>
      </c>
      <c r="L230" t="b">
        <f>ISBLANK(Compil[[#This Row],[DESIGNATION]])</f>
        <v>0</v>
      </c>
      <c r="M230" s="359"/>
      <c r="N230" s="358"/>
      <c r="O230" s="358"/>
      <c r="P230" s="358"/>
      <c r="Q230" s="358">
        <f>COUNTIF(Compil[[Ma Désignation ]],Compil[[Ma Désignation ]])</f>
        <v>2</v>
      </c>
    </row>
    <row r="231" spans="1:17" ht="14">
      <c r="A231" s="303">
        <v>226</v>
      </c>
      <c r="B231" s="2"/>
      <c r="C231" s="206" t="s">
        <v>174</v>
      </c>
      <c r="D231" t="str">
        <f xml:space="preserve"> TRIM( SUBSTITUTE(SUBSTITUTE(SUBSTITUTE( Compil[[#This Row],[DESIGNATION]],"-",""),"–",""),"*",""))</f>
        <v>chemin de câble vertical</v>
      </c>
      <c r="E231" s="189" t="s">
        <v>33</v>
      </c>
      <c r="F231" s="252"/>
      <c r="G231" s="289" t="str">
        <f>IF(F231="","",(((L231*$M$6)+(M231*#REF!*#REF!))*$M$7)/F231)</f>
        <v/>
      </c>
      <c r="H231" s="164" t="str">
        <f>IF(F231="","",F231*G231)</f>
        <v/>
      </c>
      <c r="I231" t="s">
        <v>580</v>
      </c>
      <c r="J231" t="b">
        <f>AND(NOT(Compil[[#This Row],[Est ouvrage]]), NOT(ISBLANK(Compil[[#This Row],[ART.
CCTP]])))</f>
        <v>0</v>
      </c>
      <c r="K231" t="b">
        <f>OR(Compil[[#This Row],[Unité]]="U",Compil[[#This Row],[Unité]]="ens",Compil[[#This Row],[Unité]]="ml")</f>
        <v>0</v>
      </c>
      <c r="L231" t="b">
        <f>ISBLANK(Compil[[#This Row],[DESIGNATION]])</f>
        <v>0</v>
      </c>
      <c r="M231" s="359"/>
      <c r="N231" s="358"/>
      <c r="O231" s="358"/>
      <c r="P231" s="358"/>
      <c r="Q231" s="358">
        <f>COUNTIF(Compil[[Ma Désignation ]],Compil[[Ma Désignation ]])</f>
        <v>4</v>
      </c>
    </row>
    <row r="232" spans="1:17" ht="14">
      <c r="A232" s="310">
        <v>511</v>
      </c>
      <c r="B232" s="2"/>
      <c r="C232" s="416" t="s">
        <v>276</v>
      </c>
      <c r="D232" t="str">
        <f xml:space="preserve"> TRIM( SUBSTITUTE(SUBSTITUTE(SUBSTITUTE( Compil[[#This Row],[DESIGNATION]],"-",""),"–",""),"*",""))</f>
        <v>Attente VMC y compris interrupteur cuisine</v>
      </c>
      <c r="E232" s="33" t="s">
        <v>13</v>
      </c>
      <c r="F232" s="262"/>
      <c r="G232" s="289" t="s">
        <v>571</v>
      </c>
      <c r="H232" s="164" t="s">
        <v>571</v>
      </c>
      <c r="I232" t="s">
        <v>570</v>
      </c>
      <c r="J232" t="b">
        <f>AND(NOT(Compil[[#This Row],[Est ouvrage]]), NOT(ISBLANK(Compil[[#This Row],[ART.
CCTP]])))</f>
        <v>0</v>
      </c>
      <c r="K232" t="b">
        <f>OR(Compil[[#This Row],[Unité]]="U",Compil[[#This Row],[Unité]]="ens",Compil[[#This Row],[Unité]]="ml")</f>
        <v>1</v>
      </c>
      <c r="L232" t="b">
        <f>ISBLANK(Compil[[#This Row],[DESIGNATION]])</f>
        <v>0</v>
      </c>
      <c r="M232" s="359"/>
      <c r="N232" s="358"/>
      <c r="O232" s="358"/>
      <c r="P232" s="358"/>
      <c r="Q232" s="358">
        <f>COUNTIF(Compil[[Ma Désignation ]],Compil[[Ma Désignation ]])</f>
        <v>14</v>
      </c>
    </row>
    <row r="233" spans="1:17" ht="14">
      <c r="A233" s="310">
        <v>548</v>
      </c>
      <c r="B233" s="43"/>
      <c r="C233" s="416" t="s">
        <v>276</v>
      </c>
      <c r="D233" t="str">
        <f xml:space="preserve"> TRIM( SUBSTITUTE(SUBSTITUTE(SUBSTITUTE( Compil[[#This Row],[DESIGNATION]],"-",""),"–",""),"*",""))</f>
        <v>Attente VMC y compris interrupteur cuisine</v>
      </c>
      <c r="E233" s="33" t="s">
        <v>13</v>
      </c>
      <c r="F233" s="262">
        <v>1</v>
      </c>
      <c r="G233" s="289">
        <v>0</v>
      </c>
      <c r="H233" s="164">
        <v>0</v>
      </c>
      <c r="I233" t="s">
        <v>570</v>
      </c>
      <c r="J233" t="b">
        <f>AND(NOT(Compil[[#This Row],[Est ouvrage]]), NOT(ISBLANK(Compil[[#This Row],[ART.
CCTP]])))</f>
        <v>0</v>
      </c>
      <c r="K233" t="b">
        <f>OR(Compil[[#This Row],[Unité]]="U",Compil[[#This Row],[Unité]]="ens",Compil[[#This Row],[Unité]]="ml")</f>
        <v>1</v>
      </c>
      <c r="L233" t="b">
        <f>ISBLANK(Compil[[#This Row],[DESIGNATION]])</f>
        <v>0</v>
      </c>
      <c r="M233" s="359"/>
      <c r="N233" s="358"/>
      <c r="O233" s="358"/>
      <c r="P233" s="358"/>
      <c r="Q233" s="358">
        <f>COUNTIF(Compil[[Ma Désignation ]],Compil[[Ma Désignation ]])</f>
        <v>14</v>
      </c>
    </row>
    <row r="234" spans="1:17" ht="14">
      <c r="A234" s="310">
        <v>567</v>
      </c>
      <c r="B234" s="43"/>
      <c r="C234" s="416" t="s">
        <v>276</v>
      </c>
      <c r="D234" t="str">
        <f xml:space="preserve"> TRIM( SUBSTITUTE(SUBSTITUTE(SUBSTITUTE( Compil[[#This Row],[DESIGNATION]],"-",""),"–",""),"*",""))</f>
        <v>Attente VMC y compris interrupteur cuisine</v>
      </c>
      <c r="E234" s="33" t="s">
        <v>13</v>
      </c>
      <c r="F234" s="262"/>
      <c r="G234" s="289" t="s">
        <v>571</v>
      </c>
      <c r="H234" s="164" t="s">
        <v>571</v>
      </c>
      <c r="I234" t="s">
        <v>570</v>
      </c>
      <c r="J234" t="b">
        <f>AND(NOT(Compil[[#This Row],[Est ouvrage]]), NOT(ISBLANK(Compil[[#This Row],[ART.
CCTP]])))</f>
        <v>0</v>
      </c>
      <c r="K234" t="b">
        <f>OR(Compil[[#This Row],[Unité]]="U",Compil[[#This Row],[Unité]]="ens",Compil[[#This Row],[Unité]]="ml")</f>
        <v>1</v>
      </c>
      <c r="L234" t="b">
        <f>ISBLANK(Compil[[#This Row],[DESIGNATION]])</f>
        <v>0</v>
      </c>
      <c r="M234" s="359"/>
      <c r="N234" s="358"/>
      <c r="O234" s="358"/>
      <c r="P234" s="358"/>
      <c r="Q234" s="358">
        <f>COUNTIF(Compil[[Ma Désignation ]],Compil[[Ma Désignation ]])</f>
        <v>14</v>
      </c>
    </row>
    <row r="235" spans="1:17" ht="14">
      <c r="A235" s="303">
        <v>230</v>
      </c>
      <c r="B235" s="2"/>
      <c r="C235" s="206"/>
      <c r="D235" t="str">
        <f xml:space="preserve"> TRIM( SUBSTITUTE(SUBSTITUTE(SUBSTITUTE( Compil[[#This Row],[DESIGNATION]],"-",""),"–",""),"*",""))</f>
        <v/>
      </c>
      <c r="E235" s="189"/>
      <c r="F235" s="252"/>
      <c r="G235" s="289" t="str">
        <f>IF(F235="","",(((L235*$M$6)+(M235*#REF!*#REF!))*$M$7)/F235)</f>
        <v/>
      </c>
      <c r="H235" s="164" t="str">
        <f>IF(F235="","",F235*G235)</f>
        <v/>
      </c>
      <c r="I235" t="s">
        <v>580</v>
      </c>
      <c r="J235" t="b">
        <f>AND(NOT(Compil[[#This Row],[Est ouvrage]]), NOT(ISBLANK(Compil[[#This Row],[ART.
CCTP]])))</f>
        <v>0</v>
      </c>
      <c r="K235" t="b">
        <f>OR(Compil[[#This Row],[Unité]]="U",Compil[[#This Row],[Unité]]="ens",Compil[[#This Row],[Unité]]="ml")</f>
        <v>0</v>
      </c>
      <c r="L235" t="b">
        <f>ISBLANK(Compil[[#This Row],[DESIGNATION]])</f>
        <v>1</v>
      </c>
      <c r="M235" s="358"/>
      <c r="N235" s="358"/>
      <c r="O235" s="358"/>
      <c r="P235" s="358"/>
      <c r="Q235" s="358">
        <f>COUNTIF(Compil[[Ma Désignation ]],Compil[[Ma Désignation ]])</f>
        <v>306</v>
      </c>
    </row>
    <row r="236" spans="1:17" ht="14">
      <c r="A236" s="310">
        <v>604</v>
      </c>
      <c r="B236" s="43"/>
      <c r="C236" s="416" t="s">
        <v>276</v>
      </c>
      <c r="D236" t="str">
        <f xml:space="preserve"> TRIM( SUBSTITUTE(SUBSTITUTE(SUBSTITUTE( Compil[[#This Row],[DESIGNATION]],"-",""),"–",""),"*",""))</f>
        <v>Attente VMC y compris interrupteur cuisine</v>
      </c>
      <c r="E236" s="33" t="s">
        <v>13</v>
      </c>
      <c r="F236" s="262">
        <v>1</v>
      </c>
      <c r="G236" s="289">
        <v>0</v>
      </c>
      <c r="H236" s="164">
        <v>0</v>
      </c>
      <c r="I236" t="s">
        <v>570</v>
      </c>
      <c r="J236" t="b">
        <f>AND(NOT(Compil[[#This Row],[Est ouvrage]]), NOT(ISBLANK(Compil[[#This Row],[ART.
CCTP]])))</f>
        <v>0</v>
      </c>
      <c r="K236" t="b">
        <f>OR(Compil[[#This Row],[Unité]]="U",Compil[[#This Row],[Unité]]="ens",Compil[[#This Row],[Unité]]="ml")</f>
        <v>1</v>
      </c>
      <c r="L236" t="b">
        <f>ISBLANK(Compil[[#This Row],[DESIGNATION]])</f>
        <v>0</v>
      </c>
      <c r="M236" s="359"/>
      <c r="N236" s="358"/>
      <c r="O236" s="358"/>
      <c r="P236" s="358"/>
      <c r="Q236" s="358">
        <f>COUNTIF(Compil[[Ma Désignation ]],Compil[[Ma Désignation ]])</f>
        <v>14</v>
      </c>
    </row>
    <row r="237" spans="1:17" ht="14">
      <c r="A237" s="303">
        <v>232</v>
      </c>
      <c r="B237" s="2"/>
      <c r="C237" s="206"/>
      <c r="D237" t="str">
        <f xml:space="preserve"> TRIM( SUBSTITUTE(SUBSTITUTE(SUBSTITUTE( Compil[[#This Row],[DESIGNATION]],"-",""),"–",""),"*",""))</f>
        <v/>
      </c>
      <c r="E237" s="189"/>
      <c r="F237" s="252"/>
      <c r="G237" s="289" t="str">
        <f>IF(F237="","",(((L237*$M$6)+(M237*#REF!*#REF!))*$M$7)/F237)</f>
        <v/>
      </c>
      <c r="H237" s="164" t="str">
        <f>IF(F237="","",F237*G237)</f>
        <v/>
      </c>
      <c r="I237" t="s">
        <v>580</v>
      </c>
      <c r="J237" t="b">
        <f>AND(NOT(Compil[[#This Row],[Est ouvrage]]), NOT(ISBLANK(Compil[[#This Row],[ART.
CCTP]])))</f>
        <v>0</v>
      </c>
      <c r="K237" t="b">
        <f>OR(Compil[[#This Row],[Unité]]="U",Compil[[#This Row],[Unité]]="ens",Compil[[#This Row],[Unité]]="ml")</f>
        <v>0</v>
      </c>
      <c r="L237" t="b">
        <f>ISBLANK(Compil[[#This Row],[DESIGNATION]])</f>
        <v>1</v>
      </c>
      <c r="M237" s="358"/>
      <c r="N237" s="358"/>
      <c r="O237" s="358"/>
      <c r="P237" s="358"/>
      <c r="Q237" s="358">
        <f>COUNTIF(Compil[[Ma Désignation ]],Compil[[Ma Désignation ]])</f>
        <v>306</v>
      </c>
    </row>
    <row r="238" spans="1:17" ht="14">
      <c r="A238" s="310">
        <v>623</v>
      </c>
      <c r="B238" s="43"/>
      <c r="C238" s="416" t="s">
        <v>276</v>
      </c>
      <c r="D238" t="str">
        <f xml:space="preserve"> TRIM( SUBSTITUTE(SUBSTITUTE(SUBSTITUTE( Compil[[#This Row],[DESIGNATION]],"-",""),"–",""),"*",""))</f>
        <v>Attente VMC y compris interrupteur cuisine</v>
      </c>
      <c r="E238" s="33" t="s">
        <v>13</v>
      </c>
      <c r="F238" s="262"/>
      <c r="G238" s="289" t="s">
        <v>571</v>
      </c>
      <c r="H238" s="164" t="s">
        <v>571</v>
      </c>
      <c r="I238" t="s">
        <v>570</v>
      </c>
      <c r="J238" t="b">
        <f>AND(NOT(Compil[[#This Row],[Est ouvrage]]), NOT(ISBLANK(Compil[[#This Row],[ART.
CCTP]])))</f>
        <v>0</v>
      </c>
      <c r="K238" t="b">
        <f>OR(Compil[[#This Row],[Unité]]="U",Compil[[#This Row],[Unité]]="ens",Compil[[#This Row],[Unité]]="ml")</f>
        <v>1</v>
      </c>
      <c r="L238" t="b">
        <f>ISBLANK(Compil[[#This Row],[DESIGNATION]])</f>
        <v>0</v>
      </c>
      <c r="M238" s="359"/>
      <c r="N238" s="358"/>
      <c r="O238" s="358"/>
      <c r="P238" s="358"/>
      <c r="Q238" s="358">
        <f>COUNTIF(Compil[[Ma Désignation ]],Compil[[Ma Désignation ]])</f>
        <v>14</v>
      </c>
    </row>
    <row r="239" spans="1:17" ht="14">
      <c r="A239" s="303">
        <v>234</v>
      </c>
      <c r="B239" s="2"/>
      <c r="C239" s="206"/>
      <c r="D239" t="str">
        <f xml:space="preserve"> TRIM( SUBSTITUTE(SUBSTITUTE(SUBSTITUTE( Compil[[#This Row],[DESIGNATION]],"-",""),"–",""),"*",""))</f>
        <v/>
      </c>
      <c r="E239" s="189"/>
      <c r="F239" s="252"/>
      <c r="G239" s="289" t="str">
        <f>IF(F239="","",(((L239*$M$6)+(M239*#REF!*#REF!))*$M$7)/F239)</f>
        <v/>
      </c>
      <c r="H239" s="164" t="str">
        <f>IF(F239="","",F239*G239)</f>
        <v/>
      </c>
      <c r="I239" t="s">
        <v>580</v>
      </c>
      <c r="J239" t="b">
        <f>AND(NOT(Compil[[#This Row],[Est ouvrage]]), NOT(ISBLANK(Compil[[#This Row],[ART.
CCTP]])))</f>
        <v>0</v>
      </c>
      <c r="K239" t="b">
        <f>OR(Compil[[#This Row],[Unité]]="U",Compil[[#This Row],[Unité]]="ens",Compil[[#This Row],[Unité]]="ml")</f>
        <v>0</v>
      </c>
      <c r="L239" t="b">
        <f>ISBLANK(Compil[[#This Row],[DESIGNATION]])</f>
        <v>1</v>
      </c>
      <c r="M239" s="358"/>
      <c r="N239" s="358"/>
      <c r="O239" s="358"/>
      <c r="P239" s="358"/>
      <c r="Q239" s="358">
        <f>COUNTIF(Compil[[Ma Désignation ]],Compil[[Ma Désignation ]])</f>
        <v>306</v>
      </c>
    </row>
    <row r="240" spans="1:17" ht="14">
      <c r="A240" s="310">
        <v>660</v>
      </c>
      <c r="B240" s="43"/>
      <c r="C240" s="416" t="s">
        <v>276</v>
      </c>
      <c r="D240" t="str">
        <f xml:space="preserve"> TRIM( SUBSTITUTE(SUBSTITUTE(SUBSTITUTE( Compil[[#This Row],[DESIGNATION]],"-",""),"–",""),"*",""))</f>
        <v>Attente VMC y compris interrupteur cuisine</v>
      </c>
      <c r="E240" s="33" t="s">
        <v>13</v>
      </c>
      <c r="F240" s="262">
        <v>2</v>
      </c>
      <c r="G240" s="289">
        <v>0</v>
      </c>
      <c r="H240" s="164">
        <v>0</v>
      </c>
      <c r="I240" t="s">
        <v>570</v>
      </c>
      <c r="J240" t="b">
        <f>AND(NOT(Compil[[#This Row],[Est ouvrage]]), NOT(ISBLANK(Compil[[#This Row],[ART.
CCTP]])))</f>
        <v>0</v>
      </c>
      <c r="K240" t="b">
        <f>OR(Compil[[#This Row],[Unité]]="U",Compil[[#This Row],[Unité]]="ens",Compil[[#This Row],[Unité]]="ml")</f>
        <v>1</v>
      </c>
      <c r="L240" t="b">
        <f>ISBLANK(Compil[[#This Row],[DESIGNATION]])</f>
        <v>0</v>
      </c>
      <c r="M240" s="359"/>
      <c r="N240" s="358"/>
      <c r="O240" s="358"/>
      <c r="P240" s="358"/>
      <c r="Q240" s="358">
        <f>COUNTIF(Compil[[Ma Désignation ]],Compil[[Ma Désignation ]])</f>
        <v>14</v>
      </c>
    </row>
    <row r="241" spans="1:17" ht="14">
      <c r="A241" s="303">
        <v>236</v>
      </c>
      <c r="B241" s="2"/>
      <c r="C241" s="206"/>
      <c r="D241" t="str">
        <f xml:space="preserve"> TRIM( SUBSTITUTE(SUBSTITUTE(SUBSTITUTE( Compil[[#This Row],[DESIGNATION]],"-",""),"–",""),"*",""))</f>
        <v/>
      </c>
      <c r="E241" s="189"/>
      <c r="F241" s="252"/>
      <c r="G241" s="289" t="str">
        <f>IF(F241="","",(((L241*$M$6)+(M241*#REF!*#REF!))*$M$7)/F241)</f>
        <v/>
      </c>
      <c r="H241" s="164" t="str">
        <f>IF(F241="","",F241*G241)</f>
        <v/>
      </c>
      <c r="I241" t="s">
        <v>580</v>
      </c>
      <c r="J241" t="b">
        <f>AND(NOT(Compil[[#This Row],[Est ouvrage]]), NOT(ISBLANK(Compil[[#This Row],[ART.
CCTP]])))</f>
        <v>0</v>
      </c>
      <c r="K241" t="b">
        <f>OR(Compil[[#This Row],[Unité]]="U",Compil[[#This Row],[Unité]]="ens",Compil[[#This Row],[Unité]]="ml")</f>
        <v>0</v>
      </c>
      <c r="L241" t="b">
        <f>ISBLANK(Compil[[#This Row],[DESIGNATION]])</f>
        <v>1</v>
      </c>
      <c r="M241" s="358"/>
      <c r="N241" s="358"/>
      <c r="O241" s="358"/>
      <c r="P241" s="358"/>
      <c r="Q241" s="358">
        <f>COUNTIF(Compil[[Ma Désignation ]],Compil[[Ma Désignation ]])</f>
        <v>306</v>
      </c>
    </row>
    <row r="242" spans="1:17" ht="14">
      <c r="A242" s="310">
        <v>679</v>
      </c>
      <c r="B242" s="43"/>
      <c r="C242" s="416" t="s">
        <v>276</v>
      </c>
      <c r="D242" t="str">
        <f xml:space="preserve"> TRIM( SUBSTITUTE(SUBSTITUTE(SUBSTITUTE( Compil[[#This Row],[DESIGNATION]],"-",""),"–",""),"*",""))</f>
        <v>Attente VMC y compris interrupteur cuisine</v>
      </c>
      <c r="E242" s="33" t="s">
        <v>13</v>
      </c>
      <c r="F242" s="262"/>
      <c r="G242" s="289" t="s">
        <v>571</v>
      </c>
      <c r="H242" s="164" t="s">
        <v>571</v>
      </c>
      <c r="I242" t="s">
        <v>570</v>
      </c>
      <c r="J242" t="b">
        <f>AND(NOT(Compil[[#This Row],[Est ouvrage]]), NOT(ISBLANK(Compil[[#This Row],[ART.
CCTP]])))</f>
        <v>0</v>
      </c>
      <c r="K242" t="b">
        <f>OR(Compil[[#This Row],[Unité]]="U",Compil[[#This Row],[Unité]]="ens",Compil[[#This Row],[Unité]]="ml")</f>
        <v>1</v>
      </c>
      <c r="L242" t="b">
        <f>ISBLANK(Compil[[#This Row],[DESIGNATION]])</f>
        <v>0</v>
      </c>
      <c r="M242" s="359"/>
      <c r="N242" s="358"/>
      <c r="O242" s="358"/>
      <c r="P242" s="358"/>
      <c r="Q242" s="358">
        <f>COUNTIF(Compil[[Ma Désignation ]],Compil[[Ma Désignation ]])</f>
        <v>14</v>
      </c>
    </row>
    <row r="243" spans="1:17" ht="14">
      <c r="A243" s="303">
        <v>238</v>
      </c>
      <c r="B243" s="2"/>
      <c r="C243" s="206"/>
      <c r="D243" t="str">
        <f xml:space="preserve"> TRIM( SUBSTITUTE(SUBSTITUTE(SUBSTITUTE( Compil[[#This Row],[DESIGNATION]],"-",""),"–",""),"*",""))</f>
        <v/>
      </c>
      <c r="E243" s="189"/>
      <c r="F243" s="252"/>
      <c r="G243" s="289" t="str">
        <f>IF(F243="","",(((L243*$M$6)+(M243*#REF!*#REF!))*$M$7)/F243)</f>
        <v/>
      </c>
      <c r="H243" s="164" t="str">
        <f>IF(F243="","",F243*G243)</f>
        <v/>
      </c>
      <c r="I243" t="s">
        <v>580</v>
      </c>
      <c r="J243" t="b">
        <f>AND(NOT(Compil[[#This Row],[Est ouvrage]]), NOT(ISBLANK(Compil[[#This Row],[ART.
CCTP]])))</f>
        <v>0</v>
      </c>
      <c r="K243" t="b">
        <f>OR(Compil[[#This Row],[Unité]]="U",Compil[[#This Row],[Unité]]="ens",Compil[[#This Row],[Unité]]="ml")</f>
        <v>0</v>
      </c>
      <c r="L243" t="b">
        <f>ISBLANK(Compil[[#This Row],[DESIGNATION]])</f>
        <v>1</v>
      </c>
      <c r="M243" s="358"/>
      <c r="N243" s="358"/>
      <c r="O243" s="358"/>
      <c r="P243" s="358"/>
      <c r="Q243" s="358">
        <f>COUNTIF(Compil[[Ma Désignation ]],Compil[[Ma Désignation ]])</f>
        <v>306</v>
      </c>
    </row>
    <row r="244" spans="1:17">
      <c r="A244" s="360">
        <v>1019</v>
      </c>
      <c r="B244" s="363"/>
      <c r="C244" s="402" t="s">
        <v>276</v>
      </c>
      <c r="D244" t="str">
        <f xml:space="preserve"> TRIM( SUBSTITUTE(SUBSTITUTE(SUBSTITUTE( Compil[[#This Row],[DESIGNATION]],"-",""),"–",""),"*",""))</f>
        <v>Attente VMC y compris interrupteur cuisine</v>
      </c>
      <c r="E244" s="374" t="s">
        <v>13</v>
      </c>
      <c r="F244" s="385">
        <v>1</v>
      </c>
      <c r="G244" s="390">
        <v>0</v>
      </c>
      <c r="H244" s="391">
        <v>0</v>
      </c>
      <c r="I244" t="s">
        <v>579</v>
      </c>
      <c r="J244" t="b">
        <f>AND(NOT(Compil[[#This Row],[Est ouvrage]]), NOT(ISBLANK(Compil[[#This Row],[ART.
CCTP]])))</f>
        <v>0</v>
      </c>
      <c r="K244" t="b">
        <f>OR(Compil[[#This Row],[Unité]]="U",Compil[[#This Row],[Unité]]="ens",Compil[[#This Row],[Unité]]="ml")</f>
        <v>1</v>
      </c>
      <c r="L244" t="b">
        <f>ISBLANK(Compil[[#This Row],[DESIGNATION]])</f>
        <v>0</v>
      </c>
      <c r="M244" s="359"/>
      <c r="N244" s="358"/>
      <c r="O244" s="358"/>
      <c r="P244" s="358"/>
      <c r="Q244" s="358">
        <f>COUNTIF(Compil[[Ma Désignation ]],Compil[[Ma Désignation ]])</f>
        <v>14</v>
      </c>
    </row>
    <row r="245" spans="1:17">
      <c r="A245" s="360">
        <v>1034</v>
      </c>
      <c r="B245" s="363"/>
      <c r="C245" s="402" t="s">
        <v>276</v>
      </c>
      <c r="D245" t="str">
        <f xml:space="preserve"> TRIM( SUBSTITUTE(SUBSTITUTE(SUBSTITUTE( Compil[[#This Row],[DESIGNATION]],"-",""),"–",""),"*",""))</f>
        <v>Attente VMC y compris interrupteur cuisine</v>
      </c>
      <c r="E245" s="374" t="s">
        <v>13</v>
      </c>
      <c r="F245" s="385"/>
      <c r="G245" s="390" t="s">
        <v>571</v>
      </c>
      <c r="H245" s="391" t="s">
        <v>571</v>
      </c>
      <c r="I245" t="s">
        <v>579</v>
      </c>
      <c r="J245" t="b">
        <f>AND(NOT(Compil[[#This Row],[Est ouvrage]]), NOT(ISBLANK(Compil[[#This Row],[ART.
CCTP]])))</f>
        <v>0</v>
      </c>
      <c r="K245" t="b">
        <f>OR(Compil[[#This Row],[Unité]]="U",Compil[[#This Row],[Unité]]="ens",Compil[[#This Row],[Unité]]="ml")</f>
        <v>1</v>
      </c>
      <c r="L245" t="b">
        <f>ISBLANK(Compil[[#This Row],[DESIGNATION]])</f>
        <v>0</v>
      </c>
      <c r="M245" s="359"/>
      <c r="N245" s="358"/>
      <c r="O245" s="358"/>
      <c r="P245" s="358"/>
      <c r="Q245" s="358">
        <f>COUNTIF(Compil[[Ma Désignation ]],Compil[[Ma Désignation ]])</f>
        <v>14</v>
      </c>
    </row>
    <row r="246" spans="1:17" ht="14">
      <c r="A246" s="303">
        <v>241</v>
      </c>
      <c r="B246" s="2"/>
      <c r="C246" s="206"/>
      <c r="D246" t="str">
        <f xml:space="preserve"> TRIM( SUBSTITUTE(SUBSTITUTE(SUBSTITUTE( Compil[[#This Row],[DESIGNATION]],"-",""),"–",""),"*",""))</f>
        <v/>
      </c>
      <c r="E246" s="189"/>
      <c r="F246" s="252"/>
      <c r="G246" s="289" t="str">
        <f>IF(F246="","",(((L246*$M$6)+(M246*#REF!*#REF!))*$M$7)/F246)</f>
        <v/>
      </c>
      <c r="H246" s="164" t="str">
        <f>IF(F246="","",F246*G246)</f>
        <v/>
      </c>
      <c r="I246" t="s">
        <v>580</v>
      </c>
      <c r="J246" t="b">
        <f>AND(NOT(Compil[[#This Row],[Est ouvrage]]), NOT(ISBLANK(Compil[[#This Row],[ART.
CCTP]])))</f>
        <v>0</v>
      </c>
      <c r="K246" t="b">
        <f>OR(Compil[[#This Row],[Unité]]="U",Compil[[#This Row],[Unité]]="ens",Compil[[#This Row],[Unité]]="ml")</f>
        <v>0</v>
      </c>
      <c r="L246" t="b">
        <f>ISBLANK(Compil[[#This Row],[DESIGNATION]])</f>
        <v>1</v>
      </c>
      <c r="M246" s="358"/>
      <c r="N246" s="358"/>
      <c r="O246" s="358"/>
      <c r="P246" s="358"/>
      <c r="Q246" s="358">
        <f>COUNTIF(Compil[[Ma Désignation ]],Compil[[Ma Désignation ]])</f>
        <v>306</v>
      </c>
    </row>
    <row r="247" spans="1:17" ht="14">
      <c r="A247" s="303">
        <v>214</v>
      </c>
      <c r="B247" s="43"/>
      <c r="C247" s="206" t="s">
        <v>319</v>
      </c>
      <c r="D247" t="str">
        <f xml:space="preserve"> TRIM( SUBSTITUTE(SUBSTITUTE(SUBSTITUTE( Compil[[#This Row],[DESIGNATION]],"-",""),"–",""),"*",""))</f>
        <v>attentes alarmes techniques</v>
      </c>
      <c r="E247" s="216" t="s">
        <v>12</v>
      </c>
      <c r="F247" s="252">
        <v>1</v>
      </c>
      <c r="G247" s="289" t="e">
        <f>IF(F247="","",(((L247*$M$6)+(M247*#REF!*#REF!))*$M$7)/F247)</f>
        <v>#VALUE!</v>
      </c>
      <c r="H247" s="164" t="e">
        <f>IF(F247="","",F247*G247)</f>
        <v>#VALUE!</v>
      </c>
      <c r="I247" t="s">
        <v>580</v>
      </c>
      <c r="J247" t="b">
        <f>AND(NOT(Compil[[#This Row],[Est ouvrage]]), NOT(ISBLANK(Compil[[#This Row],[ART.
CCTP]])))</f>
        <v>0</v>
      </c>
      <c r="K247" t="b">
        <f>OR(Compil[[#This Row],[Unité]]="U",Compil[[#This Row],[Unité]]="ens",Compil[[#This Row],[Unité]]="ml")</f>
        <v>1</v>
      </c>
      <c r="L247" t="b">
        <f>ISBLANK(Compil[[#This Row],[DESIGNATION]])</f>
        <v>0</v>
      </c>
      <c r="M247" s="359"/>
      <c r="N247" s="358"/>
      <c r="O247" s="358"/>
      <c r="P247" s="358"/>
      <c r="Q247" s="358">
        <f>COUNTIF(Compil[[Ma Désignation ]],Compil[[Ma Désignation ]])</f>
        <v>2</v>
      </c>
    </row>
    <row r="248" spans="1:17" ht="14">
      <c r="A248" s="312">
        <v>854</v>
      </c>
      <c r="B248" s="104"/>
      <c r="C248" s="88" t="s">
        <v>319</v>
      </c>
      <c r="D248" t="str">
        <f xml:space="preserve"> TRIM( SUBSTITUTE(SUBSTITUTE(SUBSTITUTE( Compil[[#This Row],[DESIGNATION]],"-",""),"–",""),"*",""))</f>
        <v>attentes alarmes techniques</v>
      </c>
      <c r="E248" s="33" t="s">
        <v>12</v>
      </c>
      <c r="F248" s="262">
        <v>1</v>
      </c>
      <c r="G248" s="289">
        <v>0</v>
      </c>
      <c r="H248" s="164">
        <v>0</v>
      </c>
      <c r="I248" t="s">
        <v>578</v>
      </c>
      <c r="J248" t="b">
        <f>AND(NOT(Compil[[#This Row],[Est ouvrage]]), NOT(ISBLANK(Compil[[#This Row],[ART.
CCTP]])))</f>
        <v>0</v>
      </c>
      <c r="K248" t="b">
        <f>OR(Compil[[#This Row],[Unité]]="U",Compil[[#This Row],[Unité]]="ens",Compil[[#This Row],[Unité]]="ml")</f>
        <v>1</v>
      </c>
      <c r="L248" t="b">
        <f>ISBLANK(Compil[[#This Row],[DESIGNATION]])</f>
        <v>0</v>
      </c>
      <c r="M248" s="359"/>
      <c r="N248" s="358"/>
      <c r="O248" s="358"/>
      <c r="P248" s="358"/>
      <c r="Q248" s="358">
        <f>COUNTIF(Compil[[Ma Désignation ]],Compil[[Ma Désignation ]])</f>
        <v>2</v>
      </c>
    </row>
    <row r="249" spans="1:17" ht="14">
      <c r="A249" s="303">
        <v>244</v>
      </c>
      <c r="B249" s="2"/>
      <c r="C249" s="233"/>
      <c r="D249" t="str">
        <f xml:space="preserve"> TRIM( SUBSTITUTE(SUBSTITUTE(SUBSTITUTE( Compil[[#This Row],[DESIGNATION]],"-",""),"–",""),"*",""))</f>
        <v/>
      </c>
      <c r="E249" s="189"/>
      <c r="F249" s="252"/>
      <c r="G249" s="289" t="str">
        <f>IF(F249="","",(((L249*$M$6)+(M249*#REF!*#REF!))*$M$7)/F249)</f>
        <v/>
      </c>
      <c r="H249" s="164" t="str">
        <f>IF(F249="","",F249*G249)</f>
        <v/>
      </c>
      <c r="I249" t="s">
        <v>580</v>
      </c>
      <c r="J249" t="b">
        <f>AND(NOT(Compil[[#This Row],[Est ouvrage]]), NOT(ISBLANK(Compil[[#This Row],[ART.
CCTP]])))</f>
        <v>0</v>
      </c>
      <c r="K249" t="b">
        <f>OR(Compil[[#This Row],[Unité]]="U",Compil[[#This Row],[Unité]]="ens",Compil[[#This Row],[Unité]]="ml")</f>
        <v>0</v>
      </c>
      <c r="L249" t="b">
        <f>ISBLANK(Compil[[#This Row],[DESIGNATION]])</f>
        <v>1</v>
      </c>
      <c r="M249" s="358"/>
      <c r="N249" s="358"/>
      <c r="O249" s="358"/>
      <c r="P249" s="358"/>
      <c r="Q249" s="358">
        <f>COUNTIF(Compil[[Ma Désignation ]],Compil[[Ma Désignation ]])</f>
        <v>306</v>
      </c>
    </row>
    <row r="250" spans="1:17" ht="14">
      <c r="A250" s="303">
        <v>245</v>
      </c>
      <c r="B250" s="2"/>
      <c r="C250" s="394" t="s">
        <v>191</v>
      </c>
      <c r="D250" t="str">
        <f xml:space="preserve"> TRIM( SUBSTITUTE(SUBSTITUTE(SUBSTITUTE( Compil[[#This Row],[DESIGNATION]],"-",""),"–",""),"*",""))</f>
        <v>Sous total 2.12</v>
      </c>
      <c r="E250" s="216"/>
      <c r="F250" s="252"/>
      <c r="G250" s="289" t="str">
        <f>IF(F250="","",(((L250*$M$6)+(M250*#REF!*#REF!))*$M$7)/F250)</f>
        <v/>
      </c>
      <c r="H250" s="164" t="str">
        <f>IF(F250="","",F250*G250)</f>
        <v/>
      </c>
      <c r="I250" t="s">
        <v>580</v>
      </c>
      <c r="J250" t="b">
        <f>AND(NOT(Compil[[#This Row],[Est ouvrage]]), NOT(ISBLANK(Compil[[#This Row],[ART.
CCTP]])))</f>
        <v>0</v>
      </c>
      <c r="K250" t="b">
        <f>OR(Compil[[#This Row],[Unité]]="U",Compil[[#This Row],[Unité]]="ens",Compil[[#This Row],[Unité]]="ml")</f>
        <v>0</v>
      </c>
      <c r="L250" t="b">
        <f>ISBLANK(Compil[[#This Row],[DESIGNATION]])</f>
        <v>0</v>
      </c>
      <c r="M250" s="359"/>
      <c r="N250" s="358"/>
      <c r="O250" s="358"/>
      <c r="P250" s="358"/>
      <c r="Q250" s="358">
        <f>COUNTIF(Compil[[Ma Désignation ]],Compil[[Ma Désignation ]])</f>
        <v>2</v>
      </c>
    </row>
    <row r="251" spans="1:17" ht="14">
      <c r="A251" s="303">
        <v>246</v>
      </c>
      <c r="B251" s="2"/>
      <c r="C251" s="224"/>
      <c r="D251" t="str">
        <f xml:space="preserve"> TRIM( SUBSTITUTE(SUBSTITUTE(SUBSTITUTE( Compil[[#This Row],[DESIGNATION]],"-",""),"–",""),"*",""))</f>
        <v/>
      </c>
      <c r="E251" s="216"/>
      <c r="F251" s="252"/>
      <c r="G251" s="289" t="str">
        <f>IF(F251="","",(((L251*$M$6)+(M251*#REF!*#REF!))*$M$7)/F251)</f>
        <v/>
      </c>
      <c r="H251" s="164" t="str">
        <f>IF(F251="","",F251*G251)</f>
        <v/>
      </c>
      <c r="I251" t="s">
        <v>580</v>
      </c>
      <c r="J251" t="b">
        <f>AND(NOT(Compil[[#This Row],[Est ouvrage]]), NOT(ISBLANK(Compil[[#This Row],[ART.
CCTP]])))</f>
        <v>0</v>
      </c>
      <c r="K251" t="b">
        <f>OR(Compil[[#This Row],[Unité]]="U",Compil[[#This Row],[Unité]]="ens",Compil[[#This Row],[Unité]]="ml")</f>
        <v>0</v>
      </c>
      <c r="L251" t="b">
        <f>ISBLANK(Compil[[#This Row],[DESIGNATION]])</f>
        <v>1</v>
      </c>
      <c r="M251" s="358"/>
      <c r="N251" s="358"/>
      <c r="O251" s="358"/>
      <c r="P251" s="358"/>
      <c r="Q251" s="358">
        <f>COUNTIF(Compil[[Ma Désignation ]],Compil[[Ma Désignation ]])</f>
        <v>306</v>
      </c>
    </row>
    <row r="252" spans="1:17" ht="14">
      <c r="A252" s="303">
        <v>247</v>
      </c>
      <c r="B252" s="2" t="s">
        <v>84</v>
      </c>
      <c r="C252" s="222" t="s">
        <v>27</v>
      </c>
      <c r="D252" t="str">
        <f xml:space="preserve"> TRIM( SUBSTITUTE(SUBSTITUTE(SUBSTITUTE( Compil[[#This Row],[DESIGNATION]],"-",""),"–",""),"*",""))</f>
        <v>Télévision</v>
      </c>
      <c r="E252" s="216"/>
      <c r="F252" s="252"/>
      <c r="G252" s="289" t="str">
        <f>IF(F252="","",(((L252*$M$6)+(M252*#REF!*#REF!))*$M$7)/F252)</f>
        <v/>
      </c>
      <c r="H252" s="164" t="str">
        <f>IF(F252="","",F252*G252)</f>
        <v/>
      </c>
      <c r="I252" t="s">
        <v>580</v>
      </c>
      <c r="J252" t="b">
        <f>AND(NOT(Compil[[#This Row],[Est ouvrage]]), NOT(ISBLANK(Compil[[#This Row],[ART.
CCTP]])))</f>
        <v>1</v>
      </c>
      <c r="K252" t="b">
        <f>OR(Compil[[#This Row],[Unité]]="U",Compil[[#This Row],[Unité]]="ens",Compil[[#This Row],[Unité]]="ml")</f>
        <v>0</v>
      </c>
      <c r="L252" t="b">
        <f>ISBLANK(Compil[[#This Row],[DESIGNATION]])</f>
        <v>0</v>
      </c>
      <c r="M252" s="359"/>
      <c r="N252" s="358"/>
      <c r="O252" s="358"/>
      <c r="P252" s="358"/>
      <c r="Q252" s="358">
        <f>COUNTIF(Compil[[Ma Désignation ]],Compil[[Ma Désignation ]])</f>
        <v>2</v>
      </c>
    </row>
    <row r="253" spans="1:17" ht="14">
      <c r="A253" s="303">
        <v>248</v>
      </c>
      <c r="B253" s="2"/>
      <c r="C253" s="224"/>
      <c r="D253" t="str">
        <f xml:space="preserve"> TRIM( SUBSTITUTE(SUBSTITUTE(SUBSTITUTE( Compil[[#This Row],[DESIGNATION]],"-",""),"–",""),"*",""))</f>
        <v/>
      </c>
      <c r="E253" s="216"/>
      <c r="F253" s="252"/>
      <c r="G253" s="289" t="str">
        <f>IF(F253="","",(((L253*$M$6)+(M253*#REF!*#REF!))*$M$7)/F253)</f>
        <v/>
      </c>
      <c r="H253" s="164" t="str">
        <f>IF(F253="","",F253*G253)</f>
        <v/>
      </c>
      <c r="I253" t="s">
        <v>580</v>
      </c>
      <c r="J253" t="b">
        <f>AND(NOT(Compil[[#This Row],[Est ouvrage]]), NOT(ISBLANK(Compil[[#This Row],[ART.
CCTP]])))</f>
        <v>0</v>
      </c>
      <c r="K253" t="b">
        <f>OR(Compil[[#This Row],[Unité]]="U",Compil[[#This Row],[Unité]]="ens",Compil[[#This Row],[Unité]]="ml")</f>
        <v>0</v>
      </c>
      <c r="L253" t="b">
        <f>ISBLANK(Compil[[#This Row],[DESIGNATION]])</f>
        <v>1</v>
      </c>
      <c r="M253" s="358"/>
      <c r="N253" s="358"/>
      <c r="O253" s="358"/>
      <c r="P253" s="358"/>
      <c r="Q253" s="358">
        <f>COUNTIF(Compil[[Ma Désignation ]],Compil[[Ma Désignation ]])</f>
        <v>306</v>
      </c>
    </row>
    <row r="254" spans="1:17" ht="14">
      <c r="A254" s="303">
        <v>249</v>
      </c>
      <c r="B254" s="2"/>
      <c r="C254" s="224" t="s">
        <v>38</v>
      </c>
      <c r="D254" t="str">
        <f xml:space="preserve"> TRIM( SUBSTITUTE(SUBSTITUTE(SUBSTITUTE( Compil[[#This Row],[DESIGNATION]],"-",""),"–",""),"*",""))</f>
        <v>crosse en toiture</v>
      </c>
      <c r="E254" s="216" t="s">
        <v>33</v>
      </c>
      <c r="F254" s="252"/>
      <c r="G254" s="289" t="str">
        <f>IF(F254="","",(((L254*$M$6)+(M254*#REF!*#REF!))*$M$7)/F254)</f>
        <v/>
      </c>
      <c r="H254" s="164" t="str">
        <f>IF(F254="","",F254*G254)</f>
        <v/>
      </c>
      <c r="I254" t="s">
        <v>580</v>
      </c>
      <c r="J254" t="b">
        <f>AND(NOT(Compil[[#This Row],[Est ouvrage]]), NOT(ISBLANK(Compil[[#This Row],[ART.
CCTP]])))</f>
        <v>0</v>
      </c>
      <c r="K254" t="b">
        <f>OR(Compil[[#This Row],[Unité]]="U",Compil[[#This Row],[Unité]]="ens",Compil[[#This Row],[Unité]]="ml")</f>
        <v>0</v>
      </c>
      <c r="L254" t="b">
        <f>ISBLANK(Compil[[#This Row],[DESIGNATION]])</f>
        <v>0</v>
      </c>
      <c r="M254" s="359"/>
      <c r="N254" s="358"/>
      <c r="O254" s="358"/>
      <c r="P254" s="358"/>
      <c r="Q254" s="358">
        <f>COUNTIF(Compil[[Ma Désignation ]],Compil[[Ma Désignation ]])</f>
        <v>4</v>
      </c>
    </row>
    <row r="255" spans="1:17" ht="14">
      <c r="A255" s="303">
        <v>215</v>
      </c>
      <c r="B255" s="43"/>
      <c r="C255" s="206" t="s">
        <v>318</v>
      </c>
      <c r="D255" t="str">
        <f xml:space="preserve"> TRIM( SUBSTITUTE(SUBSTITUTE(SUBSTITUTE( Compil[[#This Row],[DESIGNATION]],"-",""),"–",""),"*",""))</f>
        <v>attentes ascenseurs</v>
      </c>
      <c r="E255" s="216" t="s">
        <v>12</v>
      </c>
      <c r="F255" s="252">
        <v>1</v>
      </c>
      <c r="G255" s="289" t="e">
        <f>IF(F255="","",(((L255*$M$6)+(M255*#REF!*#REF!))*$M$7)/F255)</f>
        <v>#VALUE!</v>
      </c>
      <c r="H255" s="164" t="e">
        <f>IF(F255="","",F255*G255)</f>
        <v>#VALUE!</v>
      </c>
      <c r="I255" t="s">
        <v>580</v>
      </c>
      <c r="J255" t="b">
        <f>AND(NOT(Compil[[#This Row],[Est ouvrage]]), NOT(ISBLANK(Compil[[#This Row],[ART.
CCTP]])))</f>
        <v>0</v>
      </c>
      <c r="K255" t="b">
        <f>OR(Compil[[#This Row],[Unité]]="U",Compil[[#This Row],[Unité]]="ens",Compil[[#This Row],[Unité]]="ml")</f>
        <v>1</v>
      </c>
      <c r="L255" t="b">
        <f>ISBLANK(Compil[[#This Row],[DESIGNATION]])</f>
        <v>0</v>
      </c>
      <c r="M255" s="359"/>
      <c r="N255" s="358"/>
      <c r="O255" s="358"/>
      <c r="P255" s="358"/>
      <c r="Q255" s="358">
        <f>COUNTIF(Compil[[Ma Désignation ]],Compil[[Ma Désignation ]])</f>
        <v>2</v>
      </c>
    </row>
    <row r="256" spans="1:17" ht="14">
      <c r="A256" s="312">
        <v>855</v>
      </c>
      <c r="B256" s="104"/>
      <c r="C256" s="88" t="s">
        <v>318</v>
      </c>
      <c r="D256" t="str">
        <f xml:space="preserve"> TRIM( SUBSTITUTE(SUBSTITUTE(SUBSTITUTE( Compil[[#This Row],[DESIGNATION]],"-",""),"–",""),"*",""))</f>
        <v>attentes ascenseurs</v>
      </c>
      <c r="E256" s="33" t="s">
        <v>12</v>
      </c>
      <c r="F256" s="262">
        <v>1</v>
      </c>
      <c r="G256" s="289">
        <v>0</v>
      </c>
      <c r="H256" s="164">
        <v>0</v>
      </c>
      <c r="I256" t="s">
        <v>578</v>
      </c>
      <c r="J256" t="b">
        <f>AND(NOT(Compil[[#This Row],[Est ouvrage]]), NOT(ISBLANK(Compil[[#This Row],[ART.
CCTP]])))</f>
        <v>0</v>
      </c>
      <c r="K256" t="b">
        <f>OR(Compil[[#This Row],[Unité]]="U",Compil[[#This Row],[Unité]]="ens",Compil[[#This Row],[Unité]]="ml")</f>
        <v>1</v>
      </c>
      <c r="L256" t="b">
        <f>ISBLANK(Compil[[#This Row],[DESIGNATION]])</f>
        <v>0</v>
      </c>
      <c r="M256" s="359"/>
      <c r="N256" s="358"/>
      <c r="O256" s="358"/>
      <c r="P256" s="358"/>
      <c r="Q256" s="358">
        <f>COUNTIF(Compil[[Ma Désignation ]],Compil[[Ma Désignation ]])</f>
        <v>2</v>
      </c>
    </row>
    <row r="257" spans="1:17" ht="14">
      <c r="A257" s="303">
        <v>158</v>
      </c>
      <c r="B257" s="2" t="s">
        <v>561</v>
      </c>
      <c r="C257" s="224" t="s">
        <v>303</v>
      </c>
      <c r="D257" t="str">
        <f xml:space="preserve"> TRIM( SUBSTITUTE(SUBSTITUTE(SUBSTITUTE( Compil[[#This Row],[DESIGNATION]],"-",""),"–",""),"*",""))</f>
        <v>Attentes ascenseurs pour G2</v>
      </c>
      <c r="E257" s="189" t="s">
        <v>12</v>
      </c>
      <c r="F257" s="252">
        <v>2</v>
      </c>
      <c r="G257" s="289" t="e">
        <f>IF(F257="","",(((L257*$M$6)+(M257*#REF!*#REF!))*$M$7)/F257)</f>
        <v>#VALUE!</v>
      </c>
      <c r="H257" s="164" t="e">
        <f>IF(F257="","",F257*G257)</f>
        <v>#VALUE!</v>
      </c>
      <c r="I257" t="s">
        <v>580</v>
      </c>
      <c r="J257" t="b">
        <f>AND(NOT(Compil[[#This Row],[Est ouvrage]]), NOT(ISBLANK(Compil[[#This Row],[ART.
CCTP]])))</f>
        <v>0</v>
      </c>
      <c r="K257" t="b">
        <f>OR(Compil[[#This Row],[Unité]]="U",Compil[[#This Row],[Unité]]="ens",Compil[[#This Row],[Unité]]="ml")</f>
        <v>1</v>
      </c>
      <c r="L257" t="b">
        <f>ISBLANK(Compil[[#This Row],[DESIGNATION]])</f>
        <v>0</v>
      </c>
      <c r="M257" s="359"/>
      <c r="N257" s="358"/>
      <c r="O257" s="358"/>
      <c r="P257" s="358"/>
      <c r="Q257" s="358">
        <f>COUNTIF(Compil[[Ma Désignation ]],Compil[[Ma Désignation ]])</f>
        <v>1</v>
      </c>
    </row>
    <row r="258" spans="1:17" ht="14">
      <c r="A258" s="303">
        <v>253</v>
      </c>
      <c r="B258" s="2"/>
      <c r="C258" s="224"/>
      <c r="D258" t="str">
        <f xml:space="preserve"> TRIM( SUBSTITUTE(SUBSTITUTE(SUBSTITUTE( Compil[[#This Row],[DESIGNATION]],"-",""),"–",""),"*",""))</f>
        <v/>
      </c>
      <c r="E258" s="216"/>
      <c r="F258" s="252"/>
      <c r="G258" s="289" t="str">
        <f>IF(F258="","",(((L258*$M$6)+(M258*#REF!*#REF!))*$M$7)/F258)</f>
        <v/>
      </c>
      <c r="H258" s="164" t="str">
        <f>IF(F258="","",F258*G258)</f>
        <v/>
      </c>
      <c r="I258" t="s">
        <v>580</v>
      </c>
      <c r="J258" t="b">
        <f>AND(NOT(Compil[[#This Row],[Est ouvrage]]), NOT(ISBLANK(Compil[[#This Row],[ART.
CCTP]])))</f>
        <v>0</v>
      </c>
      <c r="K258" t="b">
        <f>OR(Compil[[#This Row],[Unité]]="U",Compil[[#This Row],[Unité]]="ens",Compil[[#This Row],[Unité]]="ml")</f>
        <v>0</v>
      </c>
      <c r="L258" t="b">
        <f>ISBLANK(Compil[[#This Row],[DESIGNATION]])</f>
        <v>1</v>
      </c>
      <c r="M258" s="358"/>
      <c r="N258" s="358"/>
      <c r="O258" s="358"/>
      <c r="P258" s="358"/>
      <c r="Q258" s="358">
        <f>COUNTIF(Compil[[Ma Désignation ]],Compil[[Ma Désignation ]])</f>
        <v>306</v>
      </c>
    </row>
    <row r="259" spans="1:17" ht="14">
      <c r="A259" s="303">
        <v>216</v>
      </c>
      <c r="B259" s="43"/>
      <c r="C259" s="206" t="s">
        <v>320</v>
      </c>
      <c r="D259" t="str">
        <f xml:space="preserve"> TRIM( SUBSTITUTE(SUBSTITUTE(SUBSTITUTE( Compil[[#This Row],[DESIGNATION]],"-",""),"–",""),"*",""))</f>
        <v>attentes comptages BT TJ</v>
      </c>
      <c r="E259" s="216" t="s">
        <v>12</v>
      </c>
      <c r="F259" s="252">
        <v>1</v>
      </c>
      <c r="G259" s="289" t="e">
        <f>IF(F259="","",(((L259*$M$6)+(M259*#REF!*#REF!))*$M$7)/F259)</f>
        <v>#VALUE!</v>
      </c>
      <c r="H259" s="164" t="e">
        <f>IF(F259="","",F259*G259)</f>
        <v>#VALUE!</v>
      </c>
      <c r="I259" t="s">
        <v>580</v>
      </c>
      <c r="J259" t="b">
        <f>AND(NOT(Compil[[#This Row],[Est ouvrage]]), NOT(ISBLANK(Compil[[#This Row],[ART.
CCTP]])))</f>
        <v>0</v>
      </c>
      <c r="K259" t="b">
        <f>OR(Compil[[#This Row],[Unité]]="U",Compil[[#This Row],[Unité]]="ens",Compil[[#This Row],[Unité]]="ml")</f>
        <v>1</v>
      </c>
      <c r="L259" t="b">
        <f>ISBLANK(Compil[[#This Row],[DESIGNATION]])</f>
        <v>0</v>
      </c>
      <c r="M259" s="359"/>
      <c r="N259" s="358"/>
      <c r="O259" s="358"/>
      <c r="P259" s="358"/>
      <c r="Q259" s="358">
        <f>COUNTIF(Compil[[Ma Désignation ]],Compil[[Ma Désignation ]])</f>
        <v>1</v>
      </c>
    </row>
    <row r="260" spans="1:17" ht="14">
      <c r="A260" s="303">
        <v>155</v>
      </c>
      <c r="B260" s="2"/>
      <c r="C260" s="224" t="s">
        <v>300</v>
      </c>
      <c r="D260" t="str">
        <f xml:space="preserve"> TRIM( SUBSTITUTE(SUBSTITUTE(SUBSTITUTE( Compil[[#This Row],[DESIGNATION]],"-",""),"–",""),"*",""))</f>
        <v>Attentes portes motorisées accès parking</v>
      </c>
      <c r="E260" s="189" t="s">
        <v>12</v>
      </c>
      <c r="F260" s="252">
        <v>1</v>
      </c>
      <c r="G260" s="289" t="e">
        <f>IF(F260="","",(((L260*$M$6)+(M260*#REF!*#REF!))*$M$7)/F260)</f>
        <v>#VALUE!</v>
      </c>
      <c r="H260" s="164" t="e">
        <f>IF(F260="","",F260*G260)</f>
        <v>#VALUE!</v>
      </c>
      <c r="I260" t="s">
        <v>580</v>
      </c>
      <c r="J260" t="b">
        <f>AND(NOT(Compil[[#This Row],[Est ouvrage]]), NOT(ISBLANK(Compil[[#This Row],[ART.
CCTP]])))</f>
        <v>0</v>
      </c>
      <c r="K260" t="b">
        <f>OR(Compil[[#This Row],[Unité]]="U",Compil[[#This Row],[Unité]]="ens",Compil[[#This Row],[Unité]]="ml")</f>
        <v>1</v>
      </c>
      <c r="L260" t="b">
        <f>ISBLANK(Compil[[#This Row],[DESIGNATION]])</f>
        <v>0</v>
      </c>
      <c r="M260" s="359"/>
      <c r="N260" s="358"/>
      <c r="O260" s="358"/>
      <c r="P260" s="358"/>
      <c r="Q260" s="358">
        <f>COUNTIF(Compil[[Ma Désignation ]],Compil[[Ma Désignation ]])</f>
        <v>1</v>
      </c>
    </row>
    <row r="261" spans="1:17" ht="14">
      <c r="A261" s="303">
        <v>256</v>
      </c>
      <c r="B261" s="2"/>
      <c r="C261" s="224"/>
      <c r="D261" t="str">
        <f xml:space="preserve"> TRIM( SUBSTITUTE(SUBSTITUTE(SUBSTITUTE( Compil[[#This Row],[DESIGNATION]],"-",""),"–",""),"*",""))</f>
        <v/>
      </c>
      <c r="E261" s="216"/>
      <c r="F261" s="252"/>
      <c r="G261" s="289" t="str">
        <f>IF(F261="","",(((L261*$M$6)+(M261*#REF!*#REF!))*$M$7)/F261)</f>
        <v/>
      </c>
      <c r="H261" s="164" t="str">
        <f>IF(F261="","",F261*G261)</f>
        <v/>
      </c>
      <c r="I261" t="s">
        <v>580</v>
      </c>
      <c r="J261" t="b">
        <f>AND(NOT(Compil[[#This Row],[Est ouvrage]]), NOT(ISBLANK(Compil[[#This Row],[ART.
CCTP]])))</f>
        <v>0</v>
      </c>
      <c r="K261" t="b">
        <f>OR(Compil[[#This Row],[Unité]]="U",Compil[[#This Row],[Unité]]="ens",Compil[[#This Row],[Unité]]="ml")</f>
        <v>0</v>
      </c>
      <c r="L261" t="b">
        <f>ISBLANK(Compil[[#This Row],[DESIGNATION]])</f>
        <v>1</v>
      </c>
      <c r="M261" s="358"/>
      <c r="N261" s="358"/>
      <c r="O261" s="358"/>
      <c r="P261" s="358"/>
      <c r="Q261" s="358">
        <f>COUNTIF(Compil[[Ma Désignation ]],Compil[[Ma Désignation ]])</f>
        <v>306</v>
      </c>
    </row>
    <row r="262" spans="1:17" ht="14">
      <c r="A262" s="303">
        <v>257</v>
      </c>
      <c r="B262" s="2"/>
      <c r="C262" s="394" t="s">
        <v>114</v>
      </c>
      <c r="D262" t="str">
        <f xml:space="preserve"> TRIM( SUBSTITUTE(SUBSTITUTE(SUBSTITUTE( Compil[[#This Row],[DESIGNATION]],"-",""),"–",""),"*",""))</f>
        <v>Sous total 2.13</v>
      </c>
      <c r="E262" s="216"/>
      <c r="F262" s="252"/>
      <c r="G262" s="289" t="str">
        <f>IF(F262="","",(((L262*$M$6)+(M262*#REF!*#REF!))*$M$7)/F262)</f>
        <v/>
      </c>
      <c r="H262" s="164" t="str">
        <f>IF(F262="","",F262*G262)</f>
        <v/>
      </c>
      <c r="I262" t="s">
        <v>580</v>
      </c>
      <c r="J262" t="b">
        <f>AND(NOT(Compil[[#This Row],[Est ouvrage]]), NOT(ISBLANK(Compil[[#This Row],[ART.
CCTP]])))</f>
        <v>0</v>
      </c>
      <c r="K262" t="b">
        <f>OR(Compil[[#This Row],[Unité]]="U",Compil[[#This Row],[Unité]]="ens",Compil[[#This Row],[Unité]]="ml")</f>
        <v>0</v>
      </c>
      <c r="L262" t="b">
        <f>ISBLANK(Compil[[#This Row],[DESIGNATION]])</f>
        <v>0</v>
      </c>
      <c r="M262" s="359"/>
      <c r="N262" s="358"/>
      <c r="O262" s="358"/>
      <c r="P262" s="358"/>
      <c r="Q262" s="358">
        <f>COUNTIF(Compil[[Ma Désignation ]],Compil[[Ma Désignation ]])</f>
        <v>2</v>
      </c>
    </row>
    <row r="263" spans="1:17" ht="14">
      <c r="A263" s="303">
        <v>258</v>
      </c>
      <c r="B263" s="2"/>
      <c r="C263" s="224"/>
      <c r="D263" t="str">
        <f xml:space="preserve"> TRIM( SUBSTITUTE(SUBSTITUTE(SUBSTITUTE( Compil[[#This Row],[DESIGNATION]],"-",""),"–",""),"*",""))</f>
        <v/>
      </c>
      <c r="E263" s="216"/>
      <c r="F263" s="252"/>
      <c r="G263" s="289" t="str">
        <f>IF(F263="","",(((L263*$M$6)+(M263*#REF!*#REF!))*$M$7)/F263)</f>
        <v/>
      </c>
      <c r="H263" s="164" t="str">
        <f>IF(F263="","",F263*G263)</f>
        <v/>
      </c>
      <c r="I263" t="s">
        <v>580</v>
      </c>
      <c r="J263" t="b">
        <f>AND(NOT(Compil[[#This Row],[Est ouvrage]]), NOT(ISBLANK(Compil[[#This Row],[ART.
CCTP]])))</f>
        <v>0</v>
      </c>
      <c r="K263" t="b">
        <f>OR(Compil[[#This Row],[Unité]]="U",Compil[[#This Row],[Unité]]="ens",Compil[[#This Row],[Unité]]="ml")</f>
        <v>0</v>
      </c>
      <c r="L263" t="b">
        <f>ISBLANK(Compil[[#This Row],[DESIGNATION]])</f>
        <v>1</v>
      </c>
      <c r="M263" s="358"/>
      <c r="N263" s="358"/>
      <c r="O263" s="358"/>
      <c r="P263" s="358"/>
      <c r="Q263" s="358">
        <f>COUNTIF(Compil[[Ma Désignation ]],Compil[[Ma Désignation ]])</f>
        <v>306</v>
      </c>
    </row>
    <row r="264" spans="1:17" ht="14">
      <c r="A264" s="303">
        <v>259</v>
      </c>
      <c r="B264" s="2" t="s">
        <v>85</v>
      </c>
      <c r="C264" s="222" t="s">
        <v>192</v>
      </c>
      <c r="D264" t="str">
        <f xml:space="preserve"> TRIM( SUBSTITUTE(SUBSTITUTE(SUBSTITUTE( Compil[[#This Row],[DESIGNATION]],"-",""),"–",""),"*",""))</f>
        <v>Portier d'immeuble vidéophone</v>
      </c>
      <c r="E264" s="216"/>
      <c r="F264" s="252"/>
      <c r="G264" s="289" t="str">
        <f>IF(F264="","",(((L264*$M$6)+(M264*#REF!*#REF!))*$M$7)/F264)</f>
        <v/>
      </c>
      <c r="H264" s="164" t="str">
        <f>IF(F264="","",F264*G264)</f>
        <v/>
      </c>
      <c r="I264" t="s">
        <v>580</v>
      </c>
      <c r="J264" t="b">
        <f>AND(NOT(Compil[[#This Row],[Est ouvrage]]), NOT(ISBLANK(Compil[[#This Row],[ART.
CCTP]])))</f>
        <v>1</v>
      </c>
      <c r="K264" t="b">
        <f>OR(Compil[[#This Row],[Unité]]="U",Compil[[#This Row],[Unité]]="ens",Compil[[#This Row],[Unité]]="ml")</f>
        <v>0</v>
      </c>
      <c r="L264" t="b">
        <f>ISBLANK(Compil[[#This Row],[DESIGNATION]])</f>
        <v>0</v>
      </c>
      <c r="M264" s="359"/>
      <c r="N264" s="358"/>
      <c r="O264" s="358"/>
      <c r="P264" s="358"/>
      <c r="Q264" s="358">
        <f>COUNTIF(Compil[[Ma Désignation ]],Compil[[Ma Désignation ]])</f>
        <v>2</v>
      </c>
    </row>
    <row r="265" spans="1:17" ht="14">
      <c r="A265" s="303">
        <v>260</v>
      </c>
      <c r="B265" s="179"/>
      <c r="C265" s="224"/>
      <c r="D265" t="str">
        <f xml:space="preserve"> TRIM( SUBSTITUTE(SUBSTITUTE(SUBSTITUTE( Compil[[#This Row],[DESIGNATION]],"-",""),"–",""),"*",""))</f>
        <v/>
      </c>
      <c r="E265" s="216"/>
      <c r="F265" s="252"/>
      <c r="G265" s="289" t="str">
        <f>IF(F265="","",(((L265*$M$6)+(M265*#REF!*#REF!))*$M$7)/F265)</f>
        <v/>
      </c>
      <c r="H265" s="164" t="str">
        <f>IF(F265="","",F265*G265)</f>
        <v/>
      </c>
      <c r="I265" t="s">
        <v>580</v>
      </c>
      <c r="J265" t="b">
        <f>AND(NOT(Compil[[#This Row],[Est ouvrage]]), NOT(ISBLANK(Compil[[#This Row],[ART.
CCTP]])))</f>
        <v>0</v>
      </c>
      <c r="K265" t="b">
        <f>OR(Compil[[#This Row],[Unité]]="U",Compil[[#This Row],[Unité]]="ens",Compil[[#This Row],[Unité]]="ml")</f>
        <v>0</v>
      </c>
      <c r="L265" t="b">
        <f>ISBLANK(Compil[[#This Row],[DESIGNATION]])</f>
        <v>1</v>
      </c>
      <c r="M265" s="358"/>
      <c r="N265" s="358"/>
      <c r="O265" s="358"/>
      <c r="P265" s="358"/>
      <c r="Q265" s="358">
        <f>COUNTIF(Compil[[Ma Désignation ]],Compil[[Ma Désignation ]])</f>
        <v>306</v>
      </c>
    </row>
    <row r="266" spans="1:17" ht="14">
      <c r="A266" s="312">
        <v>815</v>
      </c>
      <c r="B266" s="19"/>
      <c r="C266" s="90" t="s">
        <v>399</v>
      </c>
      <c r="D266" t="str">
        <f xml:space="preserve"> TRIM( SUBSTITUTE(SUBSTITUTE(SUBSTITUTE( Compil[[#This Row],[DESIGNATION]],"-",""),"–",""),"*",""))</f>
        <v>Attentes portes motorisées pour sas et hall</v>
      </c>
      <c r="E266" s="57" t="s">
        <v>12</v>
      </c>
      <c r="F266" s="262">
        <v>1</v>
      </c>
      <c r="G266" s="289">
        <v>0</v>
      </c>
      <c r="H266" s="164">
        <v>0</v>
      </c>
      <c r="I266" t="s">
        <v>578</v>
      </c>
      <c r="J266" t="b">
        <f>AND(NOT(Compil[[#This Row],[Est ouvrage]]), NOT(ISBLANK(Compil[[#This Row],[ART.
CCTP]])))</f>
        <v>0</v>
      </c>
      <c r="K266" t="b">
        <f>OR(Compil[[#This Row],[Unité]]="U",Compil[[#This Row],[Unité]]="ens",Compil[[#This Row],[Unité]]="ml")</f>
        <v>1</v>
      </c>
      <c r="L266" t="b">
        <f>ISBLANK(Compil[[#This Row],[DESIGNATION]])</f>
        <v>0</v>
      </c>
      <c r="M266" s="359"/>
      <c r="N266" s="358"/>
      <c r="O266" s="358"/>
      <c r="P266" s="358"/>
      <c r="Q266" s="358">
        <f>COUNTIF(Compil[[Ma Désignation ]],Compil[[Ma Désignation ]])</f>
        <v>1</v>
      </c>
    </row>
    <row r="267" spans="1:17" ht="14">
      <c r="A267" s="303">
        <v>262</v>
      </c>
      <c r="B267" s="179"/>
      <c r="C267" s="234" t="s">
        <v>193</v>
      </c>
      <c r="D267" t="str">
        <f xml:space="preserve"> TRIM( SUBSTITUTE(SUBSTITUTE(SUBSTITUTE( Compil[[#This Row],[DESIGNATION]],"-",""),"–",""),"*",""))</f>
        <v>platine de rue suivant CCTP, alimentation centrale</v>
      </c>
      <c r="E267" s="216"/>
      <c r="F267" s="252"/>
      <c r="G267" s="289" t="str">
        <f>IF(F267="","",(((L267*$M$6)+(M267*#REF!*#REF!))*$M$7)/F267)</f>
        <v/>
      </c>
      <c r="H267" s="164" t="str">
        <f>IF(F267="","",F267*G267)</f>
        <v/>
      </c>
      <c r="I267" t="s">
        <v>580</v>
      </c>
      <c r="J267" t="b">
        <f>AND(NOT(Compil[[#This Row],[Est ouvrage]]), NOT(ISBLANK(Compil[[#This Row],[ART.
CCTP]])))</f>
        <v>0</v>
      </c>
      <c r="K267" t="b">
        <f>OR(Compil[[#This Row],[Unité]]="U",Compil[[#This Row],[Unité]]="ens",Compil[[#This Row],[Unité]]="ml")</f>
        <v>0</v>
      </c>
      <c r="L267" t="b">
        <f>ISBLANK(Compil[[#This Row],[DESIGNATION]])</f>
        <v>0</v>
      </c>
      <c r="M267" s="359"/>
      <c r="N267" s="358"/>
      <c r="O267" s="358"/>
      <c r="P267" s="358"/>
      <c r="Q267" s="358">
        <f>COUNTIF(Compil[[Ma Désignation ]],Compil[[Ma Désignation ]])</f>
        <v>2</v>
      </c>
    </row>
    <row r="268" spans="1:17" ht="14">
      <c r="A268" s="303">
        <v>263</v>
      </c>
      <c r="B268" s="179"/>
      <c r="C268" s="234" t="s">
        <v>194</v>
      </c>
      <c r="D268" t="str">
        <f xml:space="preserve"> TRIM( SUBSTITUTE(SUBSTITUTE(SUBSTITUTE( Compil[[#This Row],[DESIGNATION]],"-",""),"–",""),"*",""))</f>
        <v>centrale de contrôle d'accès VIGIK</v>
      </c>
      <c r="E268" s="216"/>
      <c r="F268" s="252"/>
      <c r="G268" s="289" t="str">
        <f>IF(F268="","",(((L268*$M$6)+(M268*#REF!*#REF!))*$M$7)/F268)</f>
        <v/>
      </c>
      <c r="H268" s="164" t="str">
        <f>IF(F268="","",F268*G268)</f>
        <v/>
      </c>
      <c r="I268" t="s">
        <v>580</v>
      </c>
      <c r="J268" t="b">
        <f>AND(NOT(Compil[[#This Row],[Est ouvrage]]), NOT(ISBLANK(Compil[[#This Row],[ART.
CCTP]])))</f>
        <v>0</v>
      </c>
      <c r="K268" t="b">
        <f>OR(Compil[[#This Row],[Unité]]="U",Compil[[#This Row],[Unité]]="ens",Compil[[#This Row],[Unité]]="ml")</f>
        <v>0</v>
      </c>
      <c r="L268" t="b">
        <f>ISBLANK(Compil[[#This Row],[DESIGNATION]])</f>
        <v>0</v>
      </c>
      <c r="M268" s="359"/>
      <c r="N268" s="358"/>
      <c r="O268" s="358"/>
      <c r="P268" s="358"/>
      <c r="Q268" s="358">
        <f>COUNTIF(Compil[[Ma Désignation ]],Compil[[Ma Désignation ]])</f>
        <v>2</v>
      </c>
    </row>
    <row r="269" spans="1:17" ht="14">
      <c r="A269" s="303">
        <v>264</v>
      </c>
      <c r="B269" s="179"/>
      <c r="C269" s="234" t="s">
        <v>384</v>
      </c>
      <c r="D269" t="str">
        <f xml:space="preserve"> TRIM( SUBSTITUTE(SUBSTITUTE(SUBSTITUTE( Compil[[#This Row],[DESIGNATION]],"-",""),"–",""),"*",""))</f>
        <v>bloc GSM gestion en temps réel</v>
      </c>
      <c r="E269" s="216"/>
      <c r="F269" s="252"/>
      <c r="G269" s="289" t="str">
        <f>IF(F269="","",(((L269*$M$6)+(M269*#REF!*#REF!))*$M$7)/F269)</f>
        <v/>
      </c>
      <c r="H269" s="164" t="str">
        <f>IF(F269="","",F269*G269)</f>
        <v/>
      </c>
      <c r="I269" t="s">
        <v>580</v>
      </c>
      <c r="J269" t="b">
        <f>AND(NOT(Compil[[#This Row],[Est ouvrage]]), NOT(ISBLANK(Compil[[#This Row],[ART.
CCTP]])))</f>
        <v>0</v>
      </c>
      <c r="K269" t="b">
        <f>OR(Compil[[#This Row],[Unité]]="U",Compil[[#This Row],[Unité]]="ens",Compil[[#This Row],[Unité]]="ml")</f>
        <v>0</v>
      </c>
      <c r="L269" t="b">
        <f>ISBLANK(Compil[[#This Row],[DESIGNATION]])</f>
        <v>0</v>
      </c>
      <c r="M269" s="359"/>
      <c r="N269" s="358"/>
      <c r="O269" s="358"/>
      <c r="P269" s="358"/>
      <c r="Q269" s="358">
        <f>COUNTIF(Compil[[Ma Désignation ]],Compil[[Ma Désignation ]])</f>
        <v>2</v>
      </c>
    </row>
    <row r="270" spans="1:17" ht="14">
      <c r="A270" s="303">
        <v>265</v>
      </c>
      <c r="B270" s="179"/>
      <c r="C270" s="234" t="s">
        <v>195</v>
      </c>
      <c r="D270" t="str">
        <f xml:space="preserve"> TRIM( SUBSTITUTE(SUBSTITUTE(SUBSTITUTE( Compil[[#This Row],[DESIGNATION]],"-",""),"–",""),"*",""))</f>
        <v>ventouse</v>
      </c>
      <c r="E270" s="216"/>
      <c r="F270" s="252"/>
      <c r="G270" s="289" t="str">
        <f>IF(F270="","",(((L270*$M$6)+(M270*#REF!*#REF!))*$M$7)/F270)</f>
        <v/>
      </c>
      <c r="H270" s="164" t="str">
        <f>IF(F270="","",F270*G270)</f>
        <v/>
      </c>
      <c r="I270" t="s">
        <v>580</v>
      </c>
      <c r="J270" t="b">
        <f>AND(NOT(Compil[[#This Row],[Est ouvrage]]), NOT(ISBLANK(Compil[[#This Row],[ART.
CCTP]])))</f>
        <v>0</v>
      </c>
      <c r="K270" t="b">
        <f>OR(Compil[[#This Row],[Unité]]="U",Compil[[#This Row],[Unité]]="ens",Compil[[#This Row],[Unité]]="ml")</f>
        <v>0</v>
      </c>
      <c r="L270" t="b">
        <f>ISBLANK(Compil[[#This Row],[DESIGNATION]])</f>
        <v>0</v>
      </c>
      <c r="M270" s="359"/>
      <c r="N270" s="358"/>
      <c r="O270" s="358"/>
      <c r="P270" s="358"/>
      <c r="Q270" s="358">
        <f>COUNTIF(Compil[[Ma Désignation ]],Compil[[Ma Désignation ]])</f>
        <v>2</v>
      </c>
    </row>
    <row r="271" spans="1:17" ht="14">
      <c r="A271" s="303">
        <v>266</v>
      </c>
      <c r="B271" s="179"/>
      <c r="C271" s="234" t="s">
        <v>196</v>
      </c>
      <c r="D271" t="str">
        <f xml:space="preserve"> TRIM( SUBSTITUTE(SUBSTITUTE(SUBSTITUTE( Compil[[#This Row],[DESIGNATION]],"-",""),"–",""),"*",""))</f>
        <v>BP sonore et visuel décondamnation</v>
      </c>
      <c r="E271" s="216"/>
      <c r="F271" s="252"/>
      <c r="G271" s="289" t="str">
        <f>IF(F271="","",(((L271*$M$6)+(M271*#REF!*#REF!))*$M$7)/F271)</f>
        <v/>
      </c>
      <c r="H271" s="164" t="str">
        <f>IF(F271="","",F271*G271)</f>
        <v/>
      </c>
      <c r="I271" t="s">
        <v>580</v>
      </c>
      <c r="J271" t="b">
        <f>AND(NOT(Compil[[#This Row],[Est ouvrage]]), NOT(ISBLANK(Compil[[#This Row],[ART.
CCTP]])))</f>
        <v>0</v>
      </c>
      <c r="K271" t="b">
        <f>OR(Compil[[#This Row],[Unité]]="U",Compil[[#This Row],[Unité]]="ens",Compil[[#This Row],[Unité]]="ml")</f>
        <v>0</v>
      </c>
      <c r="L271" t="b">
        <f>ISBLANK(Compil[[#This Row],[DESIGNATION]])</f>
        <v>0</v>
      </c>
      <c r="M271" s="359"/>
      <c r="N271" s="358"/>
      <c r="O271" s="358"/>
      <c r="P271" s="358"/>
      <c r="Q271" s="358">
        <f>COUNTIF(Compil[[Ma Désignation ]],Compil[[Ma Désignation ]])</f>
        <v>2</v>
      </c>
    </row>
    <row r="272" spans="1:17" ht="14">
      <c r="A272" s="303">
        <v>267</v>
      </c>
      <c r="B272" s="179"/>
      <c r="C272" s="225"/>
      <c r="D272" t="str">
        <f xml:space="preserve"> TRIM( SUBSTITUTE(SUBSTITUTE(SUBSTITUTE( Compil[[#This Row],[DESIGNATION]],"-",""),"–",""),"*",""))</f>
        <v/>
      </c>
      <c r="E272" s="216"/>
      <c r="F272" s="252"/>
      <c r="G272" s="289" t="str">
        <f>IF(F272="","",(((L272*$M$6)+(M272*#REF!*#REF!))*$M$7)/F272)</f>
        <v/>
      </c>
      <c r="H272" s="164" t="str">
        <f>IF(F272="","",F272*G272)</f>
        <v/>
      </c>
      <c r="I272" t="s">
        <v>580</v>
      </c>
      <c r="J272" t="b">
        <f>AND(NOT(Compil[[#This Row],[Est ouvrage]]), NOT(ISBLANK(Compil[[#This Row],[ART.
CCTP]])))</f>
        <v>0</v>
      </c>
      <c r="K272" t="b">
        <f>OR(Compil[[#This Row],[Unité]]="U",Compil[[#This Row],[Unité]]="ens",Compil[[#This Row],[Unité]]="ml")</f>
        <v>0</v>
      </c>
      <c r="L272" t="b">
        <f>ISBLANK(Compil[[#This Row],[DESIGNATION]])</f>
        <v>1</v>
      </c>
      <c r="M272" s="358"/>
      <c r="N272" s="358"/>
      <c r="O272" s="358"/>
      <c r="P272" s="358"/>
      <c r="Q272" s="358">
        <f>COUNTIF(Compil[[Ma Désignation ]],Compil[[Ma Désignation ]])</f>
        <v>306</v>
      </c>
    </row>
    <row r="273" spans="1:17" ht="14">
      <c r="A273" s="303">
        <v>153</v>
      </c>
      <c r="B273" s="2"/>
      <c r="C273" s="225" t="s">
        <v>400</v>
      </c>
      <c r="D273" t="str">
        <f xml:space="preserve"> TRIM( SUBSTITUTE(SUBSTITUTE(SUBSTITUTE( Compil[[#This Row],[DESIGNATION]],"-",""),"–",""),"*",""))</f>
        <v>Attentes portes motorisées pour sas et hall du G1</v>
      </c>
      <c r="E273" s="189" t="s">
        <v>12</v>
      </c>
      <c r="F273" s="252">
        <v>1</v>
      </c>
      <c r="G273" s="289" t="e">
        <f>IF(F273="","",(((L273*$M$6)+(M273*#REF!*#REF!))*$M$7)/F273)</f>
        <v>#VALUE!</v>
      </c>
      <c r="H273" s="164" t="e">
        <f>IF(F273="","",F273*G273)</f>
        <v>#VALUE!</v>
      </c>
      <c r="I273" t="s">
        <v>580</v>
      </c>
      <c r="J273" t="b">
        <f>AND(NOT(Compil[[#This Row],[Est ouvrage]]), NOT(ISBLANK(Compil[[#This Row],[ART.
CCTP]])))</f>
        <v>0</v>
      </c>
      <c r="K273" t="b">
        <f>OR(Compil[[#This Row],[Unité]]="U",Compil[[#This Row],[Unité]]="ens",Compil[[#This Row],[Unité]]="ml")</f>
        <v>1</v>
      </c>
      <c r="L273" t="b">
        <f>ISBLANK(Compil[[#This Row],[DESIGNATION]])</f>
        <v>0</v>
      </c>
      <c r="M273" s="359"/>
      <c r="N273" s="358"/>
      <c r="O273" s="358"/>
      <c r="P273" s="358"/>
      <c r="Q273" s="358">
        <f>COUNTIF(Compil[[Ma Désignation ]],Compil[[Ma Désignation ]])</f>
        <v>1</v>
      </c>
    </row>
    <row r="274" spans="1:17" ht="14">
      <c r="A274" s="303">
        <v>154</v>
      </c>
      <c r="B274" s="2"/>
      <c r="C274" s="225" t="s">
        <v>401</v>
      </c>
      <c r="D274" t="str">
        <f xml:space="preserve"> TRIM( SUBSTITUTE(SUBSTITUTE(SUBSTITUTE( Compil[[#This Row],[DESIGNATION]],"-",""),"–",""),"*",""))</f>
        <v>Attentes portes motorisées pour sas et hall du G2</v>
      </c>
      <c r="E274" s="189" t="s">
        <v>12</v>
      </c>
      <c r="F274" s="252">
        <v>1</v>
      </c>
      <c r="G274" s="289" t="e">
        <f>IF(F274="","",(((L274*$M$6)+(M274*#REF!*#REF!))*$M$7)/F274)</f>
        <v>#VALUE!</v>
      </c>
      <c r="H274" s="164" t="e">
        <f>IF(F274="","",F274*G274)</f>
        <v>#VALUE!</v>
      </c>
      <c r="I274" t="s">
        <v>580</v>
      </c>
      <c r="J274" t="b">
        <f>AND(NOT(Compil[[#This Row],[Est ouvrage]]), NOT(ISBLANK(Compil[[#This Row],[ART.
CCTP]])))</f>
        <v>0</v>
      </c>
      <c r="K274" t="b">
        <f>OR(Compil[[#This Row],[Unité]]="U",Compil[[#This Row],[Unité]]="ens",Compil[[#This Row],[Unité]]="ml")</f>
        <v>1</v>
      </c>
      <c r="L274" t="b">
        <f>ISBLANK(Compil[[#This Row],[DESIGNATION]])</f>
        <v>0</v>
      </c>
      <c r="M274" s="359"/>
      <c r="N274" s="358"/>
      <c r="O274" s="358"/>
      <c r="P274" s="358"/>
      <c r="Q274" s="358">
        <f>COUNTIF(Compil[[Ma Désignation ]],Compil[[Ma Désignation ]])</f>
        <v>1</v>
      </c>
    </row>
    <row r="275" spans="1:17" ht="14">
      <c r="A275" s="303">
        <v>156</v>
      </c>
      <c r="B275" s="2"/>
      <c r="C275" s="393" t="s">
        <v>301</v>
      </c>
      <c r="D275" s="357" t="str">
        <f xml:space="preserve"> TRIM( SUBSTITUTE(SUBSTITUTE(SUBSTITUTE( Compil[[#This Row],[DESIGNATION]],"-",""),"–",""),"*",""))</f>
        <v>Attentes rideaux métalliques</v>
      </c>
      <c r="E275" s="189" t="s">
        <v>12</v>
      </c>
      <c r="F275" s="252">
        <v>1</v>
      </c>
      <c r="G275" s="289" t="e">
        <f>IF(F275="","",(((L275*$M$6)+(M275*#REF!*#REF!))*$M$7)/F275)</f>
        <v>#VALUE!</v>
      </c>
      <c r="H275" s="164" t="e">
        <f>IF(F275="","",F275*G275)</f>
        <v>#VALUE!</v>
      </c>
      <c r="I275" t="s">
        <v>580</v>
      </c>
      <c r="J275" t="b">
        <f>AND(NOT(Compil[[#This Row],[Est ouvrage]]), NOT(ISBLANK(Compil[[#This Row],[ART.
CCTP]])))</f>
        <v>0</v>
      </c>
      <c r="K275" t="b">
        <f>OR(Compil[[#This Row],[Unité]]="U",Compil[[#This Row],[Unité]]="ens",Compil[[#This Row],[Unité]]="ml")</f>
        <v>1</v>
      </c>
      <c r="L275" t="b">
        <f>ISBLANK(Compil[[#This Row],[DESIGNATION]])</f>
        <v>0</v>
      </c>
      <c r="M275" s="359"/>
      <c r="N275" s="358"/>
      <c r="O275" s="358"/>
      <c r="P275" s="358"/>
      <c r="Q275" s="358">
        <f>COUNTIF(Compil[[Ma Désignation ]],Compil[[Ma Désignation ]])</f>
        <v>1</v>
      </c>
    </row>
    <row r="276" spans="1:17" ht="14">
      <c r="A276" s="303">
        <v>271</v>
      </c>
      <c r="B276" s="179"/>
      <c r="C276" s="225"/>
      <c r="D276" t="str">
        <f xml:space="preserve"> TRIM( SUBSTITUTE(SUBSTITUTE(SUBSTITUTE( Compil[[#This Row],[DESIGNATION]],"-",""),"–",""),"*",""))</f>
        <v/>
      </c>
      <c r="E276" s="216"/>
      <c r="F276" s="252"/>
      <c r="G276" s="289" t="str">
        <f>IF(F276="","",(((L276*$M$6)+(M276*#REF!*#REF!))*$M$7)/F276)</f>
        <v/>
      </c>
      <c r="H276" s="164" t="str">
        <f>IF(F276="","",F276*G276)</f>
        <v/>
      </c>
      <c r="I276" t="s">
        <v>580</v>
      </c>
      <c r="J276" t="b">
        <f>AND(NOT(Compil[[#This Row],[Est ouvrage]]), NOT(ISBLANK(Compil[[#This Row],[ART.
CCTP]])))</f>
        <v>0</v>
      </c>
      <c r="K276" t="b">
        <f>OR(Compil[[#This Row],[Unité]]="U",Compil[[#This Row],[Unité]]="ens",Compil[[#This Row],[Unité]]="ml")</f>
        <v>0</v>
      </c>
      <c r="L276" t="b">
        <f>ISBLANK(Compil[[#This Row],[DESIGNATION]])</f>
        <v>1</v>
      </c>
      <c r="M276" s="358"/>
      <c r="N276" s="358"/>
      <c r="O276" s="358"/>
      <c r="P276" s="358"/>
      <c r="Q276" s="358">
        <f>COUNTIF(Compil[[Ma Désignation ]],Compil[[Ma Désignation ]])</f>
        <v>306</v>
      </c>
    </row>
    <row r="277" spans="1:17" ht="14">
      <c r="A277" s="303">
        <v>159</v>
      </c>
      <c r="B277" s="2" t="s">
        <v>564</v>
      </c>
      <c r="C277" s="225" t="s">
        <v>394</v>
      </c>
      <c r="D277" t="str">
        <f xml:space="preserve"> TRIM( SUBSTITUTE(SUBSTITUTE(SUBSTITUTE( Compil[[#This Row],[DESIGNATION]],"-",""),"–",""),"*",""))</f>
        <v>Attentes ventilateur local eau grise G1</v>
      </c>
      <c r="E277" s="189" t="s">
        <v>12</v>
      </c>
      <c r="F277" s="252">
        <v>1</v>
      </c>
      <c r="G277" s="289" t="e">
        <f>IF(F277="","",(((L277*$M$6)+(M277*#REF!*#REF!))*$M$7)/F277)</f>
        <v>#VALUE!</v>
      </c>
      <c r="H277" s="164" t="e">
        <f>IF(F277="","",F277*G277)</f>
        <v>#VALUE!</v>
      </c>
      <c r="I277" t="s">
        <v>580</v>
      </c>
      <c r="J277" t="b">
        <f>AND(NOT(Compil[[#This Row],[Est ouvrage]]), NOT(ISBLANK(Compil[[#This Row],[ART.
CCTP]])))</f>
        <v>0</v>
      </c>
      <c r="K277" t="b">
        <f>OR(Compil[[#This Row],[Unité]]="U",Compil[[#This Row],[Unité]]="ens",Compil[[#This Row],[Unité]]="ml")</f>
        <v>1</v>
      </c>
      <c r="L277" t="b">
        <f>ISBLANK(Compil[[#This Row],[DESIGNATION]])</f>
        <v>0</v>
      </c>
      <c r="M277" s="359"/>
      <c r="N277" s="358"/>
      <c r="O277" s="358"/>
      <c r="P277" s="358"/>
      <c r="Q277" s="358">
        <f>COUNTIF(Compil[[Ma Désignation ]],Compil[[Ma Désignation ]])</f>
        <v>1</v>
      </c>
    </row>
    <row r="278" spans="1:17" ht="14">
      <c r="A278" s="303">
        <v>160</v>
      </c>
      <c r="B278" s="2">
        <v>0.1</v>
      </c>
      <c r="C278" s="225" t="s">
        <v>395</v>
      </c>
      <c r="D278" t="str">
        <f xml:space="preserve"> TRIM( SUBSTITUTE(SUBSTITUTE(SUBSTITUTE( Compil[[#This Row],[DESIGNATION]],"-",""),"–",""),"*",""))</f>
        <v>Attentes ventilateur local eau grise G2</v>
      </c>
      <c r="E278" s="189" t="s">
        <v>12</v>
      </c>
      <c r="F278" s="252">
        <v>1</v>
      </c>
      <c r="G278" s="289" t="e">
        <f>IF(F278="","",(((L278*$M$6)+(M278*#REF!*#REF!))*$M$7)/F278)</f>
        <v>#VALUE!</v>
      </c>
      <c r="H278" s="164" t="e">
        <f>IF(F278="","",F278*G278)</f>
        <v>#VALUE!</v>
      </c>
      <c r="I278" t="s">
        <v>580</v>
      </c>
      <c r="J278" t="b">
        <f>AND(NOT(Compil[[#This Row],[Est ouvrage]]), NOT(ISBLANK(Compil[[#This Row],[ART.
CCTP]])))</f>
        <v>0</v>
      </c>
      <c r="K278" t="b">
        <f>OR(Compil[[#This Row],[Unité]]="U",Compil[[#This Row],[Unité]]="ens",Compil[[#This Row],[Unité]]="ml")</f>
        <v>1</v>
      </c>
      <c r="L278" t="b">
        <f>ISBLANK(Compil[[#This Row],[DESIGNATION]])</f>
        <v>0</v>
      </c>
      <c r="M278" s="359"/>
      <c r="N278" s="358"/>
      <c r="O278" s="358"/>
      <c r="P278" s="358"/>
      <c r="Q278" s="358">
        <f>COUNTIF(Compil[[Ma Désignation ]],Compil[[Ma Désignation ]])</f>
        <v>1</v>
      </c>
    </row>
    <row r="279" spans="1:17" ht="14">
      <c r="A279" s="303">
        <v>255</v>
      </c>
      <c r="B279" s="2"/>
      <c r="C279" s="225" t="s">
        <v>41</v>
      </c>
      <c r="D279" t="str">
        <f xml:space="preserve"> TRIM( SUBSTITUTE(SUBSTITUTE(SUBSTITUTE( Compil[[#This Row],[DESIGNATION]],"-",""),"–",""),"*",""))</f>
        <v>attestation COSAEL et dossier technique</v>
      </c>
      <c r="E279" s="216" t="s">
        <v>12</v>
      </c>
      <c r="F279" s="252">
        <v>1</v>
      </c>
      <c r="G279" s="289" t="e">
        <f>IF(F279="","",(((L279*$M$6)+(M279*#REF!*#REF!))*$M$7)/F279)</f>
        <v>#VALUE!</v>
      </c>
      <c r="H279" s="164" t="e">
        <f>IF(F279="","",F279*G279)</f>
        <v>#VALUE!</v>
      </c>
      <c r="I279" t="s">
        <v>580</v>
      </c>
      <c r="J279" t="b">
        <f>AND(NOT(Compil[[#This Row],[Est ouvrage]]), NOT(ISBLANK(Compil[[#This Row],[ART.
CCTP]])))</f>
        <v>0</v>
      </c>
      <c r="K279" t="b">
        <f>OR(Compil[[#This Row],[Unité]]="U",Compil[[#This Row],[Unité]]="ens",Compil[[#This Row],[Unité]]="ml")</f>
        <v>1</v>
      </c>
      <c r="L279" t="b">
        <f>ISBLANK(Compil[[#This Row],[DESIGNATION]])</f>
        <v>0</v>
      </c>
      <c r="M279" s="359"/>
      <c r="N279" s="358"/>
      <c r="O279" s="358"/>
      <c r="P279" s="358"/>
      <c r="Q279" s="358">
        <f>COUNTIF(Compil[[Ma Désignation ]],Compil[[Ma Désignation ]])</f>
        <v>2</v>
      </c>
    </row>
    <row r="280" spans="1:17" ht="14">
      <c r="A280" s="312">
        <v>890</v>
      </c>
      <c r="B280" s="19"/>
      <c r="C280" s="90" t="s">
        <v>41</v>
      </c>
      <c r="D280" t="str">
        <f xml:space="preserve"> TRIM( SUBSTITUTE(SUBSTITUTE(SUBSTITUTE( Compil[[#This Row],[DESIGNATION]],"-",""),"–",""),"*",""))</f>
        <v>attestation COSAEL et dossier technique</v>
      </c>
      <c r="E280" s="33" t="s">
        <v>12</v>
      </c>
      <c r="F280" s="262">
        <v>1</v>
      </c>
      <c r="G280" s="289">
        <v>0</v>
      </c>
      <c r="H280" s="164">
        <v>0</v>
      </c>
      <c r="I280" t="s">
        <v>578</v>
      </c>
      <c r="J280" t="b">
        <f>AND(NOT(Compil[[#This Row],[Est ouvrage]]), NOT(ISBLANK(Compil[[#This Row],[ART.
CCTP]])))</f>
        <v>0</v>
      </c>
      <c r="K280" t="b">
        <f>OR(Compil[[#This Row],[Unité]]="U",Compil[[#This Row],[Unité]]="ens",Compil[[#This Row],[Unité]]="ml")</f>
        <v>1</v>
      </c>
      <c r="L280" t="b">
        <f>ISBLANK(Compil[[#This Row],[DESIGNATION]])</f>
        <v>0</v>
      </c>
      <c r="M280" s="359"/>
      <c r="N280" s="358"/>
      <c r="O280" s="358"/>
      <c r="P280" s="358"/>
      <c r="Q280" s="358">
        <f>COUNTIF(Compil[[Ma Désignation ]],Compil[[Ma Désignation ]])</f>
        <v>2</v>
      </c>
    </row>
    <row r="281" spans="1:17" ht="14">
      <c r="A281" s="303">
        <v>276</v>
      </c>
      <c r="B281" s="179"/>
      <c r="C281" s="225" t="s">
        <v>342</v>
      </c>
      <c r="D281" t="str">
        <f xml:space="preserve"> TRIM( SUBSTITUTE(SUBSTITUTE(SUBSTITUTE( Compil[[#This Row],[DESIGNATION]],"-",""),"–",""),"*",""))</f>
        <v>alimentation des portes motorisées des hall</v>
      </c>
      <c r="E281" s="216" t="s">
        <v>33</v>
      </c>
      <c r="F281" s="252"/>
      <c r="G281" s="289" t="str">
        <f>IF(F281="","",(((L281*$M$6)+(M281*#REF!*#REF!))*$M$7)/F281)</f>
        <v/>
      </c>
      <c r="H281" s="164" t="str">
        <f>IF(F281="","",F281*G281)</f>
        <v/>
      </c>
      <c r="I281" t="s">
        <v>580</v>
      </c>
      <c r="J281" t="b">
        <f>AND(NOT(Compil[[#This Row],[Est ouvrage]]), NOT(ISBLANK(Compil[[#This Row],[ART.
CCTP]])))</f>
        <v>0</v>
      </c>
      <c r="K281" t="b">
        <f>OR(Compil[[#This Row],[Unité]]="U",Compil[[#This Row],[Unité]]="ens",Compil[[#This Row],[Unité]]="ml")</f>
        <v>0</v>
      </c>
      <c r="L281" t="b">
        <f>ISBLANK(Compil[[#This Row],[DESIGNATION]])</f>
        <v>0</v>
      </c>
      <c r="M281" s="359"/>
      <c r="N281" s="358"/>
      <c r="O281" s="358"/>
      <c r="P281" s="358"/>
      <c r="Q281" s="358">
        <f>COUNTIF(Compil[[Ma Désignation ]],Compil[[Ma Désignation ]])</f>
        <v>1</v>
      </c>
    </row>
    <row r="282" spans="1:17" ht="14">
      <c r="A282" s="303">
        <v>279</v>
      </c>
      <c r="B282" s="179"/>
      <c r="C282" s="225" t="s">
        <v>47</v>
      </c>
      <c r="D282" t="str">
        <f xml:space="preserve"> TRIM( SUBSTITUTE(SUBSTITUTE(SUBSTITUTE( Compil[[#This Row],[DESIGNATION]],"-",""),"–",""),"*",""))</f>
        <v>badges de proximité</v>
      </c>
      <c r="E282" s="216" t="s">
        <v>13</v>
      </c>
      <c r="F282" s="252">
        <f>(QTE!D255+QTE!J255+QTE!P255+QTE!V255+QTE!D264+QTE!D265+QTE!E255+QTE!K255+QTE!Q255+QTE!W255)*2+(QTE!F255+QTE!L255+QTE!R255+QTE!X255+QTE!F265)*3+(QTE!G255+QTE!M255+QTE!S255+QTE!Y255)*4+(QTE!H255+QTE!N255+QTE!T255+QTE!Z255)*5+15</f>
        <v>15</v>
      </c>
      <c r="G282" s="289" t="e">
        <f>IF(F282="","",(((L282*$M$6)+(M282*#REF!*#REF!))*$M$7)/F282)</f>
        <v>#VALUE!</v>
      </c>
      <c r="H282" s="164" t="e">
        <f>IF(F282="","",F282*G282)</f>
        <v>#VALUE!</v>
      </c>
      <c r="I282" t="s">
        <v>580</v>
      </c>
      <c r="J282" t="b">
        <f>AND(NOT(Compil[[#This Row],[Est ouvrage]]), NOT(ISBLANK(Compil[[#This Row],[ART.
CCTP]])))</f>
        <v>0</v>
      </c>
      <c r="K282" t="b">
        <f>OR(Compil[[#This Row],[Unité]]="U",Compil[[#This Row],[Unité]]="ens",Compil[[#This Row],[Unité]]="ml")</f>
        <v>1</v>
      </c>
      <c r="L282" t="b">
        <f>ISBLANK(Compil[[#This Row],[DESIGNATION]])</f>
        <v>0</v>
      </c>
      <c r="M282" s="359"/>
      <c r="N282" s="358"/>
      <c r="O282" s="358"/>
      <c r="P282" s="358"/>
      <c r="Q282" s="358">
        <f>COUNTIF(Compil[[Ma Désignation ]],Compil[[Ma Désignation ]])</f>
        <v>2</v>
      </c>
    </row>
    <row r="283" spans="1:17" ht="14">
      <c r="A283" s="303">
        <v>278</v>
      </c>
      <c r="B283" s="179"/>
      <c r="C283" s="225"/>
      <c r="D283" t="str">
        <f xml:space="preserve"> TRIM( SUBSTITUTE(SUBSTITUTE(SUBSTITUTE( Compil[[#This Row],[DESIGNATION]],"-",""),"–",""),"*",""))</f>
        <v/>
      </c>
      <c r="E283" s="216"/>
      <c r="F283" s="252"/>
      <c r="G283" s="289" t="str">
        <f>IF(F283="","",(((L283*$M$6)+(M283*#REF!*#REF!))*$M$7)/F283)</f>
        <v/>
      </c>
      <c r="H283" s="164" t="str">
        <f>IF(F283="","",F283*G283)</f>
        <v/>
      </c>
      <c r="I283" t="s">
        <v>580</v>
      </c>
      <c r="J283" t="b">
        <f>AND(NOT(Compil[[#This Row],[Est ouvrage]]), NOT(ISBLANK(Compil[[#This Row],[ART.
CCTP]])))</f>
        <v>0</v>
      </c>
      <c r="K283" t="b">
        <f>OR(Compil[[#This Row],[Unité]]="U",Compil[[#This Row],[Unité]]="ens",Compil[[#This Row],[Unité]]="ml")</f>
        <v>0</v>
      </c>
      <c r="L283" t="b">
        <f>ISBLANK(Compil[[#This Row],[DESIGNATION]])</f>
        <v>1</v>
      </c>
      <c r="M283" s="358"/>
      <c r="N283" s="358"/>
      <c r="O283" s="358"/>
      <c r="P283" s="358"/>
      <c r="Q283" s="358">
        <f>COUNTIF(Compil[[Ma Désignation ]],Compil[[Ma Désignation ]])</f>
        <v>306</v>
      </c>
    </row>
    <row r="284" spans="1:17" ht="14">
      <c r="A284" s="312">
        <v>913</v>
      </c>
      <c r="B284" s="17"/>
      <c r="C284" s="90" t="s">
        <v>47</v>
      </c>
      <c r="D284" t="str">
        <f xml:space="preserve"> TRIM( SUBSTITUTE(SUBSTITUTE(SUBSTITUTE( Compil[[#This Row],[DESIGNATION]],"-",""),"–",""),"*",""))</f>
        <v>badges de proximité</v>
      </c>
      <c r="E284" s="33" t="s">
        <v>13</v>
      </c>
      <c r="F284" s="262">
        <v>45</v>
      </c>
      <c r="G284" s="289">
        <v>0</v>
      </c>
      <c r="H284" s="164">
        <v>0</v>
      </c>
      <c r="I284" t="s">
        <v>578</v>
      </c>
      <c r="J284" t="b">
        <f>AND(NOT(Compil[[#This Row],[Est ouvrage]]), NOT(ISBLANK(Compil[[#This Row],[ART.
CCTP]])))</f>
        <v>0</v>
      </c>
      <c r="K284" t="b">
        <f>OR(Compil[[#This Row],[Unité]]="U",Compil[[#This Row],[Unité]]="ens",Compil[[#This Row],[Unité]]="ml")</f>
        <v>1</v>
      </c>
      <c r="L284" t="b">
        <f>ISBLANK(Compil[[#This Row],[DESIGNATION]])</f>
        <v>0</v>
      </c>
      <c r="M284" s="359"/>
      <c r="N284" s="358"/>
      <c r="O284" s="358"/>
      <c r="P284" s="358"/>
      <c r="Q284" s="358">
        <f>COUNTIF(Compil[[Ma Désignation ]],Compil[[Ma Désignation ]])</f>
        <v>2</v>
      </c>
    </row>
    <row r="285" spans="1:17" ht="14">
      <c r="A285" s="303">
        <v>280</v>
      </c>
      <c r="B285" s="179"/>
      <c r="C285" s="225"/>
      <c r="D285" t="str">
        <f xml:space="preserve"> TRIM( SUBSTITUTE(SUBSTITUTE(SUBSTITUTE( Compil[[#This Row],[DESIGNATION]],"-",""),"–",""),"*",""))</f>
        <v/>
      </c>
      <c r="E285" s="216"/>
      <c r="F285" s="252"/>
      <c r="G285" s="289" t="str">
        <f>IF(F285="","",(((L285*$M$6)+(M285*#REF!*#REF!))*$M$7)/F285)</f>
        <v/>
      </c>
      <c r="H285" s="164" t="str">
        <f>IF(F285="","",F285*G285)</f>
        <v/>
      </c>
      <c r="I285" t="s">
        <v>580</v>
      </c>
      <c r="J285" t="b">
        <f>AND(NOT(Compil[[#This Row],[Est ouvrage]]), NOT(ISBLANK(Compil[[#This Row],[ART.
CCTP]])))</f>
        <v>0</v>
      </c>
      <c r="K285" t="b">
        <f>OR(Compil[[#This Row],[Unité]]="U",Compil[[#This Row],[Unité]]="ens",Compil[[#This Row],[Unité]]="ml")</f>
        <v>0</v>
      </c>
      <c r="L285" t="b">
        <f>ISBLANK(Compil[[#This Row],[DESIGNATION]])</f>
        <v>1</v>
      </c>
      <c r="M285" s="358"/>
      <c r="N285" s="358"/>
      <c r="O285" s="358"/>
      <c r="P285" s="358"/>
      <c r="Q285" s="358">
        <f>COUNTIF(Compil[[Ma Désignation ]],Compil[[Ma Désignation ]])</f>
        <v>306</v>
      </c>
    </row>
    <row r="286" spans="1:17" ht="14">
      <c r="A286" s="303">
        <v>86</v>
      </c>
      <c r="B286" s="2"/>
      <c r="C286" s="239" t="s">
        <v>14</v>
      </c>
      <c r="D286" t="str">
        <f xml:space="preserve"> TRIM( SUBSTITUTE(SUBSTITUTE(SUBSTITUTE( Compil[[#This Row],[DESIGNATION]],"-",""),"–",""),"*",""))</f>
        <v>barrette de mesure</v>
      </c>
      <c r="E286" s="216" t="s">
        <v>13</v>
      </c>
      <c r="F286" s="252">
        <v>1</v>
      </c>
      <c r="G286" s="289" t="e">
        <f>IF(F286="","",(((L286*$M$6)+(M286*#REF!*#REF!))*$M$7)/F286)</f>
        <v>#VALUE!</v>
      </c>
      <c r="H286" s="164" t="e">
        <f>IF(F286="","",F286*G286)</f>
        <v>#VALUE!</v>
      </c>
      <c r="I286" t="s">
        <v>580</v>
      </c>
      <c r="J286" t="b">
        <f>AND(NOT(Compil[[#This Row],[Est ouvrage]]), NOT(ISBLANK(Compil[[#This Row],[ART.
CCTP]])))</f>
        <v>0</v>
      </c>
      <c r="K286" t="b">
        <f>OR(Compil[[#This Row],[Unité]]="U",Compil[[#This Row],[Unité]]="ens",Compil[[#This Row],[Unité]]="ml")</f>
        <v>1</v>
      </c>
      <c r="L286" t="b">
        <f>ISBLANK(Compil[[#This Row],[DESIGNATION]])</f>
        <v>0</v>
      </c>
      <c r="M286" s="359"/>
      <c r="N286" s="358"/>
      <c r="O286" s="358"/>
      <c r="P286" s="358"/>
      <c r="Q286" s="358">
        <f>COUNTIF(Compil[[Ma Désignation ]],Compil[[Ma Désignation ]])</f>
        <v>2</v>
      </c>
    </row>
    <row r="287" spans="1:17" ht="14">
      <c r="A287" s="312">
        <v>776</v>
      </c>
      <c r="B287" s="19"/>
      <c r="C287" s="90" t="s">
        <v>14</v>
      </c>
      <c r="D287" t="str">
        <f xml:space="preserve"> TRIM( SUBSTITUTE(SUBSTITUTE(SUBSTITUTE( Compil[[#This Row],[DESIGNATION]],"-",""),"–",""),"*",""))</f>
        <v>barrette de mesure</v>
      </c>
      <c r="E287" s="33" t="s">
        <v>13</v>
      </c>
      <c r="F287" s="262">
        <v>1</v>
      </c>
      <c r="G287" s="289">
        <v>0</v>
      </c>
      <c r="H287" s="164">
        <v>0</v>
      </c>
      <c r="I287" t="s">
        <v>578</v>
      </c>
      <c r="J287" t="b">
        <f>AND(NOT(Compil[[#This Row],[Est ouvrage]]), NOT(ISBLANK(Compil[[#This Row],[ART.
CCTP]])))</f>
        <v>0</v>
      </c>
      <c r="K287" t="b">
        <f>OR(Compil[[#This Row],[Unité]]="U",Compil[[#This Row],[Unité]]="ens",Compil[[#This Row],[Unité]]="ml")</f>
        <v>1</v>
      </c>
      <c r="L287" t="b">
        <f>ISBLANK(Compil[[#This Row],[DESIGNATION]])</f>
        <v>0</v>
      </c>
      <c r="M287" s="359"/>
      <c r="N287" s="358"/>
      <c r="O287" s="358"/>
      <c r="P287" s="358"/>
      <c r="Q287" s="358">
        <f>COUNTIF(Compil[[Ma Désignation ]],Compil[[Ma Désignation ]])</f>
        <v>2</v>
      </c>
    </row>
    <row r="288" spans="1:17" ht="14">
      <c r="A288" s="303">
        <v>283</v>
      </c>
      <c r="B288" s="2"/>
      <c r="C288" s="220"/>
      <c r="D288" t="str">
        <f xml:space="preserve"> TRIM( SUBSTITUTE(SUBSTITUTE(SUBSTITUTE( Compil[[#This Row],[DESIGNATION]],"-",""),"–",""),"*",""))</f>
        <v/>
      </c>
      <c r="E288" s="216"/>
      <c r="F288" s="252"/>
      <c r="G288" s="289" t="str">
        <f>IF(F288="","",(((L288*$M$6)+(M288*#REF!*#REF!))*$M$7)/F288)</f>
        <v/>
      </c>
      <c r="H288" s="164" t="str">
        <f>IF(F288="","",F288*G288)</f>
        <v/>
      </c>
      <c r="I288" t="s">
        <v>580</v>
      </c>
      <c r="J288" t="b">
        <f>AND(NOT(Compil[[#This Row],[Est ouvrage]]), NOT(ISBLANK(Compil[[#This Row],[ART.
CCTP]])))</f>
        <v>0</v>
      </c>
      <c r="K288" t="b">
        <f>OR(Compil[[#This Row],[Unité]]="U",Compil[[#This Row],[Unité]]="ens",Compil[[#This Row],[Unité]]="ml")</f>
        <v>0</v>
      </c>
      <c r="L288" t="b">
        <f>ISBLANK(Compil[[#This Row],[DESIGNATION]])</f>
        <v>1</v>
      </c>
      <c r="M288" s="358"/>
      <c r="N288" s="358"/>
      <c r="O288" s="358"/>
      <c r="P288" s="358"/>
      <c r="Q288" s="358">
        <f>COUNTIF(Compil[[Ma Désignation ]],Compil[[Ma Désignation ]])</f>
        <v>306</v>
      </c>
    </row>
    <row r="289" spans="1:17" ht="14">
      <c r="A289" s="303">
        <v>284</v>
      </c>
      <c r="B289" s="2"/>
      <c r="C289" s="394" t="s">
        <v>115</v>
      </c>
      <c r="D289" t="str">
        <f xml:space="preserve"> TRIM( SUBSTITUTE(SUBSTITUTE(SUBSTITUTE( Compil[[#This Row],[DESIGNATION]],"-",""),"–",""),"*",""))</f>
        <v>Sous total 2.14</v>
      </c>
      <c r="E289" s="216"/>
      <c r="F289" s="252"/>
      <c r="G289" s="289" t="str">
        <f>IF(F289="","",(((L289*$M$6)+(M289*#REF!*#REF!))*$M$7)/F289)</f>
        <v/>
      </c>
      <c r="H289" s="164" t="str">
        <f>IF(F289="","",F289*G289)</f>
        <v/>
      </c>
      <c r="I289" t="s">
        <v>580</v>
      </c>
      <c r="J289" t="b">
        <f>AND(NOT(Compil[[#This Row],[Est ouvrage]]), NOT(ISBLANK(Compil[[#This Row],[ART.
CCTP]])))</f>
        <v>0</v>
      </c>
      <c r="K289" t="b">
        <f>OR(Compil[[#This Row],[Unité]]="U",Compil[[#This Row],[Unité]]="ens",Compil[[#This Row],[Unité]]="ml")</f>
        <v>0</v>
      </c>
      <c r="L289" t="b">
        <f>ISBLANK(Compil[[#This Row],[DESIGNATION]])</f>
        <v>0</v>
      </c>
      <c r="M289" s="359"/>
      <c r="N289" s="358"/>
      <c r="O289" s="358"/>
      <c r="P289" s="358"/>
      <c r="Q289" s="358">
        <f>COUNTIF(Compil[[Ma Désignation ]],Compil[[Ma Désignation ]])</f>
        <v>1</v>
      </c>
    </row>
    <row r="290" spans="1:17" ht="14">
      <c r="A290" s="303">
        <v>285</v>
      </c>
      <c r="B290" s="2" t="s">
        <v>86</v>
      </c>
      <c r="C290" s="188" t="s">
        <v>456</v>
      </c>
      <c r="D290" t="str">
        <f xml:space="preserve"> TRIM( SUBSTITUTE(SUBSTITUTE(SUBSTITUTE( Compil[[#This Row],[DESIGNATION]],"-",""),"–",""),"*",""))</f>
        <v>Equipement des locaux communs et commerciaux</v>
      </c>
      <c r="E290" s="189"/>
      <c r="F290" s="252"/>
      <c r="G290" s="289" t="str">
        <f>IF(F290="","",(((L290*$M$6)+(M290*#REF!*#REF!))*$M$7)/F290)</f>
        <v/>
      </c>
      <c r="H290" s="164" t="str">
        <f>IF(F290="","",F290*G290)</f>
        <v/>
      </c>
      <c r="I290" t="s">
        <v>580</v>
      </c>
      <c r="J290" t="b">
        <f>AND(NOT(Compil[[#This Row],[Est ouvrage]]), NOT(ISBLANK(Compil[[#This Row],[ART.
CCTP]])))</f>
        <v>1</v>
      </c>
      <c r="K290" t="b">
        <f>OR(Compil[[#This Row],[Unité]]="U",Compil[[#This Row],[Unité]]="ens",Compil[[#This Row],[Unité]]="ml")</f>
        <v>0</v>
      </c>
      <c r="L290" t="b">
        <f>ISBLANK(Compil[[#This Row],[DESIGNATION]])</f>
        <v>0</v>
      </c>
      <c r="M290" s="359"/>
      <c r="N290" s="358"/>
      <c r="O290" s="358"/>
      <c r="P290" s="358"/>
      <c r="Q290" s="358">
        <f>COUNTIF(Compil[[Ma Désignation ]],Compil[[Ma Désignation ]])</f>
        <v>1</v>
      </c>
    </row>
    <row r="291" spans="1:17" ht="14">
      <c r="A291" s="303">
        <v>286</v>
      </c>
      <c r="B291" s="2"/>
      <c r="C291" s="206"/>
      <c r="D291" t="str">
        <f xml:space="preserve"> TRIM( SUBSTITUTE(SUBSTITUTE(SUBSTITUTE( Compil[[#This Row],[DESIGNATION]],"-",""),"–",""),"*",""))</f>
        <v/>
      </c>
      <c r="E291" s="189"/>
      <c r="F291" s="252"/>
      <c r="G291" s="289" t="str">
        <f>IF(F291="","",(((L291*$M$6)+(M291*#REF!*#REF!))*$M$7)/F291)</f>
        <v/>
      </c>
      <c r="H291" s="164" t="str">
        <f>IF(F291="","",F291*G291)</f>
        <v/>
      </c>
      <c r="I291" t="s">
        <v>580</v>
      </c>
      <c r="J291" t="b">
        <f>AND(NOT(Compil[[#This Row],[Est ouvrage]]), NOT(ISBLANK(Compil[[#This Row],[ART.
CCTP]])))</f>
        <v>0</v>
      </c>
      <c r="K291" t="b">
        <f>OR(Compil[[#This Row],[Unité]]="U",Compil[[#This Row],[Unité]]="ens",Compil[[#This Row],[Unité]]="ml")</f>
        <v>0</v>
      </c>
      <c r="L291" t="b">
        <f>ISBLANK(Compil[[#This Row],[DESIGNATION]])</f>
        <v>1</v>
      </c>
      <c r="M291" s="358"/>
      <c r="N291" s="358"/>
      <c r="O291" s="358"/>
      <c r="P291" s="358"/>
      <c r="Q291" s="358">
        <f>COUNTIF(Compil[[Ma Désignation ]],Compil[[Ma Désignation ]])</f>
        <v>306</v>
      </c>
    </row>
    <row r="292" spans="1:17" ht="14">
      <c r="A292" s="312">
        <v>830</v>
      </c>
      <c r="B292" s="19"/>
      <c r="C292" s="88" t="s">
        <v>408</v>
      </c>
      <c r="D292" t="str">
        <f xml:space="preserve"> TRIM( SUBSTITUTE(SUBSTITUTE(SUBSTITUTE( Compil[[#This Row],[DESIGNATION]],"-",""),"–",""),"*",""))</f>
        <v>Bloc autonome type bifonction BEAS/BAEH SATI</v>
      </c>
      <c r="E292" s="57" t="s">
        <v>13</v>
      </c>
      <c r="F292" s="262">
        <v>28</v>
      </c>
      <c r="G292" s="289">
        <v>0</v>
      </c>
      <c r="H292" s="164">
        <v>0</v>
      </c>
      <c r="I292" t="s">
        <v>578</v>
      </c>
      <c r="J292" t="b">
        <f>AND(NOT(Compil[[#This Row],[Est ouvrage]]), NOT(ISBLANK(Compil[[#This Row],[ART.
CCTP]])))</f>
        <v>0</v>
      </c>
      <c r="K292" t="b">
        <f>OR(Compil[[#This Row],[Unité]]="U",Compil[[#This Row],[Unité]]="ens",Compil[[#This Row],[Unité]]="ml")</f>
        <v>1</v>
      </c>
      <c r="L292" t="b">
        <f>ISBLANK(Compil[[#This Row],[DESIGNATION]])</f>
        <v>0</v>
      </c>
      <c r="M292" s="359"/>
      <c r="N292" s="358"/>
      <c r="O292" s="358"/>
      <c r="P292" s="358"/>
      <c r="Q292" s="358">
        <f>COUNTIF(Compil[[Ma Désignation ]],Compil[[Ma Désignation ]])</f>
        <v>1</v>
      </c>
    </row>
    <row r="293" spans="1:17" ht="14">
      <c r="A293" s="312">
        <v>831</v>
      </c>
      <c r="B293" s="19"/>
      <c r="C293" s="88" t="s">
        <v>409</v>
      </c>
      <c r="D293" t="str">
        <f xml:space="preserve"> TRIM( SUBSTITUTE(SUBSTITUTE(SUBSTITUTE( Compil[[#This Row],[DESIGNATION]],"-",""),"–",""),"*",""))</f>
        <v>Bloc autonome type evacuation SATI 45lm</v>
      </c>
      <c r="E293" s="57" t="s">
        <v>13</v>
      </c>
      <c r="F293" s="262"/>
      <c r="G293" s="289" t="s">
        <v>571</v>
      </c>
      <c r="H293" s="164" t="s">
        <v>571</v>
      </c>
      <c r="I293" t="s">
        <v>578</v>
      </c>
      <c r="J293" t="b">
        <f>AND(NOT(Compil[[#This Row],[Est ouvrage]]), NOT(ISBLANK(Compil[[#This Row],[ART.
CCTP]])))</f>
        <v>0</v>
      </c>
      <c r="K293" t="b">
        <f>OR(Compil[[#This Row],[Unité]]="U",Compil[[#This Row],[Unité]]="ens",Compil[[#This Row],[Unité]]="ml")</f>
        <v>1</v>
      </c>
      <c r="L293" t="b">
        <f>ISBLANK(Compil[[#This Row],[DESIGNATION]])</f>
        <v>0</v>
      </c>
      <c r="M293" s="359"/>
      <c r="N293" s="358"/>
      <c r="O293" s="358"/>
      <c r="P293" s="358"/>
      <c r="Q293" s="358">
        <f>COUNTIF(Compil[[Ma Désignation ]],Compil[[Ma Désignation ]])</f>
        <v>1</v>
      </c>
    </row>
    <row r="294" spans="1:17" ht="14">
      <c r="A294" s="303">
        <v>192</v>
      </c>
      <c r="B294" s="2"/>
      <c r="C294" s="206" t="s">
        <v>62</v>
      </c>
      <c r="D294" t="str">
        <f xml:space="preserve"> TRIM( SUBSTITUTE(SUBSTITUTE(SUBSTITUTE( Compil[[#This Row],[DESIGNATION]],"-",""),"–",""),"*",""))</f>
        <v>Bloc autonome type evacuation SATI 45lm Ip66 IK 10</v>
      </c>
      <c r="E294" s="216" t="s">
        <v>13</v>
      </c>
      <c r="F294" s="252">
        <f>QTE!J156+QTE!J157</f>
        <v>36</v>
      </c>
      <c r="G294" s="289" t="e">
        <f>IF(F294="","",(((L294*$M$6)+(M294*#REF!*#REF!))*$M$7)/F294)</f>
        <v>#VALUE!</v>
      </c>
      <c r="H294" s="164" t="e">
        <f>IF(F294="","",F294*G294)</f>
        <v>#VALUE!</v>
      </c>
      <c r="I294" t="s">
        <v>580</v>
      </c>
      <c r="J294" t="b">
        <f>AND(NOT(Compil[[#This Row],[Est ouvrage]]), NOT(ISBLANK(Compil[[#This Row],[ART.
CCTP]])))</f>
        <v>0</v>
      </c>
      <c r="K294" t="b">
        <f>OR(Compil[[#This Row],[Unité]]="U",Compil[[#This Row],[Unité]]="ens",Compil[[#This Row],[Unité]]="ml")</f>
        <v>1</v>
      </c>
      <c r="L294" t="b">
        <f>ISBLANK(Compil[[#This Row],[DESIGNATION]])</f>
        <v>0</v>
      </c>
      <c r="M294" s="359"/>
      <c r="N294" s="358"/>
      <c r="O294" s="358"/>
      <c r="P294" s="358"/>
      <c r="Q294" s="358">
        <f>COUNTIF(Compil[[Ma Désignation ]],Compil[[Ma Désignation ]])</f>
        <v>1</v>
      </c>
    </row>
    <row r="295" spans="1:17" ht="14">
      <c r="A295" s="303">
        <v>191</v>
      </c>
      <c r="B295" s="2"/>
      <c r="C295" s="206" t="s">
        <v>67</v>
      </c>
      <c r="D295" t="str">
        <f xml:space="preserve"> TRIM( SUBSTITUTE(SUBSTITUTE(SUBSTITUTE( Compil[[#This Row],[DESIGNATION]],"-",""),"–",""),"*",""))</f>
        <v>Bloc autonome type habitation SATI 8lm 5h</v>
      </c>
      <c r="E295" s="216" t="s">
        <v>13</v>
      </c>
      <c r="F295" s="252">
        <f>QTE!J159</f>
        <v>3</v>
      </c>
      <c r="G295" s="289" t="e">
        <f>IF(F295="","",(((L295*$M$6)+(M295*#REF!*#REF!))*$M$7)/F295)</f>
        <v>#VALUE!</v>
      </c>
      <c r="H295" s="164" t="e">
        <f>IF(F295="","",F295*G295)</f>
        <v>#VALUE!</v>
      </c>
      <c r="I295" t="s">
        <v>580</v>
      </c>
      <c r="J295" t="b">
        <f>AND(NOT(Compil[[#This Row],[Est ouvrage]]), NOT(ISBLANK(Compil[[#This Row],[ART.
CCTP]])))</f>
        <v>0</v>
      </c>
      <c r="K295" t="b">
        <f>OR(Compil[[#This Row],[Unité]]="U",Compil[[#This Row],[Unité]]="ens",Compil[[#This Row],[Unité]]="ml")</f>
        <v>1</v>
      </c>
      <c r="L295" t="b">
        <f>ISBLANK(Compil[[#This Row],[DESIGNATION]])</f>
        <v>0</v>
      </c>
      <c r="M295" s="359"/>
      <c r="N295" s="358"/>
      <c r="O295" s="358"/>
      <c r="P295" s="358"/>
      <c r="Q295" s="358">
        <f>COUNTIF(Compil[[Ma Désignation ]],Compil[[Ma Désignation ]])</f>
        <v>1</v>
      </c>
    </row>
    <row r="296" spans="1:17" ht="14">
      <c r="A296" s="303">
        <v>291</v>
      </c>
      <c r="B296" s="2"/>
      <c r="C296" s="206"/>
      <c r="D296" t="str">
        <f xml:space="preserve"> TRIM( SUBSTITUTE(SUBSTITUTE(SUBSTITUTE( Compil[[#This Row],[DESIGNATION]],"-",""),"–",""),"*",""))</f>
        <v/>
      </c>
      <c r="E296" s="189"/>
      <c r="F296" s="252"/>
      <c r="G296" s="289" t="str">
        <f>IF(F296="","",(((L296*$M$6)+(M296*#REF!*#REF!))*$M$7)/F296)</f>
        <v/>
      </c>
      <c r="H296" s="164" t="str">
        <f>IF(F296="","",F296*G296)</f>
        <v/>
      </c>
      <c r="I296" t="s">
        <v>580</v>
      </c>
      <c r="J296" t="b">
        <f>AND(NOT(Compil[[#This Row],[Est ouvrage]]), NOT(ISBLANK(Compil[[#This Row],[ART.
CCTP]])))</f>
        <v>0</v>
      </c>
      <c r="K296" t="b">
        <f>OR(Compil[[#This Row],[Unité]]="U",Compil[[#This Row],[Unité]]="ens",Compil[[#This Row],[Unité]]="ml")</f>
        <v>0</v>
      </c>
      <c r="L296" t="b">
        <f>ISBLANK(Compil[[#This Row],[DESIGNATION]])</f>
        <v>1</v>
      </c>
      <c r="M296" s="358"/>
      <c r="N296" s="358"/>
      <c r="O296" s="358"/>
      <c r="P296" s="358"/>
      <c r="Q296" s="358">
        <f>COUNTIF(Compil[[Ma Désignation ]],Compil[[Ma Désignation ]])</f>
        <v>306</v>
      </c>
    </row>
    <row r="297" spans="1:17" ht="14">
      <c r="A297" s="303">
        <v>193</v>
      </c>
      <c r="B297" s="2"/>
      <c r="C297" s="206" t="s">
        <v>88</v>
      </c>
      <c r="D297" t="str">
        <f xml:space="preserve"> TRIM( SUBSTITUTE(SUBSTITUTE(SUBSTITUTE( Compil[[#This Row],[DESIGNATION]],"-",""),"–",""),"*",""))</f>
        <v>Bloc portatif</v>
      </c>
      <c r="E297" s="216" t="s">
        <v>13</v>
      </c>
      <c r="F297" s="252">
        <f>QTE!J161-'BATIMENT SOHO-ELEC 1'!D116</f>
        <v>2</v>
      </c>
      <c r="G297" s="289" t="e">
        <f>IF(F297="","",(((L297*$M$6)+(M297*#REF!*#REF!))*$M$7)/F297)</f>
        <v>#VALUE!</v>
      </c>
      <c r="H297" s="164" t="e">
        <f>IF(F297="","",F297*G297)</f>
        <v>#VALUE!</v>
      </c>
      <c r="I297" t="s">
        <v>580</v>
      </c>
      <c r="J297" t="b">
        <f>AND(NOT(Compil[[#This Row],[Est ouvrage]]), NOT(ISBLANK(Compil[[#This Row],[ART.
CCTP]])))</f>
        <v>0</v>
      </c>
      <c r="K297" t="b">
        <f>OR(Compil[[#This Row],[Unité]]="U",Compil[[#This Row],[Unité]]="ens",Compil[[#This Row],[Unité]]="ml")</f>
        <v>1</v>
      </c>
      <c r="L297" t="b">
        <f>ISBLANK(Compil[[#This Row],[DESIGNATION]])</f>
        <v>0</v>
      </c>
      <c r="M297" s="359"/>
      <c r="N297" s="358"/>
      <c r="O297" s="358"/>
      <c r="P297" s="358"/>
      <c r="Q297" s="358">
        <f>COUNTIF(Compil[[Ma Désignation ]],Compil[[Ma Désignation ]])</f>
        <v>2</v>
      </c>
    </row>
    <row r="298" spans="1:17" ht="14">
      <c r="A298" s="312">
        <v>832</v>
      </c>
      <c r="B298" s="19"/>
      <c r="C298" s="88" t="s">
        <v>88</v>
      </c>
      <c r="D298" t="str">
        <f xml:space="preserve"> TRIM( SUBSTITUTE(SUBSTITUTE(SUBSTITUTE( Compil[[#This Row],[DESIGNATION]],"-",""),"–",""),"*",""))</f>
        <v>Bloc portatif</v>
      </c>
      <c r="E298" s="57" t="s">
        <v>13</v>
      </c>
      <c r="F298" s="262">
        <v>2</v>
      </c>
      <c r="G298" s="289">
        <v>0</v>
      </c>
      <c r="H298" s="164">
        <v>0</v>
      </c>
      <c r="I298" t="s">
        <v>578</v>
      </c>
      <c r="J298" t="b">
        <f>AND(NOT(Compil[[#This Row],[Est ouvrage]]), NOT(ISBLANK(Compil[[#This Row],[ART.
CCTP]])))</f>
        <v>0</v>
      </c>
      <c r="K298" t="b">
        <f>OR(Compil[[#This Row],[Unité]]="U",Compil[[#This Row],[Unité]]="ens",Compil[[#This Row],[Unité]]="ml")</f>
        <v>1</v>
      </c>
      <c r="L298" t="b">
        <f>ISBLANK(Compil[[#This Row],[DESIGNATION]])</f>
        <v>0</v>
      </c>
      <c r="M298" s="359"/>
      <c r="N298" s="358"/>
      <c r="O298" s="358"/>
      <c r="P298" s="358"/>
      <c r="Q298" s="358">
        <f>COUNTIF(Compil[[Ma Désignation ]],Compil[[Ma Désignation ]])</f>
        <v>2</v>
      </c>
    </row>
    <row r="299" spans="1:17" ht="14">
      <c r="A299" s="303">
        <v>69</v>
      </c>
      <c r="B299" s="2"/>
      <c r="C299" s="186" t="s">
        <v>145</v>
      </c>
      <c r="D299" t="str">
        <f xml:space="preserve"> TRIM( SUBSTITUTE(SUBSTITUTE(SUBSTITUTE( Compil[[#This Row],[DESIGNATION]],"-",""),"–",""),"*",""))</f>
        <v>Boitier de connexion 4 directions</v>
      </c>
      <c r="E299" s="209" t="s">
        <v>13</v>
      </c>
      <c r="F299" s="252"/>
      <c r="G299" s="289" t="str">
        <f>IF(F299="","",(((L299*$M$6)+(M299*#REF!*#REF!))*$M$7)/F299)</f>
        <v/>
      </c>
      <c r="H299" s="164" t="str">
        <f>IF(F299="","",F299*G299)</f>
        <v/>
      </c>
      <c r="I299" t="s">
        <v>580</v>
      </c>
      <c r="J299" t="b">
        <f>AND(NOT(Compil[[#This Row],[Est ouvrage]]), NOT(ISBLANK(Compil[[#This Row],[ART.
CCTP]])))</f>
        <v>0</v>
      </c>
      <c r="K299" t="b">
        <f>OR(Compil[[#This Row],[Unité]]="U",Compil[[#This Row],[Unité]]="ens",Compil[[#This Row],[Unité]]="ml")</f>
        <v>1</v>
      </c>
      <c r="L299" t="b">
        <f>ISBLANK(Compil[[#This Row],[DESIGNATION]])</f>
        <v>0</v>
      </c>
      <c r="M299" s="359"/>
      <c r="N299" s="358"/>
      <c r="O299" s="358"/>
      <c r="P299" s="358"/>
      <c r="Q299" s="358">
        <f>COUNTIF(Compil[[Ma Désignation ]],Compil[[Ma Désignation ]])</f>
        <v>2</v>
      </c>
    </row>
    <row r="300" spans="1:17" ht="14">
      <c r="A300" s="303">
        <v>295</v>
      </c>
      <c r="B300" s="2"/>
      <c r="C300" s="206"/>
      <c r="D300" t="str">
        <f xml:space="preserve"> TRIM( SUBSTITUTE(SUBSTITUTE(SUBSTITUTE( Compil[[#This Row],[DESIGNATION]],"-",""),"–",""),"*",""))</f>
        <v/>
      </c>
      <c r="E300" s="189"/>
      <c r="F300" s="252"/>
      <c r="G300" s="289" t="str">
        <f>IF(F300="","",(((L300*$M$6)+(M300*#REF!*#REF!))*$M$7)/F300)</f>
        <v/>
      </c>
      <c r="H300" s="164" t="str">
        <f>IF(F300="","",F300*G300)</f>
        <v/>
      </c>
      <c r="I300" t="s">
        <v>580</v>
      </c>
      <c r="J300" t="b">
        <f>AND(NOT(Compil[[#This Row],[Est ouvrage]]), NOT(ISBLANK(Compil[[#This Row],[ART.
CCTP]])))</f>
        <v>0</v>
      </c>
      <c r="K300" t="b">
        <f>OR(Compil[[#This Row],[Unité]]="U",Compil[[#This Row],[Unité]]="ens",Compil[[#This Row],[Unité]]="ml")</f>
        <v>0</v>
      </c>
      <c r="L300" t="b">
        <f>ISBLANK(Compil[[#This Row],[DESIGNATION]])</f>
        <v>1</v>
      </c>
      <c r="M300" s="358"/>
      <c r="N300" s="358"/>
      <c r="O300" s="358"/>
      <c r="P300" s="358"/>
      <c r="Q300" s="358">
        <f>COUNTIF(Compil[[Ma Désignation ]],Compil[[Ma Désignation ]])</f>
        <v>306</v>
      </c>
    </row>
    <row r="301" spans="1:17" ht="14">
      <c r="A301" s="303">
        <v>296</v>
      </c>
      <c r="B301" s="2"/>
      <c r="C301" s="238" t="s">
        <v>458</v>
      </c>
      <c r="D301" t="str">
        <f xml:space="preserve"> TRIM( SUBSTITUTE(SUBSTITUTE(SUBSTITUTE( Compil[[#This Row],[DESIGNATION]],"-",""),"–",""),"*",""))</f>
        <v>Appareillages de teinte grise pour G1</v>
      </c>
      <c r="E301" s="189"/>
      <c r="F301" s="252"/>
      <c r="G301" s="289" t="str">
        <f>IF(F301="","",(((L301*$M$6)+(M301*#REF!*#REF!))*$M$7)/F301)</f>
        <v/>
      </c>
      <c r="H301" s="164" t="str">
        <f>IF(F301="","",F301*G301)</f>
        <v/>
      </c>
      <c r="I301" t="s">
        <v>580</v>
      </c>
      <c r="J301" t="b">
        <f>AND(NOT(Compil[[#This Row],[Est ouvrage]]), NOT(ISBLANK(Compil[[#This Row],[ART.
CCTP]])))</f>
        <v>0</v>
      </c>
      <c r="K301" t="b">
        <f>OR(Compil[[#This Row],[Unité]]="U",Compil[[#This Row],[Unité]]="ens",Compil[[#This Row],[Unité]]="ml")</f>
        <v>0</v>
      </c>
      <c r="L301" t="b">
        <f>ISBLANK(Compil[[#This Row],[DESIGNATION]])</f>
        <v>0</v>
      </c>
      <c r="M301" s="359"/>
      <c r="N301" s="358"/>
      <c r="O301" s="358"/>
      <c r="P301" s="358"/>
      <c r="Q301" s="358">
        <f>COUNTIF(Compil[[Ma Désignation ]],Compil[[Ma Désignation ]])</f>
        <v>1</v>
      </c>
    </row>
    <row r="302" spans="1:17" ht="14">
      <c r="A302" s="312">
        <v>759</v>
      </c>
      <c r="B302" s="19"/>
      <c r="C302" s="20" t="s">
        <v>145</v>
      </c>
      <c r="D302" t="str">
        <f xml:space="preserve"> TRIM( SUBSTITUTE(SUBSTITUTE(SUBSTITUTE( Compil[[#This Row],[DESIGNATION]],"-",""),"–",""),"*",""))</f>
        <v>Boitier de connexion 4 directions</v>
      </c>
      <c r="E302" s="103" t="s">
        <v>13</v>
      </c>
      <c r="F302" s="287"/>
      <c r="G302" s="289" t="s">
        <v>571</v>
      </c>
      <c r="H302" s="164" t="s">
        <v>571</v>
      </c>
      <c r="I302" t="s">
        <v>578</v>
      </c>
      <c r="J302" t="b">
        <f>AND(NOT(Compil[[#This Row],[Est ouvrage]]), NOT(ISBLANK(Compil[[#This Row],[ART.
CCTP]])))</f>
        <v>0</v>
      </c>
      <c r="K302" t="b">
        <f>OR(Compil[[#This Row],[Unité]]="U",Compil[[#This Row],[Unité]]="ens",Compil[[#This Row],[Unité]]="ml")</f>
        <v>1</v>
      </c>
      <c r="L302" t="b">
        <f>ISBLANK(Compil[[#This Row],[DESIGNATION]])</f>
        <v>0</v>
      </c>
      <c r="M302" s="359"/>
      <c r="N302" s="358"/>
      <c r="O302" s="358"/>
      <c r="P302" s="358"/>
      <c r="Q302" s="358">
        <f>COUNTIF(Compil[[Ma Désignation ]],Compil[[Ma Désignation ]])</f>
        <v>2</v>
      </c>
    </row>
    <row r="303" spans="1:17" ht="14">
      <c r="A303" s="303">
        <v>70</v>
      </c>
      <c r="B303" s="2"/>
      <c r="C303" s="186" t="s">
        <v>146</v>
      </c>
      <c r="D303" t="str">
        <f xml:space="preserve"> TRIM( SUBSTITUTE(SUBSTITUTE(SUBSTITUTE( Compil[[#This Row],[DESIGNATION]],"-",""),"–",""),"*",""))</f>
        <v>Boitier de connexion 8 directions</v>
      </c>
      <c r="E303" s="209" t="s">
        <v>13</v>
      </c>
      <c r="F303" s="252"/>
      <c r="G303" s="289" t="str">
        <f>IF(F303="","",(((L303*$M$6)+(M303*#REF!*#REF!))*$M$7)/F303)</f>
        <v/>
      </c>
      <c r="H303" s="164" t="str">
        <f>IF(F303="","",F303*G303)</f>
        <v/>
      </c>
      <c r="I303" t="s">
        <v>580</v>
      </c>
      <c r="J303" t="b">
        <f>AND(NOT(Compil[[#This Row],[Est ouvrage]]), NOT(ISBLANK(Compil[[#This Row],[ART.
CCTP]])))</f>
        <v>0</v>
      </c>
      <c r="K303" t="b">
        <f>OR(Compil[[#This Row],[Unité]]="U",Compil[[#This Row],[Unité]]="ens",Compil[[#This Row],[Unité]]="ml")</f>
        <v>1</v>
      </c>
      <c r="L303" t="b">
        <f>ISBLANK(Compil[[#This Row],[DESIGNATION]])</f>
        <v>0</v>
      </c>
      <c r="M303" s="359"/>
      <c r="N303" s="358"/>
      <c r="O303" s="358"/>
      <c r="P303" s="358"/>
      <c r="Q303" s="358">
        <f>COUNTIF(Compil[[Ma Désignation ]],Compil[[Ma Désignation ]])</f>
        <v>2</v>
      </c>
    </row>
    <row r="304" spans="1:17" ht="14">
      <c r="A304" s="312">
        <v>760</v>
      </c>
      <c r="B304" s="19"/>
      <c r="C304" s="20" t="s">
        <v>146</v>
      </c>
      <c r="D304" t="str">
        <f xml:space="preserve"> TRIM( SUBSTITUTE(SUBSTITUTE(SUBSTITUTE( Compil[[#This Row],[DESIGNATION]],"-",""),"–",""),"*",""))</f>
        <v>Boitier de connexion 8 directions</v>
      </c>
      <c r="E304" s="103" t="s">
        <v>13</v>
      </c>
      <c r="F304" s="287"/>
      <c r="G304" s="289" t="s">
        <v>571</v>
      </c>
      <c r="H304" s="164" t="s">
        <v>571</v>
      </c>
      <c r="I304" t="s">
        <v>578</v>
      </c>
      <c r="J304" t="b">
        <f>AND(NOT(Compil[[#This Row],[Est ouvrage]]), NOT(ISBLANK(Compil[[#This Row],[ART.
CCTP]])))</f>
        <v>0</v>
      </c>
      <c r="K304" t="b">
        <f>OR(Compil[[#This Row],[Unité]]="U",Compil[[#This Row],[Unité]]="ens",Compil[[#This Row],[Unité]]="ml")</f>
        <v>1</v>
      </c>
      <c r="L304" t="b">
        <f>ISBLANK(Compil[[#This Row],[DESIGNATION]])</f>
        <v>0</v>
      </c>
      <c r="M304" s="359"/>
      <c r="N304" s="358"/>
      <c r="O304" s="358"/>
      <c r="P304" s="358"/>
      <c r="Q304" s="358">
        <f>COUNTIF(Compil[[Ma Désignation ]],Compil[[Ma Désignation ]])</f>
        <v>2</v>
      </c>
    </row>
    <row r="305" spans="1:17" ht="14">
      <c r="A305" s="310">
        <v>410</v>
      </c>
      <c r="B305" s="2"/>
      <c r="C305" s="428" t="s">
        <v>264</v>
      </c>
      <c r="D305" t="str">
        <f xml:space="preserve"> TRIM( SUBSTITUTE(SUBSTITUTE(SUBSTITUTE( Compil[[#This Row],[DESIGNATION]],"-",""),"–",""),"*",""))</f>
        <v>Boitier et douille DCL, compris fiche 2P+T</v>
      </c>
      <c r="E305" s="33" t="s">
        <v>13</v>
      </c>
      <c r="F305" s="262">
        <v>5</v>
      </c>
      <c r="G305" s="289">
        <v>0</v>
      </c>
      <c r="H305" s="164">
        <v>0</v>
      </c>
      <c r="I305" t="s">
        <v>570</v>
      </c>
      <c r="J305" t="b">
        <f>AND(NOT(Compil[[#This Row],[Est ouvrage]]), NOT(ISBLANK(Compil[[#This Row],[ART.
CCTP]])))</f>
        <v>0</v>
      </c>
      <c r="K305" t="b">
        <f>OR(Compil[[#This Row],[Unité]]="U",Compil[[#This Row],[Unité]]="ens",Compil[[#This Row],[Unité]]="ml")</f>
        <v>1</v>
      </c>
      <c r="L305" t="b">
        <f>ISBLANK(Compil[[#This Row],[DESIGNATION]])</f>
        <v>0</v>
      </c>
      <c r="M305" s="359"/>
      <c r="N305" s="358"/>
      <c r="O305" s="358"/>
      <c r="P305" s="358"/>
      <c r="Q305" s="358">
        <f>COUNTIF(Compil[[Ma Désignation ]],Compil[[Ma Désignation ]])</f>
        <v>7</v>
      </c>
    </row>
    <row r="306" spans="1:17" ht="14">
      <c r="A306" s="303">
        <v>301</v>
      </c>
      <c r="B306" s="2"/>
      <c r="C306" s="206"/>
      <c r="D306" t="str">
        <f xml:space="preserve"> TRIM( SUBSTITUTE(SUBSTITUTE(SUBSTITUTE( Compil[[#This Row],[DESIGNATION]],"-",""),"–",""),"*",""))</f>
        <v/>
      </c>
      <c r="E306" s="189"/>
      <c r="F306" s="252"/>
      <c r="G306" s="289" t="str">
        <f>IF(F306="","",(((L306*$M$6)+(M306*#REF!*#REF!))*$M$7)/F306)</f>
        <v/>
      </c>
      <c r="H306" s="164" t="str">
        <f>IF(F306="","",F306*G306)</f>
        <v/>
      </c>
      <c r="I306" t="s">
        <v>580</v>
      </c>
      <c r="J306" t="b">
        <f>AND(NOT(Compil[[#This Row],[Est ouvrage]]), NOT(ISBLANK(Compil[[#This Row],[ART.
CCTP]])))</f>
        <v>0</v>
      </c>
      <c r="K306" t="b">
        <f>OR(Compil[[#This Row],[Unité]]="U",Compil[[#This Row],[Unité]]="ens",Compil[[#This Row],[Unité]]="ml")</f>
        <v>0</v>
      </c>
      <c r="L306" t="b">
        <f>ISBLANK(Compil[[#This Row],[DESIGNATION]])</f>
        <v>1</v>
      </c>
      <c r="M306" s="358"/>
      <c r="N306" s="358"/>
      <c r="O306" s="358"/>
      <c r="P306" s="358"/>
      <c r="Q306" s="358">
        <f>COUNTIF(Compil[[Ma Désignation ]],Compil[[Ma Désignation ]])</f>
        <v>306</v>
      </c>
    </row>
    <row r="307" spans="1:17" ht="14">
      <c r="A307" s="310">
        <v>464</v>
      </c>
      <c r="B307" s="2"/>
      <c r="C307" s="428" t="s">
        <v>264</v>
      </c>
      <c r="D307" t="str">
        <f xml:space="preserve"> TRIM( SUBSTITUTE(SUBSTITUTE(SUBSTITUTE( Compil[[#This Row],[DESIGNATION]],"-",""),"–",""),"*",""))</f>
        <v>Boitier et douille DCL, compris fiche 2P+T</v>
      </c>
      <c r="E307" s="33" t="s">
        <v>13</v>
      </c>
      <c r="F307" s="262">
        <v>6</v>
      </c>
      <c r="G307" s="289">
        <v>0</v>
      </c>
      <c r="H307" s="164">
        <v>0</v>
      </c>
      <c r="I307" t="s">
        <v>570</v>
      </c>
      <c r="J307" t="b">
        <f>AND(NOT(Compil[[#This Row],[Est ouvrage]]), NOT(ISBLANK(Compil[[#This Row],[ART.
CCTP]])))</f>
        <v>0</v>
      </c>
      <c r="K307" t="b">
        <f>OR(Compil[[#This Row],[Unité]]="U",Compil[[#This Row],[Unité]]="ens",Compil[[#This Row],[Unité]]="ml")</f>
        <v>1</v>
      </c>
      <c r="L307" t="b">
        <f>ISBLANK(Compil[[#This Row],[DESIGNATION]])</f>
        <v>0</v>
      </c>
      <c r="M307" s="359"/>
      <c r="N307" s="358"/>
      <c r="O307" s="358"/>
      <c r="P307" s="358"/>
      <c r="Q307" s="358">
        <f>COUNTIF(Compil[[Ma Désignation ]],Compil[[Ma Désignation ]])</f>
        <v>7</v>
      </c>
    </row>
    <row r="308" spans="1:17" ht="14">
      <c r="A308" s="310">
        <v>520</v>
      </c>
      <c r="B308" s="2"/>
      <c r="C308" s="428" t="s">
        <v>264</v>
      </c>
      <c r="D308" t="str">
        <f xml:space="preserve"> TRIM( SUBSTITUTE(SUBSTITUTE(SUBSTITUTE( Compil[[#This Row],[DESIGNATION]],"-",""),"–",""),"*",""))</f>
        <v>Boitier et douille DCL, compris fiche 2P+T</v>
      </c>
      <c r="E308" s="33" t="s">
        <v>13</v>
      </c>
      <c r="F308" s="262">
        <v>10</v>
      </c>
      <c r="G308" s="289">
        <v>0</v>
      </c>
      <c r="H308" s="164">
        <v>0</v>
      </c>
      <c r="I308" t="s">
        <v>570</v>
      </c>
      <c r="J308" t="b">
        <f>AND(NOT(Compil[[#This Row],[Est ouvrage]]), NOT(ISBLANK(Compil[[#This Row],[ART.
CCTP]])))</f>
        <v>0</v>
      </c>
      <c r="K308" t="b">
        <f>OR(Compil[[#This Row],[Unité]]="U",Compil[[#This Row],[Unité]]="ens",Compil[[#This Row],[Unité]]="ml")</f>
        <v>1</v>
      </c>
      <c r="L308" t="b">
        <f>ISBLANK(Compil[[#This Row],[DESIGNATION]])</f>
        <v>0</v>
      </c>
      <c r="M308" s="359"/>
      <c r="N308" s="358"/>
      <c r="O308" s="358"/>
      <c r="P308" s="358"/>
      <c r="Q308" s="358">
        <f>COUNTIF(Compil[[Ma Désignation ]],Compil[[Ma Désignation ]])</f>
        <v>7</v>
      </c>
    </row>
    <row r="309" spans="1:17" ht="14">
      <c r="A309" s="310">
        <v>576</v>
      </c>
      <c r="B309" s="2"/>
      <c r="C309" s="428" t="s">
        <v>264</v>
      </c>
      <c r="D309" t="str">
        <f xml:space="preserve"> TRIM( SUBSTITUTE(SUBSTITUTE(SUBSTITUTE( Compil[[#This Row],[DESIGNATION]],"-",""),"–",""),"*",""))</f>
        <v>Boitier et douille DCL, compris fiche 2P+T</v>
      </c>
      <c r="E309" s="33" t="s">
        <v>13</v>
      </c>
      <c r="F309" s="262">
        <v>8</v>
      </c>
      <c r="G309" s="289">
        <v>0</v>
      </c>
      <c r="H309" s="164">
        <v>0</v>
      </c>
      <c r="I309" t="s">
        <v>570</v>
      </c>
      <c r="J309" t="b">
        <f>AND(NOT(Compil[[#This Row],[Est ouvrage]]), NOT(ISBLANK(Compil[[#This Row],[ART.
CCTP]])))</f>
        <v>0</v>
      </c>
      <c r="K309" t="b">
        <f>OR(Compil[[#This Row],[Unité]]="U",Compil[[#This Row],[Unité]]="ens",Compil[[#This Row],[Unité]]="ml")</f>
        <v>1</v>
      </c>
      <c r="L309" t="b">
        <f>ISBLANK(Compil[[#This Row],[DESIGNATION]])</f>
        <v>0</v>
      </c>
      <c r="M309" s="359"/>
      <c r="N309" s="358"/>
      <c r="O309" s="358"/>
      <c r="P309" s="358"/>
      <c r="Q309" s="358">
        <f>COUNTIF(Compil[[Ma Désignation ]],Compil[[Ma Désignation ]])</f>
        <v>7</v>
      </c>
    </row>
    <row r="310" spans="1:17" ht="14">
      <c r="A310" s="303">
        <v>305</v>
      </c>
      <c r="B310" s="2"/>
      <c r="C310" s="206"/>
      <c r="D310" t="str">
        <f xml:space="preserve"> TRIM( SUBSTITUTE(SUBSTITUTE(SUBSTITUTE( Compil[[#This Row],[DESIGNATION]],"-",""),"–",""),"*",""))</f>
        <v/>
      </c>
      <c r="E310" s="189"/>
      <c r="F310" s="252"/>
      <c r="G310" s="289" t="str">
        <f>IF(F310="","",(((L310*$M$6)+(M310*#REF!*#REF!))*$M$7)/F310)</f>
        <v/>
      </c>
      <c r="H310" s="164" t="str">
        <f>IF(F310="","",F310*G310)</f>
        <v/>
      </c>
      <c r="I310" t="s">
        <v>580</v>
      </c>
      <c r="J310" t="b">
        <f>AND(NOT(Compil[[#This Row],[Est ouvrage]]), NOT(ISBLANK(Compil[[#This Row],[ART.
CCTP]])))</f>
        <v>0</v>
      </c>
      <c r="K310" t="b">
        <f>OR(Compil[[#This Row],[Unité]]="U",Compil[[#This Row],[Unité]]="ens",Compil[[#This Row],[Unité]]="ml")</f>
        <v>0</v>
      </c>
      <c r="L310" t="b">
        <f>ISBLANK(Compil[[#This Row],[DESIGNATION]])</f>
        <v>1</v>
      </c>
      <c r="M310" s="358"/>
      <c r="N310" s="358"/>
      <c r="O310" s="358"/>
      <c r="P310" s="358"/>
      <c r="Q310" s="358">
        <f>COUNTIF(Compil[[Ma Désignation ]],Compil[[Ma Désignation ]])</f>
        <v>306</v>
      </c>
    </row>
    <row r="311" spans="1:17" ht="14">
      <c r="A311" s="303">
        <v>306</v>
      </c>
      <c r="B311" s="2"/>
      <c r="C311" s="206"/>
      <c r="D311" t="str">
        <f xml:space="preserve"> TRIM( SUBSTITUTE(SUBSTITUTE(SUBSTITUTE( Compil[[#This Row],[DESIGNATION]],"-",""),"–",""),"*",""))</f>
        <v/>
      </c>
      <c r="E311" s="189"/>
      <c r="F311" s="252"/>
      <c r="G311" s="289" t="str">
        <f>IF(F311="","",(((L311*$M$6)+(M311*#REF!*#REF!))*$M$7)/F311)</f>
        <v/>
      </c>
      <c r="H311" s="164" t="str">
        <f>IF(F311="","",F311*G311)</f>
        <v/>
      </c>
      <c r="I311" t="s">
        <v>580</v>
      </c>
      <c r="J311" t="b">
        <f>AND(NOT(Compil[[#This Row],[Est ouvrage]]), NOT(ISBLANK(Compil[[#This Row],[ART.
CCTP]])))</f>
        <v>0</v>
      </c>
      <c r="K311" t="b">
        <f>OR(Compil[[#This Row],[Unité]]="U",Compil[[#This Row],[Unité]]="ens",Compil[[#This Row],[Unité]]="ml")</f>
        <v>0</v>
      </c>
      <c r="L311" t="b">
        <f>ISBLANK(Compil[[#This Row],[DESIGNATION]])</f>
        <v>1</v>
      </c>
      <c r="M311" s="358"/>
      <c r="N311" s="358"/>
      <c r="O311" s="358"/>
      <c r="P311" s="358"/>
      <c r="Q311" s="358">
        <f>COUNTIF(Compil[[Ma Désignation ]],Compil[[Ma Désignation ]])</f>
        <v>306</v>
      </c>
    </row>
    <row r="312" spans="1:17" ht="14">
      <c r="A312" s="310">
        <v>632</v>
      </c>
      <c r="B312" s="2"/>
      <c r="C312" s="428" t="s">
        <v>264</v>
      </c>
      <c r="D312" t="str">
        <f xml:space="preserve"> TRIM( SUBSTITUTE(SUBSTITUTE(SUBSTITUTE( Compil[[#This Row],[DESIGNATION]],"-",""),"–",""),"*",""))</f>
        <v>Boitier et douille DCL, compris fiche 2P+T</v>
      </c>
      <c r="E312" s="33" t="s">
        <v>13</v>
      </c>
      <c r="F312" s="262">
        <v>15</v>
      </c>
      <c r="G312" s="289">
        <v>0</v>
      </c>
      <c r="H312" s="164">
        <v>0</v>
      </c>
      <c r="I312" t="s">
        <v>570</v>
      </c>
      <c r="J312" t="b">
        <f>AND(NOT(Compil[[#This Row],[Est ouvrage]]), NOT(ISBLANK(Compil[[#This Row],[ART.
CCTP]])))</f>
        <v>0</v>
      </c>
      <c r="K312" t="b">
        <f>OR(Compil[[#This Row],[Unité]]="U",Compil[[#This Row],[Unité]]="ens",Compil[[#This Row],[Unité]]="ml")</f>
        <v>1</v>
      </c>
      <c r="L312" t="b">
        <f>ISBLANK(Compil[[#This Row],[DESIGNATION]])</f>
        <v>0</v>
      </c>
      <c r="M312" s="359"/>
      <c r="N312" s="358"/>
      <c r="O312" s="358"/>
      <c r="P312" s="358"/>
      <c r="Q312" s="358">
        <f>COUNTIF(Compil[[Ma Désignation ]],Compil[[Ma Désignation ]])</f>
        <v>7</v>
      </c>
    </row>
    <row r="313" spans="1:17" ht="14">
      <c r="A313" s="310">
        <v>688</v>
      </c>
      <c r="B313" s="43"/>
      <c r="C313" s="428" t="s">
        <v>264</v>
      </c>
      <c r="D313" t="str">
        <f xml:space="preserve"> TRIM( SUBSTITUTE(SUBSTITUTE(SUBSTITUTE( Compil[[#This Row],[DESIGNATION]],"-",""),"–",""),"*",""))</f>
        <v>Boitier et douille DCL, compris fiche 2P+T</v>
      </c>
      <c r="E313" s="33" t="s">
        <v>13</v>
      </c>
      <c r="F313" s="262">
        <v>13</v>
      </c>
      <c r="G313" s="289">
        <v>0</v>
      </c>
      <c r="H313" s="164">
        <v>0</v>
      </c>
      <c r="I313" t="s">
        <v>570</v>
      </c>
      <c r="J313" t="b">
        <f>AND(NOT(Compil[[#This Row],[Est ouvrage]]), NOT(ISBLANK(Compil[[#This Row],[ART.
CCTP]])))</f>
        <v>0</v>
      </c>
      <c r="K313" t="b">
        <f>OR(Compil[[#This Row],[Unité]]="U",Compil[[#This Row],[Unité]]="ens",Compil[[#This Row],[Unité]]="ml")</f>
        <v>1</v>
      </c>
      <c r="L313" t="b">
        <f>ISBLANK(Compil[[#This Row],[DESIGNATION]])</f>
        <v>0</v>
      </c>
      <c r="M313" s="359"/>
      <c r="N313" s="358"/>
      <c r="O313" s="358"/>
      <c r="P313" s="358"/>
      <c r="Q313" s="358">
        <f>COUNTIF(Compil[[Ma Désignation ]],Compil[[Ma Désignation ]])</f>
        <v>7</v>
      </c>
    </row>
    <row r="314" spans="1:17">
      <c r="A314" s="360">
        <v>1040</v>
      </c>
      <c r="B314" s="363"/>
      <c r="C314" s="402" t="s">
        <v>264</v>
      </c>
      <c r="D314" t="str">
        <f xml:space="preserve"> TRIM( SUBSTITUTE(SUBSTITUTE(SUBSTITUTE( Compil[[#This Row],[DESIGNATION]],"-",""),"–",""),"*",""))</f>
        <v>Boitier et douille DCL, compris fiche 2P+T</v>
      </c>
      <c r="E314" s="374" t="s">
        <v>13</v>
      </c>
      <c r="F314" s="385">
        <v>2</v>
      </c>
      <c r="G314" s="390">
        <v>0</v>
      </c>
      <c r="H314" s="391">
        <v>0</v>
      </c>
      <c r="I314" t="s">
        <v>579</v>
      </c>
      <c r="J314" t="b">
        <f>AND(NOT(Compil[[#This Row],[Est ouvrage]]), NOT(ISBLANK(Compil[[#This Row],[ART.
CCTP]])))</f>
        <v>0</v>
      </c>
      <c r="K314" t="b">
        <f>OR(Compil[[#This Row],[Unité]]="U",Compil[[#This Row],[Unité]]="ens",Compil[[#This Row],[Unité]]="ml")</f>
        <v>1</v>
      </c>
      <c r="L314" t="b">
        <f>ISBLANK(Compil[[#This Row],[DESIGNATION]])</f>
        <v>0</v>
      </c>
      <c r="M314" s="359"/>
      <c r="N314" s="358"/>
      <c r="O314" s="358"/>
      <c r="P314" s="358"/>
      <c r="Q314" s="358">
        <f>COUNTIF(Compil[[Ma Désignation ]],Compil[[Ma Désignation ]])</f>
        <v>7</v>
      </c>
    </row>
    <row r="315" spans="1:17" ht="14">
      <c r="A315" s="310">
        <v>481</v>
      </c>
      <c r="B315" s="2"/>
      <c r="C315" s="416" t="s">
        <v>275</v>
      </c>
      <c r="D315" t="str">
        <f xml:space="preserve"> TRIM( SUBSTITUTE(SUBSTITUTE(SUBSTITUTE( Compil[[#This Row],[DESIGNATION]],"-",""),"–",""),"*",""))</f>
        <v>Bouton poussoir</v>
      </c>
      <c r="E315" s="33" t="s">
        <v>13</v>
      </c>
      <c r="F315" s="262">
        <v>2</v>
      </c>
      <c r="G315" s="289">
        <v>0</v>
      </c>
      <c r="H315" s="164">
        <v>0</v>
      </c>
      <c r="I315" t="s">
        <v>570</v>
      </c>
      <c r="J315" t="b">
        <f>AND(NOT(Compil[[#This Row],[Est ouvrage]]), NOT(ISBLANK(Compil[[#This Row],[ART.
CCTP]])))</f>
        <v>0</v>
      </c>
      <c r="K315" t="b">
        <f>OR(Compil[[#This Row],[Unité]]="U",Compil[[#This Row],[Unité]]="ens",Compil[[#This Row],[Unité]]="ml")</f>
        <v>1</v>
      </c>
      <c r="L315" t="b">
        <f>ISBLANK(Compil[[#This Row],[DESIGNATION]])</f>
        <v>0</v>
      </c>
      <c r="M315" s="359"/>
      <c r="N315" s="358"/>
      <c r="O315" s="358"/>
      <c r="P315" s="358"/>
      <c r="Q315" s="358">
        <f>COUNTIF(Compil[[Ma Désignation ]],Compil[[Ma Désignation ]])</f>
        <v>12</v>
      </c>
    </row>
    <row r="316" spans="1:17" ht="14">
      <c r="A316" s="310">
        <v>500</v>
      </c>
      <c r="B316" s="43"/>
      <c r="C316" s="416" t="s">
        <v>275</v>
      </c>
      <c r="D316" t="str">
        <f xml:space="preserve"> TRIM( SUBSTITUTE(SUBSTITUTE(SUBSTITUTE( Compil[[#This Row],[DESIGNATION]],"-",""),"–",""),"*",""))</f>
        <v>Bouton poussoir</v>
      </c>
      <c r="E316" s="33" t="s">
        <v>13</v>
      </c>
      <c r="F316" s="262"/>
      <c r="G316" s="289" t="s">
        <v>571</v>
      </c>
      <c r="H316" s="164" t="s">
        <v>571</v>
      </c>
      <c r="I316" t="s">
        <v>570</v>
      </c>
      <c r="J316" t="b">
        <f>AND(NOT(Compil[[#This Row],[Est ouvrage]]), NOT(ISBLANK(Compil[[#This Row],[ART.
CCTP]])))</f>
        <v>0</v>
      </c>
      <c r="K316" t="b">
        <f>OR(Compil[[#This Row],[Unité]]="U",Compil[[#This Row],[Unité]]="ens",Compil[[#This Row],[Unité]]="ml")</f>
        <v>1</v>
      </c>
      <c r="L316" t="b">
        <f>ISBLANK(Compil[[#This Row],[DESIGNATION]])</f>
        <v>0</v>
      </c>
      <c r="M316" s="359"/>
      <c r="N316" s="358"/>
      <c r="O316" s="358"/>
      <c r="P316" s="358"/>
      <c r="Q316" s="358">
        <f>COUNTIF(Compil[[Ma Désignation ]],Compil[[Ma Désignation ]])</f>
        <v>12</v>
      </c>
    </row>
    <row r="317" spans="1:17" ht="14">
      <c r="A317" s="303">
        <v>312</v>
      </c>
      <c r="B317" s="2"/>
      <c r="C317" s="206"/>
      <c r="D317" t="str">
        <f xml:space="preserve"> TRIM( SUBSTITUTE(SUBSTITUTE(SUBSTITUTE( Compil[[#This Row],[DESIGNATION]],"-",""),"–",""),"*",""))</f>
        <v/>
      </c>
      <c r="E317" s="189" t="s">
        <v>13</v>
      </c>
      <c r="F317" s="252"/>
      <c r="G317" s="289" t="str">
        <f>IF(F317="","",(((L317*$M$6)+(M317*#REF!*#REF!))*$M$7)/F317)</f>
        <v/>
      </c>
      <c r="H317" s="164" t="str">
        <f>IF(F317="","",F317*G317)</f>
        <v/>
      </c>
      <c r="I317" t="s">
        <v>580</v>
      </c>
      <c r="J317" t="b">
        <f>AND(NOT(Compil[[#This Row],[Est ouvrage]]), NOT(ISBLANK(Compil[[#This Row],[ART.
CCTP]])))</f>
        <v>0</v>
      </c>
      <c r="K317" t="b">
        <f>OR(Compil[[#This Row],[Unité]]="U",Compil[[#This Row],[Unité]]="ens",Compil[[#This Row],[Unité]]="ml")</f>
        <v>1</v>
      </c>
      <c r="L317" t="b">
        <f>ISBLANK(Compil[[#This Row],[DESIGNATION]])</f>
        <v>1</v>
      </c>
      <c r="M317" s="358"/>
      <c r="N317" s="358"/>
      <c r="O317" s="358"/>
      <c r="P317" s="358"/>
      <c r="Q317" s="358">
        <f>COUNTIF(Compil[[Ma Désignation ]],Compil[[Ma Désignation ]])</f>
        <v>306</v>
      </c>
    </row>
    <row r="318" spans="1:17" ht="14">
      <c r="A318" s="310">
        <v>537</v>
      </c>
      <c r="B318" s="43"/>
      <c r="C318" s="416" t="s">
        <v>275</v>
      </c>
      <c r="D318" t="str">
        <f xml:space="preserve"> TRIM( SUBSTITUTE(SUBSTITUTE(SUBSTITUTE( Compil[[#This Row],[DESIGNATION]],"-",""),"–",""),"*",""))</f>
        <v>Bouton poussoir</v>
      </c>
      <c r="E318" s="33" t="s">
        <v>13</v>
      </c>
      <c r="F318" s="262">
        <v>3</v>
      </c>
      <c r="G318" s="289">
        <v>0</v>
      </c>
      <c r="H318" s="164">
        <v>0</v>
      </c>
      <c r="I318" t="s">
        <v>570</v>
      </c>
      <c r="J318" t="b">
        <f>AND(NOT(Compil[[#This Row],[Est ouvrage]]), NOT(ISBLANK(Compil[[#This Row],[ART.
CCTP]])))</f>
        <v>0</v>
      </c>
      <c r="K318" t="b">
        <f>OR(Compil[[#This Row],[Unité]]="U",Compil[[#This Row],[Unité]]="ens",Compil[[#This Row],[Unité]]="ml")</f>
        <v>1</v>
      </c>
      <c r="L318" t="b">
        <f>ISBLANK(Compil[[#This Row],[DESIGNATION]])</f>
        <v>0</v>
      </c>
      <c r="M318" s="359"/>
      <c r="N318" s="358"/>
      <c r="O318" s="358"/>
      <c r="P318" s="358"/>
      <c r="Q318" s="358">
        <f>COUNTIF(Compil[[Ma Désignation ]],Compil[[Ma Désignation ]])</f>
        <v>12</v>
      </c>
    </row>
    <row r="319" spans="1:17" ht="14">
      <c r="A319" s="303">
        <v>314</v>
      </c>
      <c r="B319" s="2"/>
      <c r="C319" s="206"/>
      <c r="D319" t="str">
        <f xml:space="preserve"> TRIM( SUBSTITUTE(SUBSTITUTE(SUBSTITUTE( Compil[[#This Row],[DESIGNATION]],"-",""),"–",""),"*",""))</f>
        <v/>
      </c>
      <c r="E319" s="189"/>
      <c r="F319" s="252"/>
      <c r="G319" s="289" t="str">
        <f>IF(F319="","",(((L319*$M$6)+(M319*#REF!*#REF!))*$M$7)/F319)</f>
        <v/>
      </c>
      <c r="H319" s="164" t="str">
        <f>IF(F319="","",F319*G319)</f>
        <v/>
      </c>
      <c r="I319" t="s">
        <v>580</v>
      </c>
      <c r="J319" t="b">
        <f>AND(NOT(Compil[[#This Row],[Est ouvrage]]), NOT(ISBLANK(Compil[[#This Row],[ART.
CCTP]])))</f>
        <v>0</v>
      </c>
      <c r="K319" t="b">
        <f>OR(Compil[[#This Row],[Unité]]="U",Compil[[#This Row],[Unité]]="ens",Compil[[#This Row],[Unité]]="ml")</f>
        <v>0</v>
      </c>
      <c r="L319" t="b">
        <f>ISBLANK(Compil[[#This Row],[DESIGNATION]])</f>
        <v>1</v>
      </c>
      <c r="M319" s="358"/>
      <c r="N319" s="358"/>
      <c r="O319" s="358"/>
      <c r="P319" s="358"/>
      <c r="Q319" s="358">
        <f>COUNTIF(Compil[[Ma Désignation ]],Compil[[Ma Désignation ]])</f>
        <v>306</v>
      </c>
    </row>
    <row r="320" spans="1:17" ht="14">
      <c r="A320" s="303">
        <v>315</v>
      </c>
      <c r="B320" s="2"/>
      <c r="C320" s="206"/>
      <c r="D320" t="str">
        <f xml:space="preserve"> TRIM( SUBSTITUTE(SUBSTITUTE(SUBSTITUTE( Compil[[#This Row],[DESIGNATION]],"-",""),"–",""),"*",""))</f>
        <v/>
      </c>
      <c r="E320" s="189"/>
      <c r="F320" s="252"/>
      <c r="G320" s="289" t="str">
        <f>IF(F320="","",(((L320*$M$6)+(M320*#REF!*#REF!))*$M$7)/F320)</f>
        <v/>
      </c>
      <c r="H320" s="164" t="str">
        <f>IF(F320="","",F320*G320)</f>
        <v/>
      </c>
      <c r="I320" t="s">
        <v>580</v>
      </c>
      <c r="J320" t="b">
        <f>AND(NOT(Compil[[#This Row],[Est ouvrage]]), NOT(ISBLANK(Compil[[#This Row],[ART.
CCTP]])))</f>
        <v>0</v>
      </c>
      <c r="K320" t="b">
        <f>OR(Compil[[#This Row],[Unité]]="U",Compil[[#This Row],[Unité]]="ens",Compil[[#This Row],[Unité]]="ml")</f>
        <v>0</v>
      </c>
      <c r="L320" t="b">
        <f>ISBLANK(Compil[[#This Row],[DESIGNATION]])</f>
        <v>1</v>
      </c>
      <c r="M320" s="358"/>
      <c r="N320" s="358"/>
      <c r="O320" s="358"/>
      <c r="P320" s="358"/>
      <c r="Q320" s="358">
        <f>COUNTIF(Compil[[Ma Désignation ]],Compil[[Ma Désignation ]])</f>
        <v>306</v>
      </c>
    </row>
    <row r="321" spans="1:17" ht="14">
      <c r="A321" s="303">
        <v>316</v>
      </c>
      <c r="B321" s="2"/>
      <c r="C321" s="220"/>
      <c r="D321" t="str">
        <f xml:space="preserve"> TRIM( SUBSTITUTE(SUBSTITUTE(SUBSTITUTE( Compil[[#This Row],[DESIGNATION]],"-",""),"–",""),"*",""))</f>
        <v/>
      </c>
      <c r="E321" s="216"/>
      <c r="F321" s="252"/>
      <c r="G321" s="289" t="str">
        <f>IF(F321="","",(((L321*$M$6)+(M321*#REF!*#REF!))*$M$7)/F321)</f>
        <v/>
      </c>
      <c r="H321" s="164" t="str">
        <f>IF(F321="","",F321*G321)</f>
        <v/>
      </c>
      <c r="I321" t="s">
        <v>580</v>
      </c>
      <c r="J321" t="b">
        <f>AND(NOT(Compil[[#This Row],[Est ouvrage]]), NOT(ISBLANK(Compil[[#This Row],[ART.
CCTP]])))</f>
        <v>0</v>
      </c>
      <c r="K321" t="b">
        <f>OR(Compil[[#This Row],[Unité]]="U",Compil[[#This Row],[Unité]]="ens",Compil[[#This Row],[Unité]]="ml")</f>
        <v>0</v>
      </c>
      <c r="L321" t="b">
        <f>ISBLANK(Compil[[#This Row],[DESIGNATION]])</f>
        <v>1</v>
      </c>
      <c r="M321" s="358"/>
      <c r="N321" s="358"/>
      <c r="O321" s="358"/>
      <c r="P321" s="358"/>
      <c r="Q321" s="358">
        <f>COUNTIF(Compil[[Ma Désignation ]],Compil[[Ma Désignation ]])</f>
        <v>306</v>
      </c>
    </row>
    <row r="322" spans="1:17" ht="14">
      <c r="A322" s="303">
        <v>317</v>
      </c>
      <c r="B322" s="2"/>
      <c r="C322" s="394" t="s">
        <v>116</v>
      </c>
      <c r="D322" t="str">
        <f xml:space="preserve"> TRIM( SUBSTITUTE(SUBSTITUTE(SUBSTITUTE( Compil[[#This Row],[DESIGNATION]],"-",""),"–",""),"*",""))</f>
        <v>Sous total 2.15</v>
      </c>
      <c r="E322" s="216"/>
      <c r="F322" s="252"/>
      <c r="G322" s="289" t="str">
        <f>IF(F322="","",(((L322*$M$6)+(M322*#REF!*#REF!))*$M$7)/F322)</f>
        <v/>
      </c>
      <c r="H322" s="164" t="str">
        <f>IF(F322="","",F322*G322)</f>
        <v/>
      </c>
      <c r="I322" t="s">
        <v>580</v>
      </c>
      <c r="J322" t="b">
        <f>AND(NOT(Compil[[#This Row],[Est ouvrage]]), NOT(ISBLANK(Compil[[#This Row],[ART.
CCTP]])))</f>
        <v>0</v>
      </c>
      <c r="K322" t="b">
        <f>OR(Compil[[#This Row],[Unité]]="U",Compil[[#This Row],[Unité]]="ens",Compil[[#This Row],[Unité]]="ml")</f>
        <v>0</v>
      </c>
      <c r="L322" t="b">
        <f>ISBLANK(Compil[[#This Row],[DESIGNATION]])</f>
        <v>0</v>
      </c>
      <c r="M322" s="359"/>
      <c r="N322" s="358"/>
      <c r="O322" s="358"/>
      <c r="P322" s="358"/>
      <c r="Q322" s="358">
        <f>COUNTIF(Compil[[Ma Désignation ]],Compil[[Ma Désignation ]])</f>
        <v>1</v>
      </c>
    </row>
    <row r="323" spans="1:17" ht="14">
      <c r="A323" s="303">
        <v>318</v>
      </c>
      <c r="B323" s="2"/>
      <c r="C323" s="224"/>
      <c r="D323" t="str">
        <f xml:space="preserve"> TRIM( SUBSTITUTE(SUBSTITUTE(SUBSTITUTE( Compil[[#This Row],[DESIGNATION]],"-",""),"–",""),"*",""))</f>
        <v/>
      </c>
      <c r="E323" s="216"/>
      <c r="F323" s="252"/>
      <c r="G323" s="289" t="str">
        <f>IF(F323="","",(((L323*$M$6)+(M323*#REF!*#REF!))*$M$7)/F323)</f>
        <v/>
      </c>
      <c r="H323" s="164" t="str">
        <f>IF(F323="","",F323*G323)</f>
        <v/>
      </c>
      <c r="I323" t="s">
        <v>580</v>
      </c>
      <c r="J323" t="b">
        <f>AND(NOT(Compil[[#This Row],[Est ouvrage]]), NOT(ISBLANK(Compil[[#This Row],[ART.
CCTP]])))</f>
        <v>0</v>
      </c>
      <c r="K323" t="b">
        <f>OR(Compil[[#This Row],[Unité]]="U",Compil[[#This Row],[Unité]]="ens",Compil[[#This Row],[Unité]]="ml")</f>
        <v>0</v>
      </c>
      <c r="L323" t="b">
        <f>ISBLANK(Compil[[#This Row],[DESIGNATION]])</f>
        <v>1</v>
      </c>
      <c r="M323" s="358"/>
      <c r="N323" s="358"/>
      <c r="O323" s="358"/>
      <c r="P323" s="358"/>
      <c r="Q323" s="358">
        <f>COUNTIF(Compil[[Ma Désignation ]],Compil[[Ma Désignation ]])</f>
        <v>306</v>
      </c>
    </row>
    <row r="324" spans="1:17" ht="14">
      <c r="A324" s="303">
        <v>319</v>
      </c>
      <c r="B324" s="2" t="s">
        <v>89</v>
      </c>
      <c r="C324" s="222" t="s">
        <v>457</v>
      </c>
      <c r="D324" t="str">
        <f xml:space="preserve"> TRIM( SUBSTITUTE(SUBSTITUTE(SUBSTITUTE( Compil[[#This Row],[DESIGNATION]],"-",""),"–",""),"*",""))</f>
        <v>Eclairage normal des communs et des locaux commerciaux</v>
      </c>
      <c r="E324" s="189"/>
      <c r="F324" s="252"/>
      <c r="G324" s="289" t="str">
        <f>IF(F324="","",(((L324*$M$6)+(M324*#REF!*#REF!))*$M$7)/F324)</f>
        <v/>
      </c>
      <c r="H324" s="164" t="str">
        <f>IF(F324="","",F324*G324)</f>
        <v/>
      </c>
      <c r="I324" t="s">
        <v>580</v>
      </c>
      <c r="J324" t="b">
        <f>AND(NOT(Compil[[#This Row],[Est ouvrage]]), NOT(ISBLANK(Compil[[#This Row],[ART.
CCTP]])))</f>
        <v>1</v>
      </c>
      <c r="K324" t="b">
        <f>OR(Compil[[#This Row],[Unité]]="U",Compil[[#This Row],[Unité]]="ens",Compil[[#This Row],[Unité]]="ml")</f>
        <v>0</v>
      </c>
      <c r="L324" t="b">
        <f>ISBLANK(Compil[[#This Row],[DESIGNATION]])</f>
        <v>0</v>
      </c>
      <c r="M324" s="359"/>
      <c r="N324" s="358"/>
      <c r="O324" s="358"/>
      <c r="P324" s="358"/>
      <c r="Q324" s="358">
        <f>COUNTIF(Compil[[Ma Désignation ]],Compil[[Ma Désignation ]])</f>
        <v>1</v>
      </c>
    </row>
    <row r="325" spans="1:17" ht="14">
      <c r="A325" s="303">
        <v>320</v>
      </c>
      <c r="B325" s="2"/>
      <c r="C325" s="224"/>
      <c r="D325" t="str">
        <f xml:space="preserve"> TRIM( SUBSTITUTE(SUBSTITUTE(SUBSTITUTE( Compil[[#This Row],[DESIGNATION]],"-",""),"–",""),"*",""))</f>
        <v/>
      </c>
      <c r="E325" s="189"/>
      <c r="F325" s="252"/>
      <c r="G325" s="289" t="str">
        <f>IF(F325="","",(((L325*$M$6)+(M325*#REF!*#REF!))*$M$7)/F325)</f>
        <v/>
      </c>
      <c r="H325" s="164" t="str">
        <f>IF(F325="","",F325*G325)</f>
        <v/>
      </c>
      <c r="I325" t="s">
        <v>580</v>
      </c>
      <c r="J325" t="b">
        <f>AND(NOT(Compil[[#This Row],[Est ouvrage]]), NOT(ISBLANK(Compil[[#This Row],[ART.
CCTP]])))</f>
        <v>0</v>
      </c>
      <c r="K325" t="b">
        <f>OR(Compil[[#This Row],[Unité]]="U",Compil[[#This Row],[Unité]]="ens",Compil[[#This Row],[Unité]]="ml")</f>
        <v>0</v>
      </c>
      <c r="L325" t="b">
        <f>ISBLANK(Compil[[#This Row],[DESIGNATION]])</f>
        <v>1</v>
      </c>
      <c r="M325" s="358"/>
      <c r="N325" s="358"/>
      <c r="O325" s="358"/>
      <c r="P325" s="358"/>
      <c r="Q325" s="358">
        <f>COUNTIF(Compil[[Ma Désignation ]],Compil[[Ma Désignation ]])</f>
        <v>306</v>
      </c>
    </row>
    <row r="326" spans="1:17" ht="14">
      <c r="A326" s="310">
        <v>556</v>
      </c>
      <c r="B326" s="43"/>
      <c r="C326" s="416" t="s">
        <v>275</v>
      </c>
      <c r="D326" t="str">
        <f xml:space="preserve"> TRIM( SUBSTITUTE(SUBSTITUTE(SUBSTITUTE( Compil[[#This Row],[DESIGNATION]],"-",""),"–",""),"*",""))</f>
        <v>Bouton poussoir</v>
      </c>
      <c r="E326" s="33" t="s">
        <v>13</v>
      </c>
      <c r="F326" s="262"/>
      <c r="G326" s="289" t="s">
        <v>571</v>
      </c>
      <c r="H326" s="164" t="s">
        <v>571</v>
      </c>
      <c r="I326" t="s">
        <v>570</v>
      </c>
      <c r="J326" t="b">
        <f>AND(NOT(Compil[[#This Row],[Est ouvrage]]), NOT(ISBLANK(Compil[[#This Row],[ART.
CCTP]])))</f>
        <v>0</v>
      </c>
      <c r="K326" t="b">
        <f>OR(Compil[[#This Row],[Unité]]="U",Compil[[#This Row],[Unité]]="ens",Compil[[#This Row],[Unité]]="ml")</f>
        <v>1</v>
      </c>
      <c r="L326" t="b">
        <f>ISBLANK(Compil[[#This Row],[DESIGNATION]])</f>
        <v>0</v>
      </c>
      <c r="M326" s="359"/>
      <c r="N326" s="358"/>
      <c r="O326" s="358"/>
      <c r="P326" s="358"/>
      <c r="Q326" s="358">
        <f>COUNTIF(Compil[[Ma Désignation ]],Compil[[Ma Désignation ]])</f>
        <v>12</v>
      </c>
    </row>
    <row r="327" spans="1:17" ht="14">
      <c r="A327" s="310">
        <v>593</v>
      </c>
      <c r="B327" s="43"/>
      <c r="C327" s="416" t="s">
        <v>275</v>
      </c>
      <c r="D327" t="str">
        <f xml:space="preserve"> TRIM( SUBSTITUTE(SUBSTITUTE(SUBSTITUTE( Compil[[#This Row],[DESIGNATION]],"-",""),"–",""),"*",""))</f>
        <v>Bouton poussoir</v>
      </c>
      <c r="E327" s="33" t="s">
        <v>13</v>
      </c>
      <c r="F327" s="262">
        <v>2</v>
      </c>
      <c r="G327" s="289">
        <v>0</v>
      </c>
      <c r="H327" s="164">
        <v>0</v>
      </c>
      <c r="I327" t="s">
        <v>570</v>
      </c>
      <c r="J327" t="b">
        <f>AND(NOT(Compil[[#This Row],[Est ouvrage]]), NOT(ISBLANK(Compil[[#This Row],[ART.
CCTP]])))</f>
        <v>0</v>
      </c>
      <c r="K327" t="b">
        <f>OR(Compil[[#This Row],[Unité]]="U",Compil[[#This Row],[Unité]]="ens",Compil[[#This Row],[Unité]]="ml")</f>
        <v>1</v>
      </c>
      <c r="L327" t="b">
        <f>ISBLANK(Compil[[#This Row],[DESIGNATION]])</f>
        <v>0</v>
      </c>
      <c r="M327" s="359"/>
      <c r="N327" s="358"/>
      <c r="O327" s="358"/>
      <c r="P327" s="358"/>
      <c r="Q327" s="358">
        <f>COUNTIF(Compil[[Ma Désignation ]],Compil[[Ma Désignation ]])</f>
        <v>12</v>
      </c>
    </row>
    <row r="328" spans="1:17" ht="14">
      <c r="A328" s="310">
        <v>612</v>
      </c>
      <c r="B328" s="43"/>
      <c r="C328" s="416" t="s">
        <v>275</v>
      </c>
      <c r="D328" t="str">
        <f xml:space="preserve"> TRIM( SUBSTITUTE(SUBSTITUTE(SUBSTITUTE( Compil[[#This Row],[DESIGNATION]],"-",""),"–",""),"*",""))</f>
        <v>Bouton poussoir</v>
      </c>
      <c r="E328" s="33" t="s">
        <v>13</v>
      </c>
      <c r="F328" s="262"/>
      <c r="G328" s="289" t="s">
        <v>571</v>
      </c>
      <c r="H328" s="164" t="s">
        <v>571</v>
      </c>
      <c r="I328" t="s">
        <v>570</v>
      </c>
      <c r="J328" t="b">
        <f>AND(NOT(Compil[[#This Row],[Est ouvrage]]), NOT(ISBLANK(Compil[[#This Row],[ART.
CCTP]])))</f>
        <v>0</v>
      </c>
      <c r="K328" t="b">
        <f>OR(Compil[[#This Row],[Unité]]="U",Compil[[#This Row],[Unité]]="ens",Compil[[#This Row],[Unité]]="ml")</f>
        <v>1</v>
      </c>
      <c r="L328" t="b">
        <f>ISBLANK(Compil[[#This Row],[DESIGNATION]])</f>
        <v>0</v>
      </c>
      <c r="M328" s="359"/>
      <c r="N328" s="358"/>
      <c r="O328" s="358"/>
      <c r="P328" s="358"/>
      <c r="Q328" s="358">
        <f>COUNTIF(Compil[[Ma Désignation ]],Compil[[Ma Désignation ]])</f>
        <v>12</v>
      </c>
    </row>
    <row r="329" spans="1:17" ht="14">
      <c r="A329" s="310">
        <v>649</v>
      </c>
      <c r="B329" s="43"/>
      <c r="C329" s="416" t="s">
        <v>275</v>
      </c>
      <c r="D329" t="str">
        <f xml:space="preserve"> TRIM( SUBSTITUTE(SUBSTITUTE(SUBSTITUTE( Compil[[#This Row],[DESIGNATION]],"-",""),"–",""),"*",""))</f>
        <v>Bouton poussoir</v>
      </c>
      <c r="E329" s="33" t="s">
        <v>13</v>
      </c>
      <c r="F329" s="262"/>
      <c r="G329" s="289" t="s">
        <v>571</v>
      </c>
      <c r="H329" s="164" t="s">
        <v>571</v>
      </c>
      <c r="I329" t="s">
        <v>570</v>
      </c>
      <c r="J329" t="b">
        <f>AND(NOT(Compil[[#This Row],[Est ouvrage]]), NOT(ISBLANK(Compil[[#This Row],[ART.
CCTP]])))</f>
        <v>0</v>
      </c>
      <c r="K329" t="b">
        <f>OR(Compil[[#This Row],[Unité]]="U",Compil[[#This Row],[Unité]]="ens",Compil[[#This Row],[Unité]]="ml")</f>
        <v>1</v>
      </c>
      <c r="L329" t="b">
        <f>ISBLANK(Compil[[#This Row],[DESIGNATION]])</f>
        <v>0</v>
      </c>
      <c r="M329" s="359"/>
      <c r="N329" s="358"/>
      <c r="O329" s="358"/>
      <c r="P329" s="358"/>
      <c r="Q329" s="358">
        <f>COUNTIF(Compil[[Ma Désignation ]],Compil[[Ma Désignation ]])</f>
        <v>12</v>
      </c>
    </row>
    <row r="330" spans="1:17" ht="14">
      <c r="A330" s="310">
        <v>668</v>
      </c>
      <c r="B330" s="43"/>
      <c r="C330" s="416" t="s">
        <v>275</v>
      </c>
      <c r="D330" t="str">
        <f xml:space="preserve"> TRIM( SUBSTITUTE(SUBSTITUTE(SUBSTITUTE( Compil[[#This Row],[DESIGNATION]],"-",""),"–",""),"*",""))</f>
        <v>Bouton poussoir</v>
      </c>
      <c r="E330" s="33" t="s">
        <v>13</v>
      </c>
      <c r="F330" s="262"/>
      <c r="G330" s="289" t="s">
        <v>571</v>
      </c>
      <c r="H330" s="164" t="s">
        <v>571</v>
      </c>
      <c r="I330" t="s">
        <v>570</v>
      </c>
      <c r="J330" t="b">
        <f>AND(NOT(Compil[[#This Row],[Est ouvrage]]), NOT(ISBLANK(Compil[[#This Row],[ART.
CCTP]])))</f>
        <v>0</v>
      </c>
      <c r="K330" t="b">
        <f>OR(Compil[[#This Row],[Unité]]="U",Compil[[#This Row],[Unité]]="ens",Compil[[#This Row],[Unité]]="ml")</f>
        <v>1</v>
      </c>
      <c r="L330" t="b">
        <f>ISBLANK(Compil[[#This Row],[DESIGNATION]])</f>
        <v>0</v>
      </c>
      <c r="M330" s="359"/>
      <c r="N330" s="358"/>
      <c r="O330" s="358"/>
      <c r="P330" s="358"/>
      <c r="Q330" s="358">
        <f>COUNTIF(Compil[[Ma Désignation ]],Compil[[Ma Désignation ]])</f>
        <v>12</v>
      </c>
    </row>
    <row r="331" spans="1:17" ht="14">
      <c r="A331" s="303">
        <v>326</v>
      </c>
      <c r="B331" s="2"/>
      <c r="C331" s="224"/>
      <c r="D331" t="str">
        <f xml:space="preserve"> TRIM( SUBSTITUTE(SUBSTITUTE(SUBSTITUTE( Compil[[#This Row],[DESIGNATION]],"-",""),"–",""),"*",""))</f>
        <v/>
      </c>
      <c r="E331" s="189"/>
      <c r="F331" s="252"/>
      <c r="G331" s="289" t="str">
        <f>IF(F331="","",(((L331*$M$6)+(M331*#REF!*#REF!))*$M$7)/F331)</f>
        <v/>
      </c>
      <c r="H331" s="164" t="str">
        <f>IF(F331="","",F331*G331)</f>
        <v/>
      </c>
      <c r="I331" t="s">
        <v>580</v>
      </c>
      <c r="J331" t="b">
        <f>AND(NOT(Compil[[#This Row],[Est ouvrage]]), NOT(ISBLANK(Compil[[#This Row],[ART.
CCTP]])))</f>
        <v>0</v>
      </c>
      <c r="K331" t="b">
        <f>OR(Compil[[#This Row],[Unité]]="U",Compil[[#This Row],[Unité]]="ens",Compil[[#This Row],[Unité]]="ml")</f>
        <v>0</v>
      </c>
      <c r="L331" t="b">
        <f>ISBLANK(Compil[[#This Row],[DESIGNATION]])</f>
        <v>1</v>
      </c>
      <c r="M331" s="358"/>
      <c r="N331" s="358"/>
      <c r="O331" s="358"/>
      <c r="P331" s="358"/>
      <c r="Q331" s="358">
        <f>COUNTIF(Compil[[Ma Désignation ]],Compil[[Ma Désignation ]])</f>
        <v>306</v>
      </c>
    </row>
    <row r="332" spans="1:17">
      <c r="A332" s="360">
        <v>1057</v>
      </c>
      <c r="B332" s="363"/>
      <c r="C332" s="402" t="s">
        <v>275</v>
      </c>
      <c r="D332" t="str">
        <f xml:space="preserve"> TRIM( SUBSTITUTE(SUBSTITUTE(SUBSTITUTE( Compil[[#This Row],[DESIGNATION]],"-",""),"–",""),"*",""))</f>
        <v>Bouton poussoir</v>
      </c>
      <c r="E332" s="374" t="s">
        <v>13</v>
      </c>
      <c r="F332" s="385"/>
      <c r="G332" s="390" t="s">
        <v>571</v>
      </c>
      <c r="H332" s="391" t="s">
        <v>571</v>
      </c>
      <c r="I332" t="s">
        <v>579</v>
      </c>
      <c r="J332" t="b">
        <f>AND(NOT(Compil[[#This Row],[Est ouvrage]]), NOT(ISBLANK(Compil[[#This Row],[ART.
CCTP]])))</f>
        <v>0</v>
      </c>
      <c r="K332" t="b">
        <f>OR(Compil[[#This Row],[Unité]]="U",Compil[[#This Row],[Unité]]="ens",Compil[[#This Row],[Unité]]="ml")</f>
        <v>1</v>
      </c>
      <c r="L332" t="b">
        <f>ISBLANK(Compil[[#This Row],[DESIGNATION]])</f>
        <v>0</v>
      </c>
      <c r="M332" s="359"/>
      <c r="N332" s="358"/>
      <c r="O332" s="358"/>
      <c r="P332" s="358"/>
      <c r="Q332" s="358">
        <f>COUNTIF(Compil[[Ma Désignation ]],Compil[[Ma Désignation ]])</f>
        <v>12</v>
      </c>
    </row>
    <row r="333" spans="1:17">
      <c r="A333" s="360">
        <v>1067</v>
      </c>
      <c r="B333" s="363"/>
      <c r="C333" s="402" t="s">
        <v>275</v>
      </c>
      <c r="D333" t="str">
        <f xml:space="preserve"> TRIM( SUBSTITUTE(SUBSTITUTE(SUBSTITUTE( Compil[[#This Row],[DESIGNATION]],"-",""),"–",""),"*",""))</f>
        <v>Bouton poussoir</v>
      </c>
      <c r="E333" s="374" t="s">
        <v>13</v>
      </c>
      <c r="F333" s="385"/>
      <c r="G333" s="390" t="s">
        <v>571</v>
      </c>
      <c r="H333" s="391" t="s">
        <v>571</v>
      </c>
      <c r="I333" t="s">
        <v>579</v>
      </c>
      <c r="J333" t="b">
        <f>AND(NOT(Compil[[#This Row],[Est ouvrage]]), NOT(ISBLANK(Compil[[#This Row],[ART.
CCTP]])))</f>
        <v>0</v>
      </c>
      <c r="K333" t="b">
        <f>OR(Compil[[#This Row],[Unité]]="U",Compil[[#This Row],[Unité]]="ens",Compil[[#This Row],[Unité]]="ml")</f>
        <v>1</v>
      </c>
      <c r="L333" t="b">
        <f>ISBLANK(Compil[[#This Row],[DESIGNATION]])</f>
        <v>0</v>
      </c>
      <c r="M333" s="359"/>
      <c r="N333" s="358"/>
      <c r="O333" s="358"/>
      <c r="P333" s="358"/>
      <c r="Q333" s="358">
        <f>COUNTIF(Compil[[Ma Désignation ]],Compil[[Ma Désignation ]])</f>
        <v>12</v>
      </c>
    </row>
    <row r="334" spans="1:17">
      <c r="A334" s="360">
        <v>1093</v>
      </c>
      <c r="B334" s="363"/>
      <c r="C334" s="402" t="s">
        <v>275</v>
      </c>
      <c r="D334" t="str">
        <f xml:space="preserve"> TRIM( SUBSTITUTE(SUBSTITUTE(SUBSTITUTE( Compil[[#This Row],[DESIGNATION]],"-",""),"–",""),"*",""))</f>
        <v>Bouton poussoir</v>
      </c>
      <c r="E334" s="374" t="s">
        <v>13</v>
      </c>
      <c r="F334" s="385"/>
      <c r="G334" s="390" t="s">
        <v>571</v>
      </c>
      <c r="H334" s="391" t="s">
        <v>571</v>
      </c>
      <c r="I334" t="s">
        <v>579</v>
      </c>
      <c r="J334" t="b">
        <f>AND(NOT(Compil[[#This Row],[Est ouvrage]]), NOT(ISBLANK(Compil[[#This Row],[ART.
CCTP]])))</f>
        <v>0</v>
      </c>
      <c r="K334" t="b">
        <f>OR(Compil[[#This Row],[Unité]]="U",Compil[[#This Row],[Unité]]="ens",Compil[[#This Row],[Unité]]="ml")</f>
        <v>1</v>
      </c>
      <c r="L334" t="b">
        <f>ISBLANK(Compil[[#This Row],[DESIGNATION]])</f>
        <v>0</v>
      </c>
      <c r="M334" s="359"/>
      <c r="N334" s="358"/>
      <c r="O334" s="358"/>
      <c r="P334" s="358"/>
      <c r="Q334" s="358">
        <f>COUNTIF(Compil[[Ma Désignation ]],Compil[[Ma Désignation ]])</f>
        <v>12</v>
      </c>
    </row>
    <row r="335" spans="1:17" ht="14">
      <c r="A335" s="303">
        <v>330</v>
      </c>
      <c r="B335" s="2"/>
      <c r="C335" s="220"/>
      <c r="D335" t="str">
        <f xml:space="preserve"> TRIM( SUBSTITUTE(SUBSTITUTE(SUBSTITUTE( Compil[[#This Row],[DESIGNATION]],"-",""),"–",""),"*",""))</f>
        <v/>
      </c>
      <c r="E335" s="216"/>
      <c r="F335" s="252"/>
      <c r="G335" s="289" t="str">
        <f>IF(F335="","",(((L335*$M$6)+(M335*#REF!*#REF!))*$M$7)/F335)</f>
        <v/>
      </c>
      <c r="H335" s="164" t="str">
        <f>IF(F335="","",F335*G335)</f>
        <v/>
      </c>
      <c r="I335" t="s">
        <v>580</v>
      </c>
      <c r="J335" t="b">
        <f>AND(NOT(Compil[[#This Row],[Est ouvrage]]), NOT(ISBLANK(Compil[[#This Row],[ART.
CCTP]])))</f>
        <v>0</v>
      </c>
      <c r="K335" t="b">
        <f>OR(Compil[[#This Row],[Unité]]="U",Compil[[#This Row],[Unité]]="ens",Compil[[#This Row],[Unité]]="ml")</f>
        <v>0</v>
      </c>
      <c r="L335" t="b">
        <f>ISBLANK(Compil[[#This Row],[DESIGNATION]])</f>
        <v>1</v>
      </c>
      <c r="M335" s="358"/>
      <c r="N335" s="358"/>
      <c r="O335" s="358"/>
      <c r="P335" s="358"/>
      <c r="Q335" s="358">
        <f>COUNTIF(Compil[[Ma Désignation ]],Compil[[Ma Désignation ]])</f>
        <v>306</v>
      </c>
    </row>
    <row r="336" spans="1:17" ht="14">
      <c r="A336" s="303">
        <v>331</v>
      </c>
      <c r="B336" s="2"/>
      <c r="C336" s="394" t="s">
        <v>117</v>
      </c>
      <c r="D336" t="str">
        <f xml:space="preserve"> TRIM( SUBSTITUTE(SUBSTITUTE(SUBSTITUTE( Compil[[#This Row],[DESIGNATION]],"-",""),"–",""),"*",""))</f>
        <v>Sous total 2.16</v>
      </c>
      <c r="E336" s="216"/>
      <c r="F336" s="252"/>
      <c r="G336" s="289" t="str">
        <f>IF(F336="","",(((L336*$M$6)+(M336*#REF!*#REF!))*$M$7)/F336)</f>
        <v/>
      </c>
      <c r="H336" s="164" t="str">
        <f>IF(F336="","",F336*G336)</f>
        <v/>
      </c>
      <c r="I336" t="s">
        <v>580</v>
      </c>
      <c r="J336" t="b">
        <f>AND(NOT(Compil[[#This Row],[Est ouvrage]]), NOT(ISBLANK(Compil[[#This Row],[ART.
CCTP]])))</f>
        <v>0</v>
      </c>
      <c r="K336" t="b">
        <f>OR(Compil[[#This Row],[Unité]]="U",Compil[[#This Row],[Unité]]="ens",Compil[[#This Row],[Unité]]="ml")</f>
        <v>0</v>
      </c>
      <c r="L336" t="b">
        <f>ISBLANK(Compil[[#This Row],[DESIGNATION]])</f>
        <v>0</v>
      </c>
      <c r="M336" s="359"/>
      <c r="N336" s="358"/>
      <c r="O336" s="358"/>
      <c r="P336" s="358"/>
      <c r="Q336" s="358">
        <f>COUNTIF(Compil[[Ma Désignation ]],Compil[[Ma Désignation ]])</f>
        <v>1</v>
      </c>
    </row>
    <row r="337" spans="1:17" ht="14">
      <c r="A337" s="303">
        <v>332</v>
      </c>
      <c r="B337" s="2"/>
      <c r="C337" s="224"/>
      <c r="D337" t="str">
        <f xml:space="preserve"> TRIM( SUBSTITUTE(SUBSTITUTE(SUBSTITUTE( Compil[[#This Row],[DESIGNATION]],"-",""),"–",""),"*",""))</f>
        <v/>
      </c>
      <c r="E337" s="216"/>
      <c r="F337" s="252"/>
      <c r="G337" s="289" t="str">
        <f>IF(F337="","",(((L337*$M$6)+(M337*#REF!*#REF!))*$M$7)/F337)</f>
        <v/>
      </c>
      <c r="H337" s="164" t="str">
        <f>IF(F337="","",F337*G337)</f>
        <v/>
      </c>
      <c r="I337" t="s">
        <v>580</v>
      </c>
      <c r="J337" t="b">
        <f>AND(NOT(Compil[[#This Row],[Est ouvrage]]), NOT(ISBLANK(Compil[[#This Row],[ART.
CCTP]])))</f>
        <v>0</v>
      </c>
      <c r="K337" t="b">
        <f>OR(Compil[[#This Row],[Unité]]="U",Compil[[#This Row],[Unité]]="ens",Compil[[#This Row],[Unité]]="ml")</f>
        <v>0</v>
      </c>
      <c r="L337" t="b">
        <f>ISBLANK(Compil[[#This Row],[DESIGNATION]])</f>
        <v>1</v>
      </c>
      <c r="M337" s="358"/>
      <c r="N337" s="358"/>
      <c r="O337" s="358"/>
      <c r="P337" s="358"/>
      <c r="Q337" s="358">
        <f>COUNTIF(Compil[[Ma Désignation ]],Compil[[Ma Désignation ]])</f>
        <v>306</v>
      </c>
    </row>
    <row r="338" spans="1:17" ht="14">
      <c r="A338" s="303">
        <v>333</v>
      </c>
      <c r="B338" s="2" t="s">
        <v>91</v>
      </c>
      <c r="C338" s="222" t="s">
        <v>211</v>
      </c>
      <c r="D338" t="str">
        <f xml:space="preserve"> TRIM( SUBSTITUTE(SUBSTITUTE(SUBSTITUTE( Compil[[#This Row],[DESIGNATION]],"-",""),"–",""),"*",""))</f>
        <v>Installations de chantier</v>
      </c>
      <c r="E338" s="216"/>
      <c r="F338" s="252"/>
      <c r="G338" s="289" t="str">
        <f>IF(F338="","",(((L338*$M$6)+(M338*#REF!*#REF!))*$M$7)/F338)</f>
        <v/>
      </c>
      <c r="H338" s="164" t="str">
        <f>IF(F338="","",F338*G338)</f>
        <v/>
      </c>
      <c r="I338" t="s">
        <v>580</v>
      </c>
      <c r="J338" t="b">
        <f>AND(NOT(Compil[[#This Row],[Est ouvrage]]), NOT(ISBLANK(Compil[[#This Row],[ART.
CCTP]])))</f>
        <v>1</v>
      </c>
      <c r="K338" t="b">
        <f>OR(Compil[[#This Row],[Unité]]="U",Compil[[#This Row],[Unité]]="ens",Compil[[#This Row],[Unité]]="ml")</f>
        <v>0</v>
      </c>
      <c r="L338" t="b">
        <f>ISBLANK(Compil[[#This Row],[DESIGNATION]])</f>
        <v>0</v>
      </c>
      <c r="M338" s="359"/>
      <c r="N338" s="358"/>
      <c r="O338" s="358"/>
      <c r="P338" s="358"/>
      <c r="Q338" s="358">
        <f>COUNTIF(Compil[[Ma Désignation ]],Compil[[Ma Désignation ]])</f>
        <v>4</v>
      </c>
    </row>
    <row r="339" spans="1:17" ht="14">
      <c r="A339" s="303">
        <v>334</v>
      </c>
      <c r="B339" s="179"/>
      <c r="C339" s="225"/>
      <c r="D339" t="str">
        <f xml:space="preserve"> TRIM( SUBSTITUTE(SUBSTITUTE(SUBSTITUTE( Compil[[#This Row],[DESIGNATION]],"-",""),"–",""),"*",""))</f>
        <v/>
      </c>
      <c r="E339" s="216"/>
      <c r="F339" s="252"/>
      <c r="G339" s="289" t="str">
        <f>IF(F339="","",(((L339*$M$6)+(M339*#REF!*#REF!))*$M$7)/F339)</f>
        <v/>
      </c>
      <c r="H339" s="164" t="str">
        <f>IF(F339="","",F339*G339)</f>
        <v/>
      </c>
      <c r="I339" t="s">
        <v>580</v>
      </c>
      <c r="J339" t="b">
        <f>AND(NOT(Compil[[#This Row],[Est ouvrage]]), NOT(ISBLANK(Compil[[#This Row],[ART.
CCTP]])))</f>
        <v>0</v>
      </c>
      <c r="K339" t="b">
        <f>OR(Compil[[#This Row],[Unité]]="U",Compil[[#This Row],[Unité]]="ens",Compil[[#This Row],[Unité]]="ml")</f>
        <v>0</v>
      </c>
      <c r="L339" t="b">
        <f>ISBLANK(Compil[[#This Row],[DESIGNATION]])</f>
        <v>1</v>
      </c>
      <c r="M339" s="358"/>
      <c r="N339" s="358"/>
      <c r="O339" s="358"/>
      <c r="P339" s="358"/>
      <c r="Q339" s="358">
        <f>COUNTIF(Compil[[Ma Désignation ]],Compil[[Ma Désignation ]])</f>
        <v>306</v>
      </c>
    </row>
    <row r="340" spans="1:17" ht="14">
      <c r="A340" s="303">
        <v>335</v>
      </c>
      <c r="B340" s="179"/>
      <c r="C340" s="225" t="s">
        <v>65</v>
      </c>
      <c r="D340" t="str">
        <f xml:space="preserve"> TRIM( SUBSTITUTE(SUBSTITUTE(SUBSTITUTE( Compil[[#This Row],[DESIGNATION]],"-",""),"–",""),"*",""))</f>
        <v>installations de chantier</v>
      </c>
      <c r="E340" s="239" t="s">
        <v>347</v>
      </c>
      <c r="F340" s="252"/>
      <c r="G340" s="289" t="str">
        <f>IF(F340="","",(((L340*$M$6)+(M340*#REF!*#REF!))*$M$7)/F340)</f>
        <v/>
      </c>
      <c r="H340" s="164" t="str">
        <f>IF(F340="","",F340*G340)</f>
        <v/>
      </c>
      <c r="I340" t="s">
        <v>580</v>
      </c>
      <c r="J340" t="b">
        <f>AND(NOT(Compil[[#This Row],[Est ouvrage]]), NOT(ISBLANK(Compil[[#This Row],[ART.
CCTP]])))</f>
        <v>0</v>
      </c>
      <c r="K340" t="b">
        <f>OR(Compil[[#This Row],[Unité]]="U",Compil[[#This Row],[Unité]]="ens",Compil[[#This Row],[Unité]]="ml")</f>
        <v>0</v>
      </c>
      <c r="L340" t="b">
        <f>ISBLANK(Compil[[#This Row],[DESIGNATION]])</f>
        <v>0</v>
      </c>
      <c r="M340" s="359"/>
      <c r="N340" s="358"/>
      <c r="O340" s="358"/>
      <c r="P340" s="358"/>
      <c r="Q340" s="358">
        <f>COUNTIF(Compil[[Ma Désignation ]],Compil[[Ma Désignation ]])</f>
        <v>4</v>
      </c>
    </row>
    <row r="341" spans="1:17" ht="14">
      <c r="A341" s="303">
        <v>336</v>
      </c>
      <c r="B341" s="179"/>
      <c r="C341" s="225"/>
      <c r="D341" t="str">
        <f xml:space="preserve"> TRIM( SUBSTITUTE(SUBSTITUTE(SUBSTITUTE( Compil[[#This Row],[DESIGNATION]],"-",""),"–",""),"*",""))</f>
        <v/>
      </c>
      <c r="E341" s="216"/>
      <c r="F341" s="252"/>
      <c r="G341" s="289" t="str">
        <f>IF(F341="","",(((L341*$M$6)+(M341*#REF!*#REF!))*$M$7)/F341)</f>
        <v/>
      </c>
      <c r="H341" s="164" t="str">
        <f>IF(F341="","",F341*G341)</f>
        <v/>
      </c>
      <c r="I341" t="s">
        <v>580</v>
      </c>
      <c r="J341" t="b">
        <f>AND(NOT(Compil[[#This Row],[Est ouvrage]]), NOT(ISBLANK(Compil[[#This Row],[ART.
CCTP]])))</f>
        <v>0</v>
      </c>
      <c r="K341" t="b">
        <f>OR(Compil[[#This Row],[Unité]]="U",Compil[[#This Row],[Unité]]="ens",Compil[[#This Row],[Unité]]="ml")</f>
        <v>0</v>
      </c>
      <c r="L341" t="b">
        <f>ISBLANK(Compil[[#This Row],[DESIGNATION]])</f>
        <v>1</v>
      </c>
      <c r="M341" s="358"/>
      <c r="N341" s="358"/>
      <c r="O341" s="358"/>
      <c r="P341" s="358"/>
      <c r="Q341" s="358">
        <f>COUNTIF(Compil[[Ma Désignation ]],Compil[[Ma Désignation ]])</f>
        <v>306</v>
      </c>
    </row>
    <row r="342" spans="1:17" ht="14">
      <c r="A342" s="303">
        <v>337</v>
      </c>
      <c r="B342" s="2"/>
      <c r="C342" s="394" t="s">
        <v>118</v>
      </c>
      <c r="D342" t="str">
        <f xml:space="preserve"> TRIM( SUBSTITUTE(SUBSTITUTE(SUBSTITUTE( Compil[[#This Row],[DESIGNATION]],"-",""),"–",""),"*",""))</f>
        <v>Sous total 2.17</v>
      </c>
      <c r="E342" s="216"/>
      <c r="F342" s="252"/>
      <c r="G342" s="289" t="str">
        <f>IF(F342="","",(((L342*$M$6)+(M342*#REF!*#REF!))*$M$7)/F342)</f>
        <v/>
      </c>
      <c r="H342" s="164" t="str">
        <f>IF(F342="","",F342*G342)</f>
        <v/>
      </c>
      <c r="I342" t="s">
        <v>580</v>
      </c>
      <c r="J342" t="b">
        <f>AND(NOT(Compil[[#This Row],[Est ouvrage]]), NOT(ISBLANK(Compil[[#This Row],[ART.
CCTP]])))</f>
        <v>0</v>
      </c>
      <c r="K342" t="b">
        <f>OR(Compil[[#This Row],[Unité]]="U",Compil[[#This Row],[Unité]]="ens",Compil[[#This Row],[Unité]]="ml")</f>
        <v>0</v>
      </c>
      <c r="L342" t="b">
        <f>ISBLANK(Compil[[#This Row],[DESIGNATION]])</f>
        <v>0</v>
      </c>
      <c r="M342" s="359"/>
      <c r="N342" s="358"/>
      <c r="O342" s="358"/>
      <c r="P342" s="358"/>
      <c r="Q342" s="358">
        <f>COUNTIF(Compil[[Ma Désignation ]],Compil[[Ma Désignation ]])</f>
        <v>1</v>
      </c>
    </row>
    <row r="343" spans="1:17" ht="14">
      <c r="A343" s="303">
        <v>338</v>
      </c>
      <c r="B343" s="2"/>
      <c r="C343" s="224"/>
      <c r="D343" t="str">
        <f xml:space="preserve"> TRIM( SUBSTITUTE(SUBSTITUTE(SUBSTITUTE( Compil[[#This Row],[DESIGNATION]],"-",""),"–",""),"*",""))</f>
        <v/>
      </c>
      <c r="E343" s="216"/>
      <c r="F343" s="252"/>
      <c r="G343" s="289" t="str">
        <f>IF(F343="","",(((L343*$M$6)+(M343*#REF!*#REF!))*$M$7)/F343)</f>
        <v/>
      </c>
      <c r="H343" s="164" t="str">
        <f>IF(F343="","",F343*G343)</f>
        <v/>
      </c>
      <c r="I343" t="s">
        <v>580</v>
      </c>
      <c r="J343" t="b">
        <f>AND(NOT(Compil[[#This Row],[Est ouvrage]]), NOT(ISBLANK(Compil[[#This Row],[ART.
CCTP]])))</f>
        <v>0</v>
      </c>
      <c r="K343" t="b">
        <f>OR(Compil[[#This Row],[Unité]]="U",Compil[[#This Row],[Unité]]="ens",Compil[[#This Row],[Unité]]="ml")</f>
        <v>0</v>
      </c>
      <c r="L343" t="b">
        <f>ISBLANK(Compil[[#This Row],[DESIGNATION]])</f>
        <v>1</v>
      </c>
      <c r="M343" s="358"/>
      <c r="N343" s="358"/>
      <c r="O343" s="358"/>
      <c r="P343" s="358"/>
      <c r="Q343" s="358">
        <f>COUNTIF(Compil[[Ma Désignation ]],Compil[[Ma Désignation ]])</f>
        <v>306</v>
      </c>
    </row>
    <row r="344" spans="1:17" ht="14">
      <c r="A344" s="303">
        <v>339</v>
      </c>
      <c r="B344" s="2" t="s">
        <v>97</v>
      </c>
      <c r="C344" s="222" t="s">
        <v>58</v>
      </c>
      <c r="D344" t="str">
        <f xml:space="preserve"> TRIM( SUBSTITUTE(SUBSTITUTE(SUBSTITUTE( Compil[[#This Row],[DESIGNATION]],"-",""),"–",""),"*",""))</f>
        <v>Divers</v>
      </c>
      <c r="E344" s="216"/>
      <c r="F344" s="252"/>
      <c r="G344" s="289" t="str">
        <f>IF(F344="","",(((L344*$M$6)+(M344*#REF!*#REF!))*$M$7)/F344)</f>
        <v/>
      </c>
      <c r="H344" s="164" t="str">
        <f>IF(F344="","",F344*G344)</f>
        <v/>
      </c>
      <c r="I344" t="s">
        <v>580</v>
      </c>
      <c r="J344" t="b">
        <f>AND(NOT(Compil[[#This Row],[Est ouvrage]]), NOT(ISBLANK(Compil[[#This Row],[ART.
CCTP]])))</f>
        <v>1</v>
      </c>
      <c r="K344" t="b">
        <f>OR(Compil[[#This Row],[Unité]]="U",Compil[[#This Row],[Unité]]="ens",Compil[[#This Row],[Unité]]="ml")</f>
        <v>0</v>
      </c>
      <c r="L344" t="b">
        <f>ISBLANK(Compil[[#This Row],[DESIGNATION]])</f>
        <v>0</v>
      </c>
      <c r="M344" s="359"/>
      <c r="N344" s="358"/>
      <c r="O344" s="358"/>
      <c r="P344" s="358"/>
      <c r="Q344" s="358">
        <f>COUNTIF(Compil[[Ma Désignation ]],Compil[[Ma Désignation ]])</f>
        <v>2</v>
      </c>
    </row>
    <row r="345" spans="1:17" ht="14">
      <c r="A345" s="303">
        <v>340</v>
      </c>
      <c r="B345" s="2"/>
      <c r="C345" s="224"/>
      <c r="D345" t="str">
        <f xml:space="preserve"> TRIM( SUBSTITUTE(SUBSTITUTE(SUBSTITUTE( Compil[[#This Row],[DESIGNATION]],"-",""),"–",""),"*",""))</f>
        <v/>
      </c>
      <c r="E345" s="216"/>
      <c r="F345" s="252"/>
      <c r="G345" s="289" t="str">
        <f>IF(F345="","",(((L345*$M$6)+(M345*#REF!*#REF!))*$M$7)/F345)</f>
        <v/>
      </c>
      <c r="H345" s="164" t="str">
        <f>IF(F345="","",F345*G345)</f>
        <v/>
      </c>
      <c r="I345" t="s">
        <v>580</v>
      </c>
      <c r="J345" t="b">
        <f>AND(NOT(Compil[[#This Row],[Est ouvrage]]), NOT(ISBLANK(Compil[[#This Row],[ART.
CCTP]])))</f>
        <v>0</v>
      </c>
      <c r="K345" t="b">
        <f>OR(Compil[[#This Row],[Unité]]="U",Compil[[#This Row],[Unité]]="ens",Compil[[#This Row],[Unité]]="ml")</f>
        <v>0</v>
      </c>
      <c r="L345" t="b">
        <f>ISBLANK(Compil[[#This Row],[DESIGNATION]])</f>
        <v>1</v>
      </c>
      <c r="M345" s="358"/>
      <c r="N345" s="358"/>
      <c r="O345" s="358"/>
      <c r="P345" s="358"/>
      <c r="Q345" s="358">
        <f>COUNTIF(Compil[[Ma Désignation ]],Compil[[Ma Désignation ]])</f>
        <v>306</v>
      </c>
    </row>
    <row r="346" spans="1:17">
      <c r="A346" s="360">
        <v>1103</v>
      </c>
      <c r="B346" s="363"/>
      <c r="C346" s="403" t="s">
        <v>275</v>
      </c>
      <c r="D346" t="str">
        <f xml:space="preserve"> TRIM( SUBSTITUTE(SUBSTITUTE(SUBSTITUTE( Compil[[#This Row],[DESIGNATION]],"-",""),"–",""),"*",""))</f>
        <v>Bouton poussoir</v>
      </c>
      <c r="E346" s="374" t="s">
        <v>13</v>
      </c>
      <c r="F346" s="385"/>
      <c r="G346" s="390" t="s">
        <v>571</v>
      </c>
      <c r="H346" s="391" t="s">
        <v>571</v>
      </c>
      <c r="I346" t="s">
        <v>579</v>
      </c>
      <c r="J346" t="b">
        <f>AND(NOT(Compil[[#This Row],[Est ouvrage]]), NOT(ISBLANK(Compil[[#This Row],[ART.
CCTP]])))</f>
        <v>0</v>
      </c>
      <c r="K346" t="b">
        <f>OR(Compil[[#This Row],[Unité]]="U",Compil[[#This Row],[Unité]]="ens",Compil[[#This Row],[Unité]]="ml")</f>
        <v>1</v>
      </c>
      <c r="L346" t="b">
        <f>ISBLANK(Compil[[#This Row],[DESIGNATION]])</f>
        <v>0</v>
      </c>
      <c r="M346" s="359"/>
      <c r="N346" s="358"/>
      <c r="O346" s="358"/>
      <c r="P346" s="358"/>
      <c r="Q346" s="358">
        <f>COUNTIF(Compil[[Ma Désignation ]],Compil[[Ma Désignation ]])</f>
        <v>12</v>
      </c>
    </row>
    <row r="347" spans="1:17" ht="14">
      <c r="A347" s="303">
        <v>290</v>
      </c>
      <c r="B347" s="2"/>
      <c r="C347" s="236" t="s">
        <v>345</v>
      </c>
      <c r="D347" t="str">
        <f xml:space="preserve"> TRIM( SUBSTITUTE(SUBSTITUTE(SUBSTITUTE( Compil[[#This Row],[DESIGNATION]],"-",""),"–",""),"*",""))</f>
        <v>Bouton poussoir étanche</v>
      </c>
      <c r="E347" s="189" t="s">
        <v>13</v>
      </c>
      <c r="F347" s="252">
        <f>QTE!J121-F357</f>
        <v>0</v>
      </c>
      <c r="G347" s="289" t="e">
        <f>IF(F347="","",(((L347*$M$6)+(M347*#REF!*#REF!))*$M$7)/F347)</f>
        <v>#VALUE!</v>
      </c>
      <c r="H347" s="164" t="e">
        <f>IF(F347="","",F347*G347)</f>
        <v>#VALUE!</v>
      </c>
      <c r="I347" t="s">
        <v>580</v>
      </c>
      <c r="J347" t="b">
        <f>AND(NOT(Compil[[#This Row],[Est ouvrage]]), NOT(ISBLANK(Compil[[#This Row],[ART.
CCTP]])))</f>
        <v>0</v>
      </c>
      <c r="K347" t="b">
        <f>OR(Compil[[#This Row],[Unité]]="U",Compil[[#This Row],[Unité]]="ens",Compil[[#This Row],[Unité]]="ml")</f>
        <v>1</v>
      </c>
      <c r="L347" t="b">
        <f>ISBLANK(Compil[[#This Row],[DESIGNATION]])</f>
        <v>0</v>
      </c>
      <c r="M347" s="359"/>
      <c r="N347" s="358"/>
      <c r="O347" s="358"/>
      <c r="P347" s="358"/>
      <c r="Q347" s="358">
        <f>COUNTIF(Compil[[Ma Désignation ]],Compil[[Ma Désignation ]])</f>
        <v>2</v>
      </c>
    </row>
    <row r="348" spans="1:17" ht="14.5" thickBot="1">
      <c r="A348" s="303">
        <v>343</v>
      </c>
      <c r="B348" s="2"/>
      <c r="C348" s="220"/>
      <c r="D348" t="str">
        <f xml:space="preserve"> TRIM( SUBSTITUTE(SUBSTITUTE(SUBSTITUTE( Compil[[#This Row],[DESIGNATION]],"-",""),"–",""),"*",""))</f>
        <v/>
      </c>
      <c r="E348" s="216"/>
      <c r="F348" s="252"/>
      <c r="G348" s="289" t="str">
        <f>IF(F348="","",(((L348*$M$6)+(M348*#REF!*#REF!))*$M$7)/F348)</f>
        <v/>
      </c>
      <c r="H348" s="164" t="str">
        <f>IF(F348="","",F348*G348)</f>
        <v/>
      </c>
      <c r="I348" t="s">
        <v>580</v>
      </c>
      <c r="J348" t="b">
        <f>AND(NOT(Compil[[#This Row],[Est ouvrage]]), NOT(ISBLANK(Compil[[#This Row],[ART.
CCTP]])))</f>
        <v>0</v>
      </c>
      <c r="K348" t="b">
        <f>OR(Compil[[#This Row],[Unité]]="U",Compil[[#This Row],[Unité]]="ens",Compil[[#This Row],[Unité]]="ml")</f>
        <v>0</v>
      </c>
      <c r="L348" t="b">
        <f>ISBLANK(Compil[[#This Row],[DESIGNATION]])</f>
        <v>1</v>
      </c>
      <c r="M348" s="358"/>
      <c r="N348" s="358"/>
      <c r="O348" s="358"/>
      <c r="P348" s="358"/>
      <c r="Q348" s="358">
        <f>COUNTIF(Compil[[Ma Désignation ]],Compil[[Ma Désignation ]])</f>
        <v>306</v>
      </c>
    </row>
    <row r="349" spans="1:17" ht="13.5" thickBot="1">
      <c r="A349" s="303">
        <v>344</v>
      </c>
      <c r="B349" s="65"/>
      <c r="C349" s="445" t="s">
        <v>119</v>
      </c>
      <c r="D349" t="str">
        <f xml:space="preserve"> TRIM( SUBSTITUTE(SUBSTITUTE(SUBSTITUTE( Compil[[#This Row],[DESIGNATION]],"-",""),"–",""),"*",""))</f>
        <v>Sous total 2.18</v>
      </c>
      <c r="E349" s="241"/>
      <c r="F349" s="256"/>
      <c r="G349" s="68"/>
      <c r="H349" s="112"/>
      <c r="I349" t="s">
        <v>580</v>
      </c>
      <c r="J349" t="b">
        <f>AND(NOT(Compil[[#This Row],[Est ouvrage]]), NOT(ISBLANK(Compil[[#This Row],[ART.
CCTP]])))</f>
        <v>0</v>
      </c>
      <c r="K349" t="b">
        <f>OR(Compil[[#This Row],[Unité]]="U",Compil[[#This Row],[Unité]]="ens",Compil[[#This Row],[Unité]]="ml")</f>
        <v>0</v>
      </c>
      <c r="L349" t="b">
        <f>ISBLANK(Compil[[#This Row],[DESIGNATION]])</f>
        <v>0</v>
      </c>
      <c r="M349" s="359"/>
      <c r="N349" s="358"/>
      <c r="O349" s="358"/>
      <c r="P349" s="358"/>
      <c r="Q349" s="358">
        <f>COUNTIF(Compil[[Ma Désignation ]],Compil[[Ma Désignation ]])</f>
        <v>1</v>
      </c>
    </row>
    <row r="350" spans="1:17" ht="13">
      <c r="A350" s="310">
        <v>345</v>
      </c>
      <c r="B350" s="17"/>
      <c r="C350" s="438" t="s">
        <v>2</v>
      </c>
      <c r="D350" t="str">
        <f xml:space="preserve"> TRIM( SUBSTITUTE(SUBSTITUTE(SUBSTITUTE( Compil[[#This Row],[DESIGNATION]],"-",""),"–",""),"*",""))</f>
        <v>SOLUTION DE BASE</v>
      </c>
      <c r="E350" s="18"/>
      <c r="F350" s="262"/>
      <c r="G350" s="18"/>
      <c r="H350" s="119"/>
      <c r="I350" t="s">
        <v>570</v>
      </c>
      <c r="J350" t="b">
        <f>AND(NOT(Compil[[#This Row],[Est ouvrage]]), NOT(ISBLANK(Compil[[#This Row],[ART.
CCTP]])))</f>
        <v>0</v>
      </c>
      <c r="K350" t="b">
        <f>OR(Compil[[#This Row],[Unité]]="U",Compil[[#This Row],[Unité]]="ens",Compil[[#This Row],[Unité]]="ml")</f>
        <v>0</v>
      </c>
      <c r="L350" t="b">
        <f>ISBLANK(Compil[[#This Row],[DESIGNATION]])</f>
        <v>0</v>
      </c>
      <c r="M350" s="359"/>
      <c r="N350" s="358"/>
      <c r="O350" s="358"/>
      <c r="P350" s="358"/>
      <c r="Q350" s="358">
        <f>COUNTIF(Compil[[Ma Désignation ]],Compil[[Ma Désignation ]])</f>
        <v>4</v>
      </c>
    </row>
    <row r="351" spans="1:17" ht="13">
      <c r="A351" s="310">
        <v>346</v>
      </c>
      <c r="B351" s="17"/>
      <c r="C351" s="438"/>
      <c r="D351" t="str">
        <f xml:space="preserve"> TRIM( SUBSTITUTE(SUBSTITUTE(SUBSTITUTE( Compil[[#This Row],[DESIGNATION]],"-",""),"–",""),"*",""))</f>
        <v/>
      </c>
      <c r="E351" s="18"/>
      <c r="F351" s="262"/>
      <c r="G351" s="18"/>
      <c r="H351" s="119"/>
      <c r="I351" t="s">
        <v>570</v>
      </c>
      <c r="J351" t="b">
        <f>AND(NOT(Compil[[#This Row],[Est ouvrage]]), NOT(ISBLANK(Compil[[#This Row],[ART.
CCTP]])))</f>
        <v>0</v>
      </c>
      <c r="K351" t="b">
        <f>OR(Compil[[#This Row],[Unité]]="U",Compil[[#This Row],[Unité]]="ens",Compil[[#This Row],[Unité]]="ml")</f>
        <v>0</v>
      </c>
      <c r="L351" t="b">
        <f>ISBLANK(Compil[[#This Row],[DESIGNATION]])</f>
        <v>1</v>
      </c>
      <c r="M351" s="358"/>
      <c r="N351" s="358"/>
      <c r="O351" s="358"/>
      <c r="P351" s="358"/>
      <c r="Q351" s="358">
        <f>COUNTIF(Compil[[Ma Désignation ]],Compil[[Ma Désignation ]])</f>
        <v>306</v>
      </c>
    </row>
    <row r="352" spans="1:17" ht="14">
      <c r="A352" s="310">
        <v>347</v>
      </c>
      <c r="B352" s="19"/>
      <c r="C352" s="410" t="s">
        <v>343</v>
      </c>
      <c r="D352" t="str">
        <f xml:space="preserve"> TRIM( SUBSTITUTE(SUBSTITUTE(SUBSTITUTE( Compil[[#This Row],[DESIGNATION]],"-",""),"–",""),"*",""))</f>
        <v>BÂTIMENT G1/G2/PARKINGS</v>
      </c>
      <c r="E352" s="21"/>
      <c r="F352" s="263"/>
      <c r="G352" s="21"/>
      <c r="H352" s="115"/>
      <c r="I352" t="s">
        <v>570</v>
      </c>
      <c r="J352" t="b">
        <f>AND(NOT(Compil[[#This Row],[Est ouvrage]]), NOT(ISBLANK(Compil[[#This Row],[ART.
CCTP]])))</f>
        <v>0</v>
      </c>
      <c r="K352" t="b">
        <f>OR(Compil[[#This Row],[Unité]]="U",Compil[[#This Row],[Unité]]="ens",Compil[[#This Row],[Unité]]="ml")</f>
        <v>0</v>
      </c>
      <c r="L352" t="b">
        <f>ISBLANK(Compil[[#This Row],[DESIGNATION]])</f>
        <v>0</v>
      </c>
      <c r="M352" s="359"/>
      <c r="N352" s="358"/>
      <c r="O352" s="358"/>
      <c r="P352" s="358"/>
      <c r="Q352" s="358">
        <f>COUNTIF(Compil[[Ma Désignation ]],Compil[[Ma Désignation ]])</f>
        <v>2</v>
      </c>
    </row>
    <row r="353" spans="1:17" ht="13">
      <c r="A353" s="310">
        <v>348</v>
      </c>
      <c r="B353" s="19"/>
      <c r="C353" s="420"/>
      <c r="D353" t="str">
        <f xml:space="preserve"> TRIM( SUBSTITUTE(SUBSTITUTE(SUBSTITUTE( Compil[[#This Row],[DESIGNATION]],"-",""),"–",""),"*",""))</f>
        <v/>
      </c>
      <c r="E353" s="21"/>
      <c r="F353" s="263"/>
      <c r="G353" s="21"/>
      <c r="H353" s="115"/>
      <c r="I353" t="s">
        <v>570</v>
      </c>
      <c r="J353" t="b">
        <f>AND(NOT(Compil[[#This Row],[Est ouvrage]]), NOT(ISBLANK(Compil[[#This Row],[ART.
CCTP]])))</f>
        <v>0</v>
      </c>
      <c r="K353" t="b">
        <f>OR(Compil[[#This Row],[Unité]]="U",Compil[[#This Row],[Unité]]="ens",Compil[[#This Row],[Unité]]="ml")</f>
        <v>0</v>
      </c>
      <c r="L353" t="b">
        <f>ISBLANK(Compil[[#This Row],[DESIGNATION]])</f>
        <v>1</v>
      </c>
      <c r="M353" s="358"/>
      <c r="N353" s="358"/>
      <c r="O353" s="358"/>
      <c r="P353" s="358"/>
      <c r="Q353" s="358">
        <f>COUNTIF(Compil[[Ma Désignation ]],Compil[[Ma Désignation ]])</f>
        <v>306</v>
      </c>
    </row>
    <row r="354" spans="1:17" ht="13">
      <c r="A354" s="310">
        <v>349</v>
      </c>
      <c r="B354" s="19">
        <v>2</v>
      </c>
      <c r="C354" s="23" t="s">
        <v>59</v>
      </c>
      <c r="D354" t="str">
        <f xml:space="preserve"> TRIM( SUBSTITUTE(SUBSTITUTE(SUBSTITUTE( Compil[[#This Row],[DESIGNATION]],"-",""),"–",""),"*",""))</f>
        <v>EQUIPEMENTS DES LOGEMENTS</v>
      </c>
      <c r="E354" s="24"/>
      <c r="F354" s="263"/>
      <c r="G354" s="24"/>
      <c r="H354" s="116"/>
      <c r="I354" t="s">
        <v>570</v>
      </c>
      <c r="J354" t="b">
        <f>AND(NOT(Compil[[#This Row],[Est ouvrage]]), NOT(ISBLANK(Compil[[#This Row],[ART.
CCTP]])))</f>
        <v>1</v>
      </c>
      <c r="K354" t="b">
        <f>OR(Compil[[#This Row],[Unité]]="U",Compil[[#This Row],[Unité]]="ens",Compil[[#This Row],[Unité]]="ml")</f>
        <v>0</v>
      </c>
      <c r="L354" t="b">
        <f>ISBLANK(Compil[[#This Row],[DESIGNATION]])</f>
        <v>0</v>
      </c>
      <c r="M354" s="359"/>
      <c r="N354" s="358"/>
      <c r="O354" s="358"/>
      <c r="P354" s="358"/>
      <c r="Q354" s="358">
        <f>COUNTIF(Compil[[Ma Désignation ]],Compil[[Ma Désignation ]])</f>
        <v>4</v>
      </c>
    </row>
    <row r="355" spans="1:17" ht="13">
      <c r="A355" s="310">
        <v>350</v>
      </c>
      <c r="B355" s="19"/>
      <c r="C355" s="86"/>
      <c r="D355" t="str">
        <f xml:space="preserve"> TRIM( SUBSTITUTE(SUBSTITUTE(SUBSTITUTE( Compil[[#This Row],[DESIGNATION]],"-",""),"–",""),"*",""))</f>
        <v/>
      </c>
      <c r="E355" s="24"/>
      <c r="F355" s="263"/>
      <c r="G355" s="24"/>
      <c r="H355" s="116"/>
      <c r="I355" t="s">
        <v>570</v>
      </c>
      <c r="J355" t="b">
        <f>AND(NOT(Compil[[#This Row],[Est ouvrage]]), NOT(ISBLANK(Compil[[#This Row],[ART.
CCTP]])))</f>
        <v>0</v>
      </c>
      <c r="K355" t="b">
        <f>OR(Compil[[#This Row],[Unité]]="U",Compil[[#This Row],[Unité]]="ens",Compil[[#This Row],[Unité]]="ml")</f>
        <v>0</v>
      </c>
      <c r="L355" t="b">
        <f>ISBLANK(Compil[[#This Row],[DESIGNATION]])</f>
        <v>1</v>
      </c>
      <c r="M355" s="358"/>
      <c r="N355" s="358"/>
      <c r="O355" s="358"/>
      <c r="P355" s="358"/>
      <c r="Q355" s="358">
        <f>COUNTIF(Compil[[Ma Désignation ]],Compil[[Ma Désignation ]])</f>
        <v>306</v>
      </c>
    </row>
    <row r="356" spans="1:17" ht="13">
      <c r="A356" s="310">
        <v>351</v>
      </c>
      <c r="B356" s="19" t="s">
        <v>76</v>
      </c>
      <c r="C356" s="78" t="s">
        <v>50</v>
      </c>
      <c r="D356" t="str">
        <f xml:space="preserve"> TRIM( SUBSTITUTE(SUBSTITUTE(SUBSTITUTE( Compil[[#This Row],[DESIGNATION]],"-",""),"–",""),"*",""))</f>
        <v>Tableau des logements</v>
      </c>
      <c r="E356" s="25"/>
      <c r="F356" s="262">
        <v>105</v>
      </c>
      <c r="G356" s="25"/>
      <c r="H356" s="117"/>
      <c r="I356" t="s">
        <v>570</v>
      </c>
      <c r="J356" t="b">
        <f>AND(NOT(Compil[[#This Row],[Est ouvrage]]), NOT(ISBLANK(Compil[[#This Row],[ART.
CCTP]])))</f>
        <v>1</v>
      </c>
      <c r="K356" t="b">
        <f>OR(Compil[[#This Row],[Unité]]="U",Compil[[#This Row],[Unité]]="ens",Compil[[#This Row],[Unité]]="ml")</f>
        <v>0</v>
      </c>
      <c r="L356" t="b">
        <f>ISBLANK(Compil[[#This Row],[DESIGNATION]])</f>
        <v>0</v>
      </c>
      <c r="M356" s="359"/>
      <c r="N356" s="358"/>
      <c r="O356" s="358"/>
      <c r="P356" s="358"/>
      <c r="Q356" s="358">
        <f>COUNTIF(Compil[[Ma Désignation ]],Compil[[Ma Désignation ]])</f>
        <v>2</v>
      </c>
    </row>
    <row r="357" spans="1:17" ht="13">
      <c r="A357" s="310">
        <v>352</v>
      </c>
      <c r="B357" s="19"/>
      <c r="C357" s="78"/>
      <c r="D357" t="str">
        <f xml:space="preserve"> TRIM( SUBSTITUTE(SUBSTITUTE(SUBSTITUTE( Compil[[#This Row],[DESIGNATION]],"-",""),"–",""),"*",""))</f>
        <v/>
      </c>
      <c r="E357" s="25"/>
      <c r="F357" s="262"/>
      <c r="G357" s="25"/>
      <c r="H357" s="117"/>
      <c r="I357" t="s">
        <v>570</v>
      </c>
      <c r="J357" t="b">
        <f>AND(NOT(Compil[[#This Row],[Est ouvrage]]), NOT(ISBLANK(Compil[[#This Row],[ART.
CCTP]])))</f>
        <v>0</v>
      </c>
      <c r="K357" t="b">
        <f>OR(Compil[[#This Row],[Unité]]="U",Compil[[#This Row],[Unité]]="ens",Compil[[#This Row],[Unité]]="ml")</f>
        <v>0</v>
      </c>
      <c r="L357" t="b">
        <f>ISBLANK(Compil[[#This Row],[DESIGNATION]])</f>
        <v>1</v>
      </c>
      <c r="M357" s="358"/>
      <c r="N357" s="358"/>
      <c r="O357" s="358"/>
      <c r="P357" s="358"/>
      <c r="Q357" s="358">
        <f>COUNTIF(Compil[[Ma Désignation ]],Compil[[Ma Désignation ]])</f>
        <v>306</v>
      </c>
    </row>
    <row r="358" spans="1:17" ht="14">
      <c r="A358" s="303">
        <v>300</v>
      </c>
      <c r="B358" s="2"/>
      <c r="C358" s="206" t="s">
        <v>345</v>
      </c>
      <c r="D358" t="str">
        <f xml:space="preserve"> TRIM( SUBSTITUTE(SUBSTITUTE(SUBSTITUTE( Compil[[#This Row],[DESIGNATION]],"-",""),"–",""),"*",""))</f>
        <v>Bouton poussoir étanche</v>
      </c>
      <c r="E358" s="190" t="s">
        <v>13</v>
      </c>
      <c r="F358" s="252"/>
      <c r="G358" s="289" t="str">
        <f>IF(F358="","",(((L358*$M$6)+(M358*#REF!*#REF!))*$M$7)/F358)</f>
        <v/>
      </c>
      <c r="H358" s="164" t="str">
        <f>IF(F358="","",F358*G358)</f>
        <v/>
      </c>
      <c r="I358" t="s">
        <v>580</v>
      </c>
      <c r="J358" t="b">
        <f>AND(NOT(Compil[[#This Row],[Est ouvrage]]), NOT(ISBLANK(Compil[[#This Row],[ART.
CCTP]])))</f>
        <v>0</v>
      </c>
      <c r="K358" t="b">
        <f>OR(Compil[[#This Row],[Unité]]="U",Compil[[#This Row],[Unité]]="ens",Compil[[#This Row],[Unité]]="ml")</f>
        <v>1</v>
      </c>
      <c r="L358" t="b">
        <f>ISBLANK(Compil[[#This Row],[DESIGNATION]])</f>
        <v>0</v>
      </c>
      <c r="M358" s="359"/>
      <c r="N358" s="358"/>
      <c r="O358" s="358"/>
      <c r="P358" s="358"/>
      <c r="Q358" s="358">
        <f>COUNTIF(Compil[[Ma Désignation ]],Compil[[Ma Désignation ]])</f>
        <v>2</v>
      </c>
    </row>
    <row r="359" spans="1:17" ht="14">
      <c r="A359" s="310">
        <v>376</v>
      </c>
      <c r="B359" s="43"/>
      <c r="C359" s="416" t="s">
        <v>447</v>
      </c>
      <c r="D359" t="str">
        <f xml:space="preserve"> TRIM( SUBSTITUTE(SUBSTITUTE(SUBSTITUTE( Compil[[#This Row],[DESIGNATION]],"-",""),"–",""),"*",""))</f>
        <v>Bouton poussoir sonnerie d'entrée</v>
      </c>
      <c r="E359" s="9" t="s">
        <v>13</v>
      </c>
      <c r="F359" s="262">
        <v>1</v>
      </c>
      <c r="G359" s="289">
        <v>0</v>
      </c>
      <c r="H359" s="164">
        <v>0</v>
      </c>
      <c r="I359" t="s">
        <v>570</v>
      </c>
      <c r="J359" t="b">
        <f>AND(NOT(Compil[[#This Row],[Est ouvrage]]), NOT(ISBLANK(Compil[[#This Row],[ART.
CCTP]])))</f>
        <v>0</v>
      </c>
      <c r="K359" t="b">
        <f>OR(Compil[[#This Row],[Unité]]="U",Compil[[#This Row],[Unité]]="ens",Compil[[#This Row],[Unité]]="ml")</f>
        <v>1</v>
      </c>
      <c r="L359" t="b">
        <f>ISBLANK(Compil[[#This Row],[DESIGNATION]])</f>
        <v>0</v>
      </c>
      <c r="M359" s="359"/>
      <c r="N359" s="358"/>
      <c r="O359" s="358"/>
      <c r="P359" s="358"/>
      <c r="Q359" s="358">
        <f>COUNTIF(Compil[[Ma Désignation ]],Compil[[Ma Désignation ]])</f>
        <v>16</v>
      </c>
    </row>
    <row r="360" spans="1:17" ht="14">
      <c r="A360" s="310">
        <v>393</v>
      </c>
      <c r="B360" s="43"/>
      <c r="C360" s="416" t="s">
        <v>447</v>
      </c>
      <c r="D360" t="str">
        <f xml:space="preserve"> TRIM( SUBSTITUTE(SUBSTITUTE(SUBSTITUTE( Compil[[#This Row],[DESIGNATION]],"-",""),"–",""),"*",""))</f>
        <v>Bouton poussoir sonnerie d'entrée</v>
      </c>
      <c r="E360" s="9" t="s">
        <v>13</v>
      </c>
      <c r="F360" s="262"/>
      <c r="G360" s="289" t="s">
        <v>571</v>
      </c>
      <c r="H360" s="164" t="s">
        <v>571</v>
      </c>
      <c r="I360" t="s">
        <v>570</v>
      </c>
      <c r="J360" t="b">
        <f>AND(NOT(Compil[[#This Row],[Est ouvrage]]), NOT(ISBLANK(Compil[[#This Row],[ART.
CCTP]])))</f>
        <v>0</v>
      </c>
      <c r="K360" t="b">
        <f>OR(Compil[[#This Row],[Unité]]="U",Compil[[#This Row],[Unité]]="ens",Compil[[#This Row],[Unité]]="ml")</f>
        <v>1</v>
      </c>
      <c r="L360" t="b">
        <f>ISBLANK(Compil[[#This Row],[DESIGNATION]])</f>
        <v>0</v>
      </c>
      <c r="M360" s="359"/>
      <c r="N360" s="358"/>
      <c r="O360" s="358"/>
      <c r="P360" s="358"/>
      <c r="Q360" s="358">
        <f>COUNTIF(Compil[[Ma Désignation ]],Compil[[Ma Désignation ]])</f>
        <v>16</v>
      </c>
    </row>
    <row r="361" spans="1:17" ht="14">
      <c r="A361" s="310">
        <v>427</v>
      </c>
      <c r="B361" s="43"/>
      <c r="C361" s="416" t="s">
        <v>447</v>
      </c>
      <c r="D361" t="str">
        <f xml:space="preserve"> TRIM( SUBSTITUTE(SUBSTITUTE(SUBSTITUTE( Compil[[#This Row],[DESIGNATION]],"-",""),"–",""),"*",""))</f>
        <v>Bouton poussoir sonnerie d'entrée</v>
      </c>
      <c r="E361" s="9" t="s">
        <v>13</v>
      </c>
      <c r="F361" s="262">
        <v>1</v>
      </c>
      <c r="G361" s="289">
        <v>0</v>
      </c>
      <c r="H361" s="164">
        <v>0</v>
      </c>
      <c r="I361" t="s">
        <v>570</v>
      </c>
      <c r="J361" t="b">
        <f>AND(NOT(Compil[[#This Row],[Est ouvrage]]), NOT(ISBLANK(Compil[[#This Row],[ART.
CCTP]])))</f>
        <v>0</v>
      </c>
      <c r="K361" t="b">
        <f>OR(Compil[[#This Row],[Unité]]="U",Compil[[#This Row],[Unité]]="ens",Compil[[#This Row],[Unité]]="ml")</f>
        <v>1</v>
      </c>
      <c r="L361" t="b">
        <f>ISBLANK(Compil[[#This Row],[DESIGNATION]])</f>
        <v>0</v>
      </c>
      <c r="M361" s="359"/>
      <c r="N361" s="358"/>
      <c r="O361" s="358"/>
      <c r="P361" s="358"/>
      <c r="Q361" s="358">
        <f>COUNTIF(Compil[[Ma Désignation ]],Compil[[Ma Désignation ]])</f>
        <v>16</v>
      </c>
    </row>
    <row r="362" spans="1:17" ht="14">
      <c r="A362" s="310">
        <v>445</v>
      </c>
      <c r="B362" s="43"/>
      <c r="C362" s="416" t="s">
        <v>447</v>
      </c>
      <c r="D362" t="str">
        <f xml:space="preserve"> TRIM( SUBSTITUTE(SUBSTITUTE(SUBSTITUTE( Compil[[#This Row],[DESIGNATION]],"-",""),"–",""),"*",""))</f>
        <v>Bouton poussoir sonnerie d'entrée</v>
      </c>
      <c r="E362" s="9" t="s">
        <v>13</v>
      </c>
      <c r="F362" s="262"/>
      <c r="G362" s="289" t="s">
        <v>571</v>
      </c>
      <c r="H362" s="164" t="s">
        <v>571</v>
      </c>
      <c r="I362" t="s">
        <v>570</v>
      </c>
      <c r="J362" t="b">
        <f>AND(NOT(Compil[[#This Row],[Est ouvrage]]), NOT(ISBLANK(Compil[[#This Row],[ART.
CCTP]])))</f>
        <v>0</v>
      </c>
      <c r="K362" t="b">
        <f>OR(Compil[[#This Row],[Unité]]="U",Compil[[#This Row],[Unité]]="ens",Compil[[#This Row],[Unité]]="ml")</f>
        <v>1</v>
      </c>
      <c r="L362" t="b">
        <f>ISBLANK(Compil[[#This Row],[DESIGNATION]])</f>
        <v>0</v>
      </c>
      <c r="M362" s="359"/>
      <c r="N362" s="358"/>
      <c r="O362" s="358"/>
      <c r="P362" s="358"/>
      <c r="Q362" s="358">
        <f>COUNTIF(Compil[[Ma Désignation ]],Compil[[Ma Désignation ]])</f>
        <v>16</v>
      </c>
    </row>
    <row r="363" spans="1:17" ht="14">
      <c r="A363" s="310">
        <v>482</v>
      </c>
      <c r="B363" s="43"/>
      <c r="C363" s="416" t="s">
        <v>447</v>
      </c>
      <c r="D363" t="str">
        <f xml:space="preserve"> TRIM( SUBSTITUTE(SUBSTITUTE(SUBSTITUTE( Compil[[#This Row],[DESIGNATION]],"-",""),"–",""),"*",""))</f>
        <v>Bouton poussoir sonnerie d'entrée</v>
      </c>
      <c r="E363" s="9" t="s">
        <v>13</v>
      </c>
      <c r="F363" s="262">
        <v>1</v>
      </c>
      <c r="G363" s="289">
        <v>0</v>
      </c>
      <c r="H363" s="164">
        <v>0</v>
      </c>
      <c r="I363" t="s">
        <v>570</v>
      </c>
      <c r="J363" t="b">
        <f>AND(NOT(Compil[[#This Row],[Est ouvrage]]), NOT(ISBLANK(Compil[[#This Row],[ART.
CCTP]])))</f>
        <v>0</v>
      </c>
      <c r="K363" t="b">
        <f>OR(Compil[[#This Row],[Unité]]="U",Compil[[#This Row],[Unité]]="ens",Compil[[#This Row],[Unité]]="ml")</f>
        <v>1</v>
      </c>
      <c r="L363" t="b">
        <f>ISBLANK(Compil[[#This Row],[DESIGNATION]])</f>
        <v>0</v>
      </c>
      <c r="M363" s="359"/>
      <c r="N363" s="358"/>
      <c r="O363" s="358"/>
      <c r="P363" s="358"/>
      <c r="Q363" s="358">
        <f>COUNTIF(Compil[[Ma Désignation ]],Compil[[Ma Désignation ]])</f>
        <v>16</v>
      </c>
    </row>
    <row r="364" spans="1:17" ht="14">
      <c r="A364" s="310">
        <v>359</v>
      </c>
      <c r="B364" s="45"/>
      <c r="C364" s="130"/>
      <c r="D364" s="357" t="str">
        <f xml:space="preserve"> TRIM( SUBSTITUTE(SUBSTITUTE(SUBSTITUTE( Compil[[#This Row],[DESIGNATION]],"-",""),"–",""),"*",""))</f>
        <v/>
      </c>
      <c r="E364" s="48"/>
      <c r="F364" s="262"/>
      <c r="G364" s="289" t="s">
        <v>571</v>
      </c>
      <c r="H364" s="164" t="s">
        <v>571</v>
      </c>
      <c r="I364" t="s">
        <v>570</v>
      </c>
      <c r="J364" t="b">
        <f>AND(NOT(Compil[[#This Row],[Est ouvrage]]), NOT(ISBLANK(Compil[[#This Row],[ART.
CCTP]])))</f>
        <v>0</v>
      </c>
      <c r="K364" t="b">
        <f>OR(Compil[[#This Row],[Unité]]="U",Compil[[#This Row],[Unité]]="ens",Compil[[#This Row],[Unité]]="ml")</f>
        <v>0</v>
      </c>
      <c r="L364" t="b">
        <f>ISBLANK(Compil[[#This Row],[DESIGNATION]])</f>
        <v>1</v>
      </c>
      <c r="M364" s="358"/>
      <c r="N364" s="358"/>
      <c r="O364" s="358"/>
      <c r="P364" s="358"/>
      <c r="Q364" s="358">
        <f>COUNTIF(Compil[[Ma Désignation ]],Compil[[Ma Désignation ]])</f>
        <v>306</v>
      </c>
    </row>
    <row r="365" spans="1:17" ht="25">
      <c r="A365" s="310">
        <v>360</v>
      </c>
      <c r="B365" s="45" t="s">
        <v>312</v>
      </c>
      <c r="C365" s="114" t="s">
        <v>310</v>
      </c>
      <c r="D365" s="357" t="str">
        <f xml:space="preserve"> TRIM( SUBSTITUTE(SUBSTITUTE(SUBSTITUTE( Compil[[#This Row],[DESIGNATION]],"-",""),"–",""),"*",""))</f>
        <v>Fourniture, pose et raccordement d'un indicateur des consommations électriques suivant CCTP par logt :</v>
      </c>
      <c r="E365" s="48"/>
      <c r="F365" s="262"/>
      <c r="G365" s="289" t="s">
        <v>571</v>
      </c>
      <c r="H365" s="164" t="s">
        <v>571</v>
      </c>
      <c r="I365" t="s">
        <v>570</v>
      </c>
      <c r="J365" t="b">
        <f>AND(NOT(Compil[[#This Row],[Est ouvrage]]), NOT(ISBLANK(Compil[[#This Row],[ART.
CCTP]])))</f>
        <v>1</v>
      </c>
      <c r="K365" t="b">
        <f>OR(Compil[[#This Row],[Unité]]="U",Compil[[#This Row],[Unité]]="ens",Compil[[#This Row],[Unité]]="ml")</f>
        <v>0</v>
      </c>
      <c r="L365" t="b">
        <f>ISBLANK(Compil[[#This Row],[DESIGNATION]])</f>
        <v>0</v>
      </c>
      <c r="M365" s="359"/>
      <c r="N365" s="358"/>
      <c r="O365" s="358"/>
      <c r="P365" s="358"/>
      <c r="Q365" s="358">
        <f>COUNTIF(Compil[[Ma Désignation ]],Compil[[Ma Désignation ]])</f>
        <v>1</v>
      </c>
    </row>
    <row r="366" spans="1:17" ht="14">
      <c r="A366" s="310">
        <v>501</v>
      </c>
      <c r="B366" s="43"/>
      <c r="C366" s="423" t="s">
        <v>447</v>
      </c>
      <c r="D366" t="str">
        <f xml:space="preserve"> TRIM( SUBSTITUTE(SUBSTITUTE(SUBSTITUTE( Compil[[#This Row],[DESIGNATION]],"-",""),"–",""),"*",""))</f>
        <v>Bouton poussoir sonnerie d'entrée</v>
      </c>
      <c r="E366" s="9" t="s">
        <v>13</v>
      </c>
      <c r="F366" s="262"/>
      <c r="G366" s="289" t="s">
        <v>571</v>
      </c>
      <c r="H366" s="164" t="s">
        <v>571</v>
      </c>
      <c r="I366" t="s">
        <v>570</v>
      </c>
      <c r="J366" t="b">
        <f>AND(NOT(Compil[[#This Row],[Est ouvrage]]), NOT(ISBLANK(Compil[[#This Row],[ART.
CCTP]])))</f>
        <v>0</v>
      </c>
      <c r="K366" t="b">
        <f>OR(Compil[[#This Row],[Unité]]="U",Compil[[#This Row],[Unité]]="ens",Compil[[#This Row],[Unité]]="ml")</f>
        <v>1</v>
      </c>
      <c r="L366" t="b">
        <f>ISBLANK(Compil[[#This Row],[DESIGNATION]])</f>
        <v>0</v>
      </c>
      <c r="M366" s="359"/>
      <c r="N366" s="358"/>
      <c r="O366" s="358"/>
      <c r="P366" s="358"/>
      <c r="Q366" s="358">
        <f>COUNTIF(Compil[[Ma Désignation ]],Compil[[Ma Désignation ]])</f>
        <v>16</v>
      </c>
    </row>
    <row r="367" spans="1:17" ht="14">
      <c r="A367" s="310">
        <v>538</v>
      </c>
      <c r="B367" s="43"/>
      <c r="C367" s="423" t="s">
        <v>447</v>
      </c>
      <c r="D367" t="str">
        <f xml:space="preserve"> TRIM( SUBSTITUTE(SUBSTITUTE(SUBSTITUTE( Compil[[#This Row],[DESIGNATION]],"-",""),"–",""),"*",""))</f>
        <v>Bouton poussoir sonnerie d'entrée</v>
      </c>
      <c r="E367" s="9" t="s">
        <v>13</v>
      </c>
      <c r="F367" s="262">
        <v>1</v>
      </c>
      <c r="G367" s="289">
        <v>0</v>
      </c>
      <c r="H367" s="164">
        <v>0</v>
      </c>
      <c r="I367" t="s">
        <v>570</v>
      </c>
      <c r="J367" t="b">
        <f>AND(NOT(Compil[[#This Row],[Est ouvrage]]), NOT(ISBLANK(Compil[[#This Row],[ART.
CCTP]])))</f>
        <v>0</v>
      </c>
      <c r="K367" t="b">
        <f>OR(Compil[[#This Row],[Unité]]="U",Compil[[#This Row],[Unité]]="ens",Compil[[#This Row],[Unité]]="ml")</f>
        <v>1</v>
      </c>
      <c r="L367" t="b">
        <f>ISBLANK(Compil[[#This Row],[DESIGNATION]])</f>
        <v>0</v>
      </c>
      <c r="M367" s="359"/>
      <c r="N367" s="358"/>
      <c r="O367" s="358"/>
      <c r="P367" s="358"/>
      <c r="Q367" s="358">
        <f>COUNTIF(Compil[[Ma Désignation ]],Compil[[Ma Désignation ]])</f>
        <v>16</v>
      </c>
    </row>
    <row r="368" spans="1:17" ht="14">
      <c r="A368" s="310">
        <v>557</v>
      </c>
      <c r="B368" s="43"/>
      <c r="C368" s="423" t="s">
        <v>447</v>
      </c>
      <c r="D368" t="str">
        <f xml:space="preserve"> TRIM( SUBSTITUTE(SUBSTITUTE(SUBSTITUTE( Compil[[#This Row],[DESIGNATION]],"-",""),"–",""),"*",""))</f>
        <v>Bouton poussoir sonnerie d'entrée</v>
      </c>
      <c r="E368" s="9" t="s">
        <v>13</v>
      </c>
      <c r="F368" s="262"/>
      <c r="G368" s="289" t="s">
        <v>571</v>
      </c>
      <c r="H368" s="164" t="s">
        <v>571</v>
      </c>
      <c r="I368" t="s">
        <v>570</v>
      </c>
      <c r="J368" t="b">
        <f>AND(NOT(Compil[[#This Row],[Est ouvrage]]), NOT(ISBLANK(Compil[[#This Row],[ART.
CCTP]])))</f>
        <v>0</v>
      </c>
      <c r="K368" t="b">
        <f>OR(Compil[[#This Row],[Unité]]="U",Compil[[#This Row],[Unité]]="ens",Compil[[#This Row],[Unité]]="ml")</f>
        <v>1</v>
      </c>
      <c r="L368" t="b">
        <f>ISBLANK(Compil[[#This Row],[DESIGNATION]])</f>
        <v>0</v>
      </c>
      <c r="M368" s="359"/>
      <c r="N368" s="358"/>
      <c r="O368" s="358"/>
      <c r="P368" s="358"/>
      <c r="Q368" s="358">
        <f>COUNTIF(Compil[[Ma Désignation ]],Compil[[Ma Désignation ]])</f>
        <v>16</v>
      </c>
    </row>
    <row r="369" spans="1:17" ht="14">
      <c r="A369" s="310">
        <v>364</v>
      </c>
      <c r="B369" s="19"/>
      <c r="C369" s="81"/>
      <c r="D369" s="357" t="str">
        <f xml:space="preserve"> TRIM( SUBSTITUTE(SUBSTITUTE(SUBSTITUTE( Compil[[#This Row],[DESIGNATION]],"-",""),"–",""),"*",""))</f>
        <v/>
      </c>
      <c r="E369" s="9"/>
      <c r="F369" s="262"/>
      <c r="G369" s="289" t="s">
        <v>571</v>
      </c>
      <c r="H369" s="164" t="s">
        <v>571</v>
      </c>
      <c r="I369" t="s">
        <v>570</v>
      </c>
      <c r="J369" t="b">
        <f>AND(NOT(Compil[[#This Row],[Est ouvrage]]), NOT(ISBLANK(Compil[[#This Row],[ART.
CCTP]])))</f>
        <v>0</v>
      </c>
      <c r="K369" t="b">
        <f>OR(Compil[[#This Row],[Unité]]="U",Compil[[#This Row],[Unité]]="ens",Compil[[#This Row],[Unité]]="ml")</f>
        <v>0</v>
      </c>
      <c r="L369" t="b">
        <f>ISBLANK(Compil[[#This Row],[DESIGNATION]])</f>
        <v>1</v>
      </c>
      <c r="M369" s="358"/>
      <c r="N369" s="358"/>
      <c r="O369" s="358"/>
      <c r="P369" s="358"/>
      <c r="Q369" s="358">
        <f>COUNTIF(Compil[[Ma Désignation ]],Compil[[Ma Désignation ]])</f>
        <v>306</v>
      </c>
    </row>
    <row r="370" spans="1:17" ht="14">
      <c r="A370" s="310">
        <v>365</v>
      </c>
      <c r="B370" s="2"/>
      <c r="C370" s="414" t="s">
        <v>110</v>
      </c>
      <c r="D370" t="str">
        <f xml:space="preserve"> TRIM( SUBSTITUTE(SUBSTITUTE(SUBSTITUTE( Compil[[#This Row],[DESIGNATION]],"-",""),"–",""),"*",""))</f>
        <v>Sous total 2.6</v>
      </c>
      <c r="E370" s="9"/>
      <c r="F370" s="262"/>
      <c r="G370" s="289" t="s">
        <v>571</v>
      </c>
      <c r="H370" s="164" t="s">
        <v>571</v>
      </c>
      <c r="I370" t="s">
        <v>570</v>
      </c>
      <c r="J370" t="b">
        <f>AND(NOT(Compil[[#This Row],[Est ouvrage]]), NOT(ISBLANK(Compil[[#This Row],[ART.
CCTP]])))</f>
        <v>0</v>
      </c>
      <c r="K370" t="b">
        <f>OR(Compil[[#This Row],[Unité]]="U",Compil[[#This Row],[Unité]]="ens",Compil[[#This Row],[Unité]]="ml")</f>
        <v>0</v>
      </c>
      <c r="L370" t="b">
        <f>ISBLANK(Compil[[#This Row],[DESIGNATION]])</f>
        <v>0</v>
      </c>
      <c r="M370" s="359"/>
      <c r="N370" s="358"/>
      <c r="O370" s="358"/>
      <c r="P370" s="358"/>
      <c r="Q370" s="358">
        <f>COUNTIF(Compil[[Ma Désignation ]],Compil[[Ma Désignation ]])</f>
        <v>1</v>
      </c>
    </row>
    <row r="371" spans="1:17" ht="14">
      <c r="A371" s="310">
        <v>366</v>
      </c>
      <c r="B371" s="19"/>
      <c r="C371" s="421"/>
      <c r="D371" t="str">
        <f xml:space="preserve"> TRIM( SUBSTITUTE(SUBSTITUTE(SUBSTITUTE( Compil[[#This Row],[DESIGNATION]],"-",""),"–",""),"*",""))</f>
        <v/>
      </c>
      <c r="E371" s="25"/>
      <c r="F371" s="262"/>
      <c r="G371" s="289" t="s">
        <v>571</v>
      </c>
      <c r="H371" s="164" t="s">
        <v>571</v>
      </c>
      <c r="I371" t="s">
        <v>570</v>
      </c>
      <c r="J371" t="b">
        <f>AND(NOT(Compil[[#This Row],[Est ouvrage]]), NOT(ISBLANK(Compil[[#This Row],[ART.
CCTP]])))</f>
        <v>0</v>
      </c>
      <c r="K371" t="b">
        <f>OR(Compil[[#This Row],[Unité]]="U",Compil[[#This Row],[Unité]]="ens",Compil[[#This Row],[Unité]]="ml")</f>
        <v>0</v>
      </c>
      <c r="L371" t="b">
        <f>ISBLANK(Compil[[#This Row],[DESIGNATION]])</f>
        <v>1</v>
      </c>
      <c r="M371" s="358"/>
      <c r="N371" s="358"/>
      <c r="O371" s="358"/>
      <c r="P371" s="358"/>
      <c r="Q371" s="358">
        <f>COUNTIF(Compil[[Ma Désignation ]],Compil[[Ma Désignation ]])</f>
        <v>306</v>
      </c>
    </row>
    <row r="372" spans="1:17" ht="14">
      <c r="A372" s="310">
        <v>367</v>
      </c>
      <c r="B372" s="19" t="s">
        <v>77</v>
      </c>
      <c r="C372" s="78" t="s">
        <v>51</v>
      </c>
      <c r="D372" t="str">
        <f xml:space="preserve"> TRIM( SUBSTITUTE(SUBSTITUTE(SUBSTITUTE( Compil[[#This Row],[DESIGNATION]],"-",""),"–",""),"*",""))</f>
        <v>Equipements des logements</v>
      </c>
      <c r="E372" s="25"/>
      <c r="F372" s="262"/>
      <c r="G372" s="289" t="s">
        <v>571</v>
      </c>
      <c r="H372" s="164" t="s">
        <v>571</v>
      </c>
      <c r="I372" t="s">
        <v>570</v>
      </c>
      <c r="J372" t="b">
        <f>AND(NOT(Compil[[#This Row],[Est ouvrage]]), NOT(ISBLANK(Compil[[#This Row],[ART.
CCTP]])))</f>
        <v>1</v>
      </c>
      <c r="K372" t="b">
        <f>OR(Compil[[#This Row],[Unité]]="U",Compil[[#This Row],[Unité]]="ens",Compil[[#This Row],[Unité]]="ml")</f>
        <v>0</v>
      </c>
      <c r="L372" t="b">
        <f>ISBLANK(Compil[[#This Row],[DESIGNATION]])</f>
        <v>0</v>
      </c>
      <c r="M372" s="359"/>
      <c r="N372" s="358"/>
      <c r="O372" s="358"/>
      <c r="P372" s="358"/>
      <c r="Q372" s="358">
        <f>COUNTIF(Compil[[Ma Désignation ]],Compil[[Ma Désignation ]])</f>
        <v>4</v>
      </c>
    </row>
    <row r="373" spans="1:17" ht="14">
      <c r="A373" s="310">
        <v>368</v>
      </c>
      <c r="B373" s="2"/>
      <c r="C373" s="433"/>
      <c r="D373" t="str">
        <f xml:space="preserve"> TRIM( SUBSTITUTE(SUBSTITUTE(SUBSTITUTE( Compil[[#This Row],[DESIGNATION]],"-",""),"–",""),"*",""))</f>
        <v/>
      </c>
      <c r="E373" s="9"/>
      <c r="F373" s="262"/>
      <c r="G373" s="289" t="s">
        <v>571</v>
      </c>
      <c r="H373" s="164" t="s">
        <v>571</v>
      </c>
      <c r="I373" t="s">
        <v>570</v>
      </c>
      <c r="J373" t="b">
        <f>AND(NOT(Compil[[#This Row],[Est ouvrage]]), NOT(ISBLANK(Compil[[#This Row],[ART.
CCTP]])))</f>
        <v>0</v>
      </c>
      <c r="K373" t="b">
        <f>OR(Compil[[#This Row],[Unité]]="U",Compil[[#This Row],[Unité]]="ens",Compil[[#This Row],[Unité]]="ml")</f>
        <v>0</v>
      </c>
      <c r="L373" t="b">
        <f>ISBLANK(Compil[[#This Row],[DESIGNATION]])</f>
        <v>1</v>
      </c>
      <c r="M373" s="358"/>
      <c r="N373" s="358"/>
      <c r="O373" s="358"/>
      <c r="P373" s="358"/>
      <c r="Q373" s="358">
        <f>COUNTIF(Compil[[Ma Désignation ]],Compil[[Ma Désignation ]])</f>
        <v>306</v>
      </c>
    </row>
    <row r="374" spans="1:17" ht="14">
      <c r="A374" s="310">
        <v>369</v>
      </c>
      <c r="B374" s="2" t="s">
        <v>261</v>
      </c>
      <c r="C374" s="413" t="s">
        <v>232</v>
      </c>
      <c r="D374" t="str">
        <f xml:space="preserve"> TRIM( SUBSTITUTE(SUBSTITUTE(SUBSTITUTE( Compil[[#This Row],[DESIGNATION]],"-",""),"–",""),"*",""))</f>
        <v>Appartement de type T1</v>
      </c>
      <c r="E374" s="9"/>
      <c r="F374" s="262"/>
      <c r="G374" s="289" t="s">
        <v>571</v>
      </c>
      <c r="H374" s="164" t="s">
        <v>571</v>
      </c>
      <c r="I374" t="s">
        <v>570</v>
      </c>
      <c r="J374" t="b">
        <f>AND(NOT(Compil[[#This Row],[Est ouvrage]]), NOT(ISBLANK(Compil[[#This Row],[ART.
CCTP]])))</f>
        <v>1</v>
      </c>
      <c r="K374" t="b">
        <f>OR(Compil[[#This Row],[Unité]]="U",Compil[[#This Row],[Unité]]="ens",Compil[[#This Row],[Unité]]="ml")</f>
        <v>0</v>
      </c>
      <c r="L374" t="b">
        <f>ISBLANK(Compil[[#This Row],[DESIGNATION]])</f>
        <v>0</v>
      </c>
      <c r="M374" s="359"/>
      <c r="N374" s="358"/>
      <c r="O374" s="358"/>
      <c r="P374" s="358"/>
      <c r="Q374" s="358">
        <f>COUNTIF(Compil[[Ma Désignation ]],Compil[[Ma Désignation ]])</f>
        <v>2</v>
      </c>
    </row>
    <row r="375" spans="1:17" ht="14">
      <c r="A375" s="310">
        <v>370</v>
      </c>
      <c r="B375" s="2"/>
      <c r="C375" s="433"/>
      <c r="D375" t="str">
        <f xml:space="preserve"> TRIM( SUBSTITUTE(SUBSTITUTE(SUBSTITUTE( Compil[[#This Row],[DESIGNATION]],"-",""),"–",""),"*",""))</f>
        <v/>
      </c>
      <c r="E375" s="9"/>
      <c r="F375" s="262"/>
      <c r="G375" s="289" t="s">
        <v>571</v>
      </c>
      <c r="H375" s="164" t="s">
        <v>571</v>
      </c>
      <c r="I375" t="s">
        <v>570</v>
      </c>
      <c r="J375" t="b">
        <f>AND(NOT(Compil[[#This Row],[Est ouvrage]]), NOT(ISBLANK(Compil[[#This Row],[ART.
CCTP]])))</f>
        <v>0</v>
      </c>
      <c r="K375" t="b">
        <f>OR(Compil[[#This Row],[Unité]]="U",Compil[[#This Row],[Unité]]="ens",Compil[[#This Row],[Unité]]="ml")</f>
        <v>0</v>
      </c>
      <c r="L375" t="b">
        <f>ISBLANK(Compil[[#This Row],[DESIGNATION]])</f>
        <v>1</v>
      </c>
      <c r="M375" s="358"/>
      <c r="N375" s="358"/>
      <c r="O375" s="358"/>
      <c r="P375" s="358"/>
      <c r="Q375" s="358">
        <f>COUNTIF(Compil[[Ma Désignation ]],Compil[[Ma Désignation ]])</f>
        <v>306</v>
      </c>
    </row>
    <row r="376" spans="1:17" ht="14">
      <c r="A376" s="310">
        <v>371</v>
      </c>
      <c r="B376" s="2"/>
      <c r="C376" s="430" t="s">
        <v>572</v>
      </c>
      <c r="D376" t="str">
        <f xml:space="preserve"> TRIM( SUBSTITUTE(SUBSTITUTE(SUBSTITUTE( Compil[[#This Row],[DESIGNATION]],"-",""),"–",""),"*",""))</f>
        <v>Appareillages de finition blanche</v>
      </c>
      <c r="E376" s="9"/>
      <c r="F376" s="262"/>
      <c r="G376" s="289" t="s">
        <v>571</v>
      </c>
      <c r="H376" s="164" t="s">
        <v>571</v>
      </c>
      <c r="I376" t="s">
        <v>570</v>
      </c>
      <c r="J376" t="b">
        <f>AND(NOT(Compil[[#This Row],[Est ouvrage]]), NOT(ISBLANK(Compil[[#This Row],[ART.
CCTP]])))</f>
        <v>0</v>
      </c>
      <c r="K376" t="b">
        <f>OR(Compil[[#This Row],[Unité]]="U",Compil[[#This Row],[Unité]]="ens",Compil[[#This Row],[Unité]]="ml")</f>
        <v>0</v>
      </c>
      <c r="L376" t="b">
        <f>ISBLANK(Compil[[#This Row],[DESIGNATION]])</f>
        <v>0</v>
      </c>
      <c r="M376" s="359"/>
      <c r="N376" s="358"/>
      <c r="O376" s="358"/>
      <c r="P376" s="358"/>
      <c r="Q376" s="358">
        <f>COUNTIF(Compil[[Ma Désignation ]],Compil[[Ma Désignation ]])</f>
        <v>9</v>
      </c>
    </row>
    <row r="377" spans="1:17" ht="14">
      <c r="A377" s="310">
        <v>594</v>
      </c>
      <c r="B377" s="43"/>
      <c r="C377" s="416" t="s">
        <v>447</v>
      </c>
      <c r="D377" t="str">
        <f xml:space="preserve"> TRIM( SUBSTITUTE(SUBSTITUTE(SUBSTITUTE( Compil[[#This Row],[DESIGNATION]],"-",""),"–",""),"*",""))</f>
        <v>Bouton poussoir sonnerie d'entrée</v>
      </c>
      <c r="E377" s="9" t="s">
        <v>13</v>
      </c>
      <c r="F377" s="386">
        <v>1</v>
      </c>
      <c r="G377" s="289">
        <v>0</v>
      </c>
      <c r="H377" s="164">
        <v>0</v>
      </c>
      <c r="I377" t="s">
        <v>570</v>
      </c>
      <c r="J377" t="b">
        <f>AND(NOT(Compil[[#This Row],[Est ouvrage]]), NOT(ISBLANK(Compil[[#This Row],[ART.
CCTP]])))</f>
        <v>0</v>
      </c>
      <c r="K377" t="b">
        <f>OR(Compil[[#This Row],[Unité]]="U",Compil[[#This Row],[Unité]]="ens",Compil[[#This Row],[Unité]]="ml")</f>
        <v>1</v>
      </c>
      <c r="L377" t="b">
        <f>ISBLANK(Compil[[#This Row],[DESIGNATION]])</f>
        <v>0</v>
      </c>
      <c r="M377" s="359"/>
      <c r="N377" s="358"/>
      <c r="O377" s="358"/>
      <c r="P377" s="358"/>
      <c r="Q377" s="358">
        <f>COUNTIF(Compil[[Ma Désignation ]],Compil[[Ma Désignation ]])</f>
        <v>16</v>
      </c>
    </row>
    <row r="378" spans="1:17" ht="14">
      <c r="A378" s="310">
        <v>613</v>
      </c>
      <c r="B378" s="43"/>
      <c r="C378" s="416" t="s">
        <v>447</v>
      </c>
      <c r="D378" t="str">
        <f xml:space="preserve"> TRIM( SUBSTITUTE(SUBSTITUTE(SUBSTITUTE( Compil[[#This Row],[DESIGNATION]],"-",""),"–",""),"*",""))</f>
        <v>Bouton poussoir sonnerie d'entrée</v>
      </c>
      <c r="E378" s="9" t="s">
        <v>13</v>
      </c>
      <c r="F378" s="262"/>
      <c r="G378" s="289" t="s">
        <v>571</v>
      </c>
      <c r="H378" s="164" t="s">
        <v>571</v>
      </c>
      <c r="I378" t="s">
        <v>570</v>
      </c>
      <c r="J378" t="b">
        <f>AND(NOT(Compil[[#This Row],[Est ouvrage]]), NOT(ISBLANK(Compil[[#This Row],[ART.
CCTP]])))</f>
        <v>0</v>
      </c>
      <c r="K378" t="b">
        <f>OR(Compil[[#This Row],[Unité]]="U",Compil[[#This Row],[Unité]]="ens",Compil[[#This Row],[Unité]]="ml")</f>
        <v>1</v>
      </c>
      <c r="L378" t="b">
        <f>ISBLANK(Compil[[#This Row],[DESIGNATION]])</f>
        <v>0</v>
      </c>
      <c r="M378" s="359"/>
      <c r="N378" s="358"/>
      <c r="O378" s="358"/>
      <c r="P378" s="358"/>
      <c r="Q378" s="358">
        <f>COUNTIF(Compil[[Ma Désignation ]],Compil[[Ma Désignation ]])</f>
        <v>16</v>
      </c>
    </row>
    <row r="379" spans="1:17" ht="14">
      <c r="A379" s="310">
        <v>650</v>
      </c>
      <c r="B379" s="43"/>
      <c r="C379" s="416" t="s">
        <v>447</v>
      </c>
      <c r="D379" t="str">
        <f xml:space="preserve"> TRIM( SUBSTITUTE(SUBSTITUTE(SUBSTITUTE( Compil[[#This Row],[DESIGNATION]],"-",""),"–",""),"*",""))</f>
        <v>Bouton poussoir sonnerie d'entrée</v>
      </c>
      <c r="E379" s="9" t="s">
        <v>13</v>
      </c>
      <c r="F379" s="262">
        <v>1</v>
      </c>
      <c r="G379" s="289">
        <v>0</v>
      </c>
      <c r="H379" s="164">
        <v>0</v>
      </c>
      <c r="I379" t="s">
        <v>570</v>
      </c>
      <c r="J379" t="b">
        <f>AND(NOT(Compil[[#This Row],[Est ouvrage]]), NOT(ISBLANK(Compil[[#This Row],[ART.
CCTP]])))</f>
        <v>0</v>
      </c>
      <c r="K379" t="b">
        <f>OR(Compil[[#This Row],[Unité]]="U",Compil[[#This Row],[Unité]]="ens",Compil[[#This Row],[Unité]]="ml")</f>
        <v>1</v>
      </c>
      <c r="L379" t="b">
        <f>ISBLANK(Compil[[#This Row],[DESIGNATION]])</f>
        <v>0</v>
      </c>
      <c r="M379" s="359"/>
      <c r="N379" s="358"/>
      <c r="O379" s="358"/>
      <c r="P379" s="358"/>
      <c r="Q379" s="358">
        <f>COUNTIF(Compil[[Ma Désignation ]],Compil[[Ma Désignation ]])</f>
        <v>16</v>
      </c>
    </row>
    <row r="380" spans="1:17" ht="14">
      <c r="A380" s="310">
        <v>669</v>
      </c>
      <c r="B380" s="43"/>
      <c r="C380" s="416" t="s">
        <v>447</v>
      </c>
      <c r="D380" t="str">
        <f xml:space="preserve"> TRIM( SUBSTITUTE(SUBSTITUTE(SUBSTITUTE( Compil[[#This Row],[DESIGNATION]],"-",""),"–",""),"*",""))</f>
        <v>Bouton poussoir sonnerie d'entrée</v>
      </c>
      <c r="E380" s="9" t="s">
        <v>13</v>
      </c>
      <c r="F380" s="262"/>
      <c r="G380" s="289" t="s">
        <v>571</v>
      </c>
      <c r="H380" s="164" t="s">
        <v>571</v>
      </c>
      <c r="I380" t="s">
        <v>570</v>
      </c>
      <c r="J380" t="b">
        <f>AND(NOT(Compil[[#This Row],[Est ouvrage]]), NOT(ISBLANK(Compil[[#This Row],[ART.
CCTP]])))</f>
        <v>0</v>
      </c>
      <c r="K380" t="b">
        <f>OR(Compil[[#This Row],[Unité]]="U",Compil[[#This Row],[Unité]]="ens",Compil[[#This Row],[Unité]]="ml")</f>
        <v>1</v>
      </c>
      <c r="L380" t="b">
        <f>ISBLANK(Compil[[#This Row],[DESIGNATION]])</f>
        <v>0</v>
      </c>
      <c r="M380" s="359"/>
      <c r="N380" s="358"/>
      <c r="O380" s="358"/>
      <c r="P380" s="358"/>
      <c r="Q380" s="358">
        <f>COUNTIF(Compil[[Ma Désignation ]],Compil[[Ma Désignation ]])</f>
        <v>16</v>
      </c>
    </row>
    <row r="381" spans="1:17">
      <c r="A381" s="360">
        <v>1058</v>
      </c>
      <c r="B381" s="363"/>
      <c r="C381" s="402" t="s">
        <v>447</v>
      </c>
      <c r="D381" t="str">
        <f xml:space="preserve"> TRIM( SUBSTITUTE(SUBSTITUTE(SUBSTITUTE( Compil[[#This Row],[DESIGNATION]],"-",""),"–",""),"*",""))</f>
        <v>Bouton poussoir sonnerie d'entrée</v>
      </c>
      <c r="E381" s="369" t="s">
        <v>13</v>
      </c>
      <c r="F381" s="385">
        <v>1</v>
      </c>
      <c r="G381" s="390">
        <v>0</v>
      </c>
      <c r="H381" s="391">
        <v>0</v>
      </c>
      <c r="I381" t="s">
        <v>579</v>
      </c>
      <c r="J381" t="b">
        <f>AND(NOT(Compil[[#This Row],[Est ouvrage]]), NOT(ISBLANK(Compil[[#This Row],[ART.
CCTP]])))</f>
        <v>0</v>
      </c>
      <c r="K381" t="b">
        <f>OR(Compil[[#This Row],[Unité]]="U",Compil[[#This Row],[Unité]]="ens",Compil[[#This Row],[Unité]]="ml")</f>
        <v>1</v>
      </c>
      <c r="L381" t="b">
        <f>ISBLANK(Compil[[#This Row],[DESIGNATION]])</f>
        <v>0</v>
      </c>
      <c r="M381" s="359"/>
      <c r="N381" s="358"/>
      <c r="O381" s="358"/>
      <c r="P381" s="358"/>
      <c r="Q381" s="358">
        <f>COUNTIF(Compil[[Ma Désignation ]],Compil[[Ma Désignation ]])</f>
        <v>16</v>
      </c>
    </row>
    <row r="382" spans="1:17" ht="14">
      <c r="A382" s="310">
        <v>377</v>
      </c>
      <c r="B382" s="43"/>
      <c r="C382" s="416"/>
      <c r="D382" t="str">
        <f xml:space="preserve"> TRIM( SUBSTITUTE(SUBSTITUTE(SUBSTITUTE( Compil[[#This Row],[DESIGNATION]],"-",""),"–",""),"*",""))</f>
        <v/>
      </c>
      <c r="E382" s="9"/>
      <c r="F382" s="262"/>
      <c r="G382" s="289" t="s">
        <v>571</v>
      </c>
      <c r="H382" s="164" t="s">
        <v>571</v>
      </c>
      <c r="I382" t="s">
        <v>570</v>
      </c>
      <c r="J382" t="b">
        <f>AND(NOT(Compil[[#This Row],[Est ouvrage]]), NOT(ISBLANK(Compil[[#This Row],[ART.
CCTP]])))</f>
        <v>0</v>
      </c>
      <c r="K382" t="b">
        <f>OR(Compil[[#This Row],[Unité]]="U",Compil[[#This Row],[Unité]]="ens",Compil[[#This Row],[Unité]]="ml")</f>
        <v>0</v>
      </c>
      <c r="L382" t="b">
        <f>ISBLANK(Compil[[#This Row],[DESIGNATION]])</f>
        <v>1</v>
      </c>
      <c r="M382" s="358"/>
      <c r="N382" s="358"/>
      <c r="O382" s="358"/>
      <c r="P382" s="358"/>
      <c r="Q382" s="358">
        <f>COUNTIF(Compil[[Ma Désignation ]],Compil[[Ma Désignation ]])</f>
        <v>306</v>
      </c>
    </row>
    <row r="383" spans="1:17">
      <c r="A383" s="360">
        <v>1068</v>
      </c>
      <c r="B383" s="363"/>
      <c r="C383" s="402" t="s">
        <v>447</v>
      </c>
      <c r="D383" t="str">
        <f xml:space="preserve"> TRIM( SUBSTITUTE(SUBSTITUTE(SUBSTITUTE( Compil[[#This Row],[DESIGNATION]],"-",""),"–",""),"*",""))</f>
        <v>Bouton poussoir sonnerie d'entrée</v>
      </c>
      <c r="E383" s="369" t="s">
        <v>13</v>
      </c>
      <c r="F383" s="385"/>
      <c r="G383" s="390" t="s">
        <v>571</v>
      </c>
      <c r="H383" s="391" t="s">
        <v>571</v>
      </c>
      <c r="I383" t="s">
        <v>579</v>
      </c>
      <c r="J383" t="b">
        <f>AND(NOT(Compil[[#This Row],[Est ouvrage]]), NOT(ISBLANK(Compil[[#This Row],[ART.
CCTP]])))</f>
        <v>0</v>
      </c>
      <c r="K383" t="b">
        <f>OR(Compil[[#This Row],[Unité]]="U",Compil[[#This Row],[Unité]]="ens",Compil[[#This Row],[Unité]]="ml")</f>
        <v>1</v>
      </c>
      <c r="L383" t="b">
        <f>ISBLANK(Compil[[#This Row],[DESIGNATION]])</f>
        <v>0</v>
      </c>
      <c r="M383" s="359"/>
      <c r="N383" s="358"/>
      <c r="O383" s="358"/>
      <c r="P383" s="358"/>
      <c r="Q383" s="358">
        <f>COUNTIF(Compil[[Ma Désignation ]],Compil[[Ma Désignation ]])</f>
        <v>16</v>
      </c>
    </row>
    <row r="384" spans="1:17">
      <c r="A384" s="360">
        <v>1094</v>
      </c>
      <c r="B384" s="363"/>
      <c r="C384" s="402" t="s">
        <v>447</v>
      </c>
      <c r="D384" t="str">
        <f xml:space="preserve"> TRIM( SUBSTITUTE(SUBSTITUTE(SUBSTITUTE( Compil[[#This Row],[DESIGNATION]],"-",""),"–",""),"*",""))</f>
        <v>Bouton poussoir sonnerie d'entrée</v>
      </c>
      <c r="E384" s="369" t="s">
        <v>13</v>
      </c>
      <c r="F384" s="385">
        <v>1</v>
      </c>
      <c r="G384" s="390">
        <v>0</v>
      </c>
      <c r="H384" s="391">
        <v>0</v>
      </c>
      <c r="I384" t="s">
        <v>579</v>
      </c>
      <c r="J384" t="b">
        <f>AND(NOT(Compil[[#This Row],[Est ouvrage]]), NOT(ISBLANK(Compil[[#This Row],[ART.
CCTP]])))</f>
        <v>0</v>
      </c>
      <c r="K384" t="b">
        <f>OR(Compil[[#This Row],[Unité]]="U",Compil[[#This Row],[Unité]]="ens",Compil[[#This Row],[Unité]]="ml")</f>
        <v>1</v>
      </c>
      <c r="L384" t="b">
        <f>ISBLANK(Compil[[#This Row],[DESIGNATION]])</f>
        <v>0</v>
      </c>
      <c r="M384" s="359"/>
      <c r="N384" s="358"/>
      <c r="O384" s="358"/>
      <c r="P384" s="358"/>
      <c r="Q384" s="358">
        <f>COUNTIF(Compil[[Ma Désignation ]],Compil[[Ma Désignation ]])</f>
        <v>16</v>
      </c>
    </row>
    <row r="385" spans="1:17">
      <c r="A385" s="360">
        <v>1104</v>
      </c>
      <c r="B385" s="363"/>
      <c r="C385" s="402" t="s">
        <v>447</v>
      </c>
      <c r="D385" t="str">
        <f xml:space="preserve"> TRIM( SUBSTITUTE(SUBSTITUTE(SUBSTITUTE( Compil[[#This Row],[DESIGNATION]],"-",""),"–",""),"*",""))</f>
        <v>Bouton poussoir sonnerie d'entrée</v>
      </c>
      <c r="E385" s="369" t="s">
        <v>13</v>
      </c>
      <c r="F385" s="385"/>
      <c r="G385" s="390" t="s">
        <v>571</v>
      </c>
      <c r="H385" s="391" t="s">
        <v>571</v>
      </c>
      <c r="I385" t="s">
        <v>579</v>
      </c>
      <c r="J385" t="b">
        <f>AND(NOT(Compil[[#This Row],[Est ouvrage]]), NOT(ISBLANK(Compil[[#This Row],[ART.
CCTP]])))</f>
        <v>0</v>
      </c>
      <c r="K385" t="b">
        <f>OR(Compil[[#This Row],[Unité]]="U",Compil[[#This Row],[Unité]]="ens",Compil[[#This Row],[Unité]]="ml")</f>
        <v>1</v>
      </c>
      <c r="L385" t="b">
        <f>ISBLANK(Compil[[#This Row],[DESIGNATION]])</f>
        <v>0</v>
      </c>
      <c r="M385" s="359"/>
      <c r="N385" s="358"/>
      <c r="O385" s="358"/>
      <c r="P385" s="358"/>
      <c r="Q385" s="358">
        <f>COUNTIF(Compil[[Ma Désignation ]],Compil[[Ma Désignation ]])</f>
        <v>16</v>
      </c>
    </row>
    <row r="386" spans="1:17" ht="14">
      <c r="A386" s="312">
        <v>924</v>
      </c>
      <c r="B386" s="19"/>
      <c r="C386" s="88" t="s">
        <v>200</v>
      </c>
      <c r="D386" t="str">
        <f xml:space="preserve"> TRIM( SUBSTITUTE(SUBSTITUTE(SUBSTITUTE( Compil[[#This Row],[DESIGNATION]],"-",""),"–",""),"*",""))</f>
        <v>Bouton poussoir variateur</v>
      </c>
      <c r="E386" s="8" t="s">
        <v>13</v>
      </c>
      <c r="F386" s="262"/>
      <c r="G386" s="289" t="s">
        <v>571</v>
      </c>
      <c r="H386" s="164" t="s">
        <v>571</v>
      </c>
      <c r="I386" t="s">
        <v>578</v>
      </c>
      <c r="J386" t="b">
        <f>AND(NOT(Compil[[#This Row],[Est ouvrage]]), NOT(ISBLANK(Compil[[#This Row],[ART.
CCTP]])))</f>
        <v>0</v>
      </c>
      <c r="K386" t="b">
        <f>OR(Compil[[#This Row],[Unité]]="U",Compil[[#This Row],[Unité]]="ens",Compil[[#This Row],[Unité]]="ml")</f>
        <v>1</v>
      </c>
      <c r="L386" t="b">
        <f>ISBLANK(Compil[[#This Row],[DESIGNATION]])</f>
        <v>0</v>
      </c>
      <c r="M386" s="359"/>
      <c r="N386" s="358"/>
      <c r="O386" s="358"/>
      <c r="P386" s="358"/>
      <c r="Q386" s="358">
        <f>COUNTIF(Compil[[Ma Désignation ]],Compil[[Ma Désignation ]])</f>
        <v>1</v>
      </c>
    </row>
    <row r="387" spans="1:17" ht="14">
      <c r="A387" s="303">
        <v>274</v>
      </c>
      <c r="B387" s="179"/>
      <c r="C387" s="224" t="s">
        <v>135</v>
      </c>
      <c r="D387" t="str">
        <f xml:space="preserve"> TRIM( SUBSTITUTE(SUBSTITUTE(SUBSTITUTE( Compil[[#This Row],[DESIGNATION]],"-",""),"–",""),"*",""))</f>
        <v>bouton sonore et visuel de décondamnation</v>
      </c>
      <c r="E387" s="193" t="s">
        <v>13</v>
      </c>
      <c r="F387" s="252">
        <f>QTE!J186-'BATIMENT SOHO-ELEC 1'!D193</f>
        <v>0</v>
      </c>
      <c r="G387" s="289" t="e">
        <f>IF(F387="","",(((L387*$M$6)+(M387*#REF!*#REF!))*$M$7)/F387)</f>
        <v>#VALUE!</v>
      </c>
      <c r="H387" s="164" t="e">
        <f>IF(F387="","",F387*G387)</f>
        <v>#VALUE!</v>
      </c>
      <c r="I387" t="s">
        <v>580</v>
      </c>
      <c r="J387" t="b">
        <f>AND(NOT(Compil[[#This Row],[Est ouvrage]]), NOT(ISBLANK(Compil[[#This Row],[ART.
CCTP]])))</f>
        <v>0</v>
      </c>
      <c r="K387" t="b">
        <f>OR(Compil[[#This Row],[Unité]]="U",Compil[[#This Row],[Unité]]="ens",Compil[[#This Row],[Unité]]="ml")</f>
        <v>1</v>
      </c>
      <c r="L387" t="b">
        <f>ISBLANK(Compil[[#This Row],[DESIGNATION]])</f>
        <v>0</v>
      </c>
      <c r="M387" s="359"/>
      <c r="N387" s="358"/>
      <c r="O387" s="358"/>
      <c r="P387" s="358"/>
      <c r="Q387" s="358">
        <f>COUNTIF(Compil[[Ma Désignation ]],Compil[[Ma Désignation ]])</f>
        <v>2</v>
      </c>
    </row>
    <row r="388" spans="1:17" ht="14">
      <c r="A388" s="312">
        <v>909</v>
      </c>
      <c r="B388" s="17"/>
      <c r="C388" s="86" t="s">
        <v>135</v>
      </c>
      <c r="D388" t="str">
        <f xml:space="preserve"> TRIM( SUBSTITUTE(SUBSTITUTE(SUBSTITUTE( Compil[[#This Row],[DESIGNATION]],"-",""),"–",""),"*",""))</f>
        <v>bouton sonore et visuel de décondamnation</v>
      </c>
      <c r="E388" s="9" t="s">
        <v>13</v>
      </c>
      <c r="F388" s="262">
        <v>3</v>
      </c>
      <c r="G388" s="289">
        <v>0</v>
      </c>
      <c r="H388" s="164">
        <v>0</v>
      </c>
      <c r="I388" t="s">
        <v>578</v>
      </c>
      <c r="J388" t="b">
        <f>AND(NOT(Compil[[#This Row],[Est ouvrage]]), NOT(ISBLANK(Compil[[#This Row],[ART.
CCTP]])))</f>
        <v>0</v>
      </c>
      <c r="K388" t="b">
        <f>OR(Compil[[#This Row],[Unité]]="U",Compil[[#This Row],[Unité]]="ens",Compil[[#This Row],[Unité]]="ml")</f>
        <v>1</v>
      </c>
      <c r="L388" t="b">
        <f>ISBLANK(Compil[[#This Row],[DESIGNATION]])</f>
        <v>0</v>
      </c>
      <c r="M388" s="359"/>
      <c r="N388" s="358"/>
      <c r="O388" s="358"/>
      <c r="P388" s="358"/>
      <c r="Q388" s="358">
        <f>COUNTIF(Compil[[Ma Désignation ]],Compil[[Ma Désignation ]])</f>
        <v>2</v>
      </c>
    </row>
    <row r="389" spans="1:17" ht="14">
      <c r="A389" s="312">
        <v>960</v>
      </c>
      <c r="B389" s="19"/>
      <c r="C389" s="86" t="s">
        <v>434</v>
      </c>
      <c r="D389" t="str">
        <f xml:space="preserve"> TRIM( SUBSTITUTE(SUBSTITUTE(SUBSTITUTE( Compil[[#This Row],[DESIGNATION]],"-",""),"–",""),"*",""))</f>
        <v>bris de glace</v>
      </c>
      <c r="E389" s="8" t="s">
        <v>13</v>
      </c>
      <c r="F389" s="262">
        <v>3</v>
      </c>
      <c r="G389" s="289">
        <v>0</v>
      </c>
      <c r="H389" s="164">
        <v>0</v>
      </c>
      <c r="I389" t="s">
        <v>578</v>
      </c>
      <c r="J389" t="b">
        <f>AND(NOT(Compil[[#This Row],[Est ouvrage]]), NOT(ISBLANK(Compil[[#This Row],[ART.
CCTP]])))</f>
        <v>0</v>
      </c>
      <c r="K389" t="b">
        <f>OR(Compil[[#This Row],[Unité]]="U",Compil[[#This Row],[Unité]]="ens",Compil[[#This Row],[Unité]]="ml")</f>
        <v>1</v>
      </c>
      <c r="L389" t="b">
        <f>ISBLANK(Compil[[#This Row],[DESIGNATION]])</f>
        <v>0</v>
      </c>
      <c r="M389" s="359"/>
      <c r="N389" s="358"/>
      <c r="O389" s="358"/>
      <c r="P389" s="358"/>
      <c r="Q389" s="358">
        <f>COUNTIF(Compil[[Ma Désignation ]],Compil[[Ma Désignation ]])</f>
        <v>2</v>
      </c>
    </row>
    <row r="390" spans="1:17">
      <c r="A390" s="360">
        <v>1144</v>
      </c>
      <c r="B390" s="363"/>
      <c r="C390" s="402" t="s">
        <v>434</v>
      </c>
      <c r="D390" t="str">
        <f xml:space="preserve"> TRIM( SUBSTITUTE(SUBSTITUTE(SUBSTITUTE( Compil[[#This Row],[DESIGNATION]],"-",""),"–",""),"*",""))</f>
        <v>bris de glace</v>
      </c>
      <c r="E390" s="369" t="s">
        <v>13</v>
      </c>
      <c r="F390" s="385"/>
      <c r="G390" s="390" t="s">
        <v>571</v>
      </c>
      <c r="H390" s="391" t="s">
        <v>571</v>
      </c>
      <c r="I390" t="s">
        <v>579</v>
      </c>
      <c r="J390" t="b">
        <f>AND(NOT(Compil[[#This Row],[Est ouvrage]]), NOT(ISBLANK(Compil[[#This Row],[ART.
CCTP]])))</f>
        <v>0</v>
      </c>
      <c r="K390" t="b">
        <f>OR(Compil[[#This Row],[Unité]]="U",Compil[[#This Row],[Unité]]="ens",Compil[[#This Row],[Unité]]="ml")</f>
        <v>1</v>
      </c>
      <c r="L390" t="b">
        <f>ISBLANK(Compil[[#This Row],[DESIGNATION]])</f>
        <v>0</v>
      </c>
      <c r="M390" s="359"/>
      <c r="N390" s="358"/>
      <c r="O390" s="358"/>
      <c r="P390" s="358"/>
      <c r="Q390" s="358">
        <f>COUNTIF(Compil[[Ma Désignation ]],Compil[[Ma Désignation ]])</f>
        <v>2</v>
      </c>
    </row>
    <row r="391" spans="1:17" ht="14">
      <c r="A391" s="303">
        <v>327</v>
      </c>
      <c r="B391" s="2"/>
      <c r="C391" s="224" t="s">
        <v>17</v>
      </c>
      <c r="D391" t="str">
        <f xml:space="preserve"> TRIM( SUBSTITUTE(SUBSTITUTE(SUBSTITUTE( Compil[[#This Row],[DESIGNATION]],"-",""),"–",""),"*",""))</f>
        <v>câblage 3G 1,5mm²</v>
      </c>
      <c r="E391" s="190" t="s">
        <v>12</v>
      </c>
      <c r="F391" s="252">
        <v>1</v>
      </c>
      <c r="G391" s="289" t="e">
        <f>IF(F391="","",(((L391*$M$6)+(M391*#REF!*#REF!))*$M$7)/F391)</f>
        <v>#VALUE!</v>
      </c>
      <c r="H391" s="164" t="e">
        <f>IF(F391="","",F391*G391)</f>
        <v>#VALUE!</v>
      </c>
      <c r="I391" t="s">
        <v>580</v>
      </c>
      <c r="J391" t="b">
        <f>AND(NOT(Compil[[#This Row],[Est ouvrage]]), NOT(ISBLANK(Compil[[#This Row],[ART.
CCTP]])))</f>
        <v>0</v>
      </c>
      <c r="K391" t="b">
        <f>OR(Compil[[#This Row],[Unité]]="U",Compil[[#This Row],[Unité]]="ens",Compil[[#This Row],[Unité]]="ml")</f>
        <v>1</v>
      </c>
      <c r="L391" t="b">
        <f>ISBLANK(Compil[[#This Row],[DESIGNATION]])</f>
        <v>0</v>
      </c>
      <c r="M391" s="359"/>
      <c r="N391" s="358"/>
      <c r="O391" s="358"/>
      <c r="P391" s="358"/>
      <c r="Q391" s="358">
        <f>COUNTIF(Compil[[Ma Désignation ]],Compil[[Ma Désignation ]])</f>
        <v>2</v>
      </c>
    </row>
    <row r="392" spans="1:17" ht="14">
      <c r="A392" s="310">
        <v>387</v>
      </c>
      <c r="B392" s="43"/>
      <c r="C392" s="442"/>
      <c r="D392" t="str">
        <f xml:space="preserve"> TRIM( SUBSTITUTE(SUBSTITUTE(SUBSTITUTE( Compil[[#This Row],[DESIGNATION]],"-",""),"–",""),"*",""))</f>
        <v/>
      </c>
      <c r="E392" s="9"/>
      <c r="F392" s="262"/>
      <c r="G392" s="289" t="s">
        <v>571</v>
      </c>
      <c r="H392" s="164" t="s">
        <v>571</v>
      </c>
      <c r="I392" t="s">
        <v>570</v>
      </c>
      <c r="J392" t="b">
        <f>AND(NOT(Compil[[#This Row],[Est ouvrage]]), NOT(ISBLANK(Compil[[#This Row],[ART.
CCTP]])))</f>
        <v>0</v>
      </c>
      <c r="K392" t="b">
        <f>OR(Compil[[#This Row],[Unité]]="U",Compil[[#This Row],[Unité]]="ens",Compil[[#This Row],[Unité]]="ml")</f>
        <v>0</v>
      </c>
      <c r="L392" t="b">
        <f>ISBLANK(Compil[[#This Row],[DESIGNATION]])</f>
        <v>1</v>
      </c>
      <c r="M392" s="358"/>
      <c r="N392" s="358"/>
      <c r="O392" s="358"/>
      <c r="P392" s="358"/>
      <c r="Q392" s="358">
        <f>COUNTIF(Compil[[Ma Désignation ]],Compil[[Ma Désignation ]])</f>
        <v>306</v>
      </c>
    </row>
    <row r="393" spans="1:17" ht="14">
      <c r="A393" s="310">
        <v>388</v>
      </c>
      <c r="B393" s="43"/>
      <c r="C393" s="430" t="s">
        <v>573</v>
      </c>
      <c r="D393" t="str">
        <f xml:space="preserve"> TRIM( SUBSTITUTE(SUBSTITUTE(SUBSTITUTE( Compil[[#This Row],[DESIGNATION]],"-",""),"–",""),"*",""))</f>
        <v>Appareillages de finition noire</v>
      </c>
      <c r="E393" s="9"/>
      <c r="F393" s="262"/>
      <c r="G393" s="289" t="s">
        <v>571</v>
      </c>
      <c r="H393" s="164" t="s">
        <v>571</v>
      </c>
      <c r="I393" t="s">
        <v>570</v>
      </c>
      <c r="J393" t="b">
        <f>AND(NOT(Compil[[#This Row],[Est ouvrage]]), NOT(ISBLANK(Compil[[#This Row],[ART.
CCTP]])))</f>
        <v>0</v>
      </c>
      <c r="K393" t="b">
        <f>OR(Compil[[#This Row],[Unité]]="U",Compil[[#This Row],[Unité]]="ens",Compil[[#This Row],[Unité]]="ml")</f>
        <v>0</v>
      </c>
      <c r="L393" t="b">
        <f>ISBLANK(Compil[[#This Row],[DESIGNATION]])</f>
        <v>0</v>
      </c>
      <c r="M393" s="359"/>
      <c r="N393" s="358"/>
      <c r="O393" s="358"/>
      <c r="P393" s="358"/>
      <c r="Q393" s="358">
        <f>COUNTIF(Compil[[Ma Désignation ]],Compil[[Ma Désignation ]])</f>
        <v>9</v>
      </c>
    </row>
    <row r="394" spans="1:17" ht="14">
      <c r="A394" s="312">
        <v>951</v>
      </c>
      <c r="B394" s="19"/>
      <c r="C394" s="86" t="s">
        <v>17</v>
      </c>
      <c r="D394" t="str">
        <f xml:space="preserve"> TRIM( SUBSTITUTE(SUBSTITUTE(SUBSTITUTE( Compil[[#This Row],[DESIGNATION]],"-",""),"–",""),"*",""))</f>
        <v>câblage 3G 1,5mm²</v>
      </c>
      <c r="E394" s="8" t="s">
        <v>12</v>
      </c>
      <c r="F394" s="262">
        <v>200</v>
      </c>
      <c r="G394" s="289">
        <v>0</v>
      </c>
      <c r="H394" s="164">
        <v>0</v>
      </c>
      <c r="I394" t="s">
        <v>578</v>
      </c>
      <c r="J394" t="b">
        <f>AND(NOT(Compil[[#This Row],[Est ouvrage]]), NOT(ISBLANK(Compil[[#This Row],[ART.
CCTP]])))</f>
        <v>0</v>
      </c>
      <c r="K394" t="b">
        <f>OR(Compil[[#This Row],[Unité]]="U",Compil[[#This Row],[Unité]]="ens",Compil[[#This Row],[Unité]]="ml")</f>
        <v>1</v>
      </c>
      <c r="L394" t="b">
        <f>ISBLANK(Compil[[#This Row],[DESIGNATION]])</f>
        <v>0</v>
      </c>
      <c r="M394" s="359"/>
      <c r="N394" s="358"/>
      <c r="O394" s="358"/>
      <c r="P394" s="358"/>
      <c r="Q394" s="358">
        <f>COUNTIF(Compil[[Ma Désignation ]],Compil[[Ma Désignation ]])</f>
        <v>2</v>
      </c>
    </row>
    <row r="395" spans="1:17" ht="14">
      <c r="A395" s="303">
        <v>328</v>
      </c>
      <c r="B395" s="2"/>
      <c r="C395" s="224" t="s">
        <v>18</v>
      </c>
      <c r="D395" t="str">
        <f xml:space="preserve"> TRIM( SUBSTITUTE(SUBSTITUTE(SUBSTITUTE( Compil[[#This Row],[DESIGNATION]],"-",""),"–",""),"*",""))</f>
        <v>câblage 3G 2,5mm²</v>
      </c>
      <c r="E395" s="190" t="s">
        <v>12</v>
      </c>
      <c r="F395" s="252"/>
      <c r="G395" s="289" t="str">
        <f>IF(F395="","",(((L395*$M$6)+(M395*#REF!*#REF!))*$M$7)/F395)</f>
        <v/>
      </c>
      <c r="H395" s="164" t="str">
        <f>IF(F395="","",F395*G395)</f>
        <v/>
      </c>
      <c r="I395" t="s">
        <v>580</v>
      </c>
      <c r="J395" t="b">
        <f>AND(NOT(Compil[[#This Row],[Est ouvrage]]), NOT(ISBLANK(Compil[[#This Row],[ART.
CCTP]])))</f>
        <v>0</v>
      </c>
      <c r="K395" t="b">
        <f>OR(Compil[[#This Row],[Unité]]="U",Compil[[#This Row],[Unité]]="ens",Compil[[#This Row],[Unité]]="ml")</f>
        <v>1</v>
      </c>
      <c r="L395" t="b">
        <f>ISBLANK(Compil[[#This Row],[DESIGNATION]])</f>
        <v>0</v>
      </c>
      <c r="M395" s="359"/>
      <c r="N395" s="358"/>
      <c r="O395" s="358"/>
      <c r="P395" s="358"/>
      <c r="Q395" s="358">
        <f>COUNTIF(Compil[[Ma Désignation ]],Compil[[Ma Désignation ]])</f>
        <v>2</v>
      </c>
    </row>
    <row r="396" spans="1:17" ht="14">
      <c r="A396" s="312">
        <v>952</v>
      </c>
      <c r="B396" s="19"/>
      <c r="C396" s="86" t="s">
        <v>18</v>
      </c>
      <c r="D396" t="str">
        <f xml:space="preserve"> TRIM( SUBSTITUTE(SUBSTITUTE(SUBSTITUTE( Compil[[#This Row],[DESIGNATION]],"-",""),"–",""),"*",""))</f>
        <v>câblage 3G 2,5mm²</v>
      </c>
      <c r="E396" s="8" t="s">
        <v>12</v>
      </c>
      <c r="F396" s="262"/>
      <c r="G396" s="289" t="s">
        <v>571</v>
      </c>
      <c r="H396" s="164" t="s">
        <v>571</v>
      </c>
      <c r="I396" t="s">
        <v>578</v>
      </c>
      <c r="J396" t="b">
        <f>AND(NOT(Compil[[#This Row],[Est ouvrage]]), NOT(ISBLANK(Compil[[#This Row],[ART.
CCTP]])))</f>
        <v>0</v>
      </c>
      <c r="K396" t="b">
        <f>OR(Compil[[#This Row],[Unité]]="U",Compil[[#This Row],[Unité]]="ens",Compil[[#This Row],[Unité]]="ml")</f>
        <v>1</v>
      </c>
      <c r="L396" t="b">
        <f>ISBLANK(Compil[[#This Row],[DESIGNATION]])</f>
        <v>0</v>
      </c>
      <c r="M396" s="359"/>
      <c r="N396" s="358"/>
      <c r="O396" s="358"/>
      <c r="P396" s="358"/>
      <c r="Q396" s="358">
        <f>COUNTIF(Compil[[Ma Désignation ]],Compil[[Ma Désignation ]])</f>
        <v>2</v>
      </c>
    </row>
    <row r="397" spans="1:17" ht="14">
      <c r="A397" s="303">
        <v>195</v>
      </c>
      <c r="B397" s="2"/>
      <c r="C397" s="206" t="s">
        <v>37</v>
      </c>
      <c r="D397" t="str">
        <f xml:space="preserve"> TRIM( SUBSTITUTE(SUBSTITUTE(SUBSTITUTE( Compil[[#This Row],[DESIGNATION]],"-",""),"–",""),"*",""))</f>
        <v>Câblage 5G1,5mm2 y compris raccordement</v>
      </c>
      <c r="E397" s="193" t="s">
        <v>12</v>
      </c>
      <c r="F397" s="252">
        <v>1</v>
      </c>
      <c r="G397" s="289" t="e">
        <f>IF(F397="","",(((L397*$M$6)+(M397*#REF!*#REF!))*$M$7)/F397)</f>
        <v>#VALUE!</v>
      </c>
      <c r="H397" s="164" t="e">
        <f>IF(F397="","",F397*G397)</f>
        <v>#VALUE!</v>
      </c>
      <c r="I397" t="s">
        <v>580</v>
      </c>
      <c r="J397" t="b">
        <f>AND(NOT(Compil[[#This Row],[Est ouvrage]]), NOT(ISBLANK(Compil[[#This Row],[ART.
CCTP]])))</f>
        <v>0</v>
      </c>
      <c r="K397" t="b">
        <f>OR(Compil[[#This Row],[Unité]]="U",Compil[[#This Row],[Unité]]="ens",Compil[[#This Row],[Unité]]="ml")</f>
        <v>1</v>
      </c>
      <c r="L397" t="b">
        <f>ISBLANK(Compil[[#This Row],[DESIGNATION]])</f>
        <v>0</v>
      </c>
      <c r="M397" s="359"/>
      <c r="N397" s="358"/>
      <c r="O397" s="358"/>
      <c r="P397" s="358"/>
      <c r="Q397" s="358">
        <f>COUNTIF(Compil[[Ma Désignation ]],Compil[[Ma Désignation ]])</f>
        <v>2</v>
      </c>
    </row>
    <row r="398" spans="1:17" ht="14">
      <c r="A398" s="312">
        <v>834</v>
      </c>
      <c r="B398" s="19"/>
      <c r="C398" s="88" t="s">
        <v>37</v>
      </c>
      <c r="D398" t="str">
        <f xml:space="preserve"> TRIM( SUBSTITUTE(SUBSTITUTE(SUBSTITUTE( Compil[[#This Row],[DESIGNATION]],"-",""),"–",""),"*",""))</f>
        <v>Câblage 5G1,5mm2 y compris raccordement</v>
      </c>
      <c r="E398" s="8" t="s">
        <v>12</v>
      </c>
      <c r="F398" s="262">
        <v>420</v>
      </c>
      <c r="G398" s="289">
        <v>0</v>
      </c>
      <c r="H398" s="164">
        <v>0</v>
      </c>
      <c r="I398" t="s">
        <v>578</v>
      </c>
      <c r="J398" t="b">
        <f>AND(NOT(Compil[[#This Row],[Est ouvrage]]), NOT(ISBLANK(Compil[[#This Row],[ART.
CCTP]])))</f>
        <v>0</v>
      </c>
      <c r="K398" t="b">
        <f>OR(Compil[[#This Row],[Unité]]="U",Compil[[#This Row],[Unité]]="ens",Compil[[#This Row],[Unité]]="ml")</f>
        <v>1</v>
      </c>
      <c r="L398" t="b">
        <f>ISBLANK(Compil[[#This Row],[DESIGNATION]])</f>
        <v>0</v>
      </c>
      <c r="M398" s="359"/>
      <c r="N398" s="358"/>
      <c r="O398" s="358"/>
      <c r="P398" s="358"/>
      <c r="Q398" s="358">
        <f>COUNTIF(Compil[[Ma Désignation ]],Compil[[Ma Désignation ]])</f>
        <v>2</v>
      </c>
    </row>
    <row r="399" spans="1:17" ht="14">
      <c r="A399" s="310">
        <v>394</v>
      </c>
      <c r="B399" s="43"/>
      <c r="C399" s="416"/>
      <c r="D399" t="str">
        <f xml:space="preserve"> TRIM( SUBSTITUTE(SUBSTITUTE(SUBSTITUTE( Compil[[#This Row],[DESIGNATION]],"-",""),"–",""),"*",""))</f>
        <v/>
      </c>
      <c r="E399" s="9"/>
      <c r="F399" s="262"/>
      <c r="G399" s="289" t="s">
        <v>571</v>
      </c>
      <c r="H399" s="164" t="s">
        <v>571</v>
      </c>
      <c r="I399" t="s">
        <v>570</v>
      </c>
      <c r="J399" t="b">
        <f>AND(NOT(Compil[[#This Row],[Est ouvrage]]), NOT(ISBLANK(Compil[[#This Row],[ART.
CCTP]])))</f>
        <v>0</v>
      </c>
      <c r="K399" t="b">
        <f>OR(Compil[[#This Row],[Unité]]="U",Compil[[#This Row],[Unité]]="ens",Compil[[#This Row],[Unité]]="ml")</f>
        <v>0</v>
      </c>
      <c r="L399" t="b">
        <f>ISBLANK(Compil[[#This Row],[DESIGNATION]])</f>
        <v>1</v>
      </c>
      <c r="M399" s="358"/>
      <c r="N399" s="358"/>
      <c r="O399" s="358"/>
      <c r="P399" s="358"/>
      <c r="Q399" s="358">
        <f>COUNTIF(Compil[[Ma Désignation ]],Compil[[Ma Désignation ]])</f>
        <v>306</v>
      </c>
    </row>
    <row r="400" spans="1:17" ht="14">
      <c r="A400" s="312">
        <v>963</v>
      </c>
      <c r="B400" s="19"/>
      <c r="C400" s="86" t="s">
        <v>436</v>
      </c>
      <c r="D400" t="str">
        <f xml:space="preserve"> TRIM( SUBSTITUTE(SUBSTITUTE(SUBSTITUTE( Compil[[#This Row],[DESIGNATION]],"-",""),"–",""),"*",""))</f>
        <v>câblage BUS CR1</v>
      </c>
      <c r="E400" s="8" t="s">
        <v>12</v>
      </c>
      <c r="F400" s="262">
        <v>1</v>
      </c>
      <c r="G400" s="289">
        <v>0</v>
      </c>
      <c r="H400" s="164">
        <v>0</v>
      </c>
      <c r="I400" t="s">
        <v>578</v>
      </c>
      <c r="J400" t="b">
        <f>AND(NOT(Compil[[#This Row],[Est ouvrage]]), NOT(ISBLANK(Compil[[#This Row],[ART.
CCTP]])))</f>
        <v>0</v>
      </c>
      <c r="K400" t="b">
        <f>OR(Compil[[#This Row],[Unité]]="U",Compil[[#This Row],[Unité]]="ens",Compil[[#This Row],[Unité]]="ml")</f>
        <v>1</v>
      </c>
      <c r="L400" t="b">
        <f>ISBLANK(Compil[[#This Row],[DESIGNATION]])</f>
        <v>0</v>
      </c>
      <c r="M400" s="359"/>
      <c r="N400" s="358"/>
      <c r="O400" s="358"/>
      <c r="P400" s="358"/>
      <c r="Q400" s="358">
        <f>COUNTIF(Compil[[Ma Désignation ]],Compil[[Ma Désignation ]])</f>
        <v>2</v>
      </c>
    </row>
    <row r="401" spans="1:17">
      <c r="A401" s="360">
        <v>1147</v>
      </c>
      <c r="B401" s="363"/>
      <c r="C401" s="402" t="s">
        <v>436</v>
      </c>
      <c r="D401" t="str">
        <f xml:space="preserve"> TRIM( SUBSTITUTE(SUBSTITUTE(SUBSTITUTE( Compil[[#This Row],[DESIGNATION]],"-",""),"–",""),"*",""))</f>
        <v>câblage BUS CR1</v>
      </c>
      <c r="E401" s="369" t="s">
        <v>12</v>
      </c>
      <c r="F401" s="385"/>
      <c r="G401" s="390" t="s">
        <v>571</v>
      </c>
      <c r="H401" s="391" t="s">
        <v>571</v>
      </c>
      <c r="I401" t="s">
        <v>579</v>
      </c>
      <c r="J401" t="b">
        <f>AND(NOT(Compil[[#This Row],[Est ouvrage]]), NOT(ISBLANK(Compil[[#This Row],[ART.
CCTP]])))</f>
        <v>0</v>
      </c>
      <c r="K401" t="b">
        <f>OR(Compil[[#This Row],[Unité]]="U",Compil[[#This Row],[Unité]]="ens",Compil[[#This Row],[Unité]]="ml")</f>
        <v>1</v>
      </c>
      <c r="L401" t="b">
        <f>ISBLANK(Compil[[#This Row],[DESIGNATION]])</f>
        <v>0</v>
      </c>
      <c r="M401" s="359"/>
      <c r="N401" s="358"/>
      <c r="O401" s="358"/>
      <c r="P401" s="358"/>
      <c r="Q401" s="358">
        <f>COUNTIF(Compil[[Ma Désignation ]],Compil[[Ma Désignation ]])</f>
        <v>2</v>
      </c>
    </row>
    <row r="402" spans="1:17">
      <c r="A402" s="360">
        <v>1136</v>
      </c>
      <c r="B402" s="363"/>
      <c r="C402" s="402" t="s">
        <v>96</v>
      </c>
      <c r="D402" t="str">
        <f xml:space="preserve"> TRIM( SUBSTITUTE(SUBSTITUTE(SUBSTITUTE( Compil[[#This Row],[DESIGNATION]],"-",""),"–",""),"*",""))</f>
        <v>câblage catégorie 6</v>
      </c>
      <c r="E402" s="369" t="s">
        <v>12</v>
      </c>
      <c r="F402" s="385">
        <v>1</v>
      </c>
      <c r="G402" s="390">
        <v>0</v>
      </c>
      <c r="H402" s="391">
        <v>0</v>
      </c>
      <c r="I402" t="s">
        <v>579</v>
      </c>
      <c r="J402" t="b">
        <f>AND(NOT(Compil[[#This Row],[Est ouvrage]]), NOT(ISBLANK(Compil[[#This Row],[ART.
CCTP]])))</f>
        <v>0</v>
      </c>
      <c r="K402" t="b">
        <f>OR(Compil[[#This Row],[Unité]]="U",Compil[[#This Row],[Unité]]="ens",Compil[[#This Row],[Unité]]="ml")</f>
        <v>1</v>
      </c>
      <c r="L402" t="b">
        <f>ISBLANK(Compil[[#This Row],[DESIGNATION]])</f>
        <v>0</v>
      </c>
      <c r="M402" s="359"/>
      <c r="N402" s="358"/>
      <c r="O402" s="358"/>
      <c r="P402" s="358"/>
      <c r="Q402" s="358">
        <f>COUNTIF(Compil[[Ma Désignation ]],Compil[[Ma Désignation ]])</f>
        <v>1</v>
      </c>
    </row>
    <row r="403" spans="1:17" ht="25">
      <c r="A403" s="310">
        <v>715</v>
      </c>
      <c r="B403" s="2"/>
      <c r="C403" s="427" t="s">
        <v>57</v>
      </c>
      <c r="D403" t="str">
        <f xml:space="preserve"> TRIM( SUBSTITUTE(SUBSTITUTE(SUBSTITUTE( Compil[[#This Row],[DESIGNATION]],"-",""),"–",""),"*",""))</f>
        <v>câblage en câble coaxial 75 ohms sous fourreau ICTA diam. 16 entre GTL et prises</v>
      </c>
      <c r="E403" s="9" t="s">
        <v>12</v>
      </c>
      <c r="F403" s="262"/>
      <c r="G403" s="289" t="s">
        <v>571</v>
      </c>
      <c r="H403" s="164" t="s">
        <v>571</v>
      </c>
      <c r="I403" t="s">
        <v>570</v>
      </c>
      <c r="J403" t="b">
        <f>AND(NOT(Compil[[#This Row],[Est ouvrage]]), NOT(ISBLANK(Compil[[#This Row],[ART.
CCTP]])))</f>
        <v>0</v>
      </c>
      <c r="K403" t="b">
        <f>OR(Compil[[#This Row],[Unité]]="U",Compil[[#This Row],[Unité]]="ens",Compil[[#This Row],[Unité]]="ml")</f>
        <v>1</v>
      </c>
      <c r="L403" t="b">
        <f>ISBLANK(Compil[[#This Row],[DESIGNATION]])</f>
        <v>0</v>
      </c>
      <c r="M403" s="359"/>
      <c r="N403" s="358"/>
      <c r="O403" s="358"/>
      <c r="P403" s="358"/>
      <c r="Q403" s="358">
        <f>COUNTIF(Compil[[Ma Désignation ]],Compil[[Ma Désignation ]])</f>
        <v>1</v>
      </c>
    </row>
    <row r="404" spans="1:17" ht="14">
      <c r="A404" s="303">
        <v>281</v>
      </c>
      <c r="B404" s="179"/>
      <c r="C404" s="224" t="s">
        <v>23</v>
      </c>
      <c r="D404" t="str">
        <f xml:space="preserve"> TRIM( SUBSTITUTE(SUBSTITUTE(SUBSTITUTE( Compil[[#This Row],[DESIGNATION]],"-",""),"–",""),"*",""))</f>
        <v>câblage et raccordement</v>
      </c>
      <c r="E404" s="193" t="s">
        <v>12</v>
      </c>
      <c r="F404" s="252">
        <v>1</v>
      </c>
      <c r="G404" s="289" t="e">
        <f>IF(F404="","",(((L404*$M$6)+(M404*#REF!*#REF!))*$M$7)/F404)</f>
        <v>#VALUE!</v>
      </c>
      <c r="H404" s="164" t="e">
        <f>IF(F404="","",F404*G404)</f>
        <v>#VALUE!</v>
      </c>
      <c r="I404" t="s">
        <v>580</v>
      </c>
      <c r="J404" t="b">
        <f>AND(NOT(Compil[[#This Row],[Est ouvrage]]), NOT(ISBLANK(Compil[[#This Row],[ART.
CCTP]])))</f>
        <v>0</v>
      </c>
      <c r="K404" t="b">
        <f>OR(Compil[[#This Row],[Unité]]="U",Compil[[#This Row],[Unité]]="ens",Compil[[#This Row],[Unité]]="ml")</f>
        <v>1</v>
      </c>
      <c r="L404" t="b">
        <f>ISBLANK(Compil[[#This Row],[DESIGNATION]])</f>
        <v>0</v>
      </c>
      <c r="M404" s="359"/>
      <c r="N404" s="358"/>
      <c r="O404" s="358"/>
      <c r="P404" s="358"/>
      <c r="Q404" s="358">
        <f>COUNTIF(Compil[[Ma Désignation ]],Compil[[Ma Désignation ]])</f>
        <v>2</v>
      </c>
    </row>
    <row r="405" spans="1:17" ht="14">
      <c r="A405" s="312">
        <v>915</v>
      </c>
      <c r="B405" s="17"/>
      <c r="C405" s="86" t="s">
        <v>23</v>
      </c>
      <c r="D405" t="str">
        <f xml:space="preserve"> TRIM( SUBSTITUTE(SUBSTITUTE(SUBSTITUTE( Compil[[#This Row],[DESIGNATION]],"-",""),"–",""),"*",""))</f>
        <v>câblage et raccordement</v>
      </c>
      <c r="E405" s="9" t="s">
        <v>12</v>
      </c>
      <c r="F405" s="262">
        <v>1</v>
      </c>
      <c r="G405" s="289">
        <v>0</v>
      </c>
      <c r="H405" s="164">
        <v>0</v>
      </c>
      <c r="I405" t="s">
        <v>578</v>
      </c>
      <c r="J405" t="b">
        <f>AND(NOT(Compil[[#This Row],[Est ouvrage]]), NOT(ISBLANK(Compil[[#This Row],[ART.
CCTP]])))</f>
        <v>0</v>
      </c>
      <c r="K405" t="b">
        <f>OR(Compil[[#This Row],[Unité]]="U",Compil[[#This Row],[Unité]]="ens",Compil[[#This Row],[Unité]]="ml")</f>
        <v>1</v>
      </c>
      <c r="L405" t="b">
        <f>ISBLANK(Compil[[#This Row],[DESIGNATION]])</f>
        <v>0</v>
      </c>
      <c r="M405" s="359"/>
      <c r="N405" s="358"/>
      <c r="O405" s="358"/>
      <c r="P405" s="358"/>
      <c r="Q405" s="358">
        <f>COUNTIF(Compil[[Ma Désignation ]],Compil[[Ma Désignation ]])</f>
        <v>2</v>
      </c>
    </row>
    <row r="406" spans="1:17" ht="14">
      <c r="A406" s="310">
        <v>704</v>
      </c>
      <c r="B406" s="69"/>
      <c r="C406" s="427" t="s">
        <v>392</v>
      </c>
      <c r="D406" t="str">
        <f xml:space="preserve"> TRIM( SUBSTITUTE(SUBSTITUTE(SUBSTITUTE( Compil[[#This Row],[DESIGNATION]],"-",""),"–",""),"*",""))</f>
        <v>Câblage grade 2</v>
      </c>
      <c r="E406" s="9" t="s">
        <v>12</v>
      </c>
      <c r="F406" s="262"/>
      <c r="G406" s="289" t="s">
        <v>571</v>
      </c>
      <c r="H406" s="164" t="s">
        <v>571</v>
      </c>
      <c r="I406" t="s">
        <v>570</v>
      </c>
      <c r="J406" t="b">
        <f>AND(NOT(Compil[[#This Row],[Est ouvrage]]), NOT(ISBLANK(Compil[[#This Row],[ART.
CCTP]])))</f>
        <v>0</v>
      </c>
      <c r="K406" t="b">
        <f>OR(Compil[[#This Row],[Unité]]="U",Compil[[#This Row],[Unité]]="ens",Compil[[#This Row],[Unité]]="ml")</f>
        <v>1</v>
      </c>
      <c r="L406" t="b">
        <f>ISBLANK(Compil[[#This Row],[DESIGNATION]])</f>
        <v>0</v>
      </c>
      <c r="M406" s="359"/>
      <c r="N406" s="358"/>
      <c r="O406" s="358"/>
      <c r="P406" s="358"/>
      <c r="Q406" s="358">
        <f>COUNTIF(Compil[[Ma Désignation ]],Compil[[Ma Désignation ]])</f>
        <v>2</v>
      </c>
    </row>
    <row r="407" spans="1:17">
      <c r="A407" s="360">
        <v>1123</v>
      </c>
      <c r="B407" s="363"/>
      <c r="C407" s="402" t="s">
        <v>392</v>
      </c>
      <c r="D407" t="str">
        <f xml:space="preserve"> TRIM( SUBSTITUTE(SUBSTITUTE(SUBSTITUTE( Compil[[#This Row],[DESIGNATION]],"-",""),"–",""),"*",""))</f>
        <v>Câblage grade 2</v>
      </c>
      <c r="E407" s="369" t="s">
        <v>12</v>
      </c>
      <c r="F407" s="385">
        <v>1</v>
      </c>
      <c r="G407" s="390">
        <v>0</v>
      </c>
      <c r="H407" s="391">
        <v>0</v>
      </c>
      <c r="I407" t="s">
        <v>579</v>
      </c>
      <c r="J407" t="b">
        <f>AND(NOT(Compil[[#This Row],[Est ouvrage]]), NOT(ISBLANK(Compil[[#This Row],[ART.
CCTP]])))</f>
        <v>0</v>
      </c>
      <c r="K407" t="b">
        <f>OR(Compil[[#This Row],[Unité]]="U",Compil[[#This Row],[Unité]]="ens",Compil[[#This Row],[Unité]]="ml")</f>
        <v>1</v>
      </c>
      <c r="L407" t="b">
        <f>ISBLANK(Compil[[#This Row],[DESIGNATION]])</f>
        <v>0</v>
      </c>
      <c r="M407" s="359"/>
      <c r="N407" s="358"/>
      <c r="O407" s="358"/>
      <c r="P407" s="358"/>
      <c r="Q407" s="358">
        <f>COUNTIF(Compil[[Ma Désignation ]],Compil[[Ma Désignation ]])</f>
        <v>2</v>
      </c>
    </row>
    <row r="408" spans="1:17" ht="14">
      <c r="A408" s="310">
        <v>403</v>
      </c>
      <c r="B408" s="43"/>
      <c r="C408" s="442"/>
      <c r="D408" t="str">
        <f xml:space="preserve"> TRIM( SUBSTITUTE(SUBSTITUTE(SUBSTITUTE( Compil[[#This Row],[DESIGNATION]],"-",""),"–",""),"*",""))</f>
        <v/>
      </c>
      <c r="E408" s="9"/>
      <c r="F408" s="262"/>
      <c r="G408" s="289" t="s">
        <v>571</v>
      </c>
      <c r="H408" s="164" t="s">
        <v>571</v>
      </c>
      <c r="I408" t="s">
        <v>570</v>
      </c>
      <c r="J408" t="b">
        <f>AND(NOT(Compil[[#This Row],[Est ouvrage]]), NOT(ISBLANK(Compil[[#This Row],[ART.
CCTP]])))</f>
        <v>0</v>
      </c>
      <c r="K408" t="b">
        <f>OR(Compil[[#This Row],[Unité]]="U",Compil[[#This Row],[Unité]]="ens",Compil[[#This Row],[Unité]]="ml")</f>
        <v>0</v>
      </c>
      <c r="L408" t="b">
        <f>ISBLANK(Compil[[#This Row],[DESIGNATION]])</f>
        <v>1</v>
      </c>
      <c r="M408" s="358"/>
      <c r="N408" s="358"/>
      <c r="O408" s="358"/>
      <c r="P408" s="358"/>
      <c r="Q408" s="358">
        <f>COUNTIF(Compil[[Ma Désignation ]],Compil[[Ma Désignation ]])</f>
        <v>306</v>
      </c>
    </row>
    <row r="409" spans="1:17" ht="14">
      <c r="A409" s="312">
        <v>964</v>
      </c>
      <c r="B409" s="19"/>
      <c r="C409" s="86" t="s">
        <v>437</v>
      </c>
      <c r="D409" t="str">
        <f xml:space="preserve"> TRIM( SUBSTITUTE(SUBSTITUTE(SUBSTITUTE( Compil[[#This Row],[DESIGNATION]],"-",""),"–",""),"*",""))</f>
        <v>câblage SYT 9/10</v>
      </c>
      <c r="E409" s="8" t="s">
        <v>12</v>
      </c>
      <c r="F409" s="262">
        <v>1</v>
      </c>
      <c r="G409" s="289">
        <v>0</v>
      </c>
      <c r="H409" s="164">
        <v>0</v>
      </c>
      <c r="I409" t="s">
        <v>578</v>
      </c>
      <c r="J409" t="b">
        <f>AND(NOT(Compil[[#This Row],[Est ouvrage]]), NOT(ISBLANK(Compil[[#This Row],[ART.
CCTP]])))</f>
        <v>0</v>
      </c>
      <c r="K409" t="b">
        <f>OR(Compil[[#This Row],[Unité]]="U",Compil[[#This Row],[Unité]]="ens",Compil[[#This Row],[Unité]]="ml")</f>
        <v>1</v>
      </c>
      <c r="L409" t="b">
        <f>ISBLANK(Compil[[#This Row],[DESIGNATION]])</f>
        <v>0</v>
      </c>
      <c r="M409" s="359"/>
      <c r="N409" s="358"/>
      <c r="O409" s="358"/>
      <c r="P409" s="358"/>
      <c r="Q409" s="358">
        <f>COUNTIF(Compil[[Ma Désignation ]],Compil[[Ma Désignation ]])</f>
        <v>2</v>
      </c>
    </row>
    <row r="410" spans="1:17">
      <c r="A410" s="360">
        <v>1148</v>
      </c>
      <c r="B410" s="363"/>
      <c r="C410" s="402" t="s">
        <v>437</v>
      </c>
      <c r="D410" t="str">
        <f xml:space="preserve"> TRIM( SUBSTITUTE(SUBSTITUTE(SUBSTITUTE( Compil[[#This Row],[DESIGNATION]],"-",""),"–",""),"*",""))</f>
        <v>câblage SYT 9/10</v>
      </c>
      <c r="E410" s="369" t="s">
        <v>12</v>
      </c>
      <c r="F410" s="385"/>
      <c r="G410" s="390" t="s">
        <v>571</v>
      </c>
      <c r="H410" s="391" t="s">
        <v>571</v>
      </c>
      <c r="I410" t="s">
        <v>579</v>
      </c>
      <c r="J410" t="b">
        <f>AND(NOT(Compil[[#This Row],[Est ouvrage]]), NOT(ISBLANK(Compil[[#This Row],[ART.
CCTP]])))</f>
        <v>0</v>
      </c>
      <c r="K410" t="b">
        <f>OR(Compil[[#This Row],[Unité]]="U",Compil[[#This Row],[Unité]]="ens",Compil[[#This Row],[Unité]]="ml")</f>
        <v>1</v>
      </c>
      <c r="L410" t="b">
        <f>ISBLANK(Compil[[#This Row],[DESIGNATION]])</f>
        <v>0</v>
      </c>
      <c r="M410" s="359"/>
      <c r="N410" s="358"/>
      <c r="O410" s="358"/>
      <c r="P410" s="358"/>
      <c r="Q410" s="358">
        <f>COUNTIF(Compil[[Ma Désignation ]],Compil[[Ma Désignation ]])</f>
        <v>2</v>
      </c>
    </row>
    <row r="411" spans="1:17" ht="14">
      <c r="A411" s="310">
        <v>406</v>
      </c>
      <c r="B411" s="43"/>
      <c r="C411" s="416"/>
      <c r="D411" t="str">
        <f xml:space="preserve"> TRIM( SUBSTITUTE(SUBSTITUTE(SUBSTITUTE( Compil[[#This Row],[DESIGNATION]],"-",""),"–",""),"*",""))</f>
        <v/>
      </c>
      <c r="E411" s="9"/>
      <c r="F411" s="262"/>
      <c r="G411" s="289" t="s">
        <v>571</v>
      </c>
      <c r="H411" s="164" t="s">
        <v>571</v>
      </c>
      <c r="I411" t="s">
        <v>570</v>
      </c>
      <c r="J411" t="b">
        <f>AND(NOT(Compil[[#This Row],[Est ouvrage]]), NOT(ISBLANK(Compil[[#This Row],[ART.
CCTP]])))</f>
        <v>0</v>
      </c>
      <c r="K411" t="b">
        <f>OR(Compil[[#This Row],[Unité]]="U",Compil[[#This Row],[Unité]]="ens",Compil[[#This Row],[Unité]]="ml")</f>
        <v>0</v>
      </c>
      <c r="L411" t="b">
        <f>ISBLANK(Compil[[#This Row],[DESIGNATION]])</f>
        <v>1</v>
      </c>
      <c r="M411" s="358"/>
      <c r="N411" s="358"/>
      <c r="O411" s="358"/>
      <c r="P411" s="358"/>
      <c r="Q411" s="358">
        <f>COUNTIF(Compil[[Ma Désignation ]],Compil[[Ma Désignation ]])</f>
        <v>306</v>
      </c>
    </row>
    <row r="412" spans="1:17" ht="14">
      <c r="A412" s="310">
        <v>363</v>
      </c>
      <c r="B412" s="45"/>
      <c r="C412" s="20" t="s">
        <v>260</v>
      </c>
      <c r="D412" t="str">
        <f xml:space="preserve"> TRIM( SUBSTITUTE(SUBSTITUTE(SUBSTITUTE( Compil[[#This Row],[DESIGNATION]],"-",""),"–",""),"*",""))</f>
        <v>Câblage, mise en service et essais</v>
      </c>
      <c r="E412" s="48" t="s">
        <v>12</v>
      </c>
      <c r="F412" s="262">
        <v>1</v>
      </c>
      <c r="G412" s="289">
        <v>0</v>
      </c>
      <c r="H412" s="164">
        <v>0</v>
      </c>
      <c r="I412" t="s">
        <v>570</v>
      </c>
      <c r="J412" t="b">
        <f>AND(NOT(Compil[[#This Row],[Est ouvrage]]), NOT(ISBLANK(Compil[[#This Row],[ART.
CCTP]])))</f>
        <v>0</v>
      </c>
      <c r="K412" t="b">
        <f>OR(Compil[[#This Row],[Unité]]="U",Compil[[#This Row],[Unité]]="ens",Compil[[#This Row],[Unité]]="ml")</f>
        <v>1</v>
      </c>
      <c r="L412" t="b">
        <f>ISBLANK(Compil[[#This Row],[DESIGNATION]])</f>
        <v>0</v>
      </c>
      <c r="M412" s="359"/>
      <c r="N412" s="358"/>
      <c r="O412" s="358"/>
      <c r="P412" s="358"/>
      <c r="Q412" s="358">
        <f>COUNTIF(Compil[[Ma Désignation ]],Compil[[Ma Désignation ]])</f>
        <v>1</v>
      </c>
    </row>
    <row r="413" spans="1:17" ht="37.5">
      <c r="A413" s="312">
        <v>871</v>
      </c>
      <c r="B413" s="19"/>
      <c r="C413" s="88" t="s">
        <v>185</v>
      </c>
      <c r="D413" t="str">
        <f xml:space="preserve"> TRIM( SUBSTITUTE(SUBSTITUTE(SUBSTITUTE( Compil[[#This Row],[DESIGNATION]],"-",""),"–",""),"*",""))</f>
        <v>câble optique type G657 4 fibres entre les points de branchement optique en gaine technique et le bureau sous fourreau ICTA.</v>
      </c>
      <c r="E413" s="8" t="s">
        <v>12</v>
      </c>
      <c r="F413" s="262">
        <v>1</v>
      </c>
      <c r="G413" s="289">
        <v>0</v>
      </c>
      <c r="H413" s="164">
        <v>0</v>
      </c>
      <c r="I413" t="s">
        <v>578</v>
      </c>
      <c r="J413" t="b">
        <f>AND(NOT(Compil[[#This Row],[Est ouvrage]]), NOT(ISBLANK(Compil[[#This Row],[ART.
CCTP]])))</f>
        <v>0</v>
      </c>
      <c r="K413" t="b">
        <f>OR(Compil[[#This Row],[Unité]]="U",Compil[[#This Row],[Unité]]="ens",Compil[[#This Row],[Unité]]="ml")</f>
        <v>1</v>
      </c>
      <c r="L413" t="b">
        <f>ISBLANK(Compil[[#This Row],[DESIGNATION]])</f>
        <v>0</v>
      </c>
      <c r="M413" s="359"/>
      <c r="N413" s="358"/>
      <c r="O413" s="358"/>
      <c r="P413" s="358"/>
      <c r="Q413" s="358">
        <f>COUNTIF(Compil[[Ma Désignation ]],Compil[[Ma Désignation ]])</f>
        <v>1</v>
      </c>
    </row>
    <row r="414" spans="1:17" ht="37.5">
      <c r="A414" s="312">
        <v>869</v>
      </c>
      <c r="B414" s="19"/>
      <c r="C414" s="88" t="s">
        <v>178</v>
      </c>
      <c r="D414" t="str">
        <f xml:space="preserve"> TRIM( SUBSTITUTE(SUBSTITUTE(SUBSTITUTE( Compil[[#This Row],[DESIGNATION]],"-",""),"–",""),"*",""))</f>
        <v>câble optique type G657 4 fibres entre les points de branchement optique en gaine technique et le tableau de communication (TC) des logements sous fourreau ICTA.</v>
      </c>
      <c r="E414" s="8" t="s">
        <v>12</v>
      </c>
      <c r="F414" s="262">
        <v>1</v>
      </c>
      <c r="G414" s="289">
        <v>0</v>
      </c>
      <c r="H414" s="164">
        <v>0</v>
      </c>
      <c r="I414" t="s">
        <v>578</v>
      </c>
      <c r="J414" t="b">
        <f>AND(NOT(Compil[[#This Row],[Est ouvrage]]), NOT(ISBLANK(Compil[[#This Row],[ART.
CCTP]])))</f>
        <v>0</v>
      </c>
      <c r="K414" t="b">
        <f>OR(Compil[[#This Row],[Unité]]="U",Compil[[#This Row],[Unité]]="ens",Compil[[#This Row],[Unité]]="ml")</f>
        <v>1</v>
      </c>
      <c r="L414" t="b">
        <f>ISBLANK(Compil[[#This Row],[DESIGNATION]])</f>
        <v>0</v>
      </c>
      <c r="M414" s="359"/>
      <c r="N414" s="358"/>
      <c r="O414" s="358"/>
      <c r="P414" s="358"/>
      <c r="Q414" s="358">
        <f>COUNTIF(Compil[[Ma Désignation ]],Compil[[Ma Désignation ]])</f>
        <v>1</v>
      </c>
    </row>
    <row r="415" spans="1:17" ht="37.5">
      <c r="A415" s="303">
        <v>231</v>
      </c>
      <c r="B415" s="2"/>
      <c r="C415" s="206" t="s">
        <v>336</v>
      </c>
      <c r="D415" t="str">
        <f xml:space="preserve"> TRIM( SUBSTITUTE(SUBSTITUTE(SUBSTITUTE( Compil[[#This Row],[DESIGNATION]],"-",""),"–",""),"*",""))</f>
        <v>câble optique type G657 4 fibres entre les points de branchement optique en gaine technique palière et le tableau de communication (TC) des logements sous fourreau ICTA.</v>
      </c>
      <c r="E415" s="190" t="s">
        <v>12</v>
      </c>
      <c r="F415" s="252">
        <v>1</v>
      </c>
      <c r="G415" s="289" t="e">
        <f>IF(F415="","",(((L415*$M$6)+(M415*#REF!*#REF!))*$M$7)/F415)</f>
        <v>#VALUE!</v>
      </c>
      <c r="H415" s="164" t="e">
        <f>IF(F415="","",F415*G415)</f>
        <v>#VALUE!</v>
      </c>
      <c r="I415" t="s">
        <v>580</v>
      </c>
      <c r="J415" t="b">
        <f>AND(NOT(Compil[[#This Row],[Est ouvrage]]), NOT(ISBLANK(Compil[[#This Row],[ART.
CCTP]])))</f>
        <v>0</v>
      </c>
      <c r="K415" t="b">
        <f>OR(Compil[[#This Row],[Unité]]="U",Compil[[#This Row],[Unité]]="ens",Compil[[#This Row],[Unité]]="ml")</f>
        <v>1</v>
      </c>
      <c r="L415" t="b">
        <f>ISBLANK(Compil[[#This Row],[DESIGNATION]])</f>
        <v>0</v>
      </c>
      <c r="M415" s="359"/>
      <c r="N415" s="358"/>
      <c r="O415" s="358"/>
      <c r="P415" s="358"/>
      <c r="Q415" s="358">
        <f>COUNTIF(Compil[[Ma Désignation ]],Compil[[Ma Désignation ]])</f>
        <v>1</v>
      </c>
    </row>
    <row r="416" spans="1:17" ht="37.5">
      <c r="A416" s="303">
        <v>233</v>
      </c>
      <c r="B416" s="2"/>
      <c r="C416" s="206" t="s">
        <v>337</v>
      </c>
      <c r="D416" t="str">
        <f xml:space="preserve"> TRIM( SUBSTITUTE(SUBSTITUTE(SUBSTITUTE( Compil[[#This Row],[DESIGNATION]],"-",""),"–",""),"*",""))</f>
        <v>câble optique type G657 4 fibres entre les points de branchement optique en gaine technique palière et les bureaux sous fourreau ICTA.</v>
      </c>
      <c r="E416" s="190" t="s">
        <v>12</v>
      </c>
      <c r="F416" s="252">
        <v>1</v>
      </c>
      <c r="G416" s="289" t="e">
        <f>IF(F416="","",(((L416*$M$6)+(M416*#REF!*#REF!))*$M$7)/F416)</f>
        <v>#VALUE!</v>
      </c>
      <c r="H416" s="164" t="e">
        <f>IF(F416="","",F416*G416)</f>
        <v>#VALUE!</v>
      </c>
      <c r="I416" t="s">
        <v>580</v>
      </c>
      <c r="J416" t="b">
        <f>AND(NOT(Compil[[#This Row],[Est ouvrage]]), NOT(ISBLANK(Compil[[#This Row],[ART.
CCTP]])))</f>
        <v>0</v>
      </c>
      <c r="K416" t="b">
        <f>OR(Compil[[#This Row],[Unité]]="U",Compil[[#This Row],[Unité]]="ens",Compil[[#This Row],[Unité]]="ml")</f>
        <v>1</v>
      </c>
      <c r="L416" t="b">
        <f>ISBLANK(Compil[[#This Row],[DESIGNATION]])</f>
        <v>0</v>
      </c>
      <c r="M416" s="359"/>
      <c r="N416" s="358"/>
      <c r="O416" s="358"/>
      <c r="P416" s="358"/>
      <c r="Q416" s="358">
        <f>COUNTIF(Compil[[Ma Désignation ]],Compil[[Ma Désignation ]])</f>
        <v>1</v>
      </c>
    </row>
    <row r="417" spans="1:17" ht="14">
      <c r="A417" s="310">
        <v>412</v>
      </c>
      <c r="B417" s="2"/>
      <c r="C417" s="416"/>
      <c r="D417" t="str">
        <f xml:space="preserve"> TRIM( SUBSTITUTE(SUBSTITUTE(SUBSTITUTE( Compil[[#This Row],[DESIGNATION]],"-",""),"–",""),"*",""))</f>
        <v/>
      </c>
      <c r="E417" s="9"/>
      <c r="F417" s="262"/>
      <c r="G417" s="289" t="s">
        <v>571</v>
      </c>
      <c r="H417" s="164" t="s">
        <v>571</v>
      </c>
      <c r="I417" t="s">
        <v>570</v>
      </c>
      <c r="J417" t="b">
        <f>AND(NOT(Compil[[#This Row],[Est ouvrage]]), NOT(ISBLANK(Compil[[#This Row],[ART.
CCTP]])))</f>
        <v>0</v>
      </c>
      <c r="K417" t="b">
        <f>OR(Compil[[#This Row],[Unité]]="U",Compil[[#This Row],[Unité]]="ens",Compil[[#This Row],[Unité]]="ml")</f>
        <v>0</v>
      </c>
      <c r="L417" t="b">
        <f>ISBLANK(Compil[[#This Row],[DESIGNATION]])</f>
        <v>1</v>
      </c>
      <c r="M417" s="358"/>
      <c r="N417" s="358"/>
      <c r="O417" s="358"/>
      <c r="P417" s="358"/>
      <c r="Q417" s="358">
        <f>COUNTIF(Compil[[Ma Désignation ]],Compil[[Ma Désignation ]])</f>
        <v>306</v>
      </c>
    </row>
    <row r="418" spans="1:17" ht="37.5">
      <c r="A418" s="303">
        <v>235</v>
      </c>
      <c r="B418" s="2"/>
      <c r="C418" s="206" t="s">
        <v>338</v>
      </c>
      <c r="D418" t="str">
        <f xml:space="preserve"> TRIM( SUBSTITUTE(SUBSTITUTE(SUBSTITUTE( Compil[[#This Row],[DESIGNATION]],"-",""),"–",""),"*",""))</f>
        <v>câble optique type G657 4 fibres entre les points de branchement optique en gaine technique palière et les locaux d'activité sous fourreau ICTA.</v>
      </c>
      <c r="E418" s="190" t="s">
        <v>12</v>
      </c>
      <c r="F418" s="252">
        <v>1</v>
      </c>
      <c r="G418" s="289" t="e">
        <f>IF(F418="","",(((L418*$M$6)+(M418*#REF!*#REF!))*$M$7)/F418)</f>
        <v>#VALUE!</v>
      </c>
      <c r="H418" s="164" t="e">
        <f>IF(F418="","",F418*G418)</f>
        <v>#VALUE!</v>
      </c>
      <c r="I418" t="s">
        <v>580</v>
      </c>
      <c r="J418" t="b">
        <f>AND(NOT(Compil[[#This Row],[Est ouvrage]]), NOT(ISBLANK(Compil[[#This Row],[ART.
CCTP]])))</f>
        <v>0</v>
      </c>
      <c r="K418" t="b">
        <f>OR(Compil[[#This Row],[Unité]]="U",Compil[[#This Row],[Unité]]="ens",Compil[[#This Row],[Unité]]="ml")</f>
        <v>1</v>
      </c>
      <c r="L418" t="b">
        <f>ISBLANK(Compil[[#This Row],[DESIGNATION]])</f>
        <v>0</v>
      </c>
      <c r="M418" s="359"/>
      <c r="N418" s="358"/>
      <c r="O418" s="358"/>
      <c r="P418" s="358"/>
      <c r="Q418" s="358">
        <f>COUNTIF(Compil[[Ma Désignation ]],Compil[[Ma Désignation ]])</f>
        <v>1</v>
      </c>
    </row>
    <row r="419" spans="1:17" ht="14">
      <c r="A419" s="310">
        <v>414</v>
      </c>
      <c r="B419" s="2"/>
      <c r="C419" s="433"/>
      <c r="D419" t="str">
        <f xml:space="preserve"> TRIM( SUBSTITUTE(SUBSTITUTE(SUBSTITUTE( Compil[[#This Row],[DESIGNATION]],"-",""),"–",""),"*",""))</f>
        <v/>
      </c>
      <c r="E419" s="9"/>
      <c r="F419" s="262"/>
      <c r="G419" s="289" t="s">
        <v>571</v>
      </c>
      <c r="H419" s="164" t="s">
        <v>571</v>
      </c>
      <c r="I419" t="s">
        <v>570</v>
      </c>
      <c r="J419" t="b">
        <f>AND(NOT(Compil[[#This Row],[Est ouvrage]]), NOT(ISBLANK(Compil[[#This Row],[ART.
CCTP]])))</f>
        <v>0</v>
      </c>
      <c r="K419" t="b">
        <f>OR(Compil[[#This Row],[Unité]]="U",Compil[[#This Row],[Unité]]="ens",Compil[[#This Row],[Unité]]="ml")</f>
        <v>0</v>
      </c>
      <c r="L419" t="b">
        <f>ISBLANK(Compil[[#This Row],[DESIGNATION]])</f>
        <v>1</v>
      </c>
      <c r="M419" s="358"/>
      <c r="N419" s="358"/>
      <c r="O419" s="358"/>
      <c r="P419" s="358"/>
      <c r="Q419" s="358">
        <f>COUNTIF(Compil[[Ma Désignation ]],Compil[[Ma Désignation ]])</f>
        <v>306</v>
      </c>
    </row>
    <row r="420" spans="1:17" ht="14">
      <c r="A420" s="310">
        <v>415</v>
      </c>
      <c r="B420" s="2"/>
      <c r="C420" s="413" t="s">
        <v>233</v>
      </c>
      <c r="D420" t="str">
        <f xml:space="preserve"> TRIM( SUBSTITUTE(SUBSTITUTE(SUBSTITUTE( Compil[[#This Row],[DESIGNATION]],"-",""),"–",""),"*",""))</f>
        <v>Sous total HT pour un T1</v>
      </c>
      <c r="E420" s="27"/>
      <c r="F420" s="262"/>
      <c r="G420" s="289" t="s">
        <v>571</v>
      </c>
      <c r="H420" s="164" t="s">
        <v>571</v>
      </c>
      <c r="I420" t="s">
        <v>570</v>
      </c>
      <c r="J420" t="b">
        <f>AND(NOT(Compil[[#This Row],[Est ouvrage]]), NOT(ISBLANK(Compil[[#This Row],[ART.
CCTP]])))</f>
        <v>0</v>
      </c>
      <c r="K420" t="b">
        <f>OR(Compil[[#This Row],[Unité]]="U",Compil[[#This Row],[Unité]]="ens",Compil[[#This Row],[Unité]]="ml")</f>
        <v>0</v>
      </c>
      <c r="L420" t="b">
        <f>ISBLANK(Compil[[#This Row],[DESIGNATION]])</f>
        <v>0</v>
      </c>
      <c r="M420" s="359"/>
      <c r="N420" s="358"/>
      <c r="O420" s="358"/>
      <c r="P420" s="358"/>
      <c r="Q420" s="358">
        <f>COUNTIF(Compil[[Ma Désignation ]],Compil[[Ma Désignation ]])</f>
        <v>2</v>
      </c>
    </row>
    <row r="421" spans="1:17" ht="14">
      <c r="A421" s="303">
        <v>72</v>
      </c>
      <c r="B421" s="2"/>
      <c r="C421" s="186" t="s">
        <v>147</v>
      </c>
      <c r="D421" t="str">
        <f xml:space="preserve"> TRIM( SUBSTITUTE(SUBSTITUTE(SUBSTITUTE( Compil[[#This Row],[DESIGNATION]],"-",""),"–",""),"*",""))</f>
        <v>câble ST/34443 2 paires entre embase et la 1ère barrette de connexion en gaine technique ERDF</v>
      </c>
      <c r="E421" s="208" t="s">
        <v>12</v>
      </c>
      <c r="F421" s="252">
        <v>1</v>
      </c>
      <c r="G421" s="289" t="e">
        <f>IF(F421="","",(((L421*$M$6)+(M421*#REF!*#REF!))*$M$7)/F421)</f>
        <v>#VALUE!</v>
      </c>
      <c r="H421" s="164" t="e">
        <f>IF(F421="","",F421*G421)</f>
        <v>#VALUE!</v>
      </c>
      <c r="I421" t="s">
        <v>580</v>
      </c>
      <c r="J421" t="b">
        <f>AND(NOT(Compil[[#This Row],[Est ouvrage]]), NOT(ISBLANK(Compil[[#This Row],[ART.
CCTP]])))</f>
        <v>0</v>
      </c>
      <c r="K421" t="b">
        <f>OR(Compil[[#This Row],[Unité]]="U",Compil[[#This Row],[Unité]]="ens",Compil[[#This Row],[Unité]]="ml")</f>
        <v>1</v>
      </c>
      <c r="L421" t="b">
        <f>ISBLANK(Compil[[#This Row],[DESIGNATION]])</f>
        <v>0</v>
      </c>
      <c r="M421" s="359"/>
      <c r="N421" s="358"/>
      <c r="O421" s="358"/>
      <c r="P421" s="358"/>
      <c r="Q421" s="358">
        <f>COUNTIF(Compil[[Ma Désignation ]],Compil[[Ma Désignation ]])</f>
        <v>2</v>
      </c>
    </row>
    <row r="422" spans="1:17" ht="14">
      <c r="A422" s="310">
        <v>417</v>
      </c>
      <c r="B422" s="19"/>
      <c r="C422" s="81"/>
      <c r="D422" s="357" t="str">
        <f xml:space="preserve"> TRIM( SUBSTITUTE(SUBSTITUTE(SUBSTITUTE( Compil[[#This Row],[DESIGNATION]],"-",""),"–",""),"*",""))</f>
        <v/>
      </c>
      <c r="E422" s="9"/>
      <c r="F422" s="262"/>
      <c r="G422" s="289" t="s">
        <v>571</v>
      </c>
      <c r="H422" s="164" t="s">
        <v>571</v>
      </c>
      <c r="I422" t="s">
        <v>570</v>
      </c>
      <c r="J422" t="b">
        <f>AND(NOT(Compil[[#This Row],[Est ouvrage]]), NOT(ISBLANK(Compil[[#This Row],[ART.
CCTP]])))</f>
        <v>0</v>
      </c>
      <c r="K422" t="b">
        <f>OR(Compil[[#This Row],[Unité]]="U",Compil[[#This Row],[Unité]]="ens",Compil[[#This Row],[Unité]]="ml")</f>
        <v>0</v>
      </c>
      <c r="L422" t="b">
        <f>ISBLANK(Compil[[#This Row],[DESIGNATION]])</f>
        <v>1</v>
      </c>
      <c r="M422" s="358"/>
      <c r="N422" s="358"/>
      <c r="O422" s="358"/>
      <c r="P422" s="358"/>
      <c r="Q422" s="358">
        <f>COUNTIF(Compil[[Ma Désignation ]],Compil[[Ma Désignation ]])</f>
        <v>306</v>
      </c>
    </row>
    <row r="423" spans="1:17" ht="14">
      <c r="A423" s="310">
        <v>418</v>
      </c>
      <c r="B423" s="2"/>
      <c r="C423" s="429" t="s">
        <v>270</v>
      </c>
      <c r="D423" t="str">
        <f xml:space="preserve"> TRIM( SUBSTITUTE(SUBSTITUTE(SUBSTITUTE( Compil[[#This Row],[DESIGNATION]],"-",""),"–",""),"*",""))</f>
        <v>Sous total 2.7.2 Appartement T1</v>
      </c>
      <c r="E423" s="72"/>
      <c r="F423" s="262"/>
      <c r="G423" s="289" t="s">
        <v>571</v>
      </c>
      <c r="H423" s="164" t="s">
        <v>571</v>
      </c>
      <c r="I423" t="s">
        <v>570</v>
      </c>
      <c r="J423" t="b">
        <f>AND(NOT(Compil[[#This Row],[Est ouvrage]]), NOT(ISBLANK(Compil[[#This Row],[ART.
CCTP]])))</f>
        <v>0</v>
      </c>
      <c r="K423" t="b">
        <f>OR(Compil[[#This Row],[Unité]]="U",Compil[[#This Row],[Unité]]="ens",Compil[[#This Row],[Unité]]="ml")</f>
        <v>0</v>
      </c>
      <c r="L423" t="b">
        <f>ISBLANK(Compil[[#This Row],[DESIGNATION]])</f>
        <v>0</v>
      </c>
      <c r="M423" s="359"/>
      <c r="N423" s="358"/>
      <c r="O423" s="358"/>
      <c r="P423" s="358"/>
      <c r="Q423" s="358">
        <f>COUNTIF(Compil[[Ma Désignation ]],Compil[[Ma Désignation ]])</f>
        <v>1</v>
      </c>
    </row>
    <row r="424" spans="1:17" ht="14">
      <c r="A424" s="310">
        <v>419</v>
      </c>
      <c r="B424" s="2"/>
      <c r="C424" s="433"/>
      <c r="D424" t="str">
        <f xml:space="preserve"> TRIM( SUBSTITUTE(SUBSTITUTE(SUBSTITUTE( Compil[[#This Row],[DESIGNATION]],"-",""),"–",""),"*",""))</f>
        <v/>
      </c>
      <c r="E424" s="9"/>
      <c r="F424" s="262"/>
      <c r="G424" s="289" t="s">
        <v>571</v>
      </c>
      <c r="H424" s="164" t="s">
        <v>571</v>
      </c>
      <c r="I424" t="s">
        <v>570</v>
      </c>
      <c r="J424" t="b">
        <f>AND(NOT(Compil[[#This Row],[Est ouvrage]]), NOT(ISBLANK(Compil[[#This Row],[ART.
CCTP]])))</f>
        <v>0</v>
      </c>
      <c r="K424" t="b">
        <f>OR(Compil[[#This Row],[Unité]]="U",Compil[[#This Row],[Unité]]="ens",Compil[[#This Row],[Unité]]="ml")</f>
        <v>0</v>
      </c>
      <c r="L424" t="b">
        <f>ISBLANK(Compil[[#This Row],[DESIGNATION]])</f>
        <v>1</v>
      </c>
      <c r="M424" s="358"/>
      <c r="N424" s="358"/>
      <c r="O424" s="358"/>
      <c r="P424" s="358"/>
      <c r="Q424" s="358">
        <f>COUNTIF(Compil[[Ma Désignation ]],Compil[[Ma Désignation ]])</f>
        <v>306</v>
      </c>
    </row>
    <row r="425" spans="1:17" ht="14">
      <c r="A425" s="310">
        <v>420</v>
      </c>
      <c r="B425" s="2" t="s">
        <v>261</v>
      </c>
      <c r="C425" s="413" t="s">
        <v>163</v>
      </c>
      <c r="D425" t="str">
        <f xml:space="preserve"> TRIM( SUBSTITUTE(SUBSTITUTE(SUBSTITUTE( Compil[[#This Row],[DESIGNATION]],"-",""),"–",""),"*",""))</f>
        <v>Appartement de type T2</v>
      </c>
      <c r="E425" s="9"/>
      <c r="F425" s="262"/>
      <c r="G425" s="289" t="s">
        <v>571</v>
      </c>
      <c r="H425" s="164" t="s">
        <v>571</v>
      </c>
      <c r="I425" t="s">
        <v>570</v>
      </c>
      <c r="J425" t="b">
        <f>AND(NOT(Compil[[#This Row],[Est ouvrage]]), NOT(ISBLANK(Compil[[#This Row],[ART.
CCTP]])))</f>
        <v>1</v>
      </c>
      <c r="K425" t="b">
        <f>OR(Compil[[#This Row],[Unité]]="U",Compil[[#This Row],[Unité]]="ens",Compil[[#This Row],[Unité]]="ml")</f>
        <v>0</v>
      </c>
      <c r="L425" t="b">
        <f>ISBLANK(Compil[[#This Row],[DESIGNATION]])</f>
        <v>0</v>
      </c>
      <c r="M425" s="359"/>
      <c r="N425" s="358"/>
      <c r="O425" s="358"/>
      <c r="P425" s="358"/>
      <c r="Q425" s="358">
        <f>COUNTIF(Compil[[Ma Désignation ]],Compil[[Ma Désignation ]])</f>
        <v>1</v>
      </c>
    </row>
    <row r="426" spans="1:17" ht="14">
      <c r="A426" s="310">
        <v>421</v>
      </c>
      <c r="B426" s="2"/>
      <c r="C426" s="433"/>
      <c r="D426" t="str">
        <f xml:space="preserve"> TRIM( SUBSTITUTE(SUBSTITUTE(SUBSTITUTE( Compil[[#This Row],[DESIGNATION]],"-",""),"–",""),"*",""))</f>
        <v/>
      </c>
      <c r="E426" s="9"/>
      <c r="F426" s="262"/>
      <c r="G426" s="289" t="s">
        <v>571</v>
      </c>
      <c r="H426" s="164" t="s">
        <v>571</v>
      </c>
      <c r="I426" t="s">
        <v>570</v>
      </c>
      <c r="J426" t="b">
        <f>AND(NOT(Compil[[#This Row],[Est ouvrage]]), NOT(ISBLANK(Compil[[#This Row],[ART.
CCTP]])))</f>
        <v>0</v>
      </c>
      <c r="K426" t="b">
        <f>OR(Compil[[#This Row],[Unité]]="U",Compil[[#This Row],[Unité]]="ens",Compil[[#This Row],[Unité]]="ml")</f>
        <v>0</v>
      </c>
      <c r="L426" t="b">
        <f>ISBLANK(Compil[[#This Row],[DESIGNATION]])</f>
        <v>1</v>
      </c>
      <c r="M426" s="358"/>
      <c r="N426" s="358"/>
      <c r="O426" s="358"/>
      <c r="P426" s="358"/>
      <c r="Q426" s="358">
        <f>COUNTIF(Compil[[Ma Désignation ]],Compil[[Ma Désignation ]])</f>
        <v>306</v>
      </c>
    </row>
    <row r="427" spans="1:17" ht="14">
      <c r="A427" s="310">
        <v>422</v>
      </c>
      <c r="B427" s="2"/>
      <c r="C427" s="430" t="s">
        <v>572</v>
      </c>
      <c r="D427" t="str">
        <f xml:space="preserve"> TRIM( SUBSTITUTE(SUBSTITUTE(SUBSTITUTE( Compil[[#This Row],[DESIGNATION]],"-",""),"–",""),"*",""))</f>
        <v>Appareillages de finition blanche</v>
      </c>
      <c r="E427" s="9"/>
      <c r="F427" s="262"/>
      <c r="G427" s="289" t="s">
        <v>571</v>
      </c>
      <c r="H427" s="164" t="s">
        <v>571</v>
      </c>
      <c r="I427" t="s">
        <v>570</v>
      </c>
      <c r="J427" t="b">
        <f>AND(NOT(Compil[[#This Row],[Est ouvrage]]), NOT(ISBLANK(Compil[[#This Row],[ART.
CCTP]])))</f>
        <v>0</v>
      </c>
      <c r="K427" t="b">
        <f>OR(Compil[[#This Row],[Unité]]="U",Compil[[#This Row],[Unité]]="ens",Compil[[#This Row],[Unité]]="ml")</f>
        <v>0</v>
      </c>
      <c r="L427" t="b">
        <f>ISBLANK(Compil[[#This Row],[DESIGNATION]])</f>
        <v>0</v>
      </c>
      <c r="M427" s="359"/>
      <c r="N427" s="358"/>
      <c r="O427" s="358"/>
      <c r="P427" s="358"/>
      <c r="Q427" s="358">
        <f>COUNTIF(Compil[[Ma Désignation ]],Compil[[Ma Désignation ]])</f>
        <v>9</v>
      </c>
    </row>
    <row r="428" spans="1:17" ht="14">
      <c r="A428" s="312">
        <v>762</v>
      </c>
      <c r="B428" s="19"/>
      <c r="C428" s="20" t="s">
        <v>147</v>
      </c>
      <c r="D428" t="str">
        <f xml:space="preserve"> TRIM( SUBSTITUTE(SUBSTITUTE(SUBSTITUTE( Compil[[#This Row],[DESIGNATION]],"-",""),"–",""),"*",""))</f>
        <v>câble ST/34443 2 paires entre embase et la 1ère barrette de connexion en gaine technique ERDF</v>
      </c>
      <c r="E428" s="102" t="s">
        <v>12</v>
      </c>
      <c r="F428" s="386">
        <v>1</v>
      </c>
      <c r="G428" s="289">
        <v>0</v>
      </c>
      <c r="H428" s="164">
        <v>0</v>
      </c>
      <c r="I428" t="s">
        <v>578</v>
      </c>
      <c r="J428" t="b">
        <f>AND(NOT(Compil[[#This Row],[Est ouvrage]]), NOT(ISBLANK(Compil[[#This Row],[ART.
CCTP]])))</f>
        <v>0</v>
      </c>
      <c r="K428" t="b">
        <f>OR(Compil[[#This Row],[Unité]]="U",Compil[[#This Row],[Unité]]="ens",Compil[[#This Row],[Unité]]="ml")</f>
        <v>1</v>
      </c>
      <c r="L428" t="b">
        <f>ISBLANK(Compil[[#This Row],[DESIGNATION]])</f>
        <v>0</v>
      </c>
      <c r="M428" s="359"/>
      <c r="N428" s="358"/>
      <c r="O428" s="358"/>
      <c r="P428" s="358"/>
      <c r="Q428" s="358">
        <f>COUNTIF(Compil[[Ma Désignation ]],Compil[[Ma Désignation ]])</f>
        <v>2</v>
      </c>
    </row>
    <row r="429" spans="1:17" ht="14">
      <c r="A429" s="303">
        <v>74</v>
      </c>
      <c r="B429" s="2"/>
      <c r="C429" s="186" t="s">
        <v>148</v>
      </c>
      <c r="D429" t="str">
        <f xml:space="preserve"> TRIM( SUBSTITUTE(SUBSTITUTE(SUBSTITUTE( Compil[[#This Row],[DESIGNATION]],"-",""),"–",""),"*",""))</f>
        <v>câble ST/34443 2 paires entre les barrettes de connexion en gaine technique ERDF</v>
      </c>
      <c r="E429" s="208" t="s">
        <v>12</v>
      </c>
      <c r="F429" s="252">
        <v>1</v>
      </c>
      <c r="G429" s="289" t="e">
        <f>IF(F429="","",(((L429*$M$6)+(M429*#REF!*#REF!))*$M$7)/F429)</f>
        <v>#VALUE!</v>
      </c>
      <c r="H429" s="164" t="e">
        <f>IF(F429="","",F429*G429)</f>
        <v>#VALUE!</v>
      </c>
      <c r="I429" t="s">
        <v>580</v>
      </c>
      <c r="J429" t="b">
        <f>AND(NOT(Compil[[#This Row],[Est ouvrage]]), NOT(ISBLANK(Compil[[#This Row],[ART.
CCTP]])))</f>
        <v>0</v>
      </c>
      <c r="K429" t="b">
        <f>OR(Compil[[#This Row],[Unité]]="U",Compil[[#This Row],[Unité]]="ens",Compil[[#This Row],[Unité]]="ml")</f>
        <v>1</v>
      </c>
      <c r="L429" t="b">
        <f>ISBLANK(Compil[[#This Row],[DESIGNATION]])</f>
        <v>0</v>
      </c>
      <c r="M429" s="359"/>
      <c r="N429" s="358"/>
      <c r="O429" s="358"/>
      <c r="P429" s="358"/>
      <c r="Q429" s="358">
        <f>COUNTIF(Compil[[Ma Désignation ]],Compil[[Ma Désignation ]])</f>
        <v>2</v>
      </c>
    </row>
    <row r="430" spans="1:17" ht="14">
      <c r="A430" s="312">
        <v>764</v>
      </c>
      <c r="B430" s="19"/>
      <c r="C430" s="20" t="s">
        <v>148</v>
      </c>
      <c r="D430" t="str">
        <f xml:space="preserve"> TRIM( SUBSTITUTE(SUBSTITUTE(SUBSTITUTE( Compil[[#This Row],[DESIGNATION]],"-",""),"–",""),"*",""))</f>
        <v>câble ST/34443 2 paires entre les barrettes de connexion en gaine technique ERDF</v>
      </c>
      <c r="E430" s="102" t="s">
        <v>12</v>
      </c>
      <c r="F430" s="262">
        <v>1</v>
      </c>
      <c r="G430" s="289">
        <v>0</v>
      </c>
      <c r="H430" s="164">
        <v>0</v>
      </c>
      <c r="I430" t="s">
        <v>578</v>
      </c>
      <c r="J430" t="b">
        <f>AND(NOT(Compil[[#This Row],[Est ouvrage]]), NOT(ISBLANK(Compil[[#This Row],[ART.
CCTP]])))</f>
        <v>0</v>
      </c>
      <c r="K430" t="b">
        <f>OR(Compil[[#This Row],[Unité]]="U",Compil[[#This Row],[Unité]]="ens",Compil[[#This Row],[Unité]]="ml")</f>
        <v>1</v>
      </c>
      <c r="L430" t="b">
        <f>ISBLANK(Compil[[#This Row],[DESIGNATION]])</f>
        <v>0</v>
      </c>
      <c r="M430" s="359"/>
      <c r="N430" s="358"/>
      <c r="O430" s="358"/>
      <c r="P430" s="358"/>
      <c r="Q430" s="358">
        <f>COUNTIF(Compil[[Ma Désignation ]],Compil[[Ma Désignation ]])</f>
        <v>2</v>
      </c>
    </row>
    <row r="431" spans="1:17" ht="14">
      <c r="A431" s="312">
        <v>766</v>
      </c>
      <c r="B431" s="19"/>
      <c r="C431" s="20" t="s">
        <v>325</v>
      </c>
      <c r="D431" t="str">
        <f xml:space="preserve"> TRIM( SUBSTITUTE(SUBSTITUTE(SUBSTITUTE( Compil[[#This Row],[DESIGNATION]],"-",""),"–",""),"*",""))</f>
        <v>câble ST/34443 2 paires entre les barrettes de connexion en gaine technique ERDF et les compteurs des logements et bureaux</v>
      </c>
      <c r="E431" s="102" t="s">
        <v>12</v>
      </c>
      <c r="F431" s="262">
        <v>1</v>
      </c>
      <c r="G431" s="289">
        <v>0</v>
      </c>
      <c r="H431" s="164">
        <v>0</v>
      </c>
      <c r="I431" t="s">
        <v>578</v>
      </c>
      <c r="J431" t="b">
        <f>AND(NOT(Compil[[#This Row],[Est ouvrage]]), NOT(ISBLANK(Compil[[#This Row],[ART.
CCTP]])))</f>
        <v>0</v>
      </c>
      <c r="K431" t="b">
        <f>OR(Compil[[#This Row],[Unité]]="U",Compil[[#This Row],[Unité]]="ens",Compil[[#This Row],[Unité]]="ml")</f>
        <v>1</v>
      </c>
      <c r="L431" t="b">
        <f>ISBLANK(Compil[[#This Row],[DESIGNATION]])</f>
        <v>0</v>
      </c>
      <c r="M431" s="359"/>
      <c r="N431" s="358"/>
      <c r="O431" s="358"/>
      <c r="P431" s="358"/>
      <c r="Q431" s="358">
        <f>COUNTIF(Compil[[Ma Désignation ]],Compil[[Ma Désignation ]])</f>
        <v>1</v>
      </c>
    </row>
    <row r="432" spans="1:17" ht="14">
      <c r="A432" s="303">
        <v>76</v>
      </c>
      <c r="B432" s="2"/>
      <c r="C432" s="186" t="s">
        <v>213</v>
      </c>
      <c r="D432" t="str">
        <f xml:space="preserve"> TRIM( SUBSTITUTE(SUBSTITUTE(SUBSTITUTE( Compil[[#This Row],[DESIGNATION]],"-",""),"–",""),"*",""))</f>
        <v>câble ST/34443 2 paires entre les barrettes de connexion en gaine technique ERDF et les compteurs des logements, du TJ des SG et du TB du parking</v>
      </c>
      <c r="E432" s="208" t="s">
        <v>12</v>
      </c>
      <c r="F432" s="252">
        <v>1</v>
      </c>
      <c r="G432" s="289" t="e">
        <f>IF(F432="","",(((L432*$M$6)+(M432*#REF!*#REF!))*$M$7)/F432)</f>
        <v>#VALUE!</v>
      </c>
      <c r="H432" s="164" t="e">
        <f>IF(F432="","",F432*G432)</f>
        <v>#VALUE!</v>
      </c>
      <c r="I432" t="s">
        <v>580</v>
      </c>
      <c r="J432" t="b">
        <f>AND(NOT(Compil[[#This Row],[Est ouvrage]]), NOT(ISBLANK(Compil[[#This Row],[ART.
CCTP]])))</f>
        <v>0</v>
      </c>
      <c r="K432" t="b">
        <f>OR(Compil[[#This Row],[Unité]]="U",Compil[[#This Row],[Unité]]="ens",Compil[[#This Row],[Unité]]="ml")</f>
        <v>1</v>
      </c>
      <c r="L432" t="b">
        <f>ISBLANK(Compil[[#This Row],[DESIGNATION]])</f>
        <v>0</v>
      </c>
      <c r="M432" s="359"/>
      <c r="N432" s="358"/>
      <c r="O432" s="358"/>
      <c r="P432" s="358"/>
      <c r="Q432" s="358">
        <f>COUNTIF(Compil[[Ma Désignation ]],Compil[[Ma Désignation ]])</f>
        <v>1</v>
      </c>
    </row>
    <row r="433" spans="1:17" ht="14">
      <c r="A433" s="310">
        <v>428</v>
      </c>
      <c r="B433" s="43"/>
      <c r="C433" s="416"/>
      <c r="D433" t="str">
        <f xml:space="preserve"> TRIM( SUBSTITUTE(SUBSTITUTE(SUBSTITUTE( Compil[[#This Row],[DESIGNATION]],"-",""),"–",""),"*",""))</f>
        <v/>
      </c>
      <c r="E433" s="9"/>
      <c r="F433" s="262"/>
      <c r="G433" s="289" t="s">
        <v>571</v>
      </c>
      <c r="H433" s="164" t="s">
        <v>571</v>
      </c>
      <c r="I433" t="s">
        <v>570</v>
      </c>
      <c r="J433" t="b">
        <f>AND(NOT(Compil[[#This Row],[Est ouvrage]]), NOT(ISBLANK(Compil[[#This Row],[ART.
CCTP]])))</f>
        <v>0</v>
      </c>
      <c r="K433" t="b">
        <f>OR(Compil[[#This Row],[Unité]]="U",Compil[[#This Row],[Unité]]="ens",Compil[[#This Row],[Unité]]="ml")</f>
        <v>0</v>
      </c>
      <c r="L433" t="b">
        <f>ISBLANK(Compil[[#This Row],[DESIGNATION]])</f>
        <v>1</v>
      </c>
      <c r="M433" s="358"/>
      <c r="N433" s="358"/>
      <c r="O433" s="358"/>
      <c r="P433" s="358"/>
      <c r="Q433" s="358">
        <f>COUNTIF(Compil[[Ma Désignation ]],Compil[[Ma Désignation ]])</f>
        <v>306</v>
      </c>
    </row>
    <row r="434" spans="1:17" ht="14">
      <c r="A434" s="303">
        <v>55</v>
      </c>
      <c r="B434" s="2" t="s">
        <v>156</v>
      </c>
      <c r="C434" s="404" t="s">
        <v>465</v>
      </c>
      <c r="D434" s="357" t="str">
        <f xml:space="preserve"> TRIM( SUBSTITUTE(SUBSTITUTE(SUBSTITUTE( Compil[[#This Row],[DESIGNATION]],"-",""),"–",""),"*",""))</f>
        <v>Câbles U1000R2V entre le poste DP et le 1er distributeur de chaque colonne montante du G1 y compris accessoires suivant CCTP</v>
      </c>
      <c r="E434" s="381" t="s">
        <v>12</v>
      </c>
      <c r="F434" s="252">
        <v>22</v>
      </c>
      <c r="G434" s="289" t="e">
        <f>IF(F434="","",(((L434*$M$6)+(M434*#REF!*#REF!))*$M$7)/F434)</f>
        <v>#VALUE!</v>
      </c>
      <c r="H434" s="164" t="e">
        <f>IF(F434="","",F434*G434)</f>
        <v>#VALUE!</v>
      </c>
      <c r="I434" t="s">
        <v>580</v>
      </c>
      <c r="J434" t="b">
        <f>AND(NOT(Compil[[#This Row],[Est ouvrage]]), NOT(ISBLANK(Compil[[#This Row],[ART.
CCTP]])))</f>
        <v>0</v>
      </c>
      <c r="K434" t="b">
        <f>OR(Compil[[#This Row],[Unité]]="U",Compil[[#This Row],[Unité]]="ens",Compil[[#This Row],[Unité]]="ml")</f>
        <v>1</v>
      </c>
      <c r="L434" t="b">
        <f>ISBLANK(Compil[[#This Row],[DESIGNATION]])</f>
        <v>0</v>
      </c>
      <c r="M434" s="359"/>
      <c r="N434" s="358"/>
      <c r="O434" s="358"/>
      <c r="P434" s="358"/>
      <c r="Q434" s="358">
        <f>COUNTIF(Compil[[Ma Désignation ]],Compil[[Ma Désignation ]])</f>
        <v>1</v>
      </c>
    </row>
    <row r="435" spans="1:17" ht="14">
      <c r="A435" s="303">
        <v>57</v>
      </c>
      <c r="B435" s="2"/>
      <c r="C435" s="404" t="s">
        <v>460</v>
      </c>
      <c r="D435" s="357" t="str">
        <f xml:space="preserve"> TRIM( SUBSTITUTE(SUBSTITUTE(SUBSTITUTE( Compil[[#This Row],[DESIGNATION]],"-",""),"–",""),"*",""))</f>
        <v>Câbles U1000R2V entre le poste DP et le 1er distributeur de chaque colonne montante du G2 y compris accessoires suivant CCTP</v>
      </c>
      <c r="E435" s="381" t="s">
        <v>12</v>
      </c>
      <c r="F435" s="252">
        <v>57</v>
      </c>
      <c r="G435" s="289" t="e">
        <f>IF(F435="","",(((L435*$M$6)+(M435*#REF!*#REF!))*$M$7)/F435)</f>
        <v>#VALUE!</v>
      </c>
      <c r="H435" s="164" t="e">
        <f>IF(F435="","",F435*G435)</f>
        <v>#VALUE!</v>
      </c>
      <c r="I435" t="s">
        <v>580</v>
      </c>
      <c r="J435" t="b">
        <f>AND(NOT(Compil[[#This Row],[Est ouvrage]]), NOT(ISBLANK(Compil[[#This Row],[ART.
CCTP]])))</f>
        <v>0</v>
      </c>
      <c r="K435" t="b">
        <f>OR(Compil[[#This Row],[Unité]]="U",Compil[[#This Row],[Unité]]="ens",Compil[[#This Row],[Unité]]="ml")</f>
        <v>1</v>
      </c>
      <c r="L435" t="b">
        <f>ISBLANK(Compil[[#This Row],[DESIGNATION]])</f>
        <v>0</v>
      </c>
      <c r="M435" s="359"/>
      <c r="N435" s="358"/>
      <c r="O435" s="358"/>
      <c r="P435" s="358"/>
      <c r="Q435" s="358">
        <f>COUNTIF(Compil[[Ma Désignation ]],Compil[[Ma Désignation ]])</f>
        <v>1</v>
      </c>
    </row>
    <row r="436" spans="1:17" ht="14">
      <c r="A436" s="312">
        <v>747</v>
      </c>
      <c r="B436" s="19" t="s">
        <v>355</v>
      </c>
      <c r="C436" s="405" t="s">
        <v>463</v>
      </c>
      <c r="D436" s="357" t="str">
        <f xml:space="preserve"> TRIM( SUBSTITUTE(SUBSTITUTE(SUBSTITUTE( Compil[[#This Row],[DESIGNATION]],"-",""),"–",""),"*",""))</f>
        <v>Câbles U1000R2V entre le poste DP et le 1er distributeur de chaque colonne montante du SOHO y compris accessoires suivant CCTP</v>
      </c>
      <c r="E436" s="378" t="s">
        <v>12</v>
      </c>
      <c r="F436" s="262">
        <v>75</v>
      </c>
      <c r="G436" s="289">
        <v>0</v>
      </c>
      <c r="H436" s="164">
        <v>0</v>
      </c>
      <c r="I436" t="s">
        <v>578</v>
      </c>
      <c r="J436" t="b">
        <f>AND(NOT(Compil[[#This Row],[Est ouvrage]]), NOT(ISBLANK(Compil[[#This Row],[ART.
CCTP]])))</f>
        <v>0</v>
      </c>
      <c r="K436" t="b">
        <f>OR(Compil[[#This Row],[Unité]]="U",Compil[[#This Row],[Unité]]="ens",Compil[[#This Row],[Unité]]="ml")</f>
        <v>1</v>
      </c>
      <c r="L436" t="b">
        <f>ISBLANK(Compil[[#This Row],[DESIGNATION]])</f>
        <v>0</v>
      </c>
      <c r="M436" s="359"/>
      <c r="N436" s="358"/>
      <c r="O436" s="358"/>
      <c r="P436" s="358"/>
      <c r="Q436" s="358">
        <f>COUNTIF(Compil[[Ma Désignation ]],Compil[[Ma Désignation ]])</f>
        <v>1</v>
      </c>
    </row>
    <row r="437" spans="1:17" ht="25">
      <c r="A437" s="303">
        <v>167</v>
      </c>
      <c r="B437" s="2"/>
      <c r="C437" s="221" t="s">
        <v>305</v>
      </c>
      <c r="D437" t="str">
        <f xml:space="preserve"> TRIM( SUBSTITUTE(SUBSTITUTE(SUBSTITUTE( Compil[[#This Row],[DESIGNATION]],"-",""),"–",""),"*",""))</f>
        <v>centrale d'alarme y compris transmetteur téléphonique suivant CCTP pout le bâtiment G1</v>
      </c>
      <c r="E437" s="193" t="s">
        <v>12</v>
      </c>
      <c r="F437" s="252">
        <v>1</v>
      </c>
      <c r="G437" s="289" t="e">
        <f>IF(F437="","",(((L437*$M$6)+(M437*#REF!*#REF!))*$M$7)/F437)</f>
        <v>#VALUE!</v>
      </c>
      <c r="H437" s="164" t="e">
        <f>IF(F437="","",F437*G437)</f>
        <v>#VALUE!</v>
      </c>
      <c r="I437" t="s">
        <v>580</v>
      </c>
      <c r="J437" t="b">
        <f>AND(NOT(Compil[[#This Row],[Est ouvrage]]), NOT(ISBLANK(Compil[[#This Row],[ART.
CCTP]])))</f>
        <v>0</v>
      </c>
      <c r="K437" t="b">
        <f>OR(Compil[[#This Row],[Unité]]="U",Compil[[#This Row],[Unité]]="ens",Compil[[#This Row],[Unité]]="ml")</f>
        <v>1</v>
      </c>
      <c r="L437" t="b">
        <f>ISBLANK(Compil[[#This Row],[DESIGNATION]])</f>
        <v>0</v>
      </c>
      <c r="M437" s="359"/>
      <c r="N437" s="358"/>
      <c r="O437" s="358"/>
      <c r="P437" s="358"/>
      <c r="Q437" s="358">
        <f>COUNTIF(Compil[[Ma Désignation ]],Compil[[Ma Désignation ]])</f>
        <v>1</v>
      </c>
    </row>
    <row r="438" spans="1:17" ht="25">
      <c r="A438" s="303">
        <v>168</v>
      </c>
      <c r="B438" s="2"/>
      <c r="C438" s="221" t="s">
        <v>306</v>
      </c>
      <c r="D438" t="str">
        <f xml:space="preserve"> TRIM( SUBSTITUTE(SUBSTITUTE(SUBSTITUTE( Compil[[#This Row],[DESIGNATION]],"-",""),"–",""),"*",""))</f>
        <v>centrale d'alarme y compris transmetteur téléphonique suivant CCTP pout le bâtiment G2</v>
      </c>
      <c r="E438" s="193" t="s">
        <v>12</v>
      </c>
      <c r="F438" s="252">
        <v>1</v>
      </c>
      <c r="G438" s="289" t="e">
        <f>IF(F438="","",(((L438*$M$6)+(M438*#REF!*#REF!))*$M$7)/F438)</f>
        <v>#VALUE!</v>
      </c>
      <c r="H438" s="164" t="e">
        <f>IF(F438="","",F438*G438)</f>
        <v>#VALUE!</v>
      </c>
      <c r="I438" t="s">
        <v>580</v>
      </c>
      <c r="J438" t="b">
        <f>AND(NOT(Compil[[#This Row],[Est ouvrage]]), NOT(ISBLANK(Compil[[#This Row],[ART.
CCTP]])))</f>
        <v>0</v>
      </c>
      <c r="K438" t="b">
        <f>OR(Compil[[#This Row],[Unité]]="U",Compil[[#This Row],[Unité]]="ens",Compil[[#This Row],[Unité]]="ml")</f>
        <v>1</v>
      </c>
      <c r="L438" t="b">
        <f>ISBLANK(Compil[[#This Row],[DESIGNATION]])</f>
        <v>0</v>
      </c>
      <c r="M438" s="359"/>
      <c r="N438" s="358"/>
      <c r="O438" s="358"/>
      <c r="P438" s="358"/>
      <c r="Q438" s="358">
        <f>COUNTIF(Compil[[Ma Désignation ]],Compil[[Ma Désignation ]])</f>
        <v>1</v>
      </c>
    </row>
    <row r="439" spans="1:17" ht="25">
      <c r="A439" s="312">
        <v>823</v>
      </c>
      <c r="B439" s="19"/>
      <c r="C439" s="47" t="s">
        <v>307</v>
      </c>
      <c r="D439" t="str">
        <f xml:space="preserve"> TRIM( SUBSTITUTE(SUBSTITUTE(SUBSTITUTE( Compil[[#This Row],[DESIGNATION]],"-",""),"–",""),"*",""))</f>
        <v>centrale d'alarme y compris transmetteur téléphonique suivant CCTP pout le bâtiment SOHO</v>
      </c>
      <c r="E439" s="9" t="s">
        <v>12</v>
      </c>
      <c r="F439" s="262">
        <v>1</v>
      </c>
      <c r="G439" s="289">
        <v>0</v>
      </c>
      <c r="H439" s="164">
        <v>0</v>
      </c>
      <c r="I439" t="s">
        <v>578</v>
      </c>
      <c r="J439" t="b">
        <f>AND(NOT(Compil[[#This Row],[Est ouvrage]]), NOT(ISBLANK(Compil[[#This Row],[ART.
CCTP]])))</f>
        <v>0</v>
      </c>
      <c r="K439" t="b">
        <f>OR(Compil[[#This Row],[Unité]]="U",Compil[[#This Row],[Unité]]="ens",Compil[[#This Row],[Unité]]="ml")</f>
        <v>1</v>
      </c>
      <c r="L439" t="b">
        <f>ISBLANK(Compil[[#This Row],[DESIGNATION]])</f>
        <v>0</v>
      </c>
      <c r="M439" s="359"/>
      <c r="N439" s="358"/>
      <c r="O439" s="358"/>
      <c r="P439" s="358"/>
      <c r="Q439" s="358">
        <f>COUNTIF(Compil[[Ma Désignation ]],Compil[[Ma Désignation ]])</f>
        <v>1</v>
      </c>
    </row>
    <row r="440" spans="1:17" ht="25">
      <c r="A440" s="303">
        <v>169</v>
      </c>
      <c r="B440" s="2"/>
      <c r="C440" s="221" t="s">
        <v>308</v>
      </c>
      <c r="D440" t="str">
        <f xml:space="preserve"> TRIM( SUBSTITUTE(SUBSTITUTE(SUBSTITUTE( Compil[[#This Row],[DESIGNATION]],"-",""),"–",""),"*",""))</f>
        <v>centrale d'alarme y compris transmetteur téléphonique suivant CCTP pout les parkings</v>
      </c>
      <c r="E440" s="193" t="s">
        <v>12</v>
      </c>
      <c r="F440" s="252">
        <v>1</v>
      </c>
      <c r="G440" s="289" t="e">
        <f>IF(F440="","",(((L440*$M$6)+(M440*#REF!*#REF!))*$M$7)/F440)</f>
        <v>#VALUE!</v>
      </c>
      <c r="H440" s="164" t="e">
        <f>IF(F440="","",F440*G440)</f>
        <v>#VALUE!</v>
      </c>
      <c r="I440" t="s">
        <v>580</v>
      </c>
      <c r="J440" t="b">
        <f>AND(NOT(Compil[[#This Row],[Est ouvrage]]), NOT(ISBLANK(Compil[[#This Row],[ART.
CCTP]])))</f>
        <v>0</v>
      </c>
      <c r="K440" t="b">
        <f>OR(Compil[[#This Row],[Unité]]="U",Compil[[#This Row],[Unité]]="ens",Compil[[#This Row],[Unité]]="ml")</f>
        <v>1</v>
      </c>
      <c r="L440" t="b">
        <f>ISBLANK(Compil[[#This Row],[DESIGNATION]])</f>
        <v>0</v>
      </c>
      <c r="M440" s="359"/>
      <c r="N440" s="358"/>
      <c r="O440" s="358"/>
      <c r="P440" s="358"/>
      <c r="Q440" s="358">
        <f>COUNTIF(Compil[[Ma Désignation ]],Compil[[Ma Désignation ]])</f>
        <v>1</v>
      </c>
    </row>
    <row r="441" spans="1:17" ht="14">
      <c r="A441" s="312">
        <v>959</v>
      </c>
      <c r="B441" s="19"/>
      <c r="C441" s="86" t="s">
        <v>433</v>
      </c>
      <c r="D441" t="str">
        <f xml:space="preserve"> TRIM( SUBSTITUTE(SUBSTITUTE(SUBSTITUTE( Compil[[#This Row],[DESIGNATION]],"-",""),"–",""),"*",""))</f>
        <v>centrale type4 +transmetteur suivant prescription CCTP</v>
      </c>
      <c r="E441" s="8" t="s">
        <v>12</v>
      </c>
      <c r="F441" s="262">
        <v>3</v>
      </c>
      <c r="G441" s="289">
        <v>0</v>
      </c>
      <c r="H441" s="164">
        <v>0</v>
      </c>
      <c r="I441" t="s">
        <v>578</v>
      </c>
      <c r="J441" t="b">
        <f>AND(NOT(Compil[[#This Row],[Est ouvrage]]), NOT(ISBLANK(Compil[[#This Row],[ART.
CCTP]])))</f>
        <v>0</v>
      </c>
      <c r="K441" t="b">
        <f>OR(Compil[[#This Row],[Unité]]="U",Compil[[#This Row],[Unité]]="ens",Compil[[#This Row],[Unité]]="ml")</f>
        <v>1</v>
      </c>
      <c r="L441" t="b">
        <f>ISBLANK(Compil[[#This Row],[DESIGNATION]])</f>
        <v>0</v>
      </c>
      <c r="M441" s="359"/>
      <c r="N441" s="358"/>
      <c r="O441" s="358"/>
      <c r="P441" s="358"/>
      <c r="Q441" s="358">
        <f>COUNTIF(Compil[[Ma Désignation ]],Compil[[Ma Désignation ]])</f>
        <v>2</v>
      </c>
    </row>
    <row r="442" spans="1:17">
      <c r="A442" s="360">
        <v>1143</v>
      </c>
      <c r="B442" s="363"/>
      <c r="C442" s="402" t="s">
        <v>433</v>
      </c>
      <c r="D442" t="str">
        <f xml:space="preserve"> TRIM( SUBSTITUTE(SUBSTITUTE(SUBSTITUTE( Compil[[#This Row],[DESIGNATION]],"-",""),"–",""),"*",""))</f>
        <v>centrale type4 +transmetteur suivant prescription CCTP</v>
      </c>
      <c r="E442" s="369" t="s">
        <v>12</v>
      </c>
      <c r="F442" s="385"/>
      <c r="G442" s="390" t="s">
        <v>571</v>
      </c>
      <c r="H442" s="391" t="s">
        <v>571</v>
      </c>
      <c r="I442" t="s">
        <v>579</v>
      </c>
      <c r="J442" t="b">
        <f>AND(NOT(Compil[[#This Row],[Est ouvrage]]), NOT(ISBLANK(Compil[[#This Row],[ART.
CCTP]])))</f>
        <v>0</v>
      </c>
      <c r="K442" t="b">
        <f>OR(Compil[[#This Row],[Unité]]="U",Compil[[#This Row],[Unité]]="ens",Compil[[#This Row],[Unité]]="ml")</f>
        <v>1</v>
      </c>
      <c r="L442" t="b">
        <f>ISBLANK(Compil[[#This Row],[DESIGNATION]])</f>
        <v>0</v>
      </c>
      <c r="M442" s="359"/>
      <c r="N442" s="358"/>
      <c r="O442" s="358"/>
      <c r="P442" s="358"/>
      <c r="Q442" s="358">
        <f>COUNTIF(Compil[[Ma Désignation ]],Compil[[Ma Désignation ]])</f>
        <v>2</v>
      </c>
    </row>
    <row r="443" spans="1:17" ht="14">
      <c r="A443" s="303">
        <v>102</v>
      </c>
      <c r="B443" s="2"/>
      <c r="C443" s="224" t="s">
        <v>160</v>
      </c>
      <c r="D443" t="str">
        <f xml:space="preserve"> TRIM( SUBSTITUTE(SUBSTITUTE(SUBSTITUTE( Compil[[#This Row],[DESIGNATION]],"-",""),"–",""),"*",""))</f>
        <v>Chemin de câble en gaine palière verticale</v>
      </c>
      <c r="E443" s="190" t="s">
        <v>1</v>
      </c>
      <c r="F443" s="252">
        <f>(8+11)*3.5</f>
        <v>66.5</v>
      </c>
      <c r="G443" s="289" t="e">
        <f>IF(F443="","",(((L443*$M$6)+(M443*#REF!*#REF!))*$M$7)/F443)</f>
        <v>#VALUE!</v>
      </c>
      <c r="H443" s="164" t="e">
        <f>IF(F443="","",F443*G443)</f>
        <v>#VALUE!</v>
      </c>
      <c r="I443" t="s">
        <v>580</v>
      </c>
      <c r="J443" t="b">
        <f>AND(NOT(Compil[[#This Row],[Est ouvrage]]), NOT(ISBLANK(Compil[[#This Row],[ART.
CCTP]])))</f>
        <v>0</v>
      </c>
      <c r="K443" t="b">
        <f>OR(Compil[[#This Row],[Unité]]="U",Compil[[#This Row],[Unité]]="ens",Compil[[#This Row],[Unité]]="ml")</f>
        <v>1</v>
      </c>
      <c r="L443" t="b">
        <f>ISBLANK(Compil[[#This Row],[DESIGNATION]])</f>
        <v>0</v>
      </c>
      <c r="M443" s="359"/>
      <c r="N443" s="358"/>
      <c r="O443" s="358"/>
      <c r="P443" s="358"/>
      <c r="Q443" s="358">
        <f>COUNTIF(Compil[[Ma Désignation ]],Compil[[Ma Désignation ]])</f>
        <v>4</v>
      </c>
    </row>
    <row r="444" spans="1:17" ht="14">
      <c r="A444" s="310">
        <v>439</v>
      </c>
      <c r="B444" s="43"/>
      <c r="C444" s="416"/>
      <c r="D444" t="str">
        <f xml:space="preserve"> TRIM( SUBSTITUTE(SUBSTITUTE(SUBSTITUTE( Compil[[#This Row],[DESIGNATION]],"-",""),"–",""),"*",""))</f>
        <v/>
      </c>
      <c r="E444" s="9"/>
      <c r="F444" s="262"/>
      <c r="G444" s="289" t="s">
        <v>571</v>
      </c>
      <c r="H444" s="164" t="s">
        <v>571</v>
      </c>
      <c r="I444" t="s">
        <v>570</v>
      </c>
      <c r="J444" t="b">
        <f>AND(NOT(Compil[[#This Row],[Est ouvrage]]), NOT(ISBLANK(Compil[[#This Row],[ART.
CCTP]])))</f>
        <v>0</v>
      </c>
      <c r="K444" t="b">
        <f>OR(Compil[[#This Row],[Unité]]="U",Compil[[#This Row],[Unité]]="ens",Compil[[#This Row],[Unité]]="ml")</f>
        <v>0</v>
      </c>
      <c r="L444" t="b">
        <f>ISBLANK(Compil[[#This Row],[DESIGNATION]])</f>
        <v>1</v>
      </c>
      <c r="M444" s="358"/>
      <c r="N444" s="358"/>
      <c r="O444" s="358"/>
      <c r="P444" s="358"/>
      <c r="Q444" s="358">
        <f>COUNTIF(Compil[[Ma Désignation ]],Compil[[Ma Désignation ]])</f>
        <v>306</v>
      </c>
    </row>
    <row r="445" spans="1:17" ht="14">
      <c r="A445" s="310">
        <v>440</v>
      </c>
      <c r="B445" s="43"/>
      <c r="C445" s="430" t="s">
        <v>573</v>
      </c>
      <c r="D445" t="str">
        <f xml:space="preserve"> TRIM( SUBSTITUTE(SUBSTITUTE(SUBSTITUTE( Compil[[#This Row],[DESIGNATION]],"-",""),"–",""),"*",""))</f>
        <v>Appareillages de finition noire</v>
      </c>
      <c r="E445" s="9"/>
      <c r="F445" s="262"/>
      <c r="G445" s="289" t="s">
        <v>571</v>
      </c>
      <c r="H445" s="164" t="s">
        <v>571</v>
      </c>
      <c r="I445" t="s">
        <v>570</v>
      </c>
      <c r="J445" t="b">
        <f>AND(NOT(Compil[[#This Row],[Est ouvrage]]), NOT(ISBLANK(Compil[[#This Row],[ART.
CCTP]])))</f>
        <v>0</v>
      </c>
      <c r="K445" t="b">
        <f>OR(Compil[[#This Row],[Unité]]="U",Compil[[#This Row],[Unité]]="ens",Compil[[#This Row],[Unité]]="ml")</f>
        <v>0</v>
      </c>
      <c r="L445" t="b">
        <f>ISBLANK(Compil[[#This Row],[DESIGNATION]])</f>
        <v>0</v>
      </c>
      <c r="M445" s="359"/>
      <c r="N445" s="358"/>
      <c r="O445" s="358"/>
      <c r="P445" s="358"/>
      <c r="Q445" s="358">
        <f>COUNTIF(Compil[[Ma Désignation ]],Compil[[Ma Désignation ]])</f>
        <v>9</v>
      </c>
    </row>
    <row r="446" spans="1:17" ht="14">
      <c r="A446" s="303">
        <v>108</v>
      </c>
      <c r="B446" s="2"/>
      <c r="C446" s="224" t="s">
        <v>160</v>
      </c>
      <c r="D446" t="str">
        <f xml:space="preserve"> TRIM( SUBSTITUTE(SUBSTITUTE(SUBSTITUTE( Compil[[#This Row],[DESIGNATION]],"-",""),"–",""),"*",""))</f>
        <v>Chemin de câble en gaine palière verticale</v>
      </c>
      <c r="E446" s="190" t="s">
        <v>1</v>
      </c>
      <c r="F446" s="252">
        <f>(8+11)*3.5</f>
        <v>66.5</v>
      </c>
      <c r="G446" s="289" t="e">
        <f>IF(F446="","",(((L446*$M$6)+(M446*#REF!*#REF!))*$M$7)/F446)</f>
        <v>#VALUE!</v>
      </c>
      <c r="H446" s="164" t="e">
        <f>IF(F446="","",F446*G446)</f>
        <v>#VALUE!</v>
      </c>
      <c r="I446" t="s">
        <v>580</v>
      </c>
      <c r="J446" t="b">
        <f>AND(NOT(Compil[[#This Row],[Est ouvrage]]), NOT(ISBLANK(Compil[[#This Row],[ART.
CCTP]])))</f>
        <v>0</v>
      </c>
      <c r="K446" t="b">
        <f>OR(Compil[[#This Row],[Unité]]="U",Compil[[#This Row],[Unité]]="ens",Compil[[#This Row],[Unité]]="ml")</f>
        <v>1</v>
      </c>
      <c r="L446" t="b">
        <f>ISBLANK(Compil[[#This Row],[DESIGNATION]])</f>
        <v>0</v>
      </c>
      <c r="M446" s="359"/>
      <c r="N446" s="358"/>
      <c r="O446" s="358"/>
      <c r="P446" s="358"/>
      <c r="Q446" s="358">
        <f>COUNTIF(Compil[[Ma Désignation ]],Compil[[Ma Désignation ]])</f>
        <v>4</v>
      </c>
    </row>
    <row r="447" spans="1:17" ht="14">
      <c r="A447" s="312">
        <v>789</v>
      </c>
      <c r="B447" s="19"/>
      <c r="C447" s="86" t="s">
        <v>160</v>
      </c>
      <c r="D447" t="str">
        <f xml:space="preserve"> TRIM( SUBSTITUTE(SUBSTITUTE(SUBSTITUTE( Compil[[#This Row],[DESIGNATION]],"-",""),"–",""),"*",""))</f>
        <v>Chemin de câble en gaine palière verticale</v>
      </c>
      <c r="E447" s="8" t="s">
        <v>1</v>
      </c>
      <c r="F447" s="262">
        <v>18</v>
      </c>
      <c r="G447" s="289">
        <v>0</v>
      </c>
      <c r="H447" s="164">
        <v>0</v>
      </c>
      <c r="I447" t="s">
        <v>578</v>
      </c>
      <c r="J447" t="b">
        <f>AND(NOT(Compil[[#This Row],[Est ouvrage]]), NOT(ISBLANK(Compil[[#This Row],[ART.
CCTP]])))</f>
        <v>0</v>
      </c>
      <c r="K447" t="b">
        <f>OR(Compil[[#This Row],[Unité]]="U",Compil[[#This Row],[Unité]]="ens",Compil[[#This Row],[Unité]]="ml")</f>
        <v>1</v>
      </c>
      <c r="L447" t="b">
        <f>ISBLANK(Compil[[#This Row],[DESIGNATION]])</f>
        <v>0</v>
      </c>
      <c r="M447" s="359"/>
      <c r="N447" s="358"/>
      <c r="O447" s="358"/>
      <c r="P447" s="358"/>
      <c r="Q447" s="358">
        <f>COUNTIF(Compil[[Ma Désignation ]],Compil[[Ma Désignation ]])</f>
        <v>4</v>
      </c>
    </row>
    <row r="448" spans="1:17" ht="14">
      <c r="A448" s="312">
        <v>793</v>
      </c>
      <c r="B448" s="19"/>
      <c r="C448" s="86" t="s">
        <v>160</v>
      </c>
      <c r="D448" t="str">
        <f xml:space="preserve"> TRIM( SUBSTITUTE(SUBSTITUTE(SUBSTITUTE( Compil[[#This Row],[DESIGNATION]],"-",""),"–",""),"*",""))</f>
        <v>Chemin de câble en gaine palière verticale</v>
      </c>
      <c r="E448" s="8" t="s">
        <v>1</v>
      </c>
      <c r="F448" s="262">
        <v>18</v>
      </c>
      <c r="G448" s="289">
        <v>0</v>
      </c>
      <c r="H448" s="164">
        <v>0</v>
      </c>
      <c r="I448" t="s">
        <v>578</v>
      </c>
      <c r="J448" t="b">
        <f>AND(NOT(Compil[[#This Row],[Est ouvrage]]), NOT(ISBLANK(Compil[[#This Row],[ART.
CCTP]])))</f>
        <v>0</v>
      </c>
      <c r="K448" t="b">
        <f>OR(Compil[[#This Row],[Unité]]="U",Compil[[#This Row],[Unité]]="ens",Compil[[#This Row],[Unité]]="ml")</f>
        <v>1</v>
      </c>
      <c r="L448" t="b">
        <f>ISBLANK(Compil[[#This Row],[DESIGNATION]])</f>
        <v>0</v>
      </c>
      <c r="M448" s="359"/>
      <c r="N448" s="358"/>
      <c r="O448" s="358"/>
      <c r="P448" s="358"/>
      <c r="Q448" s="358">
        <f>COUNTIF(Compil[[Ma Désignation ]],Compil[[Ma Désignation ]])</f>
        <v>4</v>
      </c>
    </row>
    <row r="449" spans="1:17" ht="14">
      <c r="A449" s="303">
        <v>100</v>
      </c>
      <c r="B449" s="2"/>
      <c r="C449" s="224" t="s">
        <v>82</v>
      </c>
      <c r="D449" t="str">
        <f xml:space="preserve"> TRIM( SUBSTITUTE(SUBSTITUTE(SUBSTITUTE( Compil[[#This Row],[DESIGNATION]],"-",""),"–",""),"*",""))</f>
        <v>Chemin de câble largeur 200mm</v>
      </c>
      <c r="E449" s="190" t="s">
        <v>1</v>
      </c>
      <c r="F449" s="252">
        <f>(35)+22.5</f>
        <v>57.5</v>
      </c>
      <c r="G449" s="289" t="e">
        <f>IF(F449="","",(((L449*$M$6)+(M449*#REF!*#REF!))*$M$7)/F449)</f>
        <v>#VALUE!</v>
      </c>
      <c r="H449" s="164" t="e">
        <f>IF(F449="","",F449*G449)</f>
        <v>#VALUE!</v>
      </c>
      <c r="I449" t="s">
        <v>580</v>
      </c>
      <c r="J449" t="b">
        <f>AND(NOT(Compil[[#This Row],[Est ouvrage]]), NOT(ISBLANK(Compil[[#This Row],[ART.
CCTP]])))</f>
        <v>0</v>
      </c>
      <c r="K449" t="b">
        <f>OR(Compil[[#This Row],[Unité]]="U",Compil[[#This Row],[Unité]]="ens",Compil[[#This Row],[Unité]]="ml")</f>
        <v>1</v>
      </c>
      <c r="L449" t="b">
        <f>ISBLANK(Compil[[#This Row],[DESIGNATION]])</f>
        <v>0</v>
      </c>
      <c r="M449" s="359"/>
      <c r="N449" s="358"/>
      <c r="O449" s="358"/>
      <c r="P449" s="358"/>
      <c r="Q449" s="358">
        <f>COUNTIF(Compil[[Ma Désignation ]],Compil[[Ma Désignation ]])</f>
        <v>2</v>
      </c>
    </row>
    <row r="450" spans="1:17" ht="14">
      <c r="A450" s="303">
        <v>107</v>
      </c>
      <c r="B450" s="2"/>
      <c r="C450" s="224" t="s">
        <v>82</v>
      </c>
      <c r="D450" t="str">
        <f xml:space="preserve"> TRIM( SUBSTITUTE(SUBSTITUTE(SUBSTITUTE( Compil[[#This Row],[DESIGNATION]],"-",""),"–",""),"*",""))</f>
        <v>Chemin de câble largeur 200mm</v>
      </c>
      <c r="E450" s="190" t="s">
        <v>1</v>
      </c>
      <c r="F450" s="252">
        <f>(113)</f>
        <v>113</v>
      </c>
      <c r="G450" s="289" t="e">
        <f>IF(F450="","",(((L450*$M$6)+(M450*#REF!*#REF!))*$M$7)/F450)</f>
        <v>#VALUE!</v>
      </c>
      <c r="H450" s="164" t="e">
        <f>IF(F450="","",F450*G450)</f>
        <v>#VALUE!</v>
      </c>
      <c r="I450" t="s">
        <v>580</v>
      </c>
      <c r="J450" t="b">
        <f>AND(NOT(Compil[[#This Row],[Est ouvrage]]), NOT(ISBLANK(Compil[[#This Row],[ART.
CCTP]])))</f>
        <v>0</v>
      </c>
      <c r="K450" t="b">
        <f>OR(Compil[[#This Row],[Unité]]="U",Compil[[#This Row],[Unité]]="ens",Compil[[#This Row],[Unité]]="ml")</f>
        <v>1</v>
      </c>
      <c r="L450" t="b">
        <f>ISBLANK(Compil[[#This Row],[DESIGNATION]])</f>
        <v>0</v>
      </c>
      <c r="M450" s="359"/>
      <c r="N450" s="358"/>
      <c r="O450" s="358"/>
      <c r="P450" s="358"/>
      <c r="Q450" s="358">
        <f>COUNTIF(Compil[[Ma Désignation ]],Compil[[Ma Désignation ]])</f>
        <v>2</v>
      </c>
    </row>
    <row r="451" spans="1:17" ht="14">
      <c r="A451" s="310">
        <v>446</v>
      </c>
      <c r="B451" s="43"/>
      <c r="C451" s="416"/>
      <c r="D451" t="str">
        <f xml:space="preserve"> TRIM( SUBSTITUTE(SUBSTITUTE(SUBSTITUTE( Compil[[#This Row],[DESIGNATION]],"-",""),"–",""),"*",""))</f>
        <v/>
      </c>
      <c r="E451" s="9"/>
      <c r="F451" s="262"/>
      <c r="G451" s="289" t="s">
        <v>571</v>
      </c>
      <c r="H451" s="164" t="s">
        <v>571</v>
      </c>
      <c r="I451" t="s">
        <v>570</v>
      </c>
      <c r="J451" t="b">
        <f>AND(NOT(Compil[[#This Row],[Est ouvrage]]), NOT(ISBLANK(Compil[[#This Row],[ART.
CCTP]])))</f>
        <v>0</v>
      </c>
      <c r="K451" t="b">
        <f>OR(Compil[[#This Row],[Unité]]="U",Compil[[#This Row],[Unité]]="ens",Compil[[#This Row],[Unité]]="ml")</f>
        <v>0</v>
      </c>
      <c r="L451" t="b">
        <f>ISBLANK(Compil[[#This Row],[DESIGNATION]])</f>
        <v>1</v>
      </c>
      <c r="M451" s="358"/>
      <c r="N451" s="358"/>
      <c r="O451" s="358"/>
      <c r="P451" s="358"/>
      <c r="Q451" s="358">
        <f>COUNTIF(Compil[[Ma Désignation ]],Compil[[Ma Désignation ]])</f>
        <v>306</v>
      </c>
    </row>
    <row r="452" spans="1:17" ht="14">
      <c r="A452" s="303">
        <v>99</v>
      </c>
      <c r="B452" s="2"/>
      <c r="C452" s="224" t="s">
        <v>81</v>
      </c>
      <c r="D452" t="str">
        <f xml:space="preserve"> TRIM( SUBSTITUTE(SUBSTITUTE(SUBSTITUTE( Compil[[#This Row],[DESIGNATION]],"-",""),"–",""),"*",""))</f>
        <v>Chemin de câble largeur 300mm</v>
      </c>
      <c r="E452" s="190" t="s">
        <v>1</v>
      </c>
      <c r="F452" s="252">
        <f>(50+72+16)+(48.5*2)</f>
        <v>235</v>
      </c>
      <c r="G452" s="289" t="e">
        <f>IF(F452="","",(((L452*$M$6)+(M452*#REF!*#REF!))*$M$7)/F452)</f>
        <v>#VALUE!</v>
      </c>
      <c r="H452" s="164" t="e">
        <f>IF(F452="","",F452*G452)</f>
        <v>#VALUE!</v>
      </c>
      <c r="I452" t="s">
        <v>580</v>
      </c>
      <c r="J452" t="b">
        <f>AND(NOT(Compil[[#This Row],[Est ouvrage]]), NOT(ISBLANK(Compil[[#This Row],[ART.
CCTP]])))</f>
        <v>0</v>
      </c>
      <c r="K452" t="b">
        <f>OR(Compil[[#This Row],[Unité]]="U",Compil[[#This Row],[Unité]]="ens",Compil[[#This Row],[Unité]]="ml")</f>
        <v>1</v>
      </c>
      <c r="L452" t="b">
        <f>ISBLANK(Compil[[#This Row],[DESIGNATION]])</f>
        <v>0</v>
      </c>
      <c r="M452" s="359"/>
      <c r="N452" s="358"/>
      <c r="O452" s="358"/>
      <c r="P452" s="358"/>
      <c r="Q452" s="358">
        <f>COUNTIF(Compil[[Ma Désignation ]],Compil[[Ma Désignation ]])</f>
        <v>2</v>
      </c>
    </row>
    <row r="453" spans="1:17" ht="14">
      <c r="A453" s="303">
        <v>106</v>
      </c>
      <c r="B453" s="2"/>
      <c r="C453" s="224" t="s">
        <v>81</v>
      </c>
      <c r="D453" t="str">
        <f xml:space="preserve"> TRIM( SUBSTITUTE(SUBSTITUTE(SUBSTITUTE( Compil[[#This Row],[DESIGNATION]],"-",""),"–",""),"*",""))</f>
        <v>Chemin de câble largeur 300mm</v>
      </c>
      <c r="E453" s="190" t="s">
        <v>1</v>
      </c>
      <c r="F453" s="252"/>
      <c r="G453" s="289" t="str">
        <f>IF(F453="","",(((L453*$M$6)+(M453*#REF!*#REF!))*$M$7)/F453)</f>
        <v/>
      </c>
      <c r="H453" s="164" t="str">
        <f>IF(F453="","",F453*G453)</f>
        <v/>
      </c>
      <c r="I453" t="s">
        <v>580</v>
      </c>
      <c r="J453" t="b">
        <f>AND(NOT(Compil[[#This Row],[Est ouvrage]]), NOT(ISBLANK(Compil[[#This Row],[ART.
CCTP]])))</f>
        <v>0</v>
      </c>
      <c r="K453" t="b">
        <f>OR(Compil[[#This Row],[Unité]]="U",Compil[[#This Row],[Unité]]="ens",Compil[[#This Row],[Unité]]="ml")</f>
        <v>1</v>
      </c>
      <c r="L453" t="b">
        <f>ISBLANK(Compil[[#This Row],[DESIGNATION]])</f>
        <v>0</v>
      </c>
      <c r="M453" s="359"/>
      <c r="N453" s="358"/>
      <c r="O453" s="358"/>
      <c r="P453" s="358"/>
      <c r="Q453" s="358">
        <f>COUNTIF(Compil[[Ma Désignation ]],Compil[[Ma Désignation ]])</f>
        <v>2</v>
      </c>
    </row>
    <row r="454" spans="1:17" ht="14">
      <c r="A454" s="303">
        <v>98</v>
      </c>
      <c r="B454" s="2"/>
      <c r="C454" s="224" t="s">
        <v>80</v>
      </c>
      <c r="D454" t="str">
        <f xml:space="preserve"> TRIM( SUBSTITUTE(SUBSTITUTE(SUBSTITUTE( Compil[[#This Row],[DESIGNATION]],"-",""),"–",""),"*",""))</f>
        <v>Chemin de câble largeur 500mm</v>
      </c>
      <c r="E454" s="190" t="s">
        <v>1</v>
      </c>
      <c r="F454" s="252"/>
      <c r="G454" s="289" t="str">
        <f>IF(F454="","",(((L454*$M$6)+(M454*#REF!*#REF!))*$M$7)/F454)</f>
        <v/>
      </c>
      <c r="H454" s="164" t="str">
        <f>IF(F454="","",F454*G454)</f>
        <v/>
      </c>
      <c r="I454" t="s">
        <v>580</v>
      </c>
      <c r="J454" t="b">
        <f>AND(NOT(Compil[[#This Row],[Est ouvrage]]), NOT(ISBLANK(Compil[[#This Row],[ART.
CCTP]])))</f>
        <v>0</v>
      </c>
      <c r="K454" t="b">
        <f>OR(Compil[[#This Row],[Unité]]="U",Compil[[#This Row],[Unité]]="ens",Compil[[#This Row],[Unité]]="ml")</f>
        <v>1</v>
      </c>
      <c r="L454" t="b">
        <f>ISBLANK(Compil[[#This Row],[DESIGNATION]])</f>
        <v>0</v>
      </c>
      <c r="M454" s="359"/>
      <c r="N454" s="358"/>
      <c r="O454" s="358"/>
      <c r="P454" s="358"/>
      <c r="Q454" s="358">
        <f>COUNTIF(Compil[[Ma Désignation ]],Compil[[Ma Désignation ]])</f>
        <v>1</v>
      </c>
    </row>
    <row r="455" spans="1:17" ht="14">
      <c r="A455" s="303">
        <v>44</v>
      </c>
      <c r="B455" s="2" t="s">
        <v>155</v>
      </c>
      <c r="C455" s="404" t="s">
        <v>466</v>
      </c>
      <c r="D455" s="357" t="str">
        <f xml:space="preserve"> TRIM( SUBSTITUTE(SUBSTITUTE(SUBSTITUTE( Compil[[#This Row],[DESIGNATION]],"-",""),"–",""),"*",""))</f>
        <v>Chemins de câble isolant IK10 suivant CCTP entre le Poste DP et le 1er distributeur de chaque colonne du G1</v>
      </c>
      <c r="E455" s="208" t="s">
        <v>138</v>
      </c>
      <c r="F455" s="252">
        <v>17</v>
      </c>
      <c r="G455" s="289" t="e">
        <f>IF(F455="","",(((L455*$M$6)+(M455*#REF!*#REF!))*$M$7)/F455)</f>
        <v>#VALUE!</v>
      </c>
      <c r="H455" s="164" t="e">
        <f>IF(F455="","",F455*G455)</f>
        <v>#VALUE!</v>
      </c>
      <c r="I455" t="s">
        <v>580</v>
      </c>
      <c r="J455" t="b">
        <f>AND(NOT(Compil[[#This Row],[Est ouvrage]]), NOT(ISBLANK(Compil[[#This Row],[ART.
CCTP]])))</f>
        <v>0</v>
      </c>
      <c r="K455" t="b">
        <f>OR(Compil[[#This Row],[Unité]]="U",Compil[[#This Row],[Unité]]="ens",Compil[[#This Row],[Unité]]="ml")</f>
        <v>1</v>
      </c>
      <c r="L455" t="b">
        <f>ISBLANK(Compil[[#This Row],[DESIGNATION]])</f>
        <v>0</v>
      </c>
      <c r="M455" s="359"/>
      <c r="N455" s="358"/>
      <c r="O455" s="358"/>
      <c r="P455" s="358"/>
      <c r="Q455" s="358">
        <f>COUNTIF(Compil[[Ma Désignation ]],Compil[[Ma Désignation ]])</f>
        <v>1</v>
      </c>
    </row>
    <row r="456" spans="1:17" ht="14">
      <c r="A456" s="303">
        <v>45</v>
      </c>
      <c r="B456" s="2"/>
      <c r="C456" s="404" t="s">
        <v>467</v>
      </c>
      <c r="D456" s="357" t="str">
        <f xml:space="preserve"> TRIM( SUBSTITUTE(SUBSTITUTE(SUBSTITUTE( Compil[[#This Row],[DESIGNATION]],"-",""),"–",""),"*",""))</f>
        <v>Chemins de câble isolant IK10 suivant CCTP entre le Poste DP et le 1er distributeur de chaque colonne du G2</v>
      </c>
      <c r="E456" s="208" t="s">
        <v>138</v>
      </c>
      <c r="F456" s="252">
        <v>54</v>
      </c>
      <c r="G456" s="289" t="e">
        <f>IF(F456="","",(((L456*$M$6)+(M456*#REF!*#REF!))*$M$7)/F456)</f>
        <v>#VALUE!</v>
      </c>
      <c r="H456" s="164" t="e">
        <f>IF(F456="","",F456*G456)</f>
        <v>#VALUE!</v>
      </c>
      <c r="I456" t="s">
        <v>580</v>
      </c>
      <c r="J456" t="b">
        <f>AND(NOT(Compil[[#This Row],[Est ouvrage]]), NOT(ISBLANK(Compil[[#This Row],[ART.
CCTP]])))</f>
        <v>0</v>
      </c>
      <c r="K456" t="b">
        <f>OR(Compil[[#This Row],[Unité]]="U",Compil[[#This Row],[Unité]]="ens",Compil[[#This Row],[Unité]]="ml")</f>
        <v>1</v>
      </c>
      <c r="L456" t="b">
        <f>ISBLANK(Compil[[#This Row],[DESIGNATION]])</f>
        <v>0</v>
      </c>
      <c r="M456" s="359"/>
      <c r="N456" s="358"/>
      <c r="O456" s="358"/>
      <c r="P456" s="358"/>
      <c r="Q456" s="358">
        <f>COUNTIF(Compil[[Ma Désignation ]],Compil[[Ma Désignation ]])</f>
        <v>1</v>
      </c>
    </row>
    <row r="457" spans="1:17" ht="14">
      <c r="A457" s="312">
        <v>741</v>
      </c>
      <c r="B457" s="19" t="s">
        <v>350</v>
      </c>
      <c r="C457" s="405" t="s">
        <v>464</v>
      </c>
      <c r="D457" s="357" t="str">
        <f xml:space="preserve"> TRIM( SUBSTITUTE(SUBSTITUTE(SUBSTITUTE( Compil[[#This Row],[DESIGNATION]],"-",""),"–",""),"*",""))</f>
        <v>Chemins de câble isolant IK10 suivant CCTP entre le poste DP et le 1er distributeur de chaque colonne du SOHO</v>
      </c>
      <c r="E457" s="102" t="s">
        <v>138</v>
      </c>
      <c r="F457" s="262">
        <v>49</v>
      </c>
      <c r="G457" s="289">
        <v>0</v>
      </c>
      <c r="H457" s="164">
        <v>0</v>
      </c>
      <c r="I457" t="s">
        <v>578</v>
      </c>
      <c r="J457" t="b">
        <f>AND(NOT(Compil[[#This Row],[Est ouvrage]]), NOT(ISBLANK(Compil[[#This Row],[ART.
CCTP]])))</f>
        <v>0</v>
      </c>
      <c r="K457" t="b">
        <f>OR(Compil[[#This Row],[Unité]]="U",Compil[[#This Row],[Unité]]="ens",Compil[[#This Row],[Unité]]="ml")</f>
        <v>1</v>
      </c>
      <c r="L457" t="b">
        <f>ISBLANK(Compil[[#This Row],[DESIGNATION]])</f>
        <v>0</v>
      </c>
      <c r="M457" s="359"/>
      <c r="N457" s="358"/>
      <c r="O457" s="358"/>
      <c r="P457" s="358"/>
      <c r="Q457" s="358">
        <f>COUNTIF(Compil[[Ma Désignation ]],Compil[[Ma Désignation ]])</f>
        <v>1</v>
      </c>
    </row>
    <row r="458" spans="1:17" ht="14">
      <c r="A458" s="303">
        <v>47</v>
      </c>
      <c r="B458" s="2"/>
      <c r="C458" s="404" t="s">
        <v>469</v>
      </c>
      <c r="D458" s="357" t="str">
        <f xml:space="preserve"> TRIM( SUBSTITUTE(SUBSTITUTE(SUBSTITUTE( Compil[[#This Row],[DESIGNATION]],"-",""),"–",""),"*",""))</f>
        <v>Chemins de câble isolant IK10 suivant CCTP entre le Poste DP et T.J. des parkings</v>
      </c>
      <c r="E458" s="208" t="s">
        <v>138</v>
      </c>
      <c r="F458" s="252">
        <v>19</v>
      </c>
      <c r="G458" s="289" t="e">
        <f>IF(F458="","",(((L458*$M$6)+(M458*#REF!*#REF!))*$M$7)/F458)</f>
        <v>#VALUE!</v>
      </c>
      <c r="H458" s="164" t="e">
        <f>IF(F458="","",F458*G458)</f>
        <v>#VALUE!</v>
      </c>
      <c r="I458" t="s">
        <v>580</v>
      </c>
      <c r="J458" t="b">
        <f>AND(NOT(Compil[[#This Row],[Est ouvrage]]), NOT(ISBLANK(Compil[[#This Row],[ART.
CCTP]])))</f>
        <v>0</v>
      </c>
      <c r="K458" t="b">
        <f>OR(Compil[[#This Row],[Unité]]="U",Compil[[#This Row],[Unité]]="ens",Compil[[#This Row],[Unité]]="ml")</f>
        <v>1</v>
      </c>
      <c r="L458" t="b">
        <f>ISBLANK(Compil[[#This Row],[DESIGNATION]])</f>
        <v>0</v>
      </c>
      <c r="M458" s="359"/>
      <c r="N458" s="358"/>
      <c r="O458" s="358"/>
      <c r="P458" s="358"/>
      <c r="Q458" s="358">
        <f>COUNTIF(Compil[[Ma Désignation ]],Compil[[Ma Désignation ]])</f>
        <v>1</v>
      </c>
    </row>
    <row r="459" spans="1:17" ht="14">
      <c r="A459" s="303">
        <v>46</v>
      </c>
      <c r="B459" s="2"/>
      <c r="C459" s="404" t="s">
        <v>468</v>
      </c>
      <c r="D459" s="357" t="str">
        <f xml:space="preserve"> TRIM( SUBSTITUTE(SUBSTITUTE(SUBSTITUTE( Compil[[#This Row],[DESIGNATION]],"-",""),"–",""),"*",""))</f>
        <v>Chemins de câble isolant IK10 suivant CCTP entre le Poste DP et T.J. des S.G. G2</v>
      </c>
      <c r="E459" s="208" t="s">
        <v>138</v>
      </c>
      <c r="F459" s="252">
        <v>62</v>
      </c>
      <c r="G459" s="289" t="e">
        <f>IF(F459="","",(((L459*$M$6)+(M459*#REF!*#REF!))*$M$7)/F459)</f>
        <v>#VALUE!</v>
      </c>
      <c r="H459" s="164" t="e">
        <f>IF(F459="","",F459*G459)</f>
        <v>#VALUE!</v>
      </c>
      <c r="I459" t="s">
        <v>580</v>
      </c>
      <c r="J459" t="b">
        <f>AND(NOT(Compil[[#This Row],[Est ouvrage]]), NOT(ISBLANK(Compil[[#This Row],[ART.
CCTP]])))</f>
        <v>0</v>
      </c>
      <c r="K459" t="b">
        <f>OR(Compil[[#This Row],[Unité]]="U",Compil[[#This Row],[Unité]]="ens",Compil[[#This Row],[Unité]]="ml")</f>
        <v>1</v>
      </c>
      <c r="L459" t="b">
        <f>ISBLANK(Compil[[#This Row],[DESIGNATION]])</f>
        <v>0</v>
      </c>
      <c r="M459" s="359"/>
      <c r="N459" s="358"/>
      <c r="O459" s="358"/>
      <c r="P459" s="358"/>
      <c r="Q459" s="358">
        <f>COUNTIF(Compil[[Ma Désignation ]],Compil[[Ma Désignation ]])</f>
        <v>1</v>
      </c>
    </row>
    <row r="460" spans="1:17" ht="14">
      <c r="A460" s="303">
        <v>48</v>
      </c>
      <c r="B460" s="2"/>
      <c r="C460" s="404" t="s">
        <v>250</v>
      </c>
      <c r="D460" s="357" t="str">
        <f xml:space="preserve"> TRIM( SUBSTITUTE(SUBSTITUTE(SUBSTITUTE( Compil[[#This Row],[DESIGNATION]],"-",""),"–",""),"*",""))</f>
        <v>Chemins de câble isolant IK10 suivant CCTP IK10 pour téléreports</v>
      </c>
      <c r="E460" s="208" t="s">
        <v>138</v>
      </c>
      <c r="F460" s="252">
        <v>0</v>
      </c>
      <c r="G460" s="289"/>
      <c r="H460" s="164"/>
      <c r="I460" t="s">
        <v>580</v>
      </c>
      <c r="J460" t="b">
        <f>AND(NOT(Compil[[#This Row],[Est ouvrage]]), NOT(ISBLANK(Compil[[#This Row],[ART.
CCTP]])))</f>
        <v>0</v>
      </c>
      <c r="K460" t="b">
        <f>OR(Compil[[#This Row],[Unité]]="U",Compil[[#This Row],[Unité]]="ens",Compil[[#This Row],[Unité]]="ml")</f>
        <v>1</v>
      </c>
      <c r="L460" t="b">
        <f>ISBLANK(Compil[[#This Row],[DESIGNATION]])</f>
        <v>0</v>
      </c>
      <c r="M460" s="359"/>
      <c r="N460" s="358"/>
      <c r="O460" s="358"/>
      <c r="P460" s="358"/>
      <c r="Q460" s="358">
        <f>COUNTIF(Compil[[Ma Désignation ]],Compil[[Ma Désignation ]])</f>
        <v>2</v>
      </c>
    </row>
    <row r="461" spans="1:17" ht="14">
      <c r="A461" s="312">
        <v>742</v>
      </c>
      <c r="B461" s="19"/>
      <c r="C461" s="405" t="s">
        <v>250</v>
      </c>
      <c r="D461" s="357" t="str">
        <f xml:space="preserve"> TRIM( SUBSTITUTE(SUBSTITUTE(SUBSTITUTE( Compil[[#This Row],[DESIGNATION]],"-",""),"–",""),"*",""))</f>
        <v>Chemins de câble isolant IK10 suivant CCTP IK10 pour téléreports</v>
      </c>
      <c r="E461" s="102" t="s">
        <v>138</v>
      </c>
      <c r="F461" s="262"/>
      <c r="G461" s="289" t="s">
        <v>571</v>
      </c>
      <c r="H461" s="164" t="s">
        <v>571</v>
      </c>
      <c r="I461" t="s">
        <v>578</v>
      </c>
      <c r="J461" t="b">
        <f>AND(NOT(Compil[[#This Row],[Est ouvrage]]), NOT(ISBLANK(Compil[[#This Row],[ART.
CCTP]])))</f>
        <v>0</v>
      </c>
      <c r="K461" t="b">
        <f>OR(Compil[[#This Row],[Unité]]="U",Compil[[#This Row],[Unité]]="ens",Compil[[#This Row],[Unité]]="ml")</f>
        <v>1</v>
      </c>
      <c r="L461" t="b">
        <f>ISBLANK(Compil[[#This Row],[DESIGNATION]])</f>
        <v>0</v>
      </c>
      <c r="M461" s="359"/>
      <c r="N461" s="358"/>
      <c r="O461" s="358"/>
      <c r="P461" s="358"/>
      <c r="Q461" s="358">
        <f>COUNTIF(Compil[[Ma Désignation ]],Compil[[Ma Désignation ]])</f>
        <v>2</v>
      </c>
    </row>
    <row r="462" spans="1:17" ht="14">
      <c r="A462" s="310">
        <v>457</v>
      </c>
      <c r="B462" s="43"/>
      <c r="C462" s="416"/>
      <c r="D462" t="str">
        <f xml:space="preserve"> TRIM( SUBSTITUTE(SUBSTITUTE(SUBSTITUTE( Compil[[#This Row],[DESIGNATION]],"-",""),"–",""),"*",""))</f>
        <v/>
      </c>
      <c r="E462" s="9"/>
      <c r="F462" s="262"/>
      <c r="G462" s="289" t="s">
        <v>571</v>
      </c>
      <c r="H462" s="164" t="s">
        <v>571</v>
      </c>
      <c r="I462" t="s">
        <v>570</v>
      </c>
      <c r="J462" t="b">
        <f>AND(NOT(Compil[[#This Row],[Est ouvrage]]), NOT(ISBLANK(Compil[[#This Row],[ART.
CCTP]])))</f>
        <v>0</v>
      </c>
      <c r="K462" t="b">
        <f>OR(Compil[[#This Row],[Unité]]="U",Compil[[#This Row],[Unité]]="ens",Compil[[#This Row],[Unité]]="ml")</f>
        <v>0</v>
      </c>
      <c r="L462" t="b">
        <f>ISBLANK(Compil[[#This Row],[DESIGNATION]])</f>
        <v>1</v>
      </c>
      <c r="M462" s="358"/>
      <c r="N462" s="358"/>
      <c r="O462" s="358"/>
      <c r="P462" s="358"/>
      <c r="Q462" s="358">
        <f>COUNTIF(Compil[[Ma Désignation ]],Compil[[Ma Désignation ]])</f>
        <v>306</v>
      </c>
    </row>
    <row r="463" spans="1:17" ht="14">
      <c r="A463" s="310">
        <v>702</v>
      </c>
      <c r="B463" s="69"/>
      <c r="C463" s="427" t="s">
        <v>391</v>
      </c>
      <c r="D463" t="str">
        <f xml:space="preserve"> TRIM( SUBSTITUTE(SUBSTITUTE(SUBSTITUTE( Compil[[#This Row],[DESIGNATION]],"-",""),"–",""),"*",""))</f>
        <v>Coffret de communication grade 2</v>
      </c>
      <c r="E463" s="9" t="s">
        <v>13</v>
      </c>
      <c r="F463" s="262">
        <v>105</v>
      </c>
      <c r="G463" s="289">
        <v>0</v>
      </c>
      <c r="H463" s="164">
        <v>0</v>
      </c>
      <c r="I463" t="s">
        <v>570</v>
      </c>
      <c r="J463" t="b">
        <f>AND(NOT(Compil[[#This Row],[Est ouvrage]]), NOT(ISBLANK(Compil[[#This Row],[ART.
CCTP]])))</f>
        <v>0</v>
      </c>
      <c r="K463" t="b">
        <f>OR(Compil[[#This Row],[Unité]]="U",Compil[[#This Row],[Unité]]="ens",Compil[[#This Row],[Unité]]="ml")</f>
        <v>1</v>
      </c>
      <c r="L463" t="b">
        <f>ISBLANK(Compil[[#This Row],[DESIGNATION]])</f>
        <v>0</v>
      </c>
      <c r="M463" s="359"/>
      <c r="N463" s="358"/>
      <c r="O463" s="358"/>
      <c r="P463" s="358"/>
      <c r="Q463" s="358">
        <f>COUNTIF(Compil[[Ma Désignation ]],Compil[[Ma Désignation ]])</f>
        <v>2</v>
      </c>
    </row>
    <row r="464" spans="1:17">
      <c r="A464" s="360">
        <v>1122</v>
      </c>
      <c r="B464" s="363"/>
      <c r="C464" s="402" t="s">
        <v>391</v>
      </c>
      <c r="D464" t="str">
        <f xml:space="preserve"> TRIM( SUBSTITUTE(SUBSTITUTE(SUBSTITUTE( Compil[[#This Row],[DESIGNATION]],"-",""),"–",""),"*",""))</f>
        <v>Coffret de communication grade 2</v>
      </c>
      <c r="E464" s="369" t="s">
        <v>13</v>
      </c>
      <c r="F464" s="385">
        <v>16</v>
      </c>
      <c r="G464" s="390">
        <v>0</v>
      </c>
      <c r="H464" s="391">
        <v>0</v>
      </c>
      <c r="I464" t="s">
        <v>579</v>
      </c>
      <c r="J464" t="b">
        <f>AND(NOT(Compil[[#This Row],[Est ouvrage]]), NOT(ISBLANK(Compil[[#This Row],[ART.
CCTP]])))</f>
        <v>0</v>
      </c>
      <c r="K464" t="b">
        <f>OR(Compil[[#This Row],[Unité]]="U",Compil[[#This Row],[Unité]]="ens",Compil[[#This Row],[Unité]]="ml")</f>
        <v>1</v>
      </c>
      <c r="L464" t="b">
        <f>ISBLANK(Compil[[#This Row],[DESIGNATION]])</f>
        <v>0</v>
      </c>
      <c r="M464" s="359"/>
      <c r="N464" s="358"/>
      <c r="O464" s="358"/>
      <c r="P464" s="358"/>
      <c r="Q464" s="358">
        <f>COUNTIF(Compil[[Ma Désignation ]],Compil[[Ma Désignation ]])</f>
        <v>2</v>
      </c>
    </row>
    <row r="465" spans="1:17" ht="14">
      <c r="A465" s="310">
        <v>460</v>
      </c>
      <c r="B465" s="43"/>
      <c r="C465" s="416"/>
      <c r="D465" t="str">
        <f xml:space="preserve"> TRIM( SUBSTITUTE(SUBSTITUTE(SUBSTITUTE( Compil[[#This Row],[DESIGNATION]],"-",""),"–",""),"*",""))</f>
        <v/>
      </c>
      <c r="E465" s="9"/>
      <c r="F465" s="262"/>
      <c r="G465" s="289" t="s">
        <v>571</v>
      </c>
      <c r="H465" s="164" t="s">
        <v>571</v>
      </c>
      <c r="I465" t="s">
        <v>570</v>
      </c>
      <c r="J465" t="b">
        <f>AND(NOT(Compil[[#This Row],[Est ouvrage]]), NOT(ISBLANK(Compil[[#This Row],[ART.
CCTP]])))</f>
        <v>0</v>
      </c>
      <c r="K465" t="b">
        <f>OR(Compil[[#This Row],[Unité]]="U",Compil[[#This Row],[Unité]]="ens",Compil[[#This Row],[Unité]]="ml")</f>
        <v>0</v>
      </c>
      <c r="L465" t="b">
        <f>ISBLANK(Compil[[#This Row],[DESIGNATION]])</f>
        <v>1</v>
      </c>
      <c r="M465" s="358"/>
      <c r="N465" s="358"/>
      <c r="O465" s="358"/>
      <c r="P465" s="358"/>
      <c r="Q465" s="358">
        <f>COUNTIF(Compil[[Ma Désignation ]],Compil[[Ma Désignation ]])</f>
        <v>306</v>
      </c>
    </row>
    <row r="466" spans="1:17" ht="14">
      <c r="A466" s="303">
        <v>206</v>
      </c>
      <c r="B466" s="43"/>
      <c r="C466" s="206" t="s">
        <v>171</v>
      </c>
      <c r="D466" t="str">
        <f xml:space="preserve"> TRIM( SUBSTITUTE(SUBSTITUTE(SUBSTITUTE( Compil[[#This Row],[DESIGNATION]],"-",""),"–",""),"*",""))</f>
        <v>Coffret de Sous Répartition d'Immeuble paires</v>
      </c>
      <c r="E466" s="193" t="s">
        <v>12</v>
      </c>
      <c r="F466" s="252">
        <v>1</v>
      </c>
      <c r="G466" s="289" t="e">
        <f>IF(F466="","",(((L466*$M$6)+(M466*#REF!*#REF!))*$M$7)/F466)</f>
        <v>#VALUE!</v>
      </c>
      <c r="H466" s="164" t="e">
        <f>IF(F466="","",F466*G466)</f>
        <v>#VALUE!</v>
      </c>
      <c r="I466" t="s">
        <v>580</v>
      </c>
      <c r="J466" t="b">
        <f>AND(NOT(Compil[[#This Row],[Est ouvrage]]), NOT(ISBLANK(Compil[[#This Row],[ART.
CCTP]])))</f>
        <v>0</v>
      </c>
      <c r="K466" t="b">
        <f>OR(Compil[[#This Row],[Unité]]="U",Compil[[#This Row],[Unité]]="ens",Compil[[#This Row],[Unité]]="ml")</f>
        <v>1</v>
      </c>
      <c r="L466" t="b">
        <f>ISBLANK(Compil[[#This Row],[DESIGNATION]])</f>
        <v>0</v>
      </c>
      <c r="M466" s="359"/>
      <c r="N466" s="358"/>
      <c r="O466" s="358"/>
      <c r="P466" s="358"/>
      <c r="Q466" s="358">
        <f>COUNTIF(Compil[[Ma Désignation ]],Compil[[Ma Désignation ]])</f>
        <v>2</v>
      </c>
    </row>
    <row r="467" spans="1:17" ht="14">
      <c r="A467" s="312">
        <v>845</v>
      </c>
      <c r="B467" s="104"/>
      <c r="C467" s="88" t="s">
        <v>171</v>
      </c>
      <c r="D467" t="str">
        <f xml:space="preserve"> TRIM( SUBSTITUTE(SUBSTITUTE(SUBSTITUTE( Compil[[#This Row],[DESIGNATION]],"-",""),"–",""),"*",""))</f>
        <v>Coffret de Sous Répartition d'Immeuble paires</v>
      </c>
      <c r="E467" s="9" t="s">
        <v>12</v>
      </c>
      <c r="F467" s="262">
        <v>1</v>
      </c>
      <c r="G467" s="289">
        <v>0</v>
      </c>
      <c r="H467" s="164">
        <v>0</v>
      </c>
      <c r="I467" t="s">
        <v>578</v>
      </c>
      <c r="J467" t="b">
        <f>AND(NOT(Compil[[#This Row],[Est ouvrage]]), NOT(ISBLANK(Compil[[#This Row],[ART.
CCTP]])))</f>
        <v>0</v>
      </c>
      <c r="K467" t="b">
        <f>OR(Compil[[#This Row],[Unité]]="U",Compil[[#This Row],[Unité]]="ens",Compil[[#This Row],[Unité]]="ml")</f>
        <v>1</v>
      </c>
      <c r="L467" t="b">
        <f>ISBLANK(Compil[[#This Row],[DESIGNATION]])</f>
        <v>0</v>
      </c>
      <c r="M467" s="359"/>
      <c r="N467" s="358"/>
      <c r="O467" s="358"/>
      <c r="P467" s="358"/>
      <c r="Q467" s="358">
        <f>COUNTIF(Compil[[Ma Désignation ]],Compil[[Ma Désignation ]])</f>
        <v>2</v>
      </c>
    </row>
    <row r="468" spans="1:17">
      <c r="A468" s="360">
        <v>1132</v>
      </c>
      <c r="B468" s="363"/>
      <c r="C468" s="402" t="s">
        <v>93</v>
      </c>
      <c r="D468" t="str">
        <f xml:space="preserve"> TRIM( SUBSTITUTE(SUBSTITUTE(SUBSTITUTE( Compil[[#This Row],[DESIGNATION]],"-",""),"–",""),"*",""))</f>
        <v>Coffret VDI 12U 60060019", conforme au CCTP</v>
      </c>
      <c r="E468" s="369" t="s">
        <v>12</v>
      </c>
      <c r="F468" s="385">
        <v>12</v>
      </c>
      <c r="G468" s="390">
        <v>0</v>
      </c>
      <c r="H468" s="391">
        <v>0</v>
      </c>
      <c r="I468" t="s">
        <v>579</v>
      </c>
      <c r="J468" t="b">
        <f>AND(NOT(Compil[[#This Row],[Est ouvrage]]), NOT(ISBLANK(Compil[[#This Row],[ART.
CCTP]])))</f>
        <v>0</v>
      </c>
      <c r="K468" t="b">
        <f>OR(Compil[[#This Row],[Unité]]="U",Compil[[#This Row],[Unité]]="ens",Compil[[#This Row],[Unité]]="ml")</f>
        <v>1</v>
      </c>
      <c r="L468" t="b">
        <f>ISBLANK(Compil[[#This Row],[DESIGNATION]])</f>
        <v>0</v>
      </c>
      <c r="M468" s="359"/>
      <c r="N468" s="358"/>
      <c r="O468" s="358"/>
      <c r="P468" s="358"/>
      <c r="Q468" s="358">
        <f>COUNTIF(Compil[[Ma Désignation ]],Compil[[Ma Désignation ]])</f>
        <v>1</v>
      </c>
    </row>
    <row r="469" spans="1:17" ht="14">
      <c r="A469" s="303">
        <v>89</v>
      </c>
      <c r="B469" s="2"/>
      <c r="C469" s="220" t="s">
        <v>30</v>
      </c>
      <c r="D469" t="str">
        <f xml:space="preserve"> TRIM( SUBSTITUTE(SUBSTITUTE(SUBSTITUTE( Compil[[#This Row],[DESIGNATION]],"-",""),"–",""),"*",""))</f>
        <v>colonne de terre en gaine SG</v>
      </c>
      <c r="E469" s="193" t="s">
        <v>12</v>
      </c>
      <c r="F469" s="252">
        <v>1</v>
      </c>
      <c r="G469" s="289" t="e">
        <f>IF(F469="","",(((L469*$M$6)+(M469*#REF!*#REF!))*$M$7)/F469)</f>
        <v>#VALUE!</v>
      </c>
      <c r="H469" s="164" t="e">
        <f>IF(F469="","",F469*G469)</f>
        <v>#VALUE!</v>
      </c>
      <c r="I469" t="s">
        <v>580</v>
      </c>
      <c r="J469" t="b">
        <f>AND(NOT(Compil[[#This Row],[Est ouvrage]]), NOT(ISBLANK(Compil[[#This Row],[ART.
CCTP]])))</f>
        <v>0</v>
      </c>
      <c r="K469" t="b">
        <f>OR(Compil[[#This Row],[Unité]]="U",Compil[[#This Row],[Unité]]="ens",Compil[[#This Row],[Unité]]="ml")</f>
        <v>1</v>
      </c>
      <c r="L469" t="b">
        <f>ISBLANK(Compil[[#This Row],[DESIGNATION]])</f>
        <v>0</v>
      </c>
      <c r="M469" s="359"/>
      <c r="N469" s="358"/>
      <c r="O469" s="358"/>
      <c r="P469" s="358"/>
      <c r="Q469" s="358">
        <f>COUNTIF(Compil[[Ma Désignation ]],Compil[[Ma Désignation ]])</f>
        <v>1</v>
      </c>
    </row>
    <row r="470" spans="1:17" ht="14">
      <c r="A470" s="312">
        <v>779</v>
      </c>
      <c r="B470" s="19"/>
      <c r="C470" s="86" t="s">
        <v>359</v>
      </c>
      <c r="D470" t="str">
        <f xml:space="preserve"> TRIM( SUBSTITUTE(SUBSTITUTE(SUBSTITUTE( Compil[[#This Row],[DESIGNATION]],"-",""),"–",""),"*",""))</f>
        <v>colonne de terre en gaine technique</v>
      </c>
      <c r="E470" s="9" t="s">
        <v>12</v>
      </c>
      <c r="F470" s="262">
        <v>1</v>
      </c>
      <c r="G470" s="289">
        <v>0</v>
      </c>
      <c r="H470" s="164">
        <v>0</v>
      </c>
      <c r="I470" t="s">
        <v>578</v>
      </c>
      <c r="J470" t="b">
        <f>AND(NOT(Compil[[#This Row],[Est ouvrage]]), NOT(ISBLANK(Compil[[#This Row],[ART.
CCTP]])))</f>
        <v>0</v>
      </c>
      <c r="K470" t="b">
        <f>OR(Compil[[#This Row],[Unité]]="U",Compil[[#This Row],[Unité]]="ens",Compil[[#This Row],[Unité]]="ml")</f>
        <v>1</v>
      </c>
      <c r="L470" t="b">
        <f>ISBLANK(Compil[[#This Row],[DESIGNATION]])</f>
        <v>0</v>
      </c>
      <c r="M470" s="359"/>
      <c r="N470" s="358"/>
      <c r="O470" s="358"/>
      <c r="P470" s="358"/>
      <c r="Q470" s="358">
        <f>COUNTIF(Compil[[Ma Désignation ]],Compil[[Ma Désignation ]])</f>
        <v>1</v>
      </c>
    </row>
    <row r="471" spans="1:17" ht="14">
      <c r="A471" s="310">
        <v>466</v>
      </c>
      <c r="B471" s="2"/>
      <c r="C471" s="416"/>
      <c r="D471" t="str">
        <f xml:space="preserve"> TRIM( SUBSTITUTE(SUBSTITUTE(SUBSTITUTE( Compil[[#This Row],[DESIGNATION]],"-",""),"–",""),"*",""))</f>
        <v/>
      </c>
      <c r="E471" s="9"/>
      <c r="F471" s="262"/>
      <c r="G471" s="289" t="s">
        <v>571</v>
      </c>
      <c r="H471" s="164" t="s">
        <v>571</v>
      </c>
      <c r="I471" t="s">
        <v>570</v>
      </c>
      <c r="J471" t="b">
        <f>AND(NOT(Compil[[#This Row],[Est ouvrage]]), NOT(ISBLANK(Compil[[#This Row],[ART.
CCTP]])))</f>
        <v>0</v>
      </c>
      <c r="K471" t="b">
        <f>OR(Compil[[#This Row],[Unité]]="U",Compil[[#This Row],[Unité]]="ens",Compil[[#This Row],[Unité]]="ml")</f>
        <v>0</v>
      </c>
      <c r="L471" t="b">
        <f>ISBLANK(Compil[[#This Row],[DESIGNATION]])</f>
        <v>1</v>
      </c>
      <c r="M471" s="358"/>
      <c r="N471" s="358"/>
      <c r="O471" s="358"/>
      <c r="P471" s="358"/>
      <c r="Q471" s="358">
        <f>COUNTIF(Compil[[Ma Désignation ]],Compil[[Ma Désignation ]])</f>
        <v>306</v>
      </c>
    </row>
    <row r="472" spans="1:17" ht="14">
      <c r="A472" s="303">
        <v>207</v>
      </c>
      <c r="B472" s="43"/>
      <c r="C472" s="206" t="s">
        <v>90</v>
      </c>
      <c r="D472" t="str">
        <f xml:space="preserve"> TRIM( SUBSTITUTE(SUBSTITUTE(SUBSTITUTE( Compil[[#This Row],[DESIGNATION]],"-",""),"–",""),"*",""))</f>
        <v>Colonne montante FT câble 298 mutlipaires</v>
      </c>
      <c r="E472" s="193" t="s">
        <v>12</v>
      </c>
      <c r="F472" s="252">
        <v>1</v>
      </c>
      <c r="G472" s="289" t="e">
        <f>IF(F472="","",(((L472*$M$6)+(M472*#REF!*#REF!))*$M$7)/F472)</f>
        <v>#VALUE!</v>
      </c>
      <c r="H472" s="164" t="e">
        <f>IF(F472="","",F472*G472)</f>
        <v>#VALUE!</v>
      </c>
      <c r="I472" t="s">
        <v>580</v>
      </c>
      <c r="J472" t="b">
        <f>AND(NOT(Compil[[#This Row],[Est ouvrage]]), NOT(ISBLANK(Compil[[#This Row],[ART.
CCTP]])))</f>
        <v>0</v>
      </c>
      <c r="K472" t="b">
        <f>OR(Compil[[#This Row],[Unité]]="U",Compil[[#This Row],[Unité]]="ens",Compil[[#This Row],[Unité]]="ml")</f>
        <v>1</v>
      </c>
      <c r="L472" t="b">
        <f>ISBLANK(Compil[[#This Row],[DESIGNATION]])</f>
        <v>0</v>
      </c>
      <c r="M472" s="359"/>
      <c r="N472" s="358"/>
      <c r="O472" s="358"/>
      <c r="P472" s="358"/>
      <c r="Q472" s="358">
        <f>COUNTIF(Compil[[Ma Désignation ]],Compil[[Ma Désignation ]])</f>
        <v>2</v>
      </c>
    </row>
    <row r="473" spans="1:17" ht="14">
      <c r="A473" s="310">
        <v>468</v>
      </c>
      <c r="B473" s="2"/>
      <c r="C473" s="416"/>
      <c r="D473" t="str">
        <f xml:space="preserve"> TRIM( SUBSTITUTE(SUBSTITUTE(SUBSTITUTE( Compil[[#This Row],[DESIGNATION]],"-",""),"–",""),"*",""))</f>
        <v/>
      </c>
      <c r="E473" s="9"/>
      <c r="F473" s="262"/>
      <c r="G473" s="289" t="s">
        <v>571</v>
      </c>
      <c r="H473" s="164" t="s">
        <v>571</v>
      </c>
      <c r="I473" t="s">
        <v>570</v>
      </c>
      <c r="J473" t="b">
        <f>AND(NOT(Compil[[#This Row],[Est ouvrage]]), NOT(ISBLANK(Compil[[#This Row],[ART.
CCTP]])))</f>
        <v>0</v>
      </c>
      <c r="K473" t="b">
        <f>OR(Compil[[#This Row],[Unité]]="U",Compil[[#This Row],[Unité]]="ens",Compil[[#This Row],[Unité]]="ml")</f>
        <v>0</v>
      </c>
      <c r="L473" t="b">
        <f>ISBLANK(Compil[[#This Row],[DESIGNATION]])</f>
        <v>1</v>
      </c>
      <c r="M473" s="358"/>
      <c r="N473" s="358"/>
      <c r="O473" s="358"/>
      <c r="P473" s="358"/>
      <c r="Q473" s="358">
        <f>COUNTIF(Compil[[Ma Désignation ]],Compil[[Ma Désignation ]])</f>
        <v>306</v>
      </c>
    </row>
    <row r="474" spans="1:17" ht="14">
      <c r="A474" s="310">
        <v>469</v>
      </c>
      <c r="B474" s="2"/>
      <c r="C474" s="413" t="s">
        <v>164</v>
      </c>
      <c r="D474" t="str">
        <f xml:space="preserve"> TRIM( SUBSTITUTE(SUBSTITUTE(SUBSTITUTE( Compil[[#This Row],[DESIGNATION]],"-",""),"–",""),"*",""))</f>
        <v>Sous total HT pour un T2</v>
      </c>
      <c r="E474" s="9"/>
      <c r="F474" s="262"/>
      <c r="G474" s="289" t="s">
        <v>571</v>
      </c>
      <c r="H474" s="164" t="s">
        <v>571</v>
      </c>
      <c r="I474" t="s">
        <v>570</v>
      </c>
      <c r="J474" t="b">
        <f>AND(NOT(Compil[[#This Row],[Est ouvrage]]), NOT(ISBLANK(Compil[[#This Row],[ART.
CCTP]])))</f>
        <v>0</v>
      </c>
      <c r="K474" t="b">
        <f>OR(Compil[[#This Row],[Unité]]="U",Compil[[#This Row],[Unité]]="ens",Compil[[#This Row],[Unité]]="ml")</f>
        <v>0</v>
      </c>
      <c r="L474" t="b">
        <f>ISBLANK(Compil[[#This Row],[DESIGNATION]])</f>
        <v>0</v>
      </c>
      <c r="M474" s="359"/>
      <c r="N474" s="358"/>
      <c r="O474" s="358"/>
      <c r="P474" s="358"/>
      <c r="Q474" s="358">
        <f>COUNTIF(Compil[[Ma Désignation ]],Compil[[Ma Désignation ]])</f>
        <v>1</v>
      </c>
    </row>
    <row r="475" spans="1:17" ht="14">
      <c r="A475" s="312">
        <v>846</v>
      </c>
      <c r="B475" s="104"/>
      <c r="C475" s="88" t="s">
        <v>90</v>
      </c>
      <c r="D475" t="str">
        <f xml:space="preserve"> TRIM( SUBSTITUTE(SUBSTITUTE(SUBSTITUTE( Compil[[#This Row],[DESIGNATION]],"-",""),"–",""),"*",""))</f>
        <v>Colonne montante FT câble 298 mutlipaires</v>
      </c>
      <c r="E475" s="9" t="s">
        <v>12</v>
      </c>
      <c r="F475" s="262">
        <v>1</v>
      </c>
      <c r="G475" s="289">
        <v>0</v>
      </c>
      <c r="H475" s="164">
        <v>0</v>
      </c>
      <c r="I475" t="s">
        <v>578</v>
      </c>
      <c r="J475" t="b">
        <f>AND(NOT(Compil[[#This Row],[Est ouvrage]]), NOT(ISBLANK(Compil[[#This Row],[ART.
CCTP]])))</f>
        <v>0</v>
      </c>
      <c r="K475" t="b">
        <f>OR(Compil[[#This Row],[Unité]]="U",Compil[[#This Row],[Unité]]="ens",Compil[[#This Row],[Unité]]="ml")</f>
        <v>1</v>
      </c>
      <c r="L475" t="b">
        <f>ISBLANK(Compil[[#This Row],[DESIGNATION]])</f>
        <v>0</v>
      </c>
      <c r="M475" s="359"/>
      <c r="N475" s="358"/>
      <c r="O475" s="358"/>
      <c r="P475" s="358"/>
      <c r="Q475" s="358">
        <f>COUNTIF(Compil[[Ma Désignation ]],Compil[[Ma Désignation ]])</f>
        <v>2</v>
      </c>
    </row>
    <row r="476" spans="1:17" ht="14">
      <c r="A476" s="310">
        <v>471</v>
      </c>
      <c r="B476" s="19"/>
      <c r="C476" s="81"/>
      <c r="D476" s="357" t="str">
        <f xml:space="preserve"> TRIM( SUBSTITUTE(SUBSTITUTE(SUBSTITUTE( Compil[[#This Row],[DESIGNATION]],"-",""),"–",""),"*",""))</f>
        <v/>
      </c>
      <c r="E476" s="9"/>
      <c r="F476" s="262"/>
      <c r="G476" s="289" t="s">
        <v>571</v>
      </c>
      <c r="H476" s="164" t="s">
        <v>571</v>
      </c>
      <c r="I476" t="s">
        <v>570</v>
      </c>
      <c r="J476" t="b">
        <f>AND(NOT(Compil[[#This Row],[Est ouvrage]]), NOT(ISBLANK(Compil[[#This Row],[ART.
CCTP]])))</f>
        <v>0</v>
      </c>
      <c r="K476" t="b">
        <f>OR(Compil[[#This Row],[Unité]]="U",Compil[[#This Row],[Unité]]="ens",Compil[[#This Row],[Unité]]="ml")</f>
        <v>0</v>
      </c>
      <c r="L476" t="b">
        <f>ISBLANK(Compil[[#This Row],[DESIGNATION]])</f>
        <v>1</v>
      </c>
      <c r="M476" s="358"/>
      <c r="N476" s="358"/>
      <c r="O476" s="358"/>
      <c r="P476" s="358"/>
      <c r="Q476" s="358">
        <f>COUNTIF(Compil[[Ma Désignation ]],Compil[[Ma Désignation ]])</f>
        <v>306</v>
      </c>
    </row>
    <row r="477" spans="1:17" ht="14">
      <c r="A477" s="310">
        <v>472</v>
      </c>
      <c r="B477" s="2"/>
      <c r="C477" s="429" t="s">
        <v>274</v>
      </c>
      <c r="D477" t="str">
        <f xml:space="preserve"> TRIM( SUBSTITUTE(SUBSTITUTE(SUBSTITUTE( Compil[[#This Row],[DESIGNATION]],"-",""),"–",""),"*",""))</f>
        <v>Sous total 2.7.2 Appartement T2</v>
      </c>
      <c r="E477" s="72"/>
      <c r="F477" s="262"/>
      <c r="G477" s="289" t="s">
        <v>571</v>
      </c>
      <c r="H477" s="164" t="s">
        <v>571</v>
      </c>
      <c r="I477" t="s">
        <v>570</v>
      </c>
      <c r="J477" t="b">
        <f>AND(NOT(Compil[[#This Row],[Est ouvrage]]), NOT(ISBLANK(Compil[[#This Row],[ART.
CCTP]])))</f>
        <v>0</v>
      </c>
      <c r="K477" t="b">
        <f>OR(Compil[[#This Row],[Unité]]="U",Compil[[#This Row],[Unité]]="ens",Compil[[#This Row],[Unité]]="ml")</f>
        <v>0</v>
      </c>
      <c r="L477" t="b">
        <f>ISBLANK(Compil[[#This Row],[DESIGNATION]])</f>
        <v>0</v>
      </c>
      <c r="M477" s="359"/>
      <c r="N477" s="358"/>
      <c r="O477" s="358"/>
      <c r="P477" s="358"/>
      <c r="Q477" s="358">
        <f>COUNTIF(Compil[[Ma Désignation ]],Compil[[Ma Désignation ]])</f>
        <v>1</v>
      </c>
    </row>
    <row r="478" spans="1:17" ht="14">
      <c r="A478" s="310">
        <v>473</v>
      </c>
      <c r="B478" s="2"/>
      <c r="C478" s="415"/>
      <c r="D478" t="str">
        <f xml:space="preserve"> TRIM( SUBSTITUTE(SUBSTITUTE(SUBSTITUTE( Compil[[#This Row],[DESIGNATION]],"-",""),"–",""),"*",""))</f>
        <v/>
      </c>
      <c r="E478" s="9"/>
      <c r="F478" s="262"/>
      <c r="G478" s="289" t="s">
        <v>571</v>
      </c>
      <c r="H478" s="164" t="s">
        <v>571</v>
      </c>
      <c r="I478" t="s">
        <v>570</v>
      </c>
      <c r="J478" t="b">
        <f>AND(NOT(Compil[[#This Row],[Est ouvrage]]), NOT(ISBLANK(Compil[[#This Row],[ART.
CCTP]])))</f>
        <v>0</v>
      </c>
      <c r="K478" t="b">
        <f>OR(Compil[[#This Row],[Unité]]="U",Compil[[#This Row],[Unité]]="ens",Compil[[#This Row],[Unité]]="ml")</f>
        <v>0</v>
      </c>
      <c r="L478" t="b">
        <f>ISBLANK(Compil[[#This Row],[DESIGNATION]])</f>
        <v>1</v>
      </c>
      <c r="M478" s="358"/>
      <c r="N478" s="358"/>
      <c r="O478" s="358"/>
      <c r="P478" s="358"/>
      <c r="Q478" s="358">
        <f>COUNTIF(Compil[[Ma Désignation ]],Compil[[Ma Désignation ]])</f>
        <v>306</v>
      </c>
    </row>
    <row r="479" spans="1:17" ht="14">
      <c r="A479" s="310">
        <v>474</v>
      </c>
      <c r="B479" s="2" t="s">
        <v>261</v>
      </c>
      <c r="C479" s="413" t="s">
        <v>235</v>
      </c>
      <c r="D479" t="str">
        <f xml:space="preserve"> TRIM( SUBSTITUTE(SUBSTITUTE(SUBSTITUTE( Compil[[#This Row],[DESIGNATION]],"-",""),"–",""),"*",""))</f>
        <v>Appartement de type T3</v>
      </c>
      <c r="E479" s="9"/>
      <c r="F479" s="262"/>
      <c r="G479" s="289" t="s">
        <v>571</v>
      </c>
      <c r="H479" s="164" t="s">
        <v>571</v>
      </c>
      <c r="I479" t="s">
        <v>570</v>
      </c>
      <c r="J479" t="b">
        <f>AND(NOT(Compil[[#This Row],[Est ouvrage]]), NOT(ISBLANK(Compil[[#This Row],[ART.
CCTP]])))</f>
        <v>1</v>
      </c>
      <c r="K479" t="b">
        <f>OR(Compil[[#This Row],[Unité]]="U",Compil[[#This Row],[Unité]]="ens",Compil[[#This Row],[Unité]]="ml")</f>
        <v>0</v>
      </c>
      <c r="L479" t="b">
        <f>ISBLANK(Compil[[#This Row],[DESIGNATION]])</f>
        <v>0</v>
      </c>
      <c r="M479" s="359"/>
      <c r="N479" s="358"/>
      <c r="O479" s="358"/>
      <c r="P479" s="358"/>
      <c r="Q479" s="358">
        <f>COUNTIF(Compil[[Ma Désignation ]],Compil[[Ma Désignation ]])</f>
        <v>2</v>
      </c>
    </row>
    <row r="480" spans="1:17" ht="14">
      <c r="A480" s="310">
        <v>475</v>
      </c>
      <c r="B480" s="2"/>
      <c r="C480" s="433"/>
      <c r="D480" t="str">
        <f xml:space="preserve"> TRIM( SUBSTITUTE(SUBSTITUTE(SUBSTITUTE( Compil[[#This Row],[DESIGNATION]],"-",""),"–",""),"*",""))</f>
        <v/>
      </c>
      <c r="E480" s="9"/>
      <c r="F480" s="262"/>
      <c r="G480" s="289" t="s">
        <v>571</v>
      </c>
      <c r="H480" s="164" t="s">
        <v>571</v>
      </c>
      <c r="I480" t="s">
        <v>570</v>
      </c>
      <c r="J480" t="b">
        <f>AND(NOT(Compil[[#This Row],[Est ouvrage]]), NOT(ISBLANK(Compil[[#This Row],[ART.
CCTP]])))</f>
        <v>0</v>
      </c>
      <c r="K480" t="b">
        <f>OR(Compil[[#This Row],[Unité]]="U",Compil[[#This Row],[Unité]]="ens",Compil[[#This Row],[Unité]]="ml")</f>
        <v>0</v>
      </c>
      <c r="L480" t="b">
        <f>ISBLANK(Compil[[#This Row],[DESIGNATION]])</f>
        <v>1</v>
      </c>
      <c r="M480" s="358"/>
      <c r="N480" s="358"/>
      <c r="O480" s="358"/>
      <c r="P480" s="358"/>
      <c r="Q480" s="358">
        <f>COUNTIF(Compil[[Ma Désignation ]],Compil[[Ma Désignation ]])</f>
        <v>306</v>
      </c>
    </row>
    <row r="481" spans="1:17" ht="14">
      <c r="A481" s="310">
        <v>476</v>
      </c>
      <c r="B481" s="2"/>
      <c r="C481" s="430" t="s">
        <v>572</v>
      </c>
      <c r="D481" t="str">
        <f xml:space="preserve"> TRIM( SUBSTITUTE(SUBSTITUTE(SUBSTITUTE( Compil[[#This Row],[DESIGNATION]],"-",""),"–",""),"*",""))</f>
        <v>Appareillages de finition blanche</v>
      </c>
      <c r="E481" s="9"/>
      <c r="F481" s="262"/>
      <c r="G481" s="289" t="s">
        <v>571</v>
      </c>
      <c r="H481" s="164" t="s">
        <v>571</v>
      </c>
      <c r="I481" t="s">
        <v>570</v>
      </c>
      <c r="J481" t="b">
        <f>AND(NOT(Compil[[#This Row],[Est ouvrage]]), NOT(ISBLANK(Compil[[#This Row],[ART.
CCTP]])))</f>
        <v>0</v>
      </c>
      <c r="K481" t="b">
        <f>OR(Compil[[#This Row],[Unité]]="U",Compil[[#This Row],[Unité]]="ens",Compil[[#This Row],[Unité]]="ml")</f>
        <v>0</v>
      </c>
      <c r="L481" t="b">
        <f>ISBLANK(Compil[[#This Row],[DESIGNATION]])</f>
        <v>0</v>
      </c>
      <c r="M481" s="359"/>
      <c r="N481" s="358"/>
      <c r="O481" s="358"/>
      <c r="P481" s="358"/>
      <c r="Q481" s="358">
        <f>COUNTIF(Compil[[Ma Désignation ]],Compil[[Ma Désignation ]])</f>
        <v>9</v>
      </c>
    </row>
    <row r="482" spans="1:17" ht="14">
      <c r="A482" s="303">
        <v>251</v>
      </c>
      <c r="B482" s="2"/>
      <c r="C482" s="224" t="s">
        <v>39</v>
      </c>
      <c r="D482" t="str">
        <f xml:space="preserve"> TRIM( SUBSTITUTE(SUBSTITUTE(SUBSTITUTE( Compil[[#This Row],[DESIGNATION]],"-",""),"–",""),"*",""))</f>
        <v>colonne verticale</v>
      </c>
      <c r="E482" s="193" t="s">
        <v>12</v>
      </c>
      <c r="F482" s="251">
        <v>1</v>
      </c>
      <c r="G482" s="289" t="e">
        <f>IF(F482="","",(((L482*$M$6)+(M482*#REF!*#REF!))*$M$7)/F482)</f>
        <v>#VALUE!</v>
      </c>
      <c r="H482" s="164" t="e">
        <f>IF(F482="","",F482*G482)</f>
        <v>#VALUE!</v>
      </c>
      <c r="I482" t="s">
        <v>580</v>
      </c>
      <c r="J482" t="b">
        <f>AND(NOT(Compil[[#This Row],[Est ouvrage]]), NOT(ISBLANK(Compil[[#This Row],[ART.
CCTP]])))</f>
        <v>0</v>
      </c>
      <c r="K482" t="b">
        <f>OR(Compil[[#This Row],[Unité]]="U",Compil[[#This Row],[Unité]]="ens",Compil[[#This Row],[Unité]]="ml")</f>
        <v>1</v>
      </c>
      <c r="L482" t="b">
        <f>ISBLANK(Compil[[#This Row],[DESIGNATION]])</f>
        <v>0</v>
      </c>
      <c r="M482" s="359"/>
      <c r="N482" s="358"/>
      <c r="O482" s="358"/>
      <c r="P482" s="358"/>
      <c r="Q482" s="358">
        <f>COUNTIF(Compil[[Ma Désignation ]],Compil[[Ma Désignation ]])</f>
        <v>2</v>
      </c>
    </row>
    <row r="483" spans="1:17" ht="14">
      <c r="A483" s="312">
        <v>886</v>
      </c>
      <c r="B483" s="19"/>
      <c r="C483" s="86" t="s">
        <v>39</v>
      </c>
      <c r="D483" t="str">
        <f xml:space="preserve"> TRIM( SUBSTITUTE(SUBSTITUTE(SUBSTITUTE( Compil[[#This Row],[DESIGNATION]],"-",""),"–",""),"*",""))</f>
        <v>colonne verticale</v>
      </c>
      <c r="E483" s="9" t="s">
        <v>12</v>
      </c>
      <c r="F483" s="262">
        <v>1</v>
      </c>
      <c r="G483" s="289">
        <v>0</v>
      </c>
      <c r="H483" s="164">
        <v>0</v>
      </c>
      <c r="I483" t="s">
        <v>578</v>
      </c>
      <c r="J483" t="b">
        <f>AND(NOT(Compil[[#This Row],[Est ouvrage]]), NOT(ISBLANK(Compil[[#This Row],[ART.
CCTP]])))</f>
        <v>0</v>
      </c>
      <c r="K483" t="b">
        <f>OR(Compil[[#This Row],[Unité]]="U",Compil[[#This Row],[Unité]]="ens",Compil[[#This Row],[Unité]]="ml")</f>
        <v>1</v>
      </c>
      <c r="L483" t="b">
        <f>ISBLANK(Compil[[#This Row],[DESIGNATION]])</f>
        <v>0</v>
      </c>
      <c r="M483" s="359"/>
      <c r="N483" s="358"/>
      <c r="O483" s="358"/>
      <c r="P483" s="358"/>
      <c r="Q483" s="358">
        <f>COUNTIF(Compil[[Ma Désignation ]],Compil[[Ma Désignation ]])</f>
        <v>2</v>
      </c>
    </row>
    <row r="484" spans="1:17" ht="14">
      <c r="A484" s="303">
        <v>268</v>
      </c>
      <c r="B484" s="179"/>
      <c r="C484" s="224" t="s">
        <v>42</v>
      </c>
      <c r="D484" t="str">
        <f xml:space="preserve"> TRIM( SUBSTITUTE(SUBSTITUTE(SUBSTITUTE( Compil[[#This Row],[DESIGNATION]],"-",""),"–",""),"*",""))</f>
        <v>colonne vidéophnie verticale</v>
      </c>
      <c r="E484" s="193" t="s">
        <v>12</v>
      </c>
      <c r="F484" s="251">
        <v>1</v>
      </c>
      <c r="G484" s="289" t="e">
        <f>IF(F484="","",(((L484*$M$6)+(M484*#REF!*#REF!))*$M$7)/F484)</f>
        <v>#VALUE!</v>
      </c>
      <c r="H484" s="164" t="e">
        <f>IF(F484="","",F484*G484)</f>
        <v>#VALUE!</v>
      </c>
      <c r="I484" t="s">
        <v>580</v>
      </c>
      <c r="J484" t="b">
        <f>AND(NOT(Compil[[#This Row],[Est ouvrage]]), NOT(ISBLANK(Compil[[#This Row],[ART.
CCTP]])))</f>
        <v>0</v>
      </c>
      <c r="K484" t="b">
        <f>OR(Compil[[#This Row],[Unité]]="U",Compil[[#This Row],[Unité]]="ens",Compil[[#This Row],[Unité]]="ml")</f>
        <v>1</v>
      </c>
      <c r="L484" t="b">
        <f>ISBLANK(Compil[[#This Row],[DESIGNATION]])</f>
        <v>0</v>
      </c>
      <c r="M484" s="359"/>
      <c r="N484" s="358"/>
      <c r="O484" s="358"/>
      <c r="P484" s="358"/>
      <c r="Q484" s="358">
        <f>COUNTIF(Compil[[Ma Désignation ]],Compil[[Ma Désignation ]])</f>
        <v>2</v>
      </c>
    </row>
    <row r="485" spans="1:17" ht="14">
      <c r="A485" s="312">
        <v>903</v>
      </c>
      <c r="B485" s="17"/>
      <c r="C485" s="86" t="s">
        <v>42</v>
      </c>
      <c r="D485" t="str">
        <f xml:space="preserve"> TRIM( SUBSTITUTE(SUBSTITUTE(SUBSTITUTE( Compil[[#This Row],[DESIGNATION]],"-",""),"–",""),"*",""))</f>
        <v>colonne vidéophnie verticale</v>
      </c>
      <c r="E485" s="9" t="s">
        <v>12</v>
      </c>
      <c r="F485" s="262">
        <v>1</v>
      </c>
      <c r="G485" s="289">
        <v>0</v>
      </c>
      <c r="H485" s="164">
        <v>0</v>
      </c>
      <c r="I485" t="s">
        <v>578</v>
      </c>
      <c r="J485" t="b">
        <f>AND(NOT(Compil[[#This Row],[Est ouvrage]]), NOT(ISBLANK(Compil[[#This Row],[ART.
CCTP]])))</f>
        <v>0</v>
      </c>
      <c r="K485" t="b">
        <f>OR(Compil[[#This Row],[Unité]]="U",Compil[[#This Row],[Unité]]="ens",Compil[[#This Row],[Unité]]="ml")</f>
        <v>1</v>
      </c>
      <c r="L485" t="b">
        <f>ISBLANK(Compil[[#This Row],[DESIGNATION]])</f>
        <v>0</v>
      </c>
      <c r="M485" s="359"/>
      <c r="N485" s="358"/>
      <c r="O485" s="358"/>
      <c r="P485" s="358"/>
      <c r="Q485" s="358">
        <f>COUNTIF(Compil[[Ma Désignation ]],Compil[[Ma Désignation ]])</f>
        <v>2</v>
      </c>
    </row>
    <row r="486" spans="1:17" ht="25">
      <c r="A486" s="303">
        <v>270</v>
      </c>
      <c r="B486" s="235"/>
      <c r="C486" s="206" t="s">
        <v>22</v>
      </c>
      <c r="D486" t="str">
        <f xml:space="preserve"> TRIM( SUBSTITUTE(SUBSTITUTE(SUBSTITUTE( Compil[[#This Row],[DESIGNATION]],"-",""),"–",""),"*",""))</f>
        <v>combiné Vidéophone intérieur conforme aux normes handicapés</v>
      </c>
      <c r="E486" s="458" t="s">
        <v>13</v>
      </c>
      <c r="F486" s="252">
        <f>QTE!J184-'BATIMENT SOHO-ELEC 1'!D189</f>
        <v>0</v>
      </c>
      <c r="G486" s="289" t="e">
        <f>IF(F486="","",(((L486*$M$6)+(M486*#REF!*#REF!))*$M$7)/F486)</f>
        <v>#VALUE!</v>
      </c>
      <c r="H486" s="164" t="e">
        <f>IF(F486="","",F486*G486)</f>
        <v>#VALUE!</v>
      </c>
      <c r="I486" t="s">
        <v>580</v>
      </c>
      <c r="J486" t="b">
        <f>AND(NOT(Compil[[#This Row],[Est ouvrage]]), NOT(ISBLANK(Compil[[#This Row],[ART.
CCTP]])))</f>
        <v>0</v>
      </c>
      <c r="K486" t="b">
        <f>OR(Compil[[#This Row],[Unité]]="U",Compil[[#This Row],[Unité]]="ens",Compil[[#This Row],[Unité]]="ml")</f>
        <v>1</v>
      </c>
      <c r="L486" t="b">
        <f>ISBLANK(Compil[[#This Row],[DESIGNATION]])</f>
        <v>0</v>
      </c>
      <c r="M486" s="359"/>
      <c r="N486" s="358"/>
      <c r="O486" s="358"/>
      <c r="P486" s="358"/>
      <c r="Q486" s="358">
        <f>COUNTIF(Compil[[Ma Désignation ]],Compil[[Ma Désignation ]])</f>
        <v>2</v>
      </c>
    </row>
    <row r="487" spans="1:17" ht="25">
      <c r="A487" s="312">
        <v>905</v>
      </c>
      <c r="B487" s="105"/>
      <c r="C487" s="88" t="s">
        <v>22</v>
      </c>
      <c r="D487" t="str">
        <f xml:space="preserve"> TRIM( SUBSTITUTE(SUBSTITUTE(SUBSTITUTE( Compil[[#This Row],[DESIGNATION]],"-",""),"–",""),"*",""))</f>
        <v>combiné Vidéophone intérieur conforme aux normes handicapés</v>
      </c>
      <c r="E487" s="465" t="s">
        <v>13</v>
      </c>
      <c r="F487" s="262">
        <v>12</v>
      </c>
      <c r="G487" s="289">
        <v>0</v>
      </c>
      <c r="H487" s="164">
        <v>0</v>
      </c>
      <c r="I487" t="s">
        <v>578</v>
      </c>
      <c r="J487" t="b">
        <f>AND(NOT(Compil[[#This Row],[Est ouvrage]]), NOT(ISBLANK(Compil[[#This Row],[ART.
CCTP]])))</f>
        <v>0</v>
      </c>
      <c r="K487" t="b">
        <f>OR(Compil[[#This Row],[Unité]]="U",Compil[[#This Row],[Unité]]="ens",Compil[[#This Row],[Unité]]="ml")</f>
        <v>1</v>
      </c>
      <c r="L487" t="b">
        <f>ISBLANK(Compil[[#This Row],[DESIGNATION]])</f>
        <v>0</v>
      </c>
      <c r="M487" s="359"/>
      <c r="N487" s="358"/>
      <c r="O487" s="358"/>
      <c r="P487" s="358"/>
      <c r="Q487" s="358">
        <f>COUNTIF(Compil[[Ma Désignation ]],Compil[[Ma Désignation ]])</f>
        <v>2</v>
      </c>
    </row>
    <row r="488" spans="1:17" ht="14">
      <c r="A488" s="310">
        <v>483</v>
      </c>
      <c r="B488" s="43"/>
      <c r="C488" s="416"/>
      <c r="D488" t="str">
        <f xml:space="preserve"> TRIM( SUBSTITUTE(SUBSTITUTE(SUBSTITUTE( Compil[[#This Row],[DESIGNATION]],"-",""),"–",""),"*",""))</f>
        <v/>
      </c>
      <c r="E488" s="9"/>
      <c r="F488" s="262"/>
      <c r="G488" s="289" t="s">
        <v>571</v>
      </c>
      <c r="H488" s="164" t="s">
        <v>571</v>
      </c>
      <c r="I488" t="s">
        <v>570</v>
      </c>
      <c r="J488" t="b">
        <f>AND(NOT(Compil[[#This Row],[Est ouvrage]]), NOT(ISBLANK(Compil[[#This Row],[ART.
CCTP]])))</f>
        <v>0</v>
      </c>
      <c r="K488" t="b">
        <f>OR(Compil[[#This Row],[Unité]]="U",Compil[[#This Row],[Unité]]="ens",Compil[[#This Row],[Unité]]="ml")</f>
        <v>0</v>
      </c>
      <c r="L488" t="b">
        <f>ISBLANK(Compil[[#This Row],[DESIGNATION]])</f>
        <v>1</v>
      </c>
      <c r="M488" s="358"/>
      <c r="N488" s="358"/>
      <c r="O488" s="358"/>
      <c r="P488" s="358"/>
      <c r="Q488" s="358">
        <f>COUNTIF(Compil[[Ma Désignation ]],Compil[[Ma Désignation ]])</f>
        <v>306</v>
      </c>
    </row>
    <row r="489" spans="1:17" ht="14">
      <c r="A489" s="303">
        <v>180</v>
      </c>
      <c r="B489" s="2"/>
      <c r="C489" s="221" t="s">
        <v>331</v>
      </c>
      <c r="D489" t="str">
        <f xml:space="preserve"> TRIM( SUBSTITUTE(SUBSTITUTE(SUBSTITUTE( Compil[[#This Row],[DESIGNATION]],"-",""),"–",""),"*",""))</f>
        <v>Commandes automatiques de désenfumage (DI)</v>
      </c>
      <c r="E489" s="193" t="s">
        <v>13</v>
      </c>
      <c r="F489" s="252">
        <f>QTE!J193</f>
        <v>209</v>
      </c>
      <c r="G489" s="289" t="e">
        <f>IF(F489="","",(((L489*$M$6)+(M489*#REF!*#REF!))*$M$7)/F489)</f>
        <v>#VALUE!</v>
      </c>
      <c r="H489" s="164" t="e">
        <f>IF(F489="","",F489*G489)</f>
        <v>#VALUE!</v>
      </c>
      <c r="I489" t="s">
        <v>580</v>
      </c>
      <c r="J489" t="b">
        <f>AND(NOT(Compil[[#This Row],[Est ouvrage]]), NOT(ISBLANK(Compil[[#This Row],[ART.
CCTP]])))</f>
        <v>0</v>
      </c>
      <c r="K489" t="b">
        <f>OR(Compil[[#This Row],[Unité]]="U",Compil[[#This Row],[Unité]]="ens",Compil[[#This Row],[Unité]]="ml")</f>
        <v>1</v>
      </c>
      <c r="L489" t="b">
        <f>ISBLANK(Compil[[#This Row],[DESIGNATION]])</f>
        <v>0</v>
      </c>
      <c r="M489" s="359"/>
      <c r="N489" s="358"/>
      <c r="O489" s="358"/>
      <c r="P489" s="358"/>
      <c r="Q489" s="358">
        <f>COUNTIF(Compil[[Ma Désignation ]],Compil[[Ma Désignation ]])</f>
        <v>1</v>
      </c>
    </row>
    <row r="490" spans="1:17" ht="14">
      <c r="A490" s="303">
        <v>181</v>
      </c>
      <c r="B490" s="2"/>
      <c r="C490" s="221" t="s">
        <v>332</v>
      </c>
      <c r="D490" t="str">
        <f xml:space="preserve"> TRIM( SUBSTITUTE(SUBSTITUTE(SUBSTITUTE( Compil[[#This Row],[DESIGNATION]],"-",""),"–",""),"*",""))</f>
        <v>Commandes manuelles de désenfumage</v>
      </c>
      <c r="E490" s="193" t="s">
        <v>13</v>
      </c>
      <c r="F490" s="252">
        <v>2</v>
      </c>
      <c r="G490" s="289" t="e">
        <f>IF(F490="","",(((L490*$M$6)+(M490*#REF!*#REF!))*$M$7)/F490)</f>
        <v>#VALUE!</v>
      </c>
      <c r="H490" s="164" t="e">
        <f>IF(F490="","",F490*G490)</f>
        <v>#VALUE!</v>
      </c>
      <c r="I490" t="s">
        <v>580</v>
      </c>
      <c r="J490" t="b">
        <f>AND(NOT(Compil[[#This Row],[Est ouvrage]]), NOT(ISBLANK(Compil[[#This Row],[ART.
CCTP]])))</f>
        <v>0</v>
      </c>
      <c r="K490" t="b">
        <f>OR(Compil[[#This Row],[Unité]]="U",Compil[[#This Row],[Unité]]="ens",Compil[[#This Row],[Unité]]="ml")</f>
        <v>1</v>
      </c>
      <c r="L490" t="b">
        <f>ISBLANK(Compil[[#This Row],[DESIGNATION]])</f>
        <v>0</v>
      </c>
      <c r="M490" s="359"/>
      <c r="N490" s="358"/>
      <c r="O490" s="358"/>
      <c r="P490" s="358"/>
      <c r="Q490" s="358">
        <f>COUNTIF(Compil[[Ma Désignation ]],Compil[[Ma Désignation ]])</f>
        <v>1</v>
      </c>
    </row>
    <row r="491" spans="1:17" ht="14">
      <c r="A491" s="310">
        <v>361</v>
      </c>
      <c r="B491" s="45"/>
      <c r="C491" s="405" t="s">
        <v>309</v>
      </c>
      <c r="D491" s="357" t="str">
        <f xml:space="preserve"> TRIM( SUBSTITUTE(SUBSTITUTE(SUBSTITUTE( Compil[[#This Row],[DESIGNATION]],"-",""),"–",""),"*",""))</f>
        <v>comptage d'énergie modulaire</v>
      </c>
      <c r="E491" s="48" t="s">
        <v>13</v>
      </c>
      <c r="F491" s="262">
        <v>105</v>
      </c>
      <c r="G491" s="289">
        <v>0</v>
      </c>
      <c r="H491" s="164">
        <v>0</v>
      </c>
      <c r="I491" t="s">
        <v>570</v>
      </c>
      <c r="J491" t="b">
        <f>AND(NOT(Compil[[#This Row],[Est ouvrage]]), NOT(ISBLANK(Compil[[#This Row],[ART.
CCTP]])))</f>
        <v>0</v>
      </c>
      <c r="K491" t="b">
        <f>OR(Compil[[#This Row],[Unité]]="U",Compil[[#This Row],[Unité]]="ens",Compil[[#This Row],[Unité]]="ml")</f>
        <v>1</v>
      </c>
      <c r="L491" t="b">
        <f>ISBLANK(Compil[[#This Row],[DESIGNATION]])</f>
        <v>0</v>
      </c>
      <c r="M491" s="359"/>
      <c r="N491" s="358"/>
      <c r="O491" s="358"/>
      <c r="P491" s="358"/>
      <c r="Q491" s="358">
        <f>COUNTIF(Compil[[Ma Désignation ]],Compil[[Ma Désignation ]])</f>
        <v>1</v>
      </c>
    </row>
    <row r="492" spans="1:17" ht="14">
      <c r="A492" s="303">
        <v>127</v>
      </c>
      <c r="B492" s="2"/>
      <c r="C492" s="206" t="s">
        <v>259</v>
      </c>
      <c r="D492" t="str">
        <f xml:space="preserve"> TRIM( SUBSTITUTE(SUBSTITUTE(SUBSTITUTE( Compil[[#This Row],[DESIGNATION]],"-",""),"–",""),"*",""))</f>
        <v>coupure générale éclairage parking suivant CCTP</v>
      </c>
      <c r="E492" s="193" t="s">
        <v>12</v>
      </c>
      <c r="F492" s="252">
        <v>3</v>
      </c>
      <c r="G492" s="289" t="e">
        <f>IF(F492="","",(((L492*$M$6)+(M492*#REF!*#REF!))*$M$7)/F492)</f>
        <v>#VALUE!</v>
      </c>
      <c r="H492" s="164" t="e">
        <f>IF(F492="","",F492*G492)</f>
        <v>#VALUE!</v>
      </c>
      <c r="I492" t="s">
        <v>580</v>
      </c>
      <c r="J492" t="b">
        <f>AND(NOT(Compil[[#This Row],[Est ouvrage]]), NOT(ISBLANK(Compil[[#This Row],[ART.
CCTP]])))</f>
        <v>0</v>
      </c>
      <c r="K492" t="b">
        <f>OR(Compil[[#This Row],[Unité]]="U",Compil[[#This Row],[Unité]]="ens",Compil[[#This Row],[Unité]]="ml")</f>
        <v>1</v>
      </c>
      <c r="L492" t="b">
        <f>ISBLANK(Compil[[#This Row],[DESIGNATION]])</f>
        <v>0</v>
      </c>
      <c r="M492" s="359"/>
      <c r="N492" s="358"/>
      <c r="O492" s="358"/>
      <c r="P492" s="358"/>
      <c r="Q492" s="358">
        <f>COUNTIF(Compil[[Ma Désignation ]],Compil[[Ma Désignation ]])</f>
        <v>1</v>
      </c>
    </row>
    <row r="493" spans="1:17" ht="28">
      <c r="A493" s="303">
        <v>161</v>
      </c>
      <c r="B493" s="2"/>
      <c r="C493" s="224" t="s">
        <v>38</v>
      </c>
      <c r="D493" t="str">
        <f xml:space="preserve"> TRIM( SUBSTITUTE(SUBSTITUTE(SUBSTITUTE( Compil[[#This Row],[DESIGNATION]],"-",""),"–",""),"*",""))</f>
        <v>crosse en toiture</v>
      </c>
      <c r="E493" s="193" t="s">
        <v>12</v>
      </c>
      <c r="F493" s="252">
        <v>0</v>
      </c>
      <c r="G493" s="289"/>
      <c r="H493" s="164" t="s">
        <v>527</v>
      </c>
      <c r="I493" t="s">
        <v>580</v>
      </c>
      <c r="J493" t="b">
        <f>AND(NOT(Compil[[#This Row],[Est ouvrage]]), NOT(ISBLANK(Compil[[#This Row],[ART.
CCTP]])))</f>
        <v>0</v>
      </c>
      <c r="K493" t="b">
        <f>OR(Compil[[#This Row],[Unité]]="U",Compil[[#This Row],[Unité]]="ens",Compil[[#This Row],[Unité]]="ml")</f>
        <v>1</v>
      </c>
      <c r="L493" t="b">
        <f>ISBLANK(Compil[[#This Row],[DESIGNATION]])</f>
        <v>0</v>
      </c>
      <c r="M493" s="359"/>
      <c r="N493" s="358"/>
      <c r="O493" s="358"/>
      <c r="P493" s="358"/>
      <c r="Q493" s="358">
        <f>COUNTIF(Compil[[Ma Désignation ]],Compil[[Ma Désignation ]])</f>
        <v>4</v>
      </c>
    </row>
    <row r="494" spans="1:17" ht="14">
      <c r="A494" s="312">
        <v>817</v>
      </c>
      <c r="B494" s="19"/>
      <c r="C494" s="86" t="s">
        <v>38</v>
      </c>
      <c r="D494" t="str">
        <f xml:space="preserve"> TRIM( SUBSTITUTE(SUBSTITUTE(SUBSTITUTE( Compil[[#This Row],[DESIGNATION]],"-",""),"–",""),"*",""))</f>
        <v>crosse en toiture</v>
      </c>
      <c r="E494" s="9" t="s">
        <v>12</v>
      </c>
      <c r="F494" s="262"/>
      <c r="G494" s="289" t="s">
        <v>571</v>
      </c>
      <c r="H494" s="164" t="s">
        <v>571</v>
      </c>
      <c r="I494" t="s">
        <v>578</v>
      </c>
      <c r="J494" t="b">
        <f>AND(NOT(Compil[[#This Row],[Est ouvrage]]), NOT(ISBLANK(Compil[[#This Row],[ART.
CCTP]])))</f>
        <v>0</v>
      </c>
      <c r="K494" t="b">
        <f>OR(Compil[[#This Row],[Unité]]="U",Compil[[#This Row],[Unité]]="ens",Compil[[#This Row],[Unité]]="ml")</f>
        <v>1</v>
      </c>
      <c r="L494" t="b">
        <f>ISBLANK(Compil[[#This Row],[DESIGNATION]])</f>
        <v>0</v>
      </c>
      <c r="M494" s="359"/>
      <c r="N494" s="358"/>
      <c r="O494" s="358"/>
      <c r="P494" s="358"/>
      <c r="Q494" s="358">
        <f>COUNTIF(Compil[[Ma Désignation ]],Compil[[Ma Désignation ]])</f>
        <v>4</v>
      </c>
    </row>
    <row r="495" spans="1:17" ht="14">
      <c r="A495" s="310">
        <v>405</v>
      </c>
      <c r="B495" s="43"/>
      <c r="C495" s="416" t="s">
        <v>167</v>
      </c>
      <c r="D495" t="str">
        <f xml:space="preserve"> TRIM( SUBSTITUTE(SUBSTITUTE(SUBSTITUTE( Compil[[#This Row],[DESIGNATION]],"-",""),"–",""),"*",""))</f>
        <v>DAAF suivant CCTP</v>
      </c>
      <c r="E495" s="9" t="s">
        <v>13</v>
      </c>
      <c r="F495" s="262">
        <v>1</v>
      </c>
      <c r="G495" s="289">
        <v>0</v>
      </c>
      <c r="H495" s="164">
        <v>0</v>
      </c>
      <c r="I495" t="s">
        <v>570</v>
      </c>
      <c r="J495" t="b">
        <f>AND(NOT(Compil[[#This Row],[Est ouvrage]]), NOT(ISBLANK(Compil[[#This Row],[ART.
CCTP]])))</f>
        <v>0</v>
      </c>
      <c r="K495" t="b">
        <f>OR(Compil[[#This Row],[Unité]]="U",Compil[[#This Row],[Unité]]="ens",Compil[[#This Row],[Unité]]="ml")</f>
        <v>1</v>
      </c>
      <c r="L495" t="b">
        <f>ISBLANK(Compil[[#This Row],[DESIGNATION]])</f>
        <v>0</v>
      </c>
      <c r="M495" s="359"/>
      <c r="N495" s="358"/>
      <c r="O495" s="358"/>
      <c r="P495" s="358"/>
      <c r="Q495" s="358">
        <f>COUNTIF(Compil[[Ma Désignation ]],Compil[[Ma Désignation ]])</f>
        <v>7</v>
      </c>
    </row>
    <row r="496" spans="1:17" ht="14">
      <c r="A496" s="310">
        <v>459</v>
      </c>
      <c r="B496" s="43"/>
      <c r="C496" s="416" t="s">
        <v>167</v>
      </c>
      <c r="D496" t="str">
        <f xml:space="preserve"> TRIM( SUBSTITUTE(SUBSTITUTE(SUBSTITUTE( Compil[[#This Row],[DESIGNATION]],"-",""),"–",""),"*",""))</f>
        <v>DAAF suivant CCTP</v>
      </c>
      <c r="E496" s="9" t="s">
        <v>13</v>
      </c>
      <c r="F496" s="262">
        <v>1</v>
      </c>
      <c r="G496" s="289">
        <v>0</v>
      </c>
      <c r="H496" s="164">
        <v>0</v>
      </c>
      <c r="I496" t="s">
        <v>570</v>
      </c>
      <c r="J496" t="b">
        <f>AND(NOT(Compil[[#This Row],[Est ouvrage]]), NOT(ISBLANK(Compil[[#This Row],[ART.
CCTP]])))</f>
        <v>0</v>
      </c>
      <c r="K496" t="b">
        <f>OR(Compil[[#This Row],[Unité]]="U",Compil[[#This Row],[Unité]]="ens",Compil[[#This Row],[Unité]]="ml")</f>
        <v>1</v>
      </c>
      <c r="L496" t="b">
        <f>ISBLANK(Compil[[#This Row],[DESIGNATION]])</f>
        <v>0</v>
      </c>
      <c r="M496" s="359"/>
      <c r="N496" s="358"/>
      <c r="O496" s="358"/>
      <c r="P496" s="358"/>
      <c r="Q496" s="358">
        <f>COUNTIF(Compil[[Ma Désignation ]],Compil[[Ma Désignation ]])</f>
        <v>7</v>
      </c>
    </row>
    <row r="497" spans="1:17" ht="14">
      <c r="A497" s="310">
        <v>515</v>
      </c>
      <c r="B497" s="2"/>
      <c r="C497" s="416" t="s">
        <v>167</v>
      </c>
      <c r="D497" t="str">
        <f xml:space="preserve"> TRIM( SUBSTITUTE(SUBSTITUTE(SUBSTITUTE( Compil[[#This Row],[DESIGNATION]],"-",""),"–",""),"*",""))</f>
        <v>DAAF suivant CCTP</v>
      </c>
      <c r="E497" s="9" t="s">
        <v>13</v>
      </c>
      <c r="F497" s="262">
        <v>1</v>
      </c>
      <c r="G497" s="289">
        <v>0</v>
      </c>
      <c r="H497" s="164">
        <v>0</v>
      </c>
      <c r="I497" t="s">
        <v>570</v>
      </c>
      <c r="J497" t="b">
        <f>AND(NOT(Compil[[#This Row],[Est ouvrage]]), NOT(ISBLANK(Compil[[#This Row],[ART.
CCTP]])))</f>
        <v>0</v>
      </c>
      <c r="K497" t="b">
        <f>OR(Compil[[#This Row],[Unité]]="U",Compil[[#This Row],[Unité]]="ens",Compil[[#This Row],[Unité]]="ml")</f>
        <v>1</v>
      </c>
      <c r="L497" t="b">
        <f>ISBLANK(Compil[[#This Row],[DESIGNATION]])</f>
        <v>0</v>
      </c>
      <c r="M497" s="359"/>
      <c r="N497" s="358"/>
      <c r="O497" s="358"/>
      <c r="P497" s="358"/>
      <c r="Q497" s="358">
        <f>COUNTIF(Compil[[Ma Désignation ]],Compil[[Ma Désignation ]])</f>
        <v>7</v>
      </c>
    </row>
    <row r="498" spans="1:17" ht="14">
      <c r="A498" s="310">
        <v>571</v>
      </c>
      <c r="B498" s="43"/>
      <c r="C498" s="416" t="s">
        <v>167</v>
      </c>
      <c r="D498" t="str">
        <f xml:space="preserve"> TRIM( SUBSTITUTE(SUBSTITUTE(SUBSTITUTE( Compil[[#This Row],[DESIGNATION]],"-",""),"–",""),"*",""))</f>
        <v>DAAF suivant CCTP</v>
      </c>
      <c r="E498" s="9" t="s">
        <v>13</v>
      </c>
      <c r="F498" s="262">
        <v>1</v>
      </c>
      <c r="G498" s="289">
        <v>0</v>
      </c>
      <c r="H498" s="164">
        <v>0</v>
      </c>
      <c r="I498" t="s">
        <v>570</v>
      </c>
      <c r="J498" t="b">
        <f>AND(NOT(Compil[[#This Row],[Est ouvrage]]), NOT(ISBLANK(Compil[[#This Row],[ART.
CCTP]])))</f>
        <v>0</v>
      </c>
      <c r="K498" t="b">
        <f>OR(Compil[[#This Row],[Unité]]="U",Compil[[#This Row],[Unité]]="ens",Compil[[#This Row],[Unité]]="ml")</f>
        <v>1</v>
      </c>
      <c r="L498" t="b">
        <f>ISBLANK(Compil[[#This Row],[DESIGNATION]])</f>
        <v>0</v>
      </c>
      <c r="M498" s="359"/>
      <c r="N498" s="358"/>
      <c r="O498" s="358"/>
      <c r="P498" s="358"/>
      <c r="Q498" s="358">
        <f>COUNTIF(Compil[[Ma Désignation ]],Compil[[Ma Désignation ]])</f>
        <v>7</v>
      </c>
    </row>
    <row r="499" spans="1:17" ht="14">
      <c r="A499" s="310">
        <v>494</v>
      </c>
      <c r="B499" s="43"/>
      <c r="C499" s="416"/>
      <c r="D499" t="str">
        <f xml:space="preserve"> TRIM( SUBSTITUTE(SUBSTITUTE(SUBSTITUTE( Compil[[#This Row],[DESIGNATION]],"-",""),"–",""),"*",""))</f>
        <v/>
      </c>
      <c r="E499" s="9"/>
      <c r="F499" s="262"/>
      <c r="G499" s="289" t="s">
        <v>571</v>
      </c>
      <c r="H499" s="164" t="s">
        <v>571</v>
      </c>
      <c r="I499" t="s">
        <v>570</v>
      </c>
      <c r="J499" t="b">
        <f>AND(NOT(Compil[[#This Row],[Est ouvrage]]), NOT(ISBLANK(Compil[[#This Row],[ART.
CCTP]])))</f>
        <v>0</v>
      </c>
      <c r="K499" t="b">
        <f>OR(Compil[[#This Row],[Unité]]="U",Compil[[#This Row],[Unité]]="ens",Compil[[#This Row],[Unité]]="ml")</f>
        <v>0</v>
      </c>
      <c r="L499" t="b">
        <f>ISBLANK(Compil[[#This Row],[DESIGNATION]])</f>
        <v>1</v>
      </c>
      <c r="M499" s="358"/>
      <c r="N499" s="358"/>
      <c r="O499" s="358"/>
      <c r="P499" s="358"/>
      <c r="Q499" s="358">
        <f>COUNTIF(Compil[[Ma Désignation ]],Compil[[Ma Désignation ]])</f>
        <v>306</v>
      </c>
    </row>
    <row r="500" spans="1:17" ht="14">
      <c r="A500" s="310">
        <v>495</v>
      </c>
      <c r="B500" s="43"/>
      <c r="C500" s="430" t="s">
        <v>573</v>
      </c>
      <c r="D500" t="str">
        <f xml:space="preserve"> TRIM( SUBSTITUTE(SUBSTITUTE(SUBSTITUTE( Compil[[#This Row],[DESIGNATION]],"-",""),"–",""),"*",""))</f>
        <v>Appareillages de finition noire</v>
      </c>
      <c r="E500" s="9"/>
      <c r="F500" s="262"/>
      <c r="G500" s="289" t="s">
        <v>571</v>
      </c>
      <c r="H500" s="164" t="s">
        <v>571</v>
      </c>
      <c r="I500" t="s">
        <v>570</v>
      </c>
      <c r="J500" t="b">
        <f>AND(NOT(Compil[[#This Row],[Est ouvrage]]), NOT(ISBLANK(Compil[[#This Row],[ART.
CCTP]])))</f>
        <v>0</v>
      </c>
      <c r="K500" t="b">
        <f>OR(Compil[[#This Row],[Unité]]="U",Compil[[#This Row],[Unité]]="ens",Compil[[#This Row],[Unité]]="ml")</f>
        <v>0</v>
      </c>
      <c r="L500" t="b">
        <f>ISBLANK(Compil[[#This Row],[DESIGNATION]])</f>
        <v>0</v>
      </c>
      <c r="M500" s="359"/>
      <c r="N500" s="358"/>
      <c r="O500" s="358"/>
      <c r="P500" s="358"/>
      <c r="Q500" s="358">
        <f>COUNTIF(Compil[[Ma Désignation ]],Compil[[Ma Désignation ]])</f>
        <v>9</v>
      </c>
    </row>
    <row r="501" spans="1:17" ht="14">
      <c r="A501" s="310">
        <v>627</v>
      </c>
      <c r="B501" s="43"/>
      <c r="C501" s="416" t="s">
        <v>167</v>
      </c>
      <c r="D501" t="str">
        <f xml:space="preserve"> TRIM( SUBSTITUTE(SUBSTITUTE(SUBSTITUTE( Compil[[#This Row],[DESIGNATION]],"-",""),"–",""),"*",""))</f>
        <v>DAAF suivant CCTP</v>
      </c>
      <c r="E501" s="9" t="s">
        <v>13</v>
      </c>
      <c r="F501" s="262">
        <v>1</v>
      </c>
      <c r="G501" s="289">
        <v>0</v>
      </c>
      <c r="H501" s="164">
        <v>0</v>
      </c>
      <c r="I501" t="s">
        <v>570</v>
      </c>
      <c r="J501" t="b">
        <f>AND(NOT(Compil[[#This Row],[Est ouvrage]]), NOT(ISBLANK(Compil[[#This Row],[ART.
CCTP]])))</f>
        <v>0</v>
      </c>
      <c r="K501" t="b">
        <f>OR(Compil[[#This Row],[Unité]]="U",Compil[[#This Row],[Unité]]="ens",Compil[[#This Row],[Unité]]="ml")</f>
        <v>1</v>
      </c>
      <c r="L501" t="b">
        <f>ISBLANK(Compil[[#This Row],[DESIGNATION]])</f>
        <v>0</v>
      </c>
      <c r="M501" s="359"/>
      <c r="N501" s="358"/>
      <c r="O501" s="358"/>
      <c r="P501" s="358"/>
      <c r="Q501" s="358">
        <f>COUNTIF(Compil[[Ma Désignation ]],Compil[[Ma Désignation ]])</f>
        <v>7</v>
      </c>
    </row>
    <row r="502" spans="1:17" ht="14">
      <c r="A502" s="310">
        <v>683</v>
      </c>
      <c r="B502" s="43"/>
      <c r="C502" s="416" t="s">
        <v>167</v>
      </c>
      <c r="D502" t="str">
        <f xml:space="preserve"> TRIM( SUBSTITUTE(SUBSTITUTE(SUBSTITUTE( Compil[[#This Row],[DESIGNATION]],"-",""),"–",""),"*",""))</f>
        <v>DAAF suivant CCTP</v>
      </c>
      <c r="E502" s="9" t="s">
        <v>13</v>
      </c>
      <c r="F502" s="262">
        <v>2</v>
      </c>
      <c r="G502" s="289">
        <v>0</v>
      </c>
      <c r="H502" s="164">
        <v>0</v>
      </c>
      <c r="I502" t="s">
        <v>570</v>
      </c>
      <c r="J502" t="b">
        <f>AND(NOT(Compil[[#This Row],[Est ouvrage]]), NOT(ISBLANK(Compil[[#This Row],[ART.
CCTP]])))</f>
        <v>0</v>
      </c>
      <c r="K502" t="b">
        <f>OR(Compil[[#This Row],[Unité]]="U",Compil[[#This Row],[Unité]]="ens",Compil[[#This Row],[Unité]]="ml")</f>
        <v>1</v>
      </c>
      <c r="L502" t="b">
        <f>ISBLANK(Compil[[#This Row],[DESIGNATION]])</f>
        <v>0</v>
      </c>
      <c r="M502" s="359"/>
      <c r="N502" s="358"/>
      <c r="O502" s="358"/>
      <c r="P502" s="358"/>
      <c r="Q502" s="358">
        <f>COUNTIF(Compil[[Ma Désignation ]],Compil[[Ma Désignation ]])</f>
        <v>7</v>
      </c>
    </row>
    <row r="503" spans="1:17">
      <c r="A503" s="360">
        <v>1037</v>
      </c>
      <c r="B503" s="363"/>
      <c r="C503" s="402" t="s">
        <v>167</v>
      </c>
      <c r="D503" t="str">
        <f xml:space="preserve"> TRIM( SUBSTITUTE(SUBSTITUTE(SUBSTITUTE( Compil[[#This Row],[DESIGNATION]],"-",""),"–",""),"*",""))</f>
        <v>DAAF suivant CCTP</v>
      </c>
      <c r="E503" s="369" t="s">
        <v>13</v>
      </c>
      <c r="F503" s="385">
        <v>1</v>
      </c>
      <c r="G503" s="390">
        <v>0</v>
      </c>
      <c r="H503" s="391">
        <v>0</v>
      </c>
      <c r="I503" t="s">
        <v>579</v>
      </c>
      <c r="J503" t="b">
        <f>AND(NOT(Compil[[#This Row],[Est ouvrage]]), NOT(ISBLANK(Compil[[#This Row],[ART.
CCTP]])))</f>
        <v>0</v>
      </c>
      <c r="K503" t="b">
        <f>OR(Compil[[#This Row],[Unité]]="U",Compil[[#This Row],[Unité]]="ens",Compil[[#This Row],[Unité]]="ml")</f>
        <v>1</v>
      </c>
      <c r="L503" t="b">
        <f>ISBLANK(Compil[[#This Row],[DESIGNATION]])</f>
        <v>0</v>
      </c>
      <c r="M503" s="359"/>
      <c r="N503" s="358"/>
      <c r="O503" s="358"/>
      <c r="P503" s="358"/>
      <c r="Q503" s="358">
        <f>COUNTIF(Compil[[Ma Désignation ]],Compil[[Ma Désignation ]])</f>
        <v>7</v>
      </c>
    </row>
    <row r="504" spans="1:17" ht="14">
      <c r="A504" s="303">
        <v>273</v>
      </c>
      <c r="B504" s="179"/>
      <c r="C504" s="224" t="s">
        <v>46</v>
      </c>
      <c r="D504" t="str">
        <f xml:space="preserve"> TRIM( SUBSTITUTE(SUBSTITUTE(SUBSTITUTE( Compil[[#This Row],[DESIGNATION]],"-",""),"–",""),"*",""))</f>
        <v>Décodeur</v>
      </c>
      <c r="E504" s="193" t="s">
        <v>13</v>
      </c>
      <c r="F504" s="255"/>
      <c r="G504" s="289" t="str">
        <f>IF(F504="","",(((L504*$M$6)+(M504*#REF!*#REF!))*$M$7)/F504)</f>
        <v/>
      </c>
      <c r="H504" s="164" t="str">
        <f>IF(F504="","",F504*G504)</f>
        <v/>
      </c>
      <c r="I504" t="s">
        <v>580</v>
      </c>
      <c r="J504" t="b">
        <f>AND(NOT(Compil[[#This Row],[Est ouvrage]]), NOT(ISBLANK(Compil[[#This Row],[ART.
CCTP]])))</f>
        <v>0</v>
      </c>
      <c r="K504" t="b">
        <f>OR(Compil[[#This Row],[Unité]]="U",Compil[[#This Row],[Unité]]="ens",Compil[[#This Row],[Unité]]="ml")</f>
        <v>1</v>
      </c>
      <c r="L504" t="b">
        <f>ISBLANK(Compil[[#This Row],[DESIGNATION]])</f>
        <v>0</v>
      </c>
      <c r="M504" s="359"/>
      <c r="N504" s="358"/>
      <c r="O504" s="358"/>
      <c r="P504" s="358"/>
      <c r="Q504" s="358">
        <f>COUNTIF(Compil[[Ma Désignation ]],Compil[[Ma Désignation ]])</f>
        <v>2</v>
      </c>
    </row>
    <row r="505" spans="1:17" ht="14">
      <c r="A505" s="312">
        <v>908</v>
      </c>
      <c r="B505" s="17"/>
      <c r="C505" s="86" t="s">
        <v>46</v>
      </c>
      <c r="D505" t="str">
        <f xml:space="preserve"> TRIM( SUBSTITUTE(SUBSTITUTE(SUBSTITUTE( Compil[[#This Row],[DESIGNATION]],"-",""),"–",""),"*",""))</f>
        <v>Décodeur</v>
      </c>
      <c r="E505" s="9" t="s">
        <v>13</v>
      </c>
      <c r="F505" s="262">
        <v>1</v>
      </c>
      <c r="G505" s="289">
        <v>0</v>
      </c>
      <c r="H505" s="164">
        <v>0</v>
      </c>
      <c r="I505" t="s">
        <v>578</v>
      </c>
      <c r="J505" t="b">
        <f>AND(NOT(Compil[[#This Row],[Est ouvrage]]), NOT(ISBLANK(Compil[[#This Row],[ART.
CCTP]])))</f>
        <v>0</v>
      </c>
      <c r="K505" t="b">
        <f>OR(Compil[[#This Row],[Unité]]="U",Compil[[#This Row],[Unité]]="ens",Compil[[#This Row],[Unité]]="ml")</f>
        <v>1</v>
      </c>
      <c r="L505" t="b">
        <f>ISBLANK(Compil[[#This Row],[DESIGNATION]])</f>
        <v>0</v>
      </c>
      <c r="M505" s="359"/>
      <c r="N505" s="358"/>
      <c r="O505" s="358"/>
      <c r="P505" s="358"/>
      <c r="Q505" s="358">
        <f>COUNTIF(Compil[[Ma Désignation ]],Compil[[Ma Désignation ]])</f>
        <v>2</v>
      </c>
    </row>
    <row r="506" spans="1:17" ht="14">
      <c r="A506" s="303">
        <v>309</v>
      </c>
      <c r="B506" s="2"/>
      <c r="C506" s="206" t="s">
        <v>346</v>
      </c>
      <c r="D506" t="str">
        <f xml:space="preserve"> TRIM( SUBSTITUTE(SUBSTITUTE(SUBSTITUTE( Compil[[#This Row],[DESIGNATION]],"-",""),"–",""),"*",""))</f>
        <v>détecteur de luminosité</v>
      </c>
      <c r="E506" s="190" t="s">
        <v>13</v>
      </c>
      <c r="F506" s="252">
        <f>QTE!J123</f>
        <v>0</v>
      </c>
      <c r="G506" s="289" t="e">
        <f>IF(F506="","",(((L506*$M$6)+(M506*#REF!*#REF!))*$M$7)/F506)</f>
        <v>#VALUE!</v>
      </c>
      <c r="H506" s="164" t="e">
        <f>IF(F506="","",F506*G506)</f>
        <v>#VALUE!</v>
      </c>
      <c r="I506" t="s">
        <v>580</v>
      </c>
      <c r="J506" t="b">
        <f>AND(NOT(Compil[[#This Row],[Est ouvrage]]), NOT(ISBLANK(Compil[[#This Row],[ART.
CCTP]])))</f>
        <v>0</v>
      </c>
      <c r="K506" t="b">
        <f>OR(Compil[[#This Row],[Unité]]="U",Compil[[#This Row],[Unité]]="ens",Compil[[#This Row],[Unité]]="ml")</f>
        <v>1</v>
      </c>
      <c r="L506" t="b">
        <f>ISBLANK(Compil[[#This Row],[DESIGNATION]])</f>
        <v>0</v>
      </c>
      <c r="M506" s="359"/>
      <c r="N506" s="358"/>
      <c r="O506" s="358"/>
      <c r="P506" s="358"/>
      <c r="Q506" s="358">
        <f>COUNTIF(Compil[[Ma Désignation ]],Compil[[Ma Désignation ]])</f>
        <v>1</v>
      </c>
    </row>
    <row r="507" spans="1:17" ht="14">
      <c r="A507" s="310">
        <v>502</v>
      </c>
      <c r="B507" s="43"/>
      <c r="C507" s="416"/>
      <c r="D507" t="str">
        <f xml:space="preserve"> TRIM( SUBSTITUTE(SUBSTITUTE(SUBSTITUTE( Compil[[#This Row],[DESIGNATION]],"-",""),"–",""),"*",""))</f>
        <v/>
      </c>
      <c r="E507" s="9"/>
      <c r="F507" s="262"/>
      <c r="G507" s="289" t="s">
        <v>571</v>
      </c>
      <c r="H507" s="164" t="s">
        <v>571</v>
      </c>
      <c r="I507" t="s">
        <v>570</v>
      </c>
      <c r="J507" t="b">
        <f>AND(NOT(Compil[[#This Row],[Est ouvrage]]), NOT(ISBLANK(Compil[[#This Row],[ART.
CCTP]])))</f>
        <v>0</v>
      </c>
      <c r="K507" t="b">
        <f>OR(Compil[[#This Row],[Unité]]="U",Compil[[#This Row],[Unité]]="ens",Compil[[#This Row],[Unité]]="ml")</f>
        <v>0</v>
      </c>
      <c r="L507" t="b">
        <f>ISBLANK(Compil[[#This Row],[DESIGNATION]])</f>
        <v>1</v>
      </c>
      <c r="M507" s="358"/>
      <c r="N507" s="358"/>
      <c r="O507" s="358"/>
      <c r="P507" s="358"/>
      <c r="Q507" s="358">
        <f>COUNTIF(Compil[[Ma Désignation ]],Compil[[Ma Désignation ]])</f>
        <v>306</v>
      </c>
    </row>
    <row r="508" spans="1:17" ht="14">
      <c r="A508" s="303">
        <v>308</v>
      </c>
      <c r="B508" s="2"/>
      <c r="C508" s="206" t="s">
        <v>201</v>
      </c>
      <c r="D508" t="str">
        <f xml:space="preserve"> TRIM( SUBSTITUTE(SUBSTITUTE(SUBSTITUTE( Compil[[#This Row],[DESIGNATION]],"-",""),"–",""),"*",""))</f>
        <v>détecteur de présence + luminosité</v>
      </c>
      <c r="E508" s="190" t="s">
        <v>13</v>
      </c>
      <c r="F508" s="252">
        <f>QTE!J124-'BATIMENT SOHO-ELEC 2'!D201</f>
        <v>-8</v>
      </c>
      <c r="G508" s="289" t="e">
        <f>IF(F508="","",(((L508*$M$6)+(M508*#REF!*#REF!))*$M$7)/F508)</f>
        <v>#VALUE!</v>
      </c>
      <c r="H508" s="164" t="e">
        <f>IF(F508="","",F508*G508)</f>
        <v>#VALUE!</v>
      </c>
      <c r="I508" t="s">
        <v>580</v>
      </c>
      <c r="J508" t="b">
        <f>AND(NOT(Compil[[#This Row],[Est ouvrage]]), NOT(ISBLANK(Compil[[#This Row],[ART.
CCTP]])))</f>
        <v>0</v>
      </c>
      <c r="K508" t="b">
        <f>OR(Compil[[#This Row],[Unité]]="U",Compil[[#This Row],[Unité]]="ens",Compil[[#This Row],[Unité]]="ml")</f>
        <v>1</v>
      </c>
      <c r="L508" t="b">
        <f>ISBLANK(Compil[[#This Row],[DESIGNATION]])</f>
        <v>0</v>
      </c>
      <c r="M508" s="359"/>
      <c r="N508" s="358"/>
      <c r="O508" s="358"/>
      <c r="P508" s="358"/>
      <c r="Q508" s="358">
        <f>COUNTIF(Compil[[Ma Désignation ]],Compil[[Ma Désignation ]])</f>
        <v>2</v>
      </c>
    </row>
    <row r="509" spans="1:17" ht="14">
      <c r="A509" s="312">
        <v>928</v>
      </c>
      <c r="B509" s="19"/>
      <c r="C509" s="88" t="s">
        <v>201</v>
      </c>
      <c r="D509" t="str">
        <f xml:space="preserve"> TRIM( SUBSTITUTE(SUBSTITUTE(SUBSTITUTE( Compil[[#This Row],[DESIGNATION]],"-",""),"–",""),"*",""))</f>
        <v>détecteur de présence + luminosité</v>
      </c>
      <c r="E509" s="8" t="s">
        <v>13</v>
      </c>
      <c r="F509" s="262"/>
      <c r="G509" s="289" t="s">
        <v>571</v>
      </c>
      <c r="H509" s="164" t="s">
        <v>571</v>
      </c>
      <c r="I509" t="s">
        <v>578</v>
      </c>
      <c r="J509" t="b">
        <f>AND(NOT(Compil[[#This Row],[Est ouvrage]]), NOT(ISBLANK(Compil[[#This Row],[ART.
CCTP]])))</f>
        <v>0</v>
      </c>
      <c r="K509" t="b">
        <f>OR(Compil[[#This Row],[Unité]]="U",Compil[[#This Row],[Unité]]="ens",Compil[[#This Row],[Unité]]="ml")</f>
        <v>1</v>
      </c>
      <c r="L509" t="b">
        <f>ISBLANK(Compil[[#This Row],[DESIGNATION]])</f>
        <v>0</v>
      </c>
      <c r="M509" s="359"/>
      <c r="N509" s="358"/>
      <c r="O509" s="358"/>
      <c r="P509" s="358"/>
      <c r="Q509" s="358">
        <f>COUNTIF(Compil[[Ma Désignation ]],Compil[[Ma Désignation ]])</f>
        <v>2</v>
      </c>
    </row>
    <row r="510" spans="1:17" ht="14">
      <c r="A510" s="303">
        <v>307</v>
      </c>
      <c r="B510" s="2"/>
      <c r="C510" s="206" t="s">
        <v>98</v>
      </c>
      <c r="D510" t="str">
        <f xml:space="preserve"> TRIM( SUBSTITUTE(SUBSTITUTE(SUBSTITUTE( Compil[[#This Row],[DESIGNATION]],"-",""),"–",""),"*",""))</f>
        <v>détecteur de présence encastré circulations logements</v>
      </c>
      <c r="E510" s="190" t="s">
        <v>13</v>
      </c>
      <c r="F510" s="252">
        <f>QTE!J126</f>
        <v>0</v>
      </c>
      <c r="G510" s="289" t="e">
        <f>IF(F510="","",(((L510*$M$6)+(M510*#REF!*#REF!))*$M$7)/F510)</f>
        <v>#VALUE!</v>
      </c>
      <c r="H510" s="164" t="e">
        <f>IF(F510="","",F510*G510)</f>
        <v>#VALUE!</v>
      </c>
      <c r="I510" t="s">
        <v>580</v>
      </c>
      <c r="J510" t="b">
        <f>AND(NOT(Compil[[#This Row],[Est ouvrage]]), NOT(ISBLANK(Compil[[#This Row],[ART.
CCTP]])))</f>
        <v>0</v>
      </c>
      <c r="K510" t="b">
        <f>OR(Compil[[#This Row],[Unité]]="U",Compil[[#This Row],[Unité]]="ens",Compil[[#This Row],[Unité]]="ml")</f>
        <v>1</v>
      </c>
      <c r="L510" t="b">
        <f>ISBLANK(Compil[[#This Row],[DESIGNATION]])</f>
        <v>0</v>
      </c>
      <c r="M510" s="359"/>
      <c r="N510" s="358"/>
      <c r="O510" s="358"/>
      <c r="P510" s="358"/>
      <c r="Q510" s="358">
        <f>COUNTIF(Compil[[Ma Désignation ]],Compil[[Ma Désignation ]])</f>
        <v>2</v>
      </c>
    </row>
    <row r="511" spans="1:17" ht="14">
      <c r="A511" s="312">
        <v>927</v>
      </c>
      <c r="B511" s="19"/>
      <c r="C511" s="88" t="s">
        <v>98</v>
      </c>
      <c r="D511" t="str">
        <f xml:space="preserve"> TRIM( SUBSTITUTE(SUBSTITUTE(SUBSTITUTE( Compil[[#This Row],[DESIGNATION]],"-",""),"–",""),"*",""))</f>
        <v>détecteur de présence encastré circulations logements</v>
      </c>
      <c r="E511" s="8" t="s">
        <v>13</v>
      </c>
      <c r="F511" s="262"/>
      <c r="G511" s="289" t="s">
        <v>571</v>
      </c>
      <c r="H511" s="164" t="s">
        <v>571</v>
      </c>
      <c r="I511" t="s">
        <v>578</v>
      </c>
      <c r="J511" t="b">
        <f>AND(NOT(Compil[[#This Row],[Est ouvrage]]), NOT(ISBLANK(Compil[[#This Row],[ART.
CCTP]])))</f>
        <v>0</v>
      </c>
      <c r="K511" t="b">
        <f>OR(Compil[[#This Row],[Unité]]="U",Compil[[#This Row],[Unité]]="ens",Compil[[#This Row],[Unité]]="ml")</f>
        <v>1</v>
      </c>
      <c r="L511" t="b">
        <f>ISBLANK(Compil[[#This Row],[DESIGNATION]])</f>
        <v>0</v>
      </c>
      <c r="M511" s="359"/>
      <c r="N511" s="358"/>
      <c r="O511" s="358"/>
      <c r="P511" s="358"/>
      <c r="Q511" s="358">
        <f>COUNTIF(Compil[[Ma Désignation ]],Compil[[Ma Désignation ]])</f>
        <v>2</v>
      </c>
    </row>
    <row r="512" spans="1:17" ht="14">
      <c r="A512" s="303">
        <v>310</v>
      </c>
      <c r="B512" s="2"/>
      <c r="C512" s="206" t="s">
        <v>203</v>
      </c>
      <c r="D512" t="str">
        <f xml:space="preserve"> TRIM( SUBSTITUTE(SUBSTITUTE(SUBSTITUTE( Compil[[#This Row],[DESIGNATION]],"-",""),"–",""),"*",""))</f>
        <v>détecteur de présence saillie</v>
      </c>
      <c r="E512" s="190" t="s">
        <v>13</v>
      </c>
      <c r="F512" s="252">
        <f>QTE!J127-'BATIMENT SOHO-ELEC 1'!D213+QTE!J125</f>
        <v>-1</v>
      </c>
      <c r="G512" s="289" t="e">
        <f>IF(F512="","",(((L512*$M$6)+(M512*#REF!*#REF!))*$M$7)/F512)</f>
        <v>#VALUE!</v>
      </c>
      <c r="H512" s="164" t="e">
        <f>IF(F512="","",F512*G512)</f>
        <v>#VALUE!</v>
      </c>
      <c r="I512" t="s">
        <v>580</v>
      </c>
      <c r="J512" t="b">
        <f>AND(NOT(Compil[[#This Row],[Est ouvrage]]), NOT(ISBLANK(Compil[[#This Row],[ART.
CCTP]])))</f>
        <v>0</v>
      </c>
      <c r="K512" t="b">
        <f>OR(Compil[[#This Row],[Unité]]="U",Compil[[#This Row],[Unité]]="ens",Compil[[#This Row],[Unité]]="ml")</f>
        <v>1</v>
      </c>
      <c r="L512" t="b">
        <f>ISBLANK(Compil[[#This Row],[DESIGNATION]])</f>
        <v>0</v>
      </c>
      <c r="M512" s="359"/>
      <c r="N512" s="358"/>
      <c r="O512" s="358"/>
      <c r="P512" s="358"/>
      <c r="Q512" s="358">
        <f>COUNTIF(Compil[[Ma Désignation ]],Compil[[Ma Désignation ]])</f>
        <v>2</v>
      </c>
    </row>
    <row r="513" spans="1:17" ht="14">
      <c r="A513" s="312">
        <v>929</v>
      </c>
      <c r="B513" s="19"/>
      <c r="C513" s="88" t="s">
        <v>203</v>
      </c>
      <c r="D513" t="str">
        <f xml:space="preserve"> TRIM( SUBSTITUTE(SUBSTITUTE(SUBSTITUTE( Compil[[#This Row],[DESIGNATION]],"-",""),"–",""),"*",""))</f>
        <v>détecteur de présence saillie</v>
      </c>
      <c r="E513" s="8" t="s">
        <v>13</v>
      </c>
      <c r="F513" s="262">
        <v>9</v>
      </c>
      <c r="G513" s="289">
        <v>0</v>
      </c>
      <c r="H513" s="164">
        <v>0</v>
      </c>
      <c r="I513" t="s">
        <v>578</v>
      </c>
      <c r="J513" t="b">
        <f>AND(NOT(Compil[[#This Row],[Est ouvrage]]), NOT(ISBLANK(Compil[[#This Row],[ART.
CCTP]])))</f>
        <v>0</v>
      </c>
      <c r="K513" t="b">
        <f>OR(Compil[[#This Row],[Unité]]="U",Compil[[#This Row],[Unité]]="ens",Compil[[#This Row],[Unité]]="ml")</f>
        <v>1</v>
      </c>
      <c r="L513" t="b">
        <f>ISBLANK(Compil[[#This Row],[DESIGNATION]])</f>
        <v>0</v>
      </c>
      <c r="M513" s="359"/>
      <c r="N513" s="358"/>
      <c r="O513" s="358"/>
      <c r="P513" s="358"/>
      <c r="Q513" s="358">
        <f>COUNTIF(Compil[[Ma Désignation ]],Compil[[Ma Désignation ]])</f>
        <v>2</v>
      </c>
    </row>
    <row r="514" spans="1:17" ht="14">
      <c r="A514" s="303">
        <v>311</v>
      </c>
      <c r="B514" s="2"/>
      <c r="C514" s="206" t="s">
        <v>202</v>
      </c>
      <c r="D514" t="str">
        <f xml:space="preserve"> TRIM( SUBSTITUTE(SUBSTITUTE(SUBSTITUTE( Compil[[#This Row],[DESIGNATION]],"-",""),"–",""),"*",""))</f>
        <v>détecteur de présence saillie étanche</v>
      </c>
      <c r="E514" s="190" t="s">
        <v>13</v>
      </c>
      <c r="F514" s="252">
        <f>QTE!J128</f>
        <v>0</v>
      </c>
      <c r="G514" s="289" t="e">
        <f>IF(F514="","",(((L514*$M$6)+(M514*#REF!*#REF!))*$M$7)/F514)</f>
        <v>#VALUE!</v>
      </c>
      <c r="H514" s="164" t="e">
        <f>IF(F514="","",F514*G514)</f>
        <v>#VALUE!</v>
      </c>
      <c r="I514" t="s">
        <v>580</v>
      </c>
      <c r="J514" t="b">
        <f>AND(NOT(Compil[[#This Row],[Est ouvrage]]), NOT(ISBLANK(Compil[[#This Row],[ART.
CCTP]])))</f>
        <v>0</v>
      </c>
      <c r="K514" t="b">
        <f>OR(Compil[[#This Row],[Unité]]="U",Compil[[#This Row],[Unité]]="ens",Compil[[#This Row],[Unité]]="ml")</f>
        <v>1</v>
      </c>
      <c r="L514" t="b">
        <f>ISBLANK(Compil[[#This Row],[DESIGNATION]])</f>
        <v>0</v>
      </c>
      <c r="M514" s="359"/>
      <c r="N514" s="358"/>
      <c r="O514" s="358"/>
      <c r="P514" s="358"/>
      <c r="Q514" s="358">
        <f>COUNTIF(Compil[[Ma Désignation ]],Compil[[Ma Désignation ]])</f>
        <v>2</v>
      </c>
    </row>
    <row r="515" spans="1:17" ht="14">
      <c r="A515" s="312">
        <v>930</v>
      </c>
      <c r="B515" s="19"/>
      <c r="C515" s="88" t="s">
        <v>202</v>
      </c>
      <c r="D515" t="str">
        <f xml:space="preserve"> TRIM( SUBSTITUTE(SUBSTITUTE(SUBSTITUTE( Compil[[#This Row],[DESIGNATION]],"-",""),"–",""),"*",""))</f>
        <v>détecteur de présence saillie étanche</v>
      </c>
      <c r="E515" s="8" t="s">
        <v>13</v>
      </c>
      <c r="F515" s="262"/>
      <c r="G515" s="289" t="s">
        <v>571</v>
      </c>
      <c r="H515" s="164" t="s">
        <v>571</v>
      </c>
      <c r="I515" t="s">
        <v>578</v>
      </c>
      <c r="J515" t="b">
        <f>AND(NOT(Compil[[#This Row],[Est ouvrage]]), NOT(ISBLANK(Compil[[#This Row],[ART.
CCTP]])))</f>
        <v>0</v>
      </c>
      <c r="K515" t="b">
        <f>OR(Compil[[#This Row],[Unité]]="U",Compil[[#This Row],[Unité]]="ens",Compil[[#This Row],[Unité]]="ml")</f>
        <v>1</v>
      </c>
      <c r="L515" t="b">
        <f>ISBLANK(Compil[[#This Row],[DESIGNATION]])</f>
        <v>0</v>
      </c>
      <c r="M515" s="359"/>
      <c r="N515" s="358"/>
      <c r="O515" s="358"/>
      <c r="P515" s="358"/>
      <c r="Q515" s="358">
        <f>COUNTIF(Compil[[Ma Désignation ]],Compil[[Ma Désignation ]])</f>
        <v>2</v>
      </c>
    </row>
    <row r="516" spans="1:17" ht="14">
      <c r="A516" s="312">
        <v>961</v>
      </c>
      <c r="B516" s="19"/>
      <c r="C516" s="86" t="s">
        <v>435</v>
      </c>
      <c r="D516" t="str">
        <f xml:space="preserve"> TRIM( SUBSTITUTE(SUBSTITUTE(SUBSTITUTE( Compil[[#This Row],[DESIGNATION]],"-",""),"–",""),"*",""))</f>
        <v>diffuseur 2 tons</v>
      </c>
      <c r="E516" s="8" t="s">
        <v>13</v>
      </c>
      <c r="F516" s="262">
        <v>3</v>
      </c>
      <c r="G516" s="289">
        <v>0</v>
      </c>
      <c r="H516" s="164">
        <v>0</v>
      </c>
      <c r="I516" t="s">
        <v>578</v>
      </c>
      <c r="J516" t="b">
        <f>AND(NOT(Compil[[#This Row],[Est ouvrage]]), NOT(ISBLANK(Compil[[#This Row],[ART.
CCTP]])))</f>
        <v>0</v>
      </c>
      <c r="K516" t="b">
        <f>OR(Compil[[#This Row],[Unité]]="U",Compil[[#This Row],[Unité]]="ens",Compil[[#This Row],[Unité]]="ml")</f>
        <v>1</v>
      </c>
      <c r="L516" t="b">
        <f>ISBLANK(Compil[[#This Row],[DESIGNATION]])</f>
        <v>0</v>
      </c>
      <c r="M516" s="359"/>
      <c r="N516" s="358"/>
      <c r="O516" s="358"/>
      <c r="P516" s="358"/>
      <c r="Q516" s="358">
        <f>COUNTIF(Compil[[Ma Désignation ]],Compil[[Ma Désignation ]])</f>
        <v>2</v>
      </c>
    </row>
    <row r="517" spans="1:17">
      <c r="A517" s="360">
        <v>1145</v>
      </c>
      <c r="B517" s="363"/>
      <c r="C517" s="402" t="s">
        <v>435</v>
      </c>
      <c r="D517" t="str">
        <f xml:space="preserve"> TRIM( SUBSTITUTE(SUBSTITUTE(SUBSTITUTE( Compil[[#This Row],[DESIGNATION]],"-",""),"–",""),"*",""))</f>
        <v>diffuseur 2 tons</v>
      </c>
      <c r="E517" s="369" t="s">
        <v>13</v>
      </c>
      <c r="F517" s="385"/>
      <c r="G517" s="390" t="s">
        <v>571</v>
      </c>
      <c r="H517" s="391" t="s">
        <v>571</v>
      </c>
      <c r="I517" t="s">
        <v>579</v>
      </c>
      <c r="J517" t="b">
        <f>AND(NOT(Compil[[#This Row],[Est ouvrage]]), NOT(ISBLANK(Compil[[#This Row],[ART.
CCTP]])))</f>
        <v>0</v>
      </c>
      <c r="K517" t="b">
        <f>OR(Compil[[#This Row],[Unité]]="U",Compil[[#This Row],[Unité]]="ens",Compil[[#This Row],[Unité]]="ml")</f>
        <v>1</v>
      </c>
      <c r="L517" t="b">
        <f>ISBLANK(Compil[[#This Row],[DESIGNATION]])</f>
        <v>0</v>
      </c>
      <c r="M517" s="359"/>
      <c r="N517" s="358"/>
      <c r="O517" s="358"/>
      <c r="P517" s="358"/>
      <c r="Q517" s="358">
        <f>COUNTIF(Compil[[Ma Désignation ]],Compil[[Ma Désignation ]])</f>
        <v>2</v>
      </c>
    </row>
    <row r="518" spans="1:17" ht="14">
      <c r="A518" s="310">
        <v>513</v>
      </c>
      <c r="B518" s="2"/>
      <c r="C518" s="416"/>
      <c r="D518" t="str">
        <f xml:space="preserve"> TRIM( SUBSTITUTE(SUBSTITUTE(SUBSTITUTE( Compil[[#This Row],[DESIGNATION]],"-",""),"–",""),"*",""))</f>
        <v/>
      </c>
      <c r="E518" s="9"/>
      <c r="F518" s="262"/>
      <c r="G518" s="289" t="s">
        <v>571</v>
      </c>
      <c r="H518" s="164" t="s">
        <v>571</v>
      </c>
      <c r="I518" t="s">
        <v>570</v>
      </c>
      <c r="J518" t="b">
        <f>AND(NOT(Compil[[#This Row],[Est ouvrage]]), NOT(ISBLANK(Compil[[#This Row],[ART.
CCTP]])))</f>
        <v>0</v>
      </c>
      <c r="K518" t="b">
        <f>OR(Compil[[#This Row],[Unité]]="U",Compil[[#This Row],[Unité]]="ens",Compil[[#This Row],[Unité]]="ml")</f>
        <v>0</v>
      </c>
      <c r="L518" t="b">
        <f>ISBLANK(Compil[[#This Row],[DESIGNATION]])</f>
        <v>1</v>
      </c>
      <c r="M518" s="358"/>
      <c r="N518" s="358"/>
      <c r="O518" s="358"/>
      <c r="P518" s="358"/>
      <c r="Q518" s="358">
        <f>COUNTIF(Compil[[Ma Désignation ]],Compil[[Ma Désignation ]])</f>
        <v>306</v>
      </c>
    </row>
    <row r="519" spans="1:17" ht="14">
      <c r="A519" s="312">
        <v>962</v>
      </c>
      <c r="B519" s="19"/>
      <c r="C519" s="86" t="s">
        <v>441</v>
      </c>
      <c r="D519" t="str">
        <f xml:space="preserve"> TRIM( SUBSTITUTE(SUBSTITUTE(SUBSTITUTE( Compil[[#This Row],[DESIGNATION]],"-",""),"–",""),"*",""))</f>
        <v>diffuseur sonore avec voyant lumineux (flash)</v>
      </c>
      <c r="E519" s="8" t="s">
        <v>13</v>
      </c>
      <c r="F519" s="262">
        <v>5</v>
      </c>
      <c r="G519" s="289">
        <v>0</v>
      </c>
      <c r="H519" s="164">
        <v>0</v>
      </c>
      <c r="I519" t="s">
        <v>578</v>
      </c>
      <c r="J519" t="b">
        <f>AND(NOT(Compil[[#This Row],[Est ouvrage]]), NOT(ISBLANK(Compil[[#This Row],[ART.
CCTP]])))</f>
        <v>0</v>
      </c>
      <c r="K519" t="b">
        <f>OR(Compil[[#This Row],[Unité]]="U",Compil[[#This Row],[Unité]]="ens",Compil[[#This Row],[Unité]]="ml")</f>
        <v>1</v>
      </c>
      <c r="L519" t="b">
        <f>ISBLANK(Compil[[#This Row],[DESIGNATION]])</f>
        <v>0</v>
      </c>
      <c r="M519" s="359"/>
      <c r="N519" s="358"/>
      <c r="O519" s="358"/>
      <c r="P519" s="358"/>
      <c r="Q519" s="358">
        <f>COUNTIF(Compil[[Ma Désignation ]],Compil[[Ma Désignation ]])</f>
        <v>2</v>
      </c>
    </row>
    <row r="520" spans="1:17">
      <c r="A520" s="360">
        <v>1146</v>
      </c>
      <c r="B520" s="363"/>
      <c r="C520" s="402" t="s">
        <v>441</v>
      </c>
      <c r="D520" t="str">
        <f xml:space="preserve"> TRIM( SUBSTITUTE(SUBSTITUTE(SUBSTITUTE( Compil[[#This Row],[DESIGNATION]],"-",""),"–",""),"*",""))</f>
        <v>diffuseur sonore avec voyant lumineux (flash)</v>
      </c>
      <c r="E520" s="369" t="s">
        <v>13</v>
      </c>
      <c r="F520" s="385"/>
      <c r="G520" s="390" t="s">
        <v>571</v>
      </c>
      <c r="H520" s="391" t="s">
        <v>571</v>
      </c>
      <c r="I520" t="s">
        <v>579</v>
      </c>
      <c r="J520" t="b">
        <f>AND(NOT(Compil[[#This Row],[Est ouvrage]]), NOT(ISBLANK(Compil[[#This Row],[ART.
CCTP]])))</f>
        <v>0</v>
      </c>
      <c r="K520" t="b">
        <f>OR(Compil[[#This Row],[Unité]]="U",Compil[[#This Row],[Unité]]="ens",Compil[[#This Row],[Unité]]="ml")</f>
        <v>1</v>
      </c>
      <c r="L520" t="b">
        <f>ISBLANK(Compil[[#This Row],[DESIGNATION]])</f>
        <v>0</v>
      </c>
      <c r="M520" s="359"/>
      <c r="N520" s="358"/>
      <c r="O520" s="358"/>
      <c r="P520" s="358"/>
      <c r="Q520" s="358">
        <f>COUNTIF(Compil[[Ma Désignation ]],Compil[[Ma Désignation ]])</f>
        <v>2</v>
      </c>
    </row>
    <row r="521" spans="1:17" ht="14">
      <c r="A521" s="310">
        <v>516</v>
      </c>
      <c r="B521" s="2"/>
      <c r="C521" s="416"/>
      <c r="D521" t="str">
        <f xml:space="preserve"> TRIM( SUBSTITUTE(SUBSTITUTE(SUBSTITUTE( Compil[[#This Row],[DESIGNATION]],"-",""),"–",""),"*",""))</f>
        <v/>
      </c>
      <c r="E521" s="9"/>
      <c r="F521" s="262"/>
      <c r="G521" s="289" t="s">
        <v>571</v>
      </c>
      <c r="H521" s="164" t="s">
        <v>571</v>
      </c>
      <c r="I521" t="s">
        <v>570</v>
      </c>
      <c r="J521" t="b">
        <f>AND(NOT(Compil[[#This Row],[Est ouvrage]]), NOT(ISBLANK(Compil[[#This Row],[ART.
CCTP]])))</f>
        <v>0</v>
      </c>
      <c r="K521" t="b">
        <f>OR(Compil[[#This Row],[Unité]]="U",Compil[[#This Row],[Unité]]="ens",Compil[[#This Row],[Unité]]="ml")</f>
        <v>0</v>
      </c>
      <c r="L521" t="b">
        <f>ISBLANK(Compil[[#This Row],[DESIGNATION]])</f>
        <v>1</v>
      </c>
      <c r="M521" s="358"/>
      <c r="N521" s="358"/>
      <c r="O521" s="358"/>
      <c r="P521" s="358"/>
      <c r="Q521" s="358">
        <f>COUNTIF(Compil[[Ma Désignation ]],Compil[[Ma Désignation ]])</f>
        <v>306</v>
      </c>
    </row>
    <row r="522" spans="1:17" ht="25">
      <c r="A522" s="303">
        <v>27</v>
      </c>
      <c r="B522" s="202"/>
      <c r="C522" s="406" t="s">
        <v>214</v>
      </c>
      <c r="D522" s="357" t="str">
        <f xml:space="preserve"> TRIM( SUBSTITUTE(SUBSTITUTE(SUBSTITUTE( Compil[[#This Row],[DESIGNATION]],"-",""),"–",""),"*",""))</f>
        <v>disjoncteur de branchement avec relais différentielle réglable et temporisé en TGBT des parkings</v>
      </c>
      <c r="E522" s="381" t="s">
        <v>13</v>
      </c>
      <c r="F522" s="252">
        <v>1</v>
      </c>
      <c r="G522" s="289" t="e">
        <f>IF(F522="","",(((L522*$M$6)+(M522*#REF!*#REF!))*$M$7)/F522)</f>
        <v>#VALUE!</v>
      </c>
      <c r="H522" s="164" t="e">
        <f>IF(F522="","",F522*G522)</f>
        <v>#VALUE!</v>
      </c>
      <c r="I522" t="s">
        <v>580</v>
      </c>
      <c r="J522" t="b">
        <f>AND(NOT(Compil[[#This Row],[Est ouvrage]]), NOT(ISBLANK(Compil[[#This Row],[ART.
CCTP]])))</f>
        <v>0</v>
      </c>
      <c r="K522" t="b">
        <f>OR(Compil[[#This Row],[Unité]]="U",Compil[[#This Row],[Unité]]="ens",Compil[[#This Row],[Unité]]="ml")</f>
        <v>1</v>
      </c>
      <c r="L522" t="b">
        <f>ISBLANK(Compil[[#This Row],[DESIGNATION]])</f>
        <v>0</v>
      </c>
      <c r="M522" s="359"/>
      <c r="N522" s="358"/>
      <c r="O522" s="358"/>
      <c r="P522" s="358"/>
      <c r="Q522" s="358">
        <f>COUNTIF(Compil[[Ma Désignation ]],Compil[[Ma Désignation ]])</f>
        <v>1</v>
      </c>
    </row>
    <row r="523" spans="1:17" ht="25">
      <c r="A523" s="303">
        <v>28</v>
      </c>
      <c r="B523" s="202"/>
      <c r="C523" s="406" t="s">
        <v>216</v>
      </c>
      <c r="D523" s="357" t="str">
        <f xml:space="preserve"> TRIM( SUBSTITUTE(SUBSTITUTE(SUBSTITUTE( Compil[[#This Row],[DESIGNATION]],"-",""),"–",""),"*",""))</f>
        <v>disjoncteur de branchement avec relais différentielle réglable et temporisé en TGBT des SG bâtiment G2</v>
      </c>
      <c r="E523" s="381" t="s">
        <v>13</v>
      </c>
      <c r="F523" s="252">
        <v>1</v>
      </c>
      <c r="G523" s="289" t="e">
        <f>IF(F523="","",(((L523*$M$6)+(M523*#REF!*#REF!))*$M$7)/F523)</f>
        <v>#VALUE!</v>
      </c>
      <c r="H523" s="164" t="e">
        <f>IF(F523="","",F523*G523)</f>
        <v>#VALUE!</v>
      </c>
      <c r="I523" t="s">
        <v>580</v>
      </c>
      <c r="J523" t="b">
        <f>AND(NOT(Compil[[#This Row],[Est ouvrage]]), NOT(ISBLANK(Compil[[#This Row],[ART.
CCTP]])))</f>
        <v>0</v>
      </c>
      <c r="K523" t="b">
        <f>OR(Compil[[#This Row],[Unité]]="U",Compil[[#This Row],[Unité]]="ens",Compil[[#This Row],[Unité]]="ml")</f>
        <v>1</v>
      </c>
      <c r="L523" t="b">
        <f>ISBLANK(Compil[[#This Row],[DESIGNATION]])</f>
        <v>0</v>
      </c>
      <c r="M523" s="359"/>
      <c r="N523" s="358"/>
      <c r="O523" s="358"/>
      <c r="P523" s="358"/>
      <c r="Q523" s="358">
        <f>COUNTIF(Compil[[Ma Désignation ]],Compil[[Ma Désignation ]])</f>
        <v>1</v>
      </c>
    </row>
    <row r="524" spans="1:17" ht="14">
      <c r="A524" s="312">
        <v>749</v>
      </c>
      <c r="B524" s="19"/>
      <c r="C524" s="407" t="s">
        <v>251</v>
      </c>
      <c r="D524" t="str">
        <f xml:space="preserve"> TRIM( SUBSTITUTE(SUBSTITUTE(SUBSTITUTE( Compil[[#This Row],[DESIGNATION]],"-",""),"–",""),"*",""))</f>
        <v>Distributeurs d'arrivée 200A (pieds de colonne)</v>
      </c>
      <c r="E524" s="102" t="s">
        <v>12</v>
      </c>
      <c r="F524" s="262">
        <v>2</v>
      </c>
      <c r="G524" s="289">
        <v>0</v>
      </c>
      <c r="H524" s="164">
        <v>0</v>
      </c>
      <c r="I524" t="s">
        <v>578</v>
      </c>
      <c r="J524" t="b">
        <f>AND(NOT(Compil[[#This Row],[Est ouvrage]]), NOT(ISBLANK(Compil[[#This Row],[ART.
CCTP]])))</f>
        <v>0</v>
      </c>
      <c r="K524" t="b">
        <f>OR(Compil[[#This Row],[Unité]]="U",Compil[[#This Row],[Unité]]="ens",Compil[[#This Row],[Unité]]="ml")</f>
        <v>1</v>
      </c>
      <c r="L524" t="b">
        <f>ISBLANK(Compil[[#This Row],[DESIGNATION]])</f>
        <v>0</v>
      </c>
      <c r="M524" s="359"/>
      <c r="N524" s="358"/>
      <c r="O524" s="358"/>
      <c r="P524" s="358"/>
      <c r="Q524" s="358">
        <f>COUNTIF(Compil[[Ma Désignation ]],Compil[[Ma Désignation ]])</f>
        <v>1</v>
      </c>
    </row>
    <row r="525" spans="1:17" ht="14">
      <c r="A525" s="303">
        <v>59</v>
      </c>
      <c r="B525" s="2"/>
      <c r="C525" s="408" t="s">
        <v>461</v>
      </c>
      <c r="D525" t="str">
        <f xml:space="preserve"> TRIM( SUBSTITUTE(SUBSTITUTE(SUBSTITUTE( Compil[[#This Row],[DESIGNATION]],"-",""),"–",""),"*",""))</f>
        <v>Distributeurs d'arrivée 400A (pieds de colonne)</v>
      </c>
      <c r="E525" s="208" t="s">
        <v>12</v>
      </c>
      <c r="F525" s="252">
        <v>2</v>
      </c>
      <c r="G525" s="289" t="e">
        <f>IF(F525="","",(((L525*$M$6)+(M525*#REF!*#REF!))*$M$7)/F525)</f>
        <v>#VALUE!</v>
      </c>
      <c r="H525" s="164" t="e">
        <f>IF(F525="","",F525*G525)</f>
        <v>#VALUE!</v>
      </c>
      <c r="I525" t="s">
        <v>580</v>
      </c>
      <c r="J525" t="b">
        <f>AND(NOT(Compil[[#This Row],[Est ouvrage]]), NOT(ISBLANK(Compil[[#This Row],[ART.
CCTP]])))</f>
        <v>0</v>
      </c>
      <c r="K525" t="b">
        <f>OR(Compil[[#This Row],[Unité]]="U",Compil[[#This Row],[Unité]]="ens",Compil[[#This Row],[Unité]]="ml")</f>
        <v>1</v>
      </c>
      <c r="L525" t="b">
        <f>ISBLANK(Compil[[#This Row],[DESIGNATION]])</f>
        <v>0</v>
      </c>
      <c r="M525" s="359"/>
      <c r="N525" s="358"/>
      <c r="O525" s="358"/>
      <c r="P525" s="358"/>
      <c r="Q525" s="358">
        <f>COUNTIF(Compil[[Ma Désignation ]],Compil[[Ma Désignation ]])</f>
        <v>1</v>
      </c>
    </row>
    <row r="526" spans="1:17" ht="14">
      <c r="A526" s="312">
        <v>750</v>
      </c>
      <c r="B526" s="19"/>
      <c r="C526" s="405" t="s">
        <v>252</v>
      </c>
      <c r="D526" s="357" t="str">
        <f xml:space="preserve"> TRIM( SUBSTITUTE(SUBSTITUTE(SUBSTITUTE( Compil[[#This Row],[DESIGNATION]],"-",""),"–",""),"*",""))</f>
        <v>Distributeurs de niveau 200A</v>
      </c>
      <c r="E526" s="102" t="s">
        <v>13</v>
      </c>
      <c r="F526" s="262">
        <v>6</v>
      </c>
      <c r="G526" s="289">
        <v>0</v>
      </c>
      <c r="H526" s="164">
        <v>0</v>
      </c>
      <c r="I526" t="s">
        <v>578</v>
      </c>
      <c r="J526" t="b">
        <f>AND(NOT(Compil[[#This Row],[Est ouvrage]]), NOT(ISBLANK(Compil[[#This Row],[ART.
CCTP]])))</f>
        <v>0</v>
      </c>
      <c r="K526" t="b">
        <f>OR(Compil[[#This Row],[Unité]]="U",Compil[[#This Row],[Unité]]="ens",Compil[[#This Row],[Unité]]="ml")</f>
        <v>1</v>
      </c>
      <c r="L526" t="b">
        <f>ISBLANK(Compil[[#This Row],[DESIGNATION]])</f>
        <v>0</v>
      </c>
      <c r="M526" s="359"/>
      <c r="N526" s="358"/>
      <c r="O526" s="358"/>
      <c r="P526" s="358"/>
      <c r="Q526" s="358">
        <f>COUNTIF(Compil[[Ma Désignation ]],Compil[[Ma Désignation ]])</f>
        <v>1</v>
      </c>
    </row>
    <row r="527" spans="1:17" ht="14">
      <c r="A527" s="310">
        <v>522</v>
      </c>
      <c r="B527" s="2"/>
      <c r="C527" s="416"/>
      <c r="D527" t="str">
        <f xml:space="preserve"> TRIM( SUBSTITUTE(SUBSTITUTE(SUBSTITUTE( Compil[[#This Row],[DESIGNATION]],"-",""),"–",""),"*",""))</f>
        <v/>
      </c>
      <c r="E527" s="9"/>
      <c r="F527" s="262"/>
      <c r="G527" s="289" t="s">
        <v>571</v>
      </c>
      <c r="H527" s="164" t="s">
        <v>571</v>
      </c>
      <c r="I527" t="s">
        <v>570</v>
      </c>
      <c r="J527" t="b">
        <f>AND(NOT(Compil[[#This Row],[Est ouvrage]]), NOT(ISBLANK(Compil[[#This Row],[ART.
CCTP]])))</f>
        <v>0</v>
      </c>
      <c r="K527" t="b">
        <f>OR(Compil[[#This Row],[Unité]]="U",Compil[[#This Row],[Unité]]="ens",Compil[[#This Row],[Unité]]="ml")</f>
        <v>0</v>
      </c>
      <c r="L527" t="b">
        <f>ISBLANK(Compil[[#This Row],[DESIGNATION]])</f>
        <v>1</v>
      </c>
      <c r="M527" s="358"/>
      <c r="N527" s="358"/>
      <c r="O527" s="358"/>
      <c r="P527" s="358"/>
      <c r="Q527" s="358">
        <f>COUNTIF(Compil[[Ma Désignation ]],Compil[[Ma Désignation ]])</f>
        <v>306</v>
      </c>
    </row>
    <row r="528" spans="1:17" ht="14">
      <c r="A528" s="303">
        <v>60</v>
      </c>
      <c r="B528" s="2"/>
      <c r="C528" s="404" t="s">
        <v>462</v>
      </c>
      <c r="D528" s="357" t="str">
        <f xml:space="preserve"> TRIM( SUBSTITUTE(SUBSTITUTE(SUBSTITUTE( Compil[[#This Row],[DESIGNATION]],"-",""),"–",""),"*",""))</f>
        <v>Distributeurs de niveau 400A</v>
      </c>
      <c r="E528" s="208" t="s">
        <v>13</v>
      </c>
      <c r="F528" s="252">
        <f>9+11</f>
        <v>20</v>
      </c>
      <c r="G528" s="289" t="e">
        <f>IF(F528="","",(((L528*$M$6)+(M528*#REF!*#REF!))*$M$7)/F528)</f>
        <v>#VALUE!</v>
      </c>
      <c r="H528" s="164" t="e">
        <f>IF(F528="","",F528*G528)</f>
        <v>#VALUE!</v>
      </c>
      <c r="I528" t="s">
        <v>580</v>
      </c>
      <c r="J528" t="b">
        <f>AND(NOT(Compil[[#This Row],[Est ouvrage]]), NOT(ISBLANK(Compil[[#This Row],[ART.
CCTP]])))</f>
        <v>0</v>
      </c>
      <c r="K528" t="b">
        <f>OR(Compil[[#This Row],[Unité]]="U",Compil[[#This Row],[Unité]]="ens",Compil[[#This Row],[Unité]]="ml")</f>
        <v>1</v>
      </c>
      <c r="L528" t="b">
        <f>ISBLANK(Compil[[#This Row],[DESIGNATION]])</f>
        <v>0</v>
      </c>
      <c r="M528" s="359"/>
      <c r="N528" s="358"/>
      <c r="O528" s="358"/>
      <c r="P528" s="358"/>
      <c r="Q528" s="358">
        <f>COUNTIF(Compil[[Ma Désignation ]],Compil[[Ma Désignation ]])</f>
        <v>1</v>
      </c>
    </row>
    <row r="529" spans="1:17" ht="14">
      <c r="A529" s="310">
        <v>524</v>
      </c>
      <c r="B529" s="2"/>
      <c r="C529" s="428"/>
      <c r="D529" t="str">
        <f xml:space="preserve"> TRIM( SUBSTITUTE(SUBSTITUTE(SUBSTITUTE( Compil[[#This Row],[DESIGNATION]],"-",""),"–",""),"*",""))</f>
        <v/>
      </c>
      <c r="E529" s="9"/>
      <c r="F529" s="262"/>
      <c r="G529" s="289" t="s">
        <v>571</v>
      </c>
      <c r="H529" s="164" t="s">
        <v>571</v>
      </c>
      <c r="I529" t="s">
        <v>570</v>
      </c>
      <c r="J529" t="b">
        <f>AND(NOT(Compil[[#This Row],[Est ouvrage]]), NOT(ISBLANK(Compil[[#This Row],[ART.
CCTP]])))</f>
        <v>0</v>
      </c>
      <c r="K529" t="b">
        <f>OR(Compil[[#This Row],[Unité]]="U",Compil[[#This Row],[Unité]]="ens",Compil[[#This Row],[Unité]]="ml")</f>
        <v>0</v>
      </c>
      <c r="L529" t="b">
        <f>ISBLANK(Compil[[#This Row],[DESIGNATION]])</f>
        <v>1</v>
      </c>
      <c r="M529" s="358"/>
      <c r="N529" s="358"/>
      <c r="O529" s="358"/>
      <c r="P529" s="358"/>
      <c r="Q529" s="358">
        <f>COUNTIF(Compil[[Ma Désignation ]],Compil[[Ma Désignation ]])</f>
        <v>306</v>
      </c>
    </row>
    <row r="530" spans="1:17" ht="14">
      <c r="A530" s="310">
        <v>525</v>
      </c>
      <c r="B530" s="2"/>
      <c r="C530" s="413" t="s">
        <v>236</v>
      </c>
      <c r="D530" t="str">
        <f xml:space="preserve"> TRIM( SUBSTITUTE(SUBSTITUTE(SUBSTITUTE( Compil[[#This Row],[DESIGNATION]],"-",""),"–",""),"*",""))</f>
        <v>Sous total HT pour un T3</v>
      </c>
      <c r="E530" s="9"/>
      <c r="F530" s="262"/>
      <c r="G530" s="289" t="s">
        <v>571</v>
      </c>
      <c r="H530" s="164" t="s">
        <v>571</v>
      </c>
      <c r="I530" t="s">
        <v>570</v>
      </c>
      <c r="J530" t="b">
        <f>AND(NOT(Compil[[#This Row],[Est ouvrage]]), NOT(ISBLANK(Compil[[#This Row],[ART.
CCTP]])))</f>
        <v>0</v>
      </c>
      <c r="K530" t="b">
        <f>OR(Compil[[#This Row],[Unité]]="U",Compil[[#This Row],[Unité]]="ens",Compil[[#This Row],[Unité]]="ml")</f>
        <v>0</v>
      </c>
      <c r="L530" t="b">
        <f>ISBLANK(Compil[[#This Row],[DESIGNATION]])</f>
        <v>0</v>
      </c>
      <c r="M530" s="359"/>
      <c r="N530" s="358"/>
      <c r="O530" s="358"/>
      <c r="P530" s="358"/>
      <c r="Q530" s="358">
        <f>COUNTIF(Compil[[Ma Désignation ]],Compil[[Ma Désignation ]])</f>
        <v>2</v>
      </c>
    </row>
    <row r="531" spans="1:17" ht="14">
      <c r="A531" s="303">
        <v>342</v>
      </c>
      <c r="B531" s="179"/>
      <c r="C531" s="224" t="s">
        <v>49</v>
      </c>
      <c r="D531" t="str">
        <f xml:space="preserve"> TRIM( SUBSTITUTE(SUBSTITUTE(SUBSTITUTE( Compil[[#This Row],[DESIGNATION]],"-",""),"–",""),"*",""))</f>
        <v>dossier DOE</v>
      </c>
      <c r="E531" s="193" t="s">
        <v>12</v>
      </c>
      <c r="F531" s="252">
        <v>1</v>
      </c>
      <c r="G531" s="289" t="e">
        <f>IF(F531="","",(((L531*$M$6)+(M531*#REF!*#REF!))*$M$7)/F531)</f>
        <v>#VALUE!</v>
      </c>
      <c r="H531" s="164" t="e">
        <f>IF(F531="","",F531*G531)</f>
        <v>#VALUE!</v>
      </c>
      <c r="I531" t="s">
        <v>580</v>
      </c>
      <c r="J531" t="b">
        <f>AND(NOT(Compil[[#This Row],[Est ouvrage]]), NOT(ISBLANK(Compil[[#This Row],[ART.
CCTP]])))</f>
        <v>0</v>
      </c>
      <c r="K531" t="b">
        <f>OR(Compil[[#This Row],[Unité]]="U",Compil[[#This Row],[Unité]]="ens",Compil[[#This Row],[Unité]]="ml")</f>
        <v>1</v>
      </c>
      <c r="L531" t="b">
        <f>ISBLANK(Compil[[#This Row],[DESIGNATION]])</f>
        <v>0</v>
      </c>
      <c r="M531" s="359"/>
      <c r="N531" s="358"/>
      <c r="O531" s="358"/>
      <c r="P531" s="358"/>
      <c r="Q531" s="358">
        <f>COUNTIF(Compil[[Ma Désignation ]],Compil[[Ma Désignation ]])</f>
        <v>4</v>
      </c>
    </row>
    <row r="532" spans="1:17" ht="14">
      <c r="A532" s="310">
        <v>527</v>
      </c>
      <c r="B532" s="19"/>
      <c r="C532" s="81"/>
      <c r="D532" s="357" t="str">
        <f xml:space="preserve"> TRIM( SUBSTITUTE(SUBSTITUTE(SUBSTITUTE( Compil[[#This Row],[DESIGNATION]],"-",""),"–",""),"*",""))</f>
        <v/>
      </c>
      <c r="E532" s="9"/>
      <c r="F532" s="262"/>
      <c r="G532" s="289" t="s">
        <v>571</v>
      </c>
      <c r="H532" s="164" t="s">
        <v>571</v>
      </c>
      <c r="I532" t="s">
        <v>570</v>
      </c>
      <c r="J532" t="b">
        <f>AND(NOT(Compil[[#This Row],[Est ouvrage]]), NOT(ISBLANK(Compil[[#This Row],[ART.
CCTP]])))</f>
        <v>0</v>
      </c>
      <c r="K532" t="b">
        <f>OR(Compil[[#This Row],[Unité]]="U",Compil[[#This Row],[Unité]]="ens",Compil[[#This Row],[Unité]]="ml")</f>
        <v>0</v>
      </c>
      <c r="L532" t="b">
        <f>ISBLANK(Compil[[#This Row],[DESIGNATION]])</f>
        <v>1</v>
      </c>
      <c r="M532" s="358"/>
      <c r="N532" s="358"/>
      <c r="O532" s="358"/>
      <c r="P532" s="358"/>
      <c r="Q532" s="358">
        <f>COUNTIF(Compil[[Ma Désignation ]],Compil[[Ma Désignation ]])</f>
        <v>306</v>
      </c>
    </row>
    <row r="533" spans="1:17" ht="14">
      <c r="A533" s="310">
        <v>528</v>
      </c>
      <c r="B533" s="2"/>
      <c r="C533" s="429" t="s">
        <v>273</v>
      </c>
      <c r="D533" t="str">
        <f xml:space="preserve"> TRIM( SUBSTITUTE(SUBSTITUTE(SUBSTITUTE( Compil[[#This Row],[DESIGNATION]],"-",""),"–",""),"*",""))</f>
        <v>Sous total 2.7.2 Appartement T3</v>
      </c>
      <c r="E533" s="72"/>
      <c r="F533" s="262"/>
      <c r="G533" s="289" t="s">
        <v>571</v>
      </c>
      <c r="H533" s="164" t="s">
        <v>571</v>
      </c>
      <c r="I533" t="s">
        <v>570</v>
      </c>
      <c r="J533" t="b">
        <f>AND(NOT(Compil[[#This Row],[Est ouvrage]]), NOT(ISBLANK(Compil[[#This Row],[ART.
CCTP]])))</f>
        <v>0</v>
      </c>
      <c r="K533" t="b">
        <f>OR(Compil[[#This Row],[Unité]]="U",Compil[[#This Row],[Unité]]="ens",Compil[[#This Row],[Unité]]="ml")</f>
        <v>0</v>
      </c>
      <c r="L533" t="b">
        <f>ISBLANK(Compil[[#This Row],[DESIGNATION]])</f>
        <v>0</v>
      </c>
      <c r="M533" s="359"/>
      <c r="N533" s="358"/>
      <c r="O533" s="358"/>
      <c r="P533" s="358"/>
      <c r="Q533" s="358">
        <f>COUNTIF(Compil[[Ma Désignation ]],Compil[[Ma Désignation ]])</f>
        <v>1</v>
      </c>
    </row>
    <row r="534" spans="1:17" ht="14">
      <c r="A534" s="310">
        <v>529</v>
      </c>
      <c r="B534" s="2"/>
      <c r="C534" s="415"/>
      <c r="D534" t="str">
        <f xml:space="preserve"> TRIM( SUBSTITUTE(SUBSTITUTE(SUBSTITUTE( Compil[[#This Row],[DESIGNATION]],"-",""),"–",""),"*",""))</f>
        <v/>
      </c>
      <c r="E534" s="9"/>
      <c r="F534" s="262"/>
      <c r="G534" s="289" t="s">
        <v>571</v>
      </c>
      <c r="H534" s="164" t="s">
        <v>571</v>
      </c>
      <c r="I534" t="s">
        <v>570</v>
      </c>
      <c r="J534" t="b">
        <f>AND(NOT(Compil[[#This Row],[Est ouvrage]]), NOT(ISBLANK(Compil[[#This Row],[ART.
CCTP]])))</f>
        <v>0</v>
      </c>
      <c r="K534" t="b">
        <f>OR(Compil[[#This Row],[Unité]]="U",Compil[[#This Row],[Unité]]="ens",Compil[[#This Row],[Unité]]="ml")</f>
        <v>0</v>
      </c>
      <c r="L534" t="b">
        <f>ISBLANK(Compil[[#This Row],[DESIGNATION]])</f>
        <v>1</v>
      </c>
      <c r="M534" s="358"/>
      <c r="N534" s="358"/>
      <c r="O534" s="358"/>
      <c r="P534" s="358"/>
      <c r="Q534" s="358">
        <f>COUNTIF(Compil[[Ma Désignation ]],Compil[[Ma Désignation ]])</f>
        <v>306</v>
      </c>
    </row>
    <row r="535" spans="1:17" ht="14">
      <c r="A535" s="310">
        <v>530</v>
      </c>
      <c r="B535" s="2" t="s">
        <v>261</v>
      </c>
      <c r="C535" s="413" t="s">
        <v>238</v>
      </c>
      <c r="D535" t="str">
        <f xml:space="preserve"> TRIM( SUBSTITUTE(SUBSTITUTE(SUBSTITUTE( Compil[[#This Row],[DESIGNATION]],"-",""),"–",""),"*",""))</f>
        <v>Appartement de type T4</v>
      </c>
      <c r="E535" s="9"/>
      <c r="F535" s="262"/>
      <c r="G535" s="289" t="s">
        <v>571</v>
      </c>
      <c r="H535" s="164" t="s">
        <v>571</v>
      </c>
      <c r="I535" t="s">
        <v>570</v>
      </c>
      <c r="J535" t="b">
        <f>AND(NOT(Compil[[#This Row],[Est ouvrage]]), NOT(ISBLANK(Compil[[#This Row],[ART.
CCTP]])))</f>
        <v>1</v>
      </c>
      <c r="K535" t="b">
        <f>OR(Compil[[#This Row],[Unité]]="U",Compil[[#This Row],[Unité]]="ens",Compil[[#This Row],[Unité]]="ml")</f>
        <v>0</v>
      </c>
      <c r="L535" t="b">
        <f>ISBLANK(Compil[[#This Row],[DESIGNATION]])</f>
        <v>0</v>
      </c>
      <c r="M535" s="359"/>
      <c r="N535" s="358"/>
      <c r="O535" s="358"/>
      <c r="P535" s="358"/>
      <c r="Q535" s="358">
        <f>COUNTIF(Compil[[Ma Désignation ]],Compil[[Ma Désignation ]])</f>
        <v>1</v>
      </c>
    </row>
    <row r="536" spans="1:17" ht="14">
      <c r="A536" s="310">
        <v>531</v>
      </c>
      <c r="B536" s="2"/>
      <c r="C536" s="433"/>
      <c r="D536" t="str">
        <f xml:space="preserve"> TRIM( SUBSTITUTE(SUBSTITUTE(SUBSTITUTE( Compil[[#This Row],[DESIGNATION]],"-",""),"–",""),"*",""))</f>
        <v/>
      </c>
      <c r="E536" s="9"/>
      <c r="F536" s="262"/>
      <c r="G536" s="289" t="s">
        <v>571</v>
      </c>
      <c r="H536" s="164" t="s">
        <v>571</v>
      </c>
      <c r="I536" t="s">
        <v>570</v>
      </c>
      <c r="J536" t="b">
        <f>AND(NOT(Compil[[#This Row],[Est ouvrage]]), NOT(ISBLANK(Compil[[#This Row],[ART.
CCTP]])))</f>
        <v>0</v>
      </c>
      <c r="K536" t="b">
        <f>OR(Compil[[#This Row],[Unité]]="U",Compil[[#This Row],[Unité]]="ens",Compil[[#This Row],[Unité]]="ml")</f>
        <v>0</v>
      </c>
      <c r="L536" t="b">
        <f>ISBLANK(Compil[[#This Row],[DESIGNATION]])</f>
        <v>1</v>
      </c>
      <c r="M536" s="358"/>
      <c r="N536" s="358"/>
      <c r="O536" s="358"/>
      <c r="P536" s="358"/>
      <c r="Q536" s="358">
        <f>COUNTIF(Compil[[Ma Désignation ]],Compil[[Ma Désignation ]])</f>
        <v>306</v>
      </c>
    </row>
    <row r="537" spans="1:17" ht="14">
      <c r="A537" s="310">
        <v>532</v>
      </c>
      <c r="B537" s="43"/>
      <c r="C537" s="430" t="s">
        <v>572</v>
      </c>
      <c r="D537" t="str">
        <f xml:space="preserve"> TRIM( SUBSTITUTE(SUBSTITUTE(SUBSTITUTE( Compil[[#This Row],[DESIGNATION]],"-",""),"–",""),"*",""))</f>
        <v>Appareillages de finition blanche</v>
      </c>
      <c r="E537" s="9"/>
      <c r="F537" s="262"/>
      <c r="G537" s="289" t="s">
        <v>571</v>
      </c>
      <c r="H537" s="164" t="s">
        <v>571</v>
      </c>
      <c r="I537" t="s">
        <v>570</v>
      </c>
      <c r="J537" t="b">
        <f>AND(NOT(Compil[[#This Row],[Est ouvrage]]), NOT(ISBLANK(Compil[[#This Row],[ART.
CCTP]])))</f>
        <v>0</v>
      </c>
      <c r="K537" t="b">
        <f>OR(Compil[[#This Row],[Unité]]="U",Compil[[#This Row],[Unité]]="ens",Compil[[#This Row],[Unité]]="ml")</f>
        <v>0</v>
      </c>
      <c r="L537" t="b">
        <f>ISBLANK(Compil[[#This Row],[DESIGNATION]])</f>
        <v>0</v>
      </c>
      <c r="M537" s="359"/>
      <c r="N537" s="358"/>
      <c r="O537" s="358"/>
      <c r="P537" s="358"/>
      <c r="Q537" s="358">
        <f>COUNTIF(Compil[[Ma Désignation ]],Compil[[Ma Désignation ]])</f>
        <v>9</v>
      </c>
    </row>
    <row r="538" spans="1:17" ht="14">
      <c r="A538" s="312">
        <v>965</v>
      </c>
      <c r="B538" s="19"/>
      <c r="C538" s="86" t="s">
        <v>438</v>
      </c>
      <c r="D538" t="str">
        <f xml:space="preserve"> TRIM( SUBSTITUTE(SUBSTITUTE(SUBSTITUTE( Compil[[#This Row],[DESIGNATION]],"-",""),"–",""),"*",""))</f>
        <v>dossier DOE</v>
      </c>
      <c r="E538" s="8" t="s">
        <v>12</v>
      </c>
      <c r="F538" s="262">
        <v>1</v>
      </c>
      <c r="G538" s="289">
        <v>0</v>
      </c>
      <c r="H538" s="164">
        <v>0</v>
      </c>
      <c r="I538" t="s">
        <v>578</v>
      </c>
      <c r="J538" t="b">
        <f>AND(NOT(Compil[[#This Row],[Est ouvrage]]), NOT(ISBLANK(Compil[[#This Row],[ART.
CCTP]])))</f>
        <v>0</v>
      </c>
      <c r="K538" t="b">
        <f>OR(Compil[[#This Row],[Unité]]="U",Compil[[#This Row],[Unité]]="ens",Compil[[#This Row],[Unité]]="ml")</f>
        <v>1</v>
      </c>
      <c r="L538" t="b">
        <f>ISBLANK(Compil[[#This Row],[DESIGNATION]])</f>
        <v>0</v>
      </c>
      <c r="M538" s="359"/>
      <c r="N538" s="358"/>
      <c r="O538" s="358"/>
      <c r="P538" s="358"/>
      <c r="Q538" s="358">
        <f>COUNTIF(Compil[[Ma Désignation ]],Compil[[Ma Désignation ]])</f>
        <v>4</v>
      </c>
    </row>
    <row r="539" spans="1:17" ht="14">
      <c r="A539" s="312">
        <v>980</v>
      </c>
      <c r="B539" s="17"/>
      <c r="C539" s="86" t="s">
        <v>49</v>
      </c>
      <c r="D539" t="str">
        <f xml:space="preserve"> TRIM( SUBSTITUTE(SUBSTITUTE(SUBSTITUTE( Compil[[#This Row],[DESIGNATION]],"-",""),"–",""),"*",""))</f>
        <v>dossier DOE</v>
      </c>
      <c r="E539" s="9" t="s">
        <v>12</v>
      </c>
      <c r="F539" s="262">
        <v>1</v>
      </c>
      <c r="G539" s="289">
        <v>0</v>
      </c>
      <c r="H539" s="164">
        <v>0</v>
      </c>
      <c r="I539" t="s">
        <v>578</v>
      </c>
      <c r="J539" t="b">
        <f>AND(NOT(Compil[[#This Row],[Est ouvrage]]), NOT(ISBLANK(Compil[[#This Row],[ART.
CCTP]])))</f>
        <v>0</v>
      </c>
      <c r="K539" t="b">
        <f>OR(Compil[[#This Row],[Unité]]="U",Compil[[#This Row],[Unité]]="ens",Compil[[#This Row],[Unité]]="ml")</f>
        <v>1</v>
      </c>
      <c r="L539" t="b">
        <f>ISBLANK(Compil[[#This Row],[DESIGNATION]])</f>
        <v>0</v>
      </c>
      <c r="M539" s="359"/>
      <c r="N539" s="358"/>
      <c r="O539" s="358"/>
      <c r="P539" s="358"/>
      <c r="Q539" s="358">
        <f>COUNTIF(Compil[[Ma Désignation ]],Compil[[Ma Désignation ]])</f>
        <v>4</v>
      </c>
    </row>
    <row r="540" spans="1:17">
      <c r="A540" s="360">
        <v>1149</v>
      </c>
      <c r="B540" s="363"/>
      <c r="C540" s="402" t="s">
        <v>438</v>
      </c>
      <c r="D540" t="str">
        <f xml:space="preserve"> TRIM( SUBSTITUTE(SUBSTITUTE(SUBSTITUTE( Compil[[#This Row],[DESIGNATION]],"-",""),"–",""),"*",""))</f>
        <v>dossier DOE</v>
      </c>
      <c r="E540" s="369" t="s">
        <v>12</v>
      </c>
      <c r="F540" s="447"/>
      <c r="G540" s="390" t="s">
        <v>571</v>
      </c>
      <c r="H540" s="391" t="s">
        <v>571</v>
      </c>
      <c r="I540" t="s">
        <v>579</v>
      </c>
      <c r="J540" t="b">
        <f>AND(NOT(Compil[[#This Row],[Est ouvrage]]), NOT(ISBLANK(Compil[[#This Row],[ART.
CCTP]])))</f>
        <v>0</v>
      </c>
      <c r="K540" t="b">
        <f>OR(Compil[[#This Row],[Unité]]="U",Compil[[#This Row],[Unité]]="ens",Compil[[#This Row],[Unité]]="ml")</f>
        <v>1</v>
      </c>
      <c r="L540" t="b">
        <f>ISBLANK(Compil[[#This Row],[DESIGNATION]])</f>
        <v>0</v>
      </c>
      <c r="M540" s="359"/>
      <c r="N540" s="358"/>
      <c r="O540" s="358"/>
      <c r="P540" s="358"/>
      <c r="Q540" s="358">
        <f>COUNTIF(Compil[[Ma Désignation ]],Compil[[Ma Désignation ]])</f>
        <v>4</v>
      </c>
    </row>
    <row r="541" spans="1:17">
      <c r="A541" s="360">
        <v>1137</v>
      </c>
      <c r="B541" s="363"/>
      <c r="C541" s="402" t="s">
        <v>189</v>
      </c>
      <c r="D541" t="str">
        <f xml:space="preserve"> TRIM( SUBSTITUTE(SUBSTITUTE(SUBSTITUTE( Compil[[#This Row],[DESIGNATION]],"-",""),"–",""),"*",""))</f>
        <v>dossier recette</v>
      </c>
      <c r="E541" s="369" t="s">
        <v>12</v>
      </c>
      <c r="F541" s="385">
        <v>1</v>
      </c>
      <c r="G541" s="390">
        <v>0</v>
      </c>
      <c r="H541" s="391">
        <v>0</v>
      </c>
      <c r="I541" t="s">
        <v>579</v>
      </c>
      <c r="J541" t="b">
        <f>AND(NOT(Compil[[#This Row],[Est ouvrage]]), NOT(ISBLANK(Compil[[#This Row],[ART.
CCTP]])))</f>
        <v>0</v>
      </c>
      <c r="K541" t="b">
        <f>OR(Compil[[#This Row],[Unité]]="U",Compil[[#This Row],[Unité]]="ens",Compil[[#This Row],[Unité]]="ml")</f>
        <v>1</v>
      </c>
      <c r="L541" t="b">
        <f>ISBLANK(Compil[[#This Row],[DESIGNATION]])</f>
        <v>0</v>
      </c>
      <c r="M541" s="359"/>
      <c r="N541" s="358"/>
      <c r="O541" s="358"/>
      <c r="P541" s="358"/>
      <c r="Q541" s="358">
        <f>COUNTIF(Compil[[Ma Désignation ]],Compil[[Ma Désignation ]])</f>
        <v>1</v>
      </c>
    </row>
    <row r="542" spans="1:17" ht="14">
      <c r="A542" s="303">
        <v>67</v>
      </c>
      <c r="B542" s="2" t="s">
        <v>151</v>
      </c>
      <c r="C542" s="186" t="s">
        <v>144</v>
      </c>
      <c r="D542" t="str">
        <f xml:space="preserve"> TRIM( SUBSTITUTE(SUBSTITUTE(SUBSTITUTE( Compil[[#This Row],[DESIGNATION]],"-",""),"–",""),"*",""))</f>
        <v>embase de téléreport</v>
      </c>
      <c r="E542" s="208" t="s">
        <v>13</v>
      </c>
      <c r="F542" s="252">
        <f>+F535+F534</f>
        <v>0</v>
      </c>
      <c r="G542" s="289" t="e">
        <f>IF(F542="","",(((L542*$M$6)+(M542*#REF!*#REF!))*$M$7)/F542)</f>
        <v>#VALUE!</v>
      </c>
      <c r="H542" s="164" t="e">
        <f>IF(F542="","",F542*G542)</f>
        <v>#VALUE!</v>
      </c>
      <c r="I542" t="s">
        <v>580</v>
      </c>
      <c r="J542" t="b">
        <f>AND(NOT(Compil[[#This Row],[Est ouvrage]]), NOT(ISBLANK(Compil[[#This Row],[ART.
CCTP]])))</f>
        <v>0</v>
      </c>
      <c r="K542" t="b">
        <f>OR(Compil[[#This Row],[Unité]]="U",Compil[[#This Row],[Unité]]="ens",Compil[[#This Row],[Unité]]="ml")</f>
        <v>1</v>
      </c>
      <c r="L542" t="b">
        <f>ISBLANK(Compil[[#This Row],[DESIGNATION]])</f>
        <v>0</v>
      </c>
      <c r="M542" s="359"/>
      <c r="N542" s="358"/>
      <c r="O542" s="358"/>
      <c r="P542" s="358"/>
      <c r="Q542" s="358">
        <f>COUNTIF(Compil[[Ma Désignation ]],Compil[[Ma Désignation ]])</f>
        <v>2</v>
      </c>
    </row>
    <row r="543" spans="1:17" ht="14">
      <c r="A543" s="312">
        <v>757</v>
      </c>
      <c r="B543" s="19" t="s">
        <v>357</v>
      </c>
      <c r="C543" s="20" t="s">
        <v>144</v>
      </c>
      <c r="D543" t="str">
        <f xml:space="preserve"> TRIM( SUBSTITUTE(SUBSTITUTE(SUBSTITUTE( Compil[[#This Row],[DESIGNATION]],"-",""),"–",""),"*",""))</f>
        <v>embase de téléreport</v>
      </c>
      <c r="E543" s="102" t="s">
        <v>13</v>
      </c>
      <c r="F543" s="262">
        <v>6</v>
      </c>
      <c r="G543" s="289">
        <v>0</v>
      </c>
      <c r="H543" s="164">
        <v>0</v>
      </c>
      <c r="I543" t="s">
        <v>578</v>
      </c>
      <c r="J543" t="b">
        <f>AND(NOT(Compil[[#This Row],[Est ouvrage]]), NOT(ISBLANK(Compil[[#This Row],[ART.
CCTP]])))</f>
        <v>0</v>
      </c>
      <c r="K543" t="b">
        <f>OR(Compil[[#This Row],[Unité]]="U",Compil[[#This Row],[Unité]]="ens",Compil[[#This Row],[Unité]]="ml")</f>
        <v>1</v>
      </c>
      <c r="L543" t="b">
        <f>ISBLANK(Compil[[#This Row],[DESIGNATION]])</f>
        <v>0</v>
      </c>
      <c r="M543" s="359"/>
      <c r="N543" s="358"/>
      <c r="O543" s="358"/>
      <c r="P543" s="358"/>
      <c r="Q543" s="358">
        <f>COUNTIF(Compil[[Ma Désignation ]],Compil[[Ma Désignation ]])</f>
        <v>2</v>
      </c>
    </row>
    <row r="544" spans="1:17" ht="14">
      <c r="A544" s="310">
        <v>539</v>
      </c>
      <c r="B544" s="43"/>
      <c r="C544" s="416"/>
      <c r="D544" t="str">
        <f xml:space="preserve"> TRIM( SUBSTITUTE(SUBSTITUTE(SUBSTITUTE( Compil[[#This Row],[DESIGNATION]],"-",""),"–",""),"*",""))</f>
        <v/>
      </c>
      <c r="E544" s="9"/>
      <c r="F544" s="262"/>
      <c r="G544" s="289" t="s">
        <v>571</v>
      </c>
      <c r="H544" s="164" t="s">
        <v>571</v>
      </c>
      <c r="I544" t="s">
        <v>570</v>
      </c>
      <c r="J544" t="b">
        <f>AND(NOT(Compil[[#This Row],[Est ouvrage]]), NOT(ISBLANK(Compil[[#This Row],[ART.
CCTP]])))</f>
        <v>0</v>
      </c>
      <c r="K544" t="b">
        <f>OR(Compil[[#This Row],[Unité]]="U",Compil[[#This Row],[Unité]]="ens",Compil[[#This Row],[Unité]]="ml")</f>
        <v>0</v>
      </c>
      <c r="L544" t="b">
        <f>ISBLANK(Compil[[#This Row],[DESIGNATION]])</f>
        <v>1</v>
      </c>
      <c r="M544" s="358"/>
      <c r="N544" s="358"/>
      <c r="O544" s="358"/>
      <c r="P544" s="358"/>
      <c r="Q544" s="358">
        <f>COUNTIF(Compil[[Ma Désignation ]],Compil[[Ma Désignation ]])</f>
        <v>306</v>
      </c>
    </row>
    <row r="545" spans="1:17" ht="14">
      <c r="A545" s="303">
        <v>261</v>
      </c>
      <c r="B545" s="179"/>
      <c r="C545" s="224" t="s">
        <v>21</v>
      </c>
      <c r="D545" t="str">
        <f xml:space="preserve"> TRIM( SUBSTITUTE(SUBSTITUTE(SUBSTITUTE( Compil[[#This Row],[DESIGNATION]],"-",""),"–",""),"*",""))</f>
        <v>ensemble portier vidéophone comprenant :</v>
      </c>
      <c r="E545" s="193" t="s">
        <v>12</v>
      </c>
      <c r="F545" s="252">
        <v>1</v>
      </c>
      <c r="G545" s="289" t="e">
        <f>IF(F545="","",(((L545*$M$6)+(M545*#REF!*#REF!))*$M$7)/F545)</f>
        <v>#VALUE!</v>
      </c>
      <c r="H545" s="164" t="e">
        <f>IF(F545="","",F545*G545)</f>
        <v>#VALUE!</v>
      </c>
      <c r="I545" t="s">
        <v>580</v>
      </c>
      <c r="J545" t="b">
        <f>AND(NOT(Compil[[#This Row],[Est ouvrage]]), NOT(ISBLANK(Compil[[#This Row],[ART.
CCTP]])))</f>
        <v>0</v>
      </c>
      <c r="K545" t="b">
        <f>OR(Compil[[#This Row],[Unité]]="U",Compil[[#This Row],[Unité]]="ens",Compil[[#This Row],[Unité]]="ml")</f>
        <v>1</v>
      </c>
      <c r="L545" t="b">
        <f>ISBLANK(Compil[[#This Row],[DESIGNATION]])</f>
        <v>0</v>
      </c>
      <c r="M545" s="359"/>
      <c r="N545" s="358"/>
      <c r="O545" s="358"/>
      <c r="P545" s="358"/>
      <c r="Q545" s="358">
        <f>COUNTIF(Compil[[Ma Désignation ]],Compil[[Ma Désignation ]])</f>
        <v>2</v>
      </c>
    </row>
    <row r="546" spans="1:17" ht="14">
      <c r="A546" s="312">
        <v>896</v>
      </c>
      <c r="B546" s="17"/>
      <c r="C546" s="86" t="s">
        <v>21</v>
      </c>
      <c r="D546" t="str">
        <f xml:space="preserve"> TRIM( SUBSTITUTE(SUBSTITUTE(SUBSTITUTE( Compil[[#This Row],[DESIGNATION]],"-",""),"–",""),"*",""))</f>
        <v>ensemble portier vidéophone comprenant :</v>
      </c>
      <c r="E546" s="9" t="s">
        <v>12</v>
      </c>
      <c r="F546" s="262">
        <v>1</v>
      </c>
      <c r="G546" s="289">
        <v>0</v>
      </c>
      <c r="H546" s="164">
        <v>0</v>
      </c>
      <c r="I546" t="s">
        <v>578</v>
      </c>
      <c r="J546" t="b">
        <f>AND(NOT(Compil[[#This Row],[Est ouvrage]]), NOT(ISBLANK(Compil[[#This Row],[ART.
CCTP]])))</f>
        <v>0</v>
      </c>
      <c r="K546" t="b">
        <f>OR(Compil[[#This Row],[Unité]]="U",Compil[[#This Row],[Unité]]="ens",Compil[[#This Row],[Unité]]="ml")</f>
        <v>1</v>
      </c>
      <c r="L546" t="b">
        <f>ISBLANK(Compil[[#This Row],[DESIGNATION]])</f>
        <v>0</v>
      </c>
      <c r="M546" s="359"/>
      <c r="N546" s="358"/>
      <c r="O546" s="358"/>
      <c r="P546" s="358"/>
      <c r="Q546" s="358">
        <f>COUNTIF(Compil[[Ma Désignation ]],Compil[[Ma Désignation ]])</f>
        <v>2</v>
      </c>
    </row>
    <row r="547" spans="1:17" ht="14">
      <c r="A547" s="312">
        <v>966</v>
      </c>
      <c r="B547" s="19"/>
      <c r="C547" s="86" t="s">
        <v>439</v>
      </c>
      <c r="D547" t="str">
        <f xml:space="preserve"> TRIM( SUBSTITUTE(SUBSTITUTE(SUBSTITUTE( Compil[[#This Row],[DESIGNATION]],"-",""),"–",""),"*",""))</f>
        <v>essais</v>
      </c>
      <c r="E547" s="8" t="s">
        <v>12</v>
      </c>
      <c r="F547" s="264">
        <v>1</v>
      </c>
      <c r="G547" s="289">
        <v>0</v>
      </c>
      <c r="H547" s="164">
        <v>0</v>
      </c>
      <c r="I547" t="s">
        <v>578</v>
      </c>
      <c r="J547" t="b">
        <f>AND(NOT(Compil[[#This Row],[Est ouvrage]]), NOT(ISBLANK(Compil[[#This Row],[ART.
CCTP]])))</f>
        <v>0</v>
      </c>
      <c r="K547" t="b">
        <f>OR(Compil[[#This Row],[Unité]]="U",Compil[[#This Row],[Unité]]="ens",Compil[[#This Row],[Unité]]="ml")</f>
        <v>1</v>
      </c>
      <c r="L547" t="b">
        <f>ISBLANK(Compil[[#This Row],[DESIGNATION]])</f>
        <v>0</v>
      </c>
      <c r="M547" s="359"/>
      <c r="N547" s="358"/>
      <c r="O547" s="358"/>
      <c r="P547" s="358"/>
      <c r="Q547" s="358">
        <f>COUNTIF(Compil[[Ma Désignation ]],Compil[[Ma Désignation ]])</f>
        <v>2</v>
      </c>
    </row>
    <row r="548" spans="1:17">
      <c r="A548" s="360">
        <v>1150</v>
      </c>
      <c r="B548" s="363"/>
      <c r="C548" s="402" t="s">
        <v>439</v>
      </c>
      <c r="D548" t="str">
        <f xml:space="preserve"> TRIM( SUBSTITUTE(SUBSTITUTE(SUBSTITUTE( Compil[[#This Row],[DESIGNATION]],"-",""),"–",""),"*",""))</f>
        <v>essais</v>
      </c>
      <c r="E548" s="369" t="s">
        <v>12</v>
      </c>
      <c r="F548" s="385"/>
      <c r="G548" s="390" t="s">
        <v>571</v>
      </c>
      <c r="H548" s="391" t="s">
        <v>571</v>
      </c>
      <c r="I548" t="s">
        <v>579</v>
      </c>
      <c r="J548" t="b">
        <f>AND(NOT(Compil[[#This Row],[Est ouvrage]]), NOT(ISBLANK(Compil[[#This Row],[ART.
CCTP]])))</f>
        <v>0</v>
      </c>
      <c r="K548" t="b">
        <f>OR(Compil[[#This Row],[Unité]]="U",Compil[[#This Row],[Unité]]="ens",Compil[[#This Row],[Unité]]="ml")</f>
        <v>1</v>
      </c>
      <c r="L548" t="b">
        <f>ISBLANK(Compil[[#This Row],[DESIGNATION]])</f>
        <v>0</v>
      </c>
      <c r="M548" s="359"/>
      <c r="N548" s="358"/>
      <c r="O548" s="358"/>
      <c r="P548" s="358"/>
      <c r="Q548" s="358">
        <f>COUNTIF(Compil[[Ma Désignation ]],Compil[[Ma Désignation ]])</f>
        <v>2</v>
      </c>
    </row>
    <row r="549" spans="1:17" ht="14">
      <c r="A549" s="303">
        <v>282</v>
      </c>
      <c r="B549" s="179"/>
      <c r="C549" s="224" t="s">
        <v>24</v>
      </c>
      <c r="D549" t="str">
        <f xml:space="preserve"> TRIM( SUBSTITUTE(SUBSTITUTE(SUBSTITUTE( Compil[[#This Row],[DESIGNATION]],"-",""),"–",""),"*",""))</f>
        <v>essais et mise en marche</v>
      </c>
      <c r="E549" s="193" t="s">
        <v>12</v>
      </c>
      <c r="F549" s="252">
        <v>1</v>
      </c>
      <c r="G549" s="289" t="e">
        <f>IF(F549="","",(((L549*$M$6)+(M549*#REF!*#REF!))*$M$7)/F549)</f>
        <v>#VALUE!</v>
      </c>
      <c r="H549" s="164" t="e">
        <f>IF(F549="","",F549*G549)</f>
        <v>#VALUE!</v>
      </c>
      <c r="I549" t="s">
        <v>580</v>
      </c>
      <c r="J549" t="b">
        <f>AND(NOT(Compil[[#This Row],[Est ouvrage]]), NOT(ISBLANK(Compil[[#This Row],[ART.
CCTP]])))</f>
        <v>0</v>
      </c>
      <c r="K549" t="b">
        <f>OR(Compil[[#This Row],[Unité]]="U",Compil[[#This Row],[Unité]]="ens",Compil[[#This Row],[Unité]]="ml")</f>
        <v>1</v>
      </c>
      <c r="L549" t="b">
        <f>ISBLANK(Compil[[#This Row],[DESIGNATION]])</f>
        <v>0</v>
      </c>
      <c r="M549" s="359"/>
      <c r="N549" s="358"/>
      <c r="O549" s="358"/>
      <c r="P549" s="358"/>
      <c r="Q549" s="358">
        <f>COUNTIF(Compil[[Ma Désignation ]],Compil[[Ma Désignation ]])</f>
        <v>2</v>
      </c>
    </row>
    <row r="550" spans="1:17" ht="14">
      <c r="A550" s="312">
        <v>916</v>
      </c>
      <c r="B550" s="17"/>
      <c r="C550" s="86" t="s">
        <v>24</v>
      </c>
      <c r="D550" t="str">
        <f xml:space="preserve"> TRIM( SUBSTITUTE(SUBSTITUTE(SUBSTITUTE( Compil[[#This Row],[DESIGNATION]],"-",""),"–",""),"*",""))</f>
        <v>essais et mise en marche</v>
      </c>
      <c r="E550" s="9" t="s">
        <v>12</v>
      </c>
      <c r="F550" s="262">
        <v>1</v>
      </c>
      <c r="G550" s="289">
        <v>0</v>
      </c>
      <c r="H550" s="164">
        <v>0</v>
      </c>
      <c r="I550" t="s">
        <v>578</v>
      </c>
      <c r="J550" t="b">
        <f>AND(NOT(Compil[[#This Row],[Est ouvrage]]), NOT(ISBLANK(Compil[[#This Row],[ART.
CCTP]])))</f>
        <v>0</v>
      </c>
      <c r="K550" t="b">
        <f>OR(Compil[[#This Row],[Unité]]="U",Compil[[#This Row],[Unité]]="ens",Compil[[#This Row],[Unité]]="ml")</f>
        <v>1</v>
      </c>
      <c r="L550" t="b">
        <f>ISBLANK(Compil[[#This Row],[DESIGNATION]])</f>
        <v>0</v>
      </c>
      <c r="M550" s="359"/>
      <c r="N550" s="358"/>
      <c r="O550" s="358"/>
      <c r="P550" s="358"/>
      <c r="Q550" s="358">
        <f>COUNTIF(Compil[[Ma Désignation ]],Compil[[Ma Désignation ]])</f>
        <v>2</v>
      </c>
    </row>
    <row r="551" spans="1:17" ht="14">
      <c r="A551" s="303">
        <v>329</v>
      </c>
      <c r="B551" s="2"/>
      <c r="C551" s="224" t="s">
        <v>19</v>
      </c>
      <c r="D551" t="str">
        <f xml:space="preserve"> TRIM( SUBSTITUTE(SUBSTITUTE(SUBSTITUTE( Compil[[#This Row],[DESIGNATION]],"-",""),"–",""),"*",""))</f>
        <v>essais, raccordement</v>
      </c>
      <c r="E551" s="190" t="s">
        <v>12</v>
      </c>
      <c r="F551" s="252">
        <v>1</v>
      </c>
      <c r="G551" s="289" t="e">
        <f>IF(F551="","",(((L551*$M$6)+(M551*#REF!*#REF!))*$M$7)/F551)</f>
        <v>#VALUE!</v>
      </c>
      <c r="H551" s="164" t="e">
        <f>IF(F551="","",F551*G551)</f>
        <v>#VALUE!</v>
      </c>
      <c r="I551" t="s">
        <v>580</v>
      </c>
      <c r="J551" t="b">
        <f>AND(NOT(Compil[[#This Row],[Est ouvrage]]), NOT(ISBLANK(Compil[[#This Row],[ART.
CCTP]])))</f>
        <v>0</v>
      </c>
      <c r="K551" t="b">
        <f>OR(Compil[[#This Row],[Unité]]="U",Compil[[#This Row],[Unité]]="ens",Compil[[#This Row],[Unité]]="ml")</f>
        <v>1</v>
      </c>
      <c r="L551" t="b">
        <f>ISBLANK(Compil[[#This Row],[DESIGNATION]])</f>
        <v>0</v>
      </c>
      <c r="M551" s="359"/>
      <c r="N551" s="358"/>
      <c r="O551" s="358"/>
      <c r="P551" s="358"/>
      <c r="Q551" s="358">
        <f>COUNTIF(Compil[[Ma Désignation ]],Compil[[Ma Désignation ]])</f>
        <v>2</v>
      </c>
    </row>
    <row r="552" spans="1:17" ht="14">
      <c r="A552" s="312">
        <v>953</v>
      </c>
      <c r="B552" s="19"/>
      <c r="C552" s="86" t="s">
        <v>19</v>
      </c>
      <c r="D552" t="str">
        <f xml:space="preserve"> TRIM( SUBSTITUTE(SUBSTITUTE(SUBSTITUTE( Compil[[#This Row],[DESIGNATION]],"-",""),"–",""),"*",""))</f>
        <v>essais, raccordement</v>
      </c>
      <c r="E552" s="8" t="s">
        <v>12</v>
      </c>
      <c r="F552" s="262">
        <v>1</v>
      </c>
      <c r="G552" s="289">
        <v>0</v>
      </c>
      <c r="H552" s="164">
        <v>0</v>
      </c>
      <c r="I552" t="s">
        <v>578</v>
      </c>
      <c r="J552" t="b">
        <f>AND(NOT(Compil[[#This Row],[Est ouvrage]]), NOT(ISBLANK(Compil[[#This Row],[ART.
CCTP]])))</f>
        <v>0</v>
      </c>
      <c r="K552" t="b">
        <f>OR(Compil[[#This Row],[Unité]]="U",Compil[[#This Row],[Unité]]="ens",Compil[[#This Row],[Unité]]="ml")</f>
        <v>1</v>
      </c>
      <c r="L552" t="b">
        <f>ISBLANK(Compil[[#This Row],[DESIGNATION]])</f>
        <v>0</v>
      </c>
      <c r="M552" s="359"/>
      <c r="N552" s="358"/>
      <c r="O552" s="358"/>
      <c r="P552" s="358"/>
      <c r="Q552" s="358">
        <f>COUNTIF(Compil[[Ma Désignation ]],Compil[[Ma Désignation ]])</f>
        <v>2</v>
      </c>
    </row>
    <row r="553" spans="1:17" ht="14">
      <c r="A553" s="310">
        <v>705</v>
      </c>
      <c r="B553" s="69"/>
      <c r="C553" s="427" t="s">
        <v>56</v>
      </c>
      <c r="D553" t="str">
        <f xml:space="preserve"> TRIM( SUBSTITUTE(SUBSTITUTE(SUBSTITUTE( Compil[[#This Row],[DESIGNATION]],"-",""),"–",""),"*",""))</f>
        <v>Etiquetage</v>
      </c>
      <c r="E553" s="14" t="s">
        <v>12</v>
      </c>
      <c r="F553" s="262"/>
      <c r="G553" s="289" t="s">
        <v>571</v>
      </c>
      <c r="H553" s="164" t="s">
        <v>571</v>
      </c>
      <c r="I553" t="s">
        <v>570</v>
      </c>
      <c r="J553" t="b">
        <f>AND(NOT(Compil[[#This Row],[Est ouvrage]]), NOT(ISBLANK(Compil[[#This Row],[ART.
CCTP]])))</f>
        <v>0</v>
      </c>
      <c r="K553" t="b">
        <f>OR(Compil[[#This Row],[Unité]]="U",Compil[[#This Row],[Unité]]="ens",Compil[[#This Row],[Unité]]="ml")</f>
        <v>1</v>
      </c>
      <c r="L553" t="b">
        <f>ISBLANK(Compil[[#This Row],[DESIGNATION]])</f>
        <v>0</v>
      </c>
      <c r="M553" s="359"/>
      <c r="N553" s="358"/>
      <c r="O553" s="358"/>
      <c r="P553" s="358"/>
      <c r="Q553" s="358">
        <f>COUNTIF(Compil[[Ma Désignation ]],Compil[[Ma Désignation ]])</f>
        <v>2</v>
      </c>
    </row>
    <row r="554" spans="1:17">
      <c r="A554" s="360">
        <v>1124</v>
      </c>
      <c r="B554" s="363"/>
      <c r="C554" s="402" t="s">
        <v>56</v>
      </c>
      <c r="D554" t="str">
        <f xml:space="preserve"> TRIM( SUBSTITUTE(SUBSTITUTE(SUBSTITUTE( Compil[[#This Row],[DESIGNATION]],"-",""),"–",""),"*",""))</f>
        <v>Etiquetage</v>
      </c>
      <c r="E554" s="371" t="s">
        <v>12</v>
      </c>
      <c r="F554" s="385">
        <v>1</v>
      </c>
      <c r="G554" s="390">
        <v>0</v>
      </c>
      <c r="H554" s="391">
        <v>0</v>
      </c>
      <c r="I554" t="s">
        <v>579</v>
      </c>
      <c r="J554" t="b">
        <f>AND(NOT(Compil[[#This Row],[Est ouvrage]]), NOT(ISBLANK(Compil[[#This Row],[ART.
CCTP]])))</f>
        <v>0</v>
      </c>
      <c r="K554" t="b">
        <f>OR(Compil[[#This Row],[Unité]]="U",Compil[[#This Row],[Unité]]="ens",Compil[[#This Row],[Unité]]="ml")</f>
        <v>1</v>
      </c>
      <c r="L554" t="b">
        <f>ISBLANK(Compil[[#This Row],[DESIGNATION]])</f>
        <v>0</v>
      </c>
      <c r="M554" s="359"/>
      <c r="N554" s="358"/>
      <c r="O554" s="358"/>
      <c r="P554" s="358"/>
      <c r="Q554" s="358">
        <f>COUNTIF(Compil[[Ma Désignation ]],Compil[[Ma Désignation ]])</f>
        <v>2</v>
      </c>
    </row>
    <row r="555" spans="1:17" ht="14">
      <c r="A555" s="310">
        <v>550</v>
      </c>
      <c r="B555" s="43"/>
      <c r="C555" s="416"/>
      <c r="D555" t="str">
        <f xml:space="preserve"> TRIM( SUBSTITUTE(SUBSTITUTE(SUBSTITUTE( Compil[[#This Row],[DESIGNATION]],"-",""),"–",""),"*",""))</f>
        <v/>
      </c>
      <c r="E555" s="9"/>
      <c r="F555" s="262"/>
      <c r="G555" s="289" t="s">
        <v>571</v>
      </c>
      <c r="H555" s="164" t="s">
        <v>571</v>
      </c>
      <c r="I555" t="s">
        <v>570</v>
      </c>
      <c r="J555" t="b">
        <f>AND(NOT(Compil[[#This Row],[Est ouvrage]]), NOT(ISBLANK(Compil[[#This Row],[ART.
CCTP]])))</f>
        <v>0</v>
      </c>
      <c r="K555" t="b">
        <f>OR(Compil[[#This Row],[Unité]]="U",Compil[[#This Row],[Unité]]="ens",Compil[[#This Row],[Unité]]="ml")</f>
        <v>0</v>
      </c>
      <c r="L555" t="b">
        <f>ISBLANK(Compil[[#This Row],[DESIGNATION]])</f>
        <v>1</v>
      </c>
      <c r="M555" s="358"/>
      <c r="N555" s="358"/>
      <c r="O555" s="358"/>
      <c r="P555" s="358"/>
      <c r="Q555" s="358">
        <f>COUNTIF(Compil[[Ma Désignation ]],Compil[[Ma Désignation ]])</f>
        <v>306</v>
      </c>
    </row>
    <row r="556" spans="1:17" ht="14">
      <c r="A556" s="310">
        <v>551</v>
      </c>
      <c r="B556" s="43"/>
      <c r="C556" s="430" t="s">
        <v>573</v>
      </c>
      <c r="D556" t="str">
        <f xml:space="preserve"> TRIM( SUBSTITUTE(SUBSTITUTE(SUBSTITUTE( Compil[[#This Row],[DESIGNATION]],"-",""),"–",""),"*",""))</f>
        <v>Appareillages de finition noire</v>
      </c>
      <c r="E556" s="9"/>
      <c r="F556" s="262"/>
      <c r="G556" s="289" t="s">
        <v>571</v>
      </c>
      <c r="H556" s="164" t="s">
        <v>571</v>
      </c>
      <c r="I556" t="s">
        <v>570</v>
      </c>
      <c r="J556" t="b">
        <f>AND(NOT(Compil[[#This Row],[Est ouvrage]]), NOT(ISBLANK(Compil[[#This Row],[ART.
CCTP]])))</f>
        <v>0</v>
      </c>
      <c r="K556" t="b">
        <f>OR(Compil[[#This Row],[Unité]]="U",Compil[[#This Row],[Unité]]="ens",Compil[[#This Row],[Unité]]="ml")</f>
        <v>0</v>
      </c>
      <c r="L556" t="b">
        <f>ISBLANK(Compil[[#This Row],[DESIGNATION]])</f>
        <v>0</v>
      </c>
      <c r="M556" s="359"/>
      <c r="N556" s="358"/>
      <c r="O556" s="358"/>
      <c r="P556" s="358"/>
      <c r="Q556" s="358">
        <f>COUNTIF(Compil[[Ma Désignation ]],Compil[[Ma Désignation ]])</f>
        <v>9</v>
      </c>
    </row>
    <row r="557" spans="1:17" ht="25">
      <c r="A557" s="303">
        <v>11</v>
      </c>
      <c r="B557" s="195"/>
      <c r="C557" s="200" t="s">
        <v>136</v>
      </c>
      <c r="D557" s="357" t="str">
        <f xml:space="preserve"> TRIM( SUBSTITUTE(SUBSTITUTE(SUBSTITUTE( Compil[[#This Row],[DESIGNATION]],"-",""),"–",""),"*",""))</f>
        <v>Fourniture des coffrets de coupure sur socle avec embase de téléreport et boîtier de connexion</v>
      </c>
      <c r="E557" s="381" t="s">
        <v>12</v>
      </c>
      <c r="F557" s="254" t="s">
        <v>492</v>
      </c>
      <c r="G557" s="289"/>
      <c r="H557" s="164"/>
      <c r="I557" t="s">
        <v>580</v>
      </c>
      <c r="J557" t="b">
        <f>AND(NOT(Compil[[#This Row],[Est ouvrage]]), NOT(ISBLANK(Compil[[#This Row],[ART.
CCTP]])))</f>
        <v>0</v>
      </c>
      <c r="K557" t="b">
        <f>OR(Compil[[#This Row],[Unité]]="U",Compil[[#This Row],[Unité]]="ens",Compil[[#This Row],[Unité]]="ml")</f>
        <v>1</v>
      </c>
      <c r="L557" t="b">
        <f>ISBLANK(Compil[[#This Row],[DESIGNATION]])</f>
        <v>0</v>
      </c>
      <c r="M557" s="359">
        <v>40</v>
      </c>
      <c r="N557" s="358"/>
      <c r="O557" s="358"/>
      <c r="P557" s="358"/>
      <c r="Q557" s="358">
        <f>COUNTIF(Compil[[Ma Désignation ]],Compil[[Ma Désignation ]])</f>
        <v>1</v>
      </c>
    </row>
    <row r="558" spans="1:17" ht="25">
      <c r="A558" s="312">
        <v>728</v>
      </c>
      <c r="B558" s="45"/>
      <c r="C558" s="82" t="s">
        <v>322</v>
      </c>
      <c r="D558" s="357" t="str">
        <f xml:space="preserve"> TRIM( SUBSTITUTE(SUBSTITUTE(SUBSTITUTE( Compil[[#This Row],[DESIGNATION]],"-",""),"–",""),"*",""))</f>
        <v>Fourniture du coffret de coupure sur socle avec embase de téléreport et boîtier de connexion</v>
      </c>
      <c r="E558" s="378" t="s">
        <v>12</v>
      </c>
      <c r="F558" s="264">
        <v>1</v>
      </c>
      <c r="G558" s="289">
        <v>0</v>
      </c>
      <c r="H558" s="164">
        <v>0</v>
      </c>
      <c r="I558" t="s">
        <v>578</v>
      </c>
      <c r="J558" t="b">
        <f>AND(NOT(Compil[[#This Row],[Est ouvrage]]), NOT(ISBLANK(Compil[[#This Row],[ART.
CCTP]])))</f>
        <v>0</v>
      </c>
      <c r="K558" t="b">
        <f>OR(Compil[[#This Row],[Unité]]="U",Compil[[#This Row],[Unité]]="ens",Compil[[#This Row],[Unité]]="ml")</f>
        <v>1</v>
      </c>
      <c r="L558" t="b">
        <f>ISBLANK(Compil[[#This Row],[DESIGNATION]])</f>
        <v>0</v>
      </c>
      <c r="M558" s="359"/>
      <c r="N558" s="358"/>
      <c r="O558" s="358"/>
      <c r="P558" s="358"/>
      <c r="Q558" s="358">
        <f>COUNTIF(Compil[[Ma Désignation ]],Compil[[Ma Désignation ]])</f>
        <v>1</v>
      </c>
    </row>
    <row r="559" spans="1:17" ht="14">
      <c r="A559" s="303">
        <v>237</v>
      </c>
      <c r="B559" s="2"/>
      <c r="C559" s="206" t="s">
        <v>339</v>
      </c>
      <c r="D559" t="str">
        <f xml:space="preserve"> TRIM( SUBSTITUTE(SUBSTITUTE(SUBSTITUTE( Compil[[#This Row],[DESIGNATION]],"-",""),"–",""),"*",""))</f>
        <v>fourreau ICTA 3422 en gaine palière pour la rocade fibre</v>
      </c>
      <c r="E559" s="190" t="s">
        <v>12</v>
      </c>
      <c r="F559" s="252">
        <v>1</v>
      </c>
      <c r="G559" s="289" t="e">
        <f>IF(F559="","",(((L559*$M$6)+(M559*#REF!*#REF!))*$M$7)/F559)</f>
        <v>#VALUE!</v>
      </c>
      <c r="H559" s="164" t="e">
        <f>IF(F559="","",F559*G559)</f>
        <v>#VALUE!</v>
      </c>
      <c r="I559" t="s">
        <v>580</v>
      </c>
      <c r="J559" t="b">
        <f>AND(NOT(Compil[[#This Row],[Est ouvrage]]), NOT(ISBLANK(Compil[[#This Row],[ART.
CCTP]])))</f>
        <v>0</v>
      </c>
      <c r="K559" t="b">
        <f>OR(Compil[[#This Row],[Unité]]="U",Compil[[#This Row],[Unité]]="ens",Compil[[#This Row],[Unité]]="ml")</f>
        <v>1</v>
      </c>
      <c r="L559" t="b">
        <f>ISBLANK(Compil[[#This Row],[DESIGNATION]])</f>
        <v>0</v>
      </c>
      <c r="M559" s="359"/>
      <c r="N559" s="358"/>
      <c r="O559" s="358"/>
      <c r="P559" s="358"/>
      <c r="Q559" s="358">
        <f>COUNTIF(Compil[[Ma Désignation ]],Compil[[Ma Désignation ]])</f>
        <v>1</v>
      </c>
    </row>
    <row r="560" spans="1:17" ht="14">
      <c r="A560" s="303">
        <v>80</v>
      </c>
      <c r="B560" s="2"/>
      <c r="C560" s="186" t="s">
        <v>150</v>
      </c>
      <c r="D560" t="str">
        <f xml:space="preserve"> TRIM( SUBSTITUTE(SUBSTITUTE(SUBSTITUTE( Compil[[#This Row],[DESIGNATION]],"-",""),"–",""),"*",""))</f>
        <v>fourreau ICTA DN 20 depuis la gaine ERDF jusqu'aux logements</v>
      </c>
      <c r="E560" s="208" t="s">
        <v>12</v>
      </c>
      <c r="F560" s="252">
        <f>105*10</f>
        <v>1050</v>
      </c>
      <c r="G560" s="289" t="e">
        <f>IF(F560="","",(((L560*$M$6)+(M560*#REF!*#REF!))*$M$7)/F560)</f>
        <v>#VALUE!</v>
      </c>
      <c r="H560" s="164" t="e">
        <f>IF(F560="","",F560*G560)</f>
        <v>#VALUE!</v>
      </c>
      <c r="I560" t="s">
        <v>580</v>
      </c>
      <c r="J560" t="b">
        <f>AND(NOT(Compil[[#This Row],[Est ouvrage]]), NOT(ISBLANK(Compil[[#This Row],[ART.
CCTP]])))</f>
        <v>0</v>
      </c>
      <c r="K560" t="b">
        <f>OR(Compil[[#This Row],[Unité]]="U",Compil[[#This Row],[Unité]]="ens",Compil[[#This Row],[Unité]]="ml")</f>
        <v>1</v>
      </c>
      <c r="L560" t="b">
        <f>ISBLANK(Compil[[#This Row],[DESIGNATION]])</f>
        <v>0</v>
      </c>
      <c r="M560" s="359"/>
      <c r="N560" s="358"/>
      <c r="O560" s="358"/>
      <c r="P560" s="358"/>
      <c r="Q560" s="358">
        <f>COUNTIF(Compil[[Ma Désignation ]],Compil[[Ma Désignation ]])</f>
        <v>1</v>
      </c>
    </row>
    <row r="561" spans="1:17" ht="14">
      <c r="A561" s="312">
        <v>770</v>
      </c>
      <c r="B561" s="19"/>
      <c r="C561" s="20" t="s">
        <v>326</v>
      </c>
      <c r="D561" t="str">
        <f xml:space="preserve"> TRIM( SUBSTITUTE(SUBSTITUTE(SUBSTITUTE( Compil[[#This Row],[DESIGNATION]],"-",""),"–",""),"*",""))</f>
        <v>fourreau ICTA DN 20 depuis la gaine ERDF jusqu'aux logements et bureaux</v>
      </c>
      <c r="E561" s="102" t="s">
        <v>12</v>
      </c>
      <c r="F561" s="262">
        <v>300</v>
      </c>
      <c r="G561" s="289">
        <v>0</v>
      </c>
      <c r="H561" s="164">
        <v>0</v>
      </c>
      <c r="I561" t="s">
        <v>578</v>
      </c>
      <c r="J561" t="b">
        <f>AND(NOT(Compil[[#This Row],[Est ouvrage]]), NOT(ISBLANK(Compil[[#This Row],[ART.
CCTP]])))</f>
        <v>0</v>
      </c>
      <c r="K561" t="b">
        <f>OR(Compil[[#This Row],[Unité]]="U",Compil[[#This Row],[Unité]]="ens",Compil[[#This Row],[Unité]]="ml")</f>
        <v>1</v>
      </c>
      <c r="L561" t="b">
        <f>ISBLANK(Compil[[#This Row],[DESIGNATION]])</f>
        <v>0</v>
      </c>
      <c r="M561" s="359"/>
      <c r="N561" s="358"/>
      <c r="O561" s="358"/>
      <c r="P561" s="358"/>
      <c r="Q561" s="358">
        <f>COUNTIF(Compil[[Ma Désignation ]],Compil[[Ma Désignation ]])</f>
        <v>1</v>
      </c>
    </row>
    <row r="562" spans="1:17" ht="25">
      <c r="A562" s="310">
        <v>707</v>
      </c>
      <c r="B562" s="69"/>
      <c r="C562" s="427" t="s">
        <v>172</v>
      </c>
      <c r="D562" t="str">
        <f xml:space="preserve"> TRIM( SUBSTITUTE(SUBSTITUTE(SUBSTITUTE( Compil[[#This Row],[DESIGNATION]],"-",""),"–",""),"*",""))</f>
        <v>Fourreaux en attente fibre optique coin séjour y compris plaque d'obturation en attente</v>
      </c>
      <c r="E562" s="9" t="s">
        <v>12</v>
      </c>
      <c r="F562" s="262"/>
      <c r="G562" s="289" t="s">
        <v>571</v>
      </c>
      <c r="H562" s="164" t="s">
        <v>571</v>
      </c>
      <c r="I562" t="s">
        <v>570</v>
      </c>
      <c r="J562" t="b">
        <f>AND(NOT(Compil[[#This Row],[Est ouvrage]]), NOT(ISBLANK(Compil[[#This Row],[ART.
CCTP]])))</f>
        <v>0</v>
      </c>
      <c r="K562" t="b">
        <f>OR(Compil[[#This Row],[Unité]]="U",Compil[[#This Row],[Unité]]="ens",Compil[[#This Row],[Unité]]="ml")</f>
        <v>1</v>
      </c>
      <c r="L562" t="b">
        <f>ISBLANK(Compil[[#This Row],[DESIGNATION]])</f>
        <v>0</v>
      </c>
      <c r="M562" s="359"/>
      <c r="N562" s="358"/>
      <c r="O562" s="358"/>
      <c r="P562" s="358"/>
      <c r="Q562" s="358">
        <f>COUNTIF(Compil[[Ma Désignation ]],Compil[[Ma Désignation ]])</f>
        <v>1</v>
      </c>
    </row>
    <row r="563" spans="1:17" ht="14">
      <c r="A563" s="310">
        <v>558</v>
      </c>
      <c r="B563" s="43"/>
      <c r="C563" s="416"/>
      <c r="D563" t="str">
        <f xml:space="preserve"> TRIM( SUBSTITUTE(SUBSTITUTE(SUBSTITUTE( Compil[[#This Row],[DESIGNATION]],"-",""),"–",""),"*",""))</f>
        <v/>
      </c>
      <c r="E563" s="9"/>
      <c r="F563" s="262"/>
      <c r="G563" s="289" t="s">
        <v>571</v>
      </c>
      <c r="H563" s="164" t="s">
        <v>571</v>
      </c>
      <c r="I563" t="s">
        <v>570</v>
      </c>
      <c r="J563" t="b">
        <f>AND(NOT(Compil[[#This Row],[Est ouvrage]]), NOT(ISBLANK(Compil[[#This Row],[ART.
CCTP]])))</f>
        <v>0</v>
      </c>
      <c r="K563" t="b">
        <f>OR(Compil[[#This Row],[Unité]]="U",Compil[[#This Row],[Unité]]="ens",Compil[[#This Row],[Unité]]="ml")</f>
        <v>0</v>
      </c>
      <c r="L563" t="b">
        <f>ISBLANK(Compil[[#This Row],[DESIGNATION]])</f>
        <v>1</v>
      </c>
      <c r="M563" s="358"/>
      <c r="N563" s="358"/>
      <c r="O563" s="358"/>
      <c r="P563" s="358"/>
      <c r="Q563" s="358">
        <f>COUNTIF(Compil[[Ma Désignation ]],Compil[[Ma Désignation ]])</f>
        <v>306</v>
      </c>
    </row>
    <row r="564" spans="1:17">
      <c r="A564" s="360">
        <v>1126</v>
      </c>
      <c r="B564" s="363"/>
      <c r="C564" s="402" t="s">
        <v>454</v>
      </c>
      <c r="D564" t="str">
        <f xml:space="preserve"> TRIM( SUBSTITUTE(SUBSTITUTE(SUBSTITUTE( Compil[[#This Row],[DESIGNATION]],"-",""),"–",""),"*",""))</f>
        <v>Fourreaux en dalle pour alimentation des PA1 en CFO et CFA</v>
      </c>
      <c r="E564" s="369" t="s">
        <v>12</v>
      </c>
      <c r="F564" s="385">
        <v>1</v>
      </c>
      <c r="G564" s="390">
        <v>0</v>
      </c>
      <c r="H564" s="391">
        <v>0</v>
      </c>
      <c r="I564" t="s">
        <v>579</v>
      </c>
      <c r="J564" t="b">
        <f>AND(NOT(Compil[[#This Row],[Est ouvrage]]), NOT(ISBLANK(Compil[[#This Row],[ART.
CCTP]])))</f>
        <v>0</v>
      </c>
      <c r="K564" t="b">
        <f>OR(Compil[[#This Row],[Unité]]="U",Compil[[#This Row],[Unité]]="ens",Compil[[#This Row],[Unité]]="ml")</f>
        <v>1</v>
      </c>
      <c r="L564" t="b">
        <f>ISBLANK(Compil[[#This Row],[DESIGNATION]])</f>
        <v>0</v>
      </c>
      <c r="M564" s="359"/>
      <c r="N564" s="358"/>
      <c r="O564" s="358"/>
      <c r="P564" s="358"/>
      <c r="Q564" s="358">
        <f>COUNTIF(Compil[[Ma Désignation ]],Compil[[Ma Désignation ]])</f>
        <v>1</v>
      </c>
    </row>
    <row r="565" spans="1:17" ht="14">
      <c r="A565" s="312">
        <v>790</v>
      </c>
      <c r="B565" s="19"/>
      <c r="C565" s="86" t="s">
        <v>364</v>
      </c>
      <c r="D565" t="str">
        <f xml:space="preserve"> TRIM( SUBSTITUTE(SUBSTITUTE(SUBSTITUTE( Compil[[#This Row],[DESIGNATION]],"-",""),"–",""),"*",""))</f>
        <v>fourreaux encastré en dalle ou cloison</v>
      </c>
      <c r="E565" s="8" t="s">
        <v>12</v>
      </c>
      <c r="F565" s="262">
        <v>1</v>
      </c>
      <c r="G565" s="289">
        <v>0</v>
      </c>
      <c r="H565" s="164">
        <v>0</v>
      </c>
      <c r="I565" t="s">
        <v>578</v>
      </c>
      <c r="J565" t="b">
        <f>AND(NOT(Compil[[#This Row],[Est ouvrage]]), NOT(ISBLANK(Compil[[#This Row],[ART.
CCTP]])))</f>
        <v>0</v>
      </c>
      <c r="K565" t="b">
        <f>OR(Compil[[#This Row],[Unité]]="U",Compil[[#This Row],[Unité]]="ens",Compil[[#This Row],[Unité]]="ml")</f>
        <v>1</v>
      </c>
      <c r="L565" t="b">
        <f>ISBLANK(Compil[[#This Row],[DESIGNATION]])</f>
        <v>0</v>
      </c>
      <c r="M565" s="359"/>
      <c r="N565" s="358"/>
      <c r="O565" s="358"/>
      <c r="P565" s="358"/>
      <c r="Q565" s="358">
        <f>COUNTIF(Compil[[Ma Désignation ]],Compil[[Ma Désignation ]])</f>
        <v>2</v>
      </c>
    </row>
    <row r="566" spans="1:17" ht="14">
      <c r="A566" s="312">
        <v>794</v>
      </c>
      <c r="B566" s="19"/>
      <c r="C566" s="86" t="s">
        <v>364</v>
      </c>
      <c r="D566" t="str">
        <f xml:space="preserve"> TRIM( SUBSTITUTE(SUBSTITUTE(SUBSTITUTE( Compil[[#This Row],[DESIGNATION]],"-",""),"–",""),"*",""))</f>
        <v>fourreaux encastré en dalle ou cloison</v>
      </c>
      <c r="E566" s="8" t="s">
        <v>12</v>
      </c>
      <c r="F566" s="262">
        <v>1</v>
      </c>
      <c r="G566" s="289">
        <v>0</v>
      </c>
      <c r="H566" s="164">
        <v>0</v>
      </c>
      <c r="I566" t="s">
        <v>578</v>
      </c>
      <c r="J566" t="b">
        <f>AND(NOT(Compil[[#This Row],[Est ouvrage]]), NOT(ISBLANK(Compil[[#This Row],[ART.
CCTP]])))</f>
        <v>0</v>
      </c>
      <c r="K566" t="b">
        <f>OR(Compil[[#This Row],[Unité]]="U",Compil[[#This Row],[Unité]]="ens",Compil[[#This Row],[Unité]]="ml")</f>
        <v>1</v>
      </c>
      <c r="L566" t="b">
        <f>ISBLANK(Compil[[#This Row],[DESIGNATION]])</f>
        <v>0</v>
      </c>
      <c r="M566" s="359"/>
      <c r="N566" s="358"/>
      <c r="O566" s="358"/>
      <c r="P566" s="358"/>
      <c r="Q566" s="358">
        <f>COUNTIF(Compil[[Ma Désignation ]],Compil[[Ma Désignation ]])</f>
        <v>2</v>
      </c>
    </row>
    <row r="567" spans="1:17" ht="14">
      <c r="A567" s="303">
        <v>103</v>
      </c>
      <c r="B567" s="2"/>
      <c r="C567" s="224" t="s">
        <v>83</v>
      </c>
      <c r="D567" t="str">
        <f xml:space="preserve"> TRIM( SUBSTITUTE(SUBSTITUTE(SUBSTITUTE( Compil[[#This Row],[DESIGNATION]],"-",""),"–",""),"*",""))</f>
        <v>fourreaux enterrés en dalle ou cloison</v>
      </c>
      <c r="E567" s="190" t="s">
        <v>12</v>
      </c>
      <c r="F567" s="252">
        <v>1</v>
      </c>
      <c r="G567" s="289" t="e">
        <f>IF(F567="","",(((L567*$M$6)+(M567*#REF!*#REF!))*$M$7)/F567)</f>
        <v>#VALUE!</v>
      </c>
      <c r="H567" s="164" t="e">
        <f>IF(F567="","",F567*G567)</f>
        <v>#VALUE!</v>
      </c>
      <c r="I567" t="s">
        <v>580</v>
      </c>
      <c r="J567" t="b">
        <f>AND(NOT(Compil[[#This Row],[Est ouvrage]]), NOT(ISBLANK(Compil[[#This Row],[ART.
CCTP]])))</f>
        <v>0</v>
      </c>
      <c r="K567" t="b">
        <f>OR(Compil[[#This Row],[Unité]]="U",Compil[[#This Row],[Unité]]="ens",Compil[[#This Row],[Unité]]="ml")</f>
        <v>1</v>
      </c>
      <c r="L567" t="b">
        <f>ISBLANK(Compil[[#This Row],[DESIGNATION]])</f>
        <v>0</v>
      </c>
      <c r="M567" s="359"/>
      <c r="N567" s="358"/>
      <c r="O567" s="358"/>
      <c r="P567" s="358"/>
      <c r="Q567" s="358">
        <f>COUNTIF(Compil[[Ma Désignation ]],Compil[[Ma Désignation ]])</f>
        <v>2</v>
      </c>
    </row>
    <row r="568" spans="1:17" ht="14">
      <c r="A568" s="303">
        <v>109</v>
      </c>
      <c r="B568" s="2"/>
      <c r="C568" s="224" t="s">
        <v>83</v>
      </c>
      <c r="D568" t="str">
        <f xml:space="preserve"> TRIM( SUBSTITUTE(SUBSTITUTE(SUBSTITUTE( Compil[[#This Row],[DESIGNATION]],"-",""),"–",""),"*",""))</f>
        <v>fourreaux enterrés en dalle ou cloison</v>
      </c>
      <c r="E568" s="190" t="s">
        <v>12</v>
      </c>
      <c r="F568" s="252">
        <v>1</v>
      </c>
      <c r="G568" s="289" t="e">
        <f>IF(F568="","",(((L568*$M$6)+(M568*#REF!*#REF!))*$M$7)/F568)</f>
        <v>#VALUE!</v>
      </c>
      <c r="H568" s="164" t="e">
        <f>IF(F568="","",F568*G568)</f>
        <v>#VALUE!</v>
      </c>
      <c r="I568" t="s">
        <v>580</v>
      </c>
      <c r="J568" t="b">
        <f>AND(NOT(Compil[[#This Row],[Est ouvrage]]), NOT(ISBLANK(Compil[[#This Row],[ART.
CCTP]])))</f>
        <v>0</v>
      </c>
      <c r="K568" t="b">
        <f>OR(Compil[[#This Row],[Unité]]="U",Compil[[#This Row],[Unité]]="ens",Compil[[#This Row],[Unité]]="ml")</f>
        <v>1</v>
      </c>
      <c r="L568" t="b">
        <f>ISBLANK(Compil[[#This Row],[DESIGNATION]])</f>
        <v>0</v>
      </c>
      <c r="M568" s="359"/>
      <c r="N568" s="358"/>
      <c r="O568" s="358"/>
      <c r="P568" s="358"/>
      <c r="Q568" s="358">
        <f>COUNTIF(Compil[[Ma Désignation ]],Compil[[Ma Désignation ]])</f>
        <v>2</v>
      </c>
    </row>
    <row r="569" spans="1:17" ht="25">
      <c r="A569" s="303">
        <v>205</v>
      </c>
      <c r="B569" s="2"/>
      <c r="C569" s="206" t="s">
        <v>183</v>
      </c>
      <c r="D569" t="str">
        <f xml:space="preserve"> TRIM( SUBSTITUTE(SUBSTITUTE(SUBSTITUTE( Compil[[#This Row],[DESIGNATION]],"-",""),"–",""),"*",""))</f>
        <v>fourreaux ICTA diam, 40mm minimum entre chaque niveau en gaine palière suivant CCTP</v>
      </c>
      <c r="E569" s="193" t="s">
        <v>138</v>
      </c>
      <c r="F569" s="252" t="e">
        <f>QTE!C257*10</f>
        <v>#VALUE!</v>
      </c>
      <c r="G569" s="289" t="e">
        <f>IF(F569="","",(((L569*$M$6)+(M569*#REF!*#REF!))*$M$7)/F569)</f>
        <v>#VALUE!</v>
      </c>
      <c r="H569" s="164" t="e">
        <f>IF(F569="","",F569*G569)</f>
        <v>#VALUE!</v>
      </c>
      <c r="I569" t="s">
        <v>580</v>
      </c>
      <c r="J569" t="b">
        <f>AND(NOT(Compil[[#This Row],[Est ouvrage]]), NOT(ISBLANK(Compil[[#This Row],[ART.
CCTP]])))</f>
        <v>0</v>
      </c>
      <c r="K569" t="b">
        <f>OR(Compil[[#This Row],[Unité]]="U",Compil[[#This Row],[Unité]]="ens",Compil[[#This Row],[Unité]]="ml")</f>
        <v>1</v>
      </c>
      <c r="L569" t="b">
        <f>ISBLANK(Compil[[#This Row],[DESIGNATION]])</f>
        <v>0</v>
      </c>
      <c r="M569" s="359"/>
      <c r="N569" s="358"/>
      <c r="O569" s="358"/>
      <c r="P569" s="358"/>
      <c r="Q569" s="358">
        <f>COUNTIF(Compil[[Ma Désignation ]],Compil[[Ma Désignation ]])</f>
        <v>4</v>
      </c>
    </row>
    <row r="570" spans="1:17" ht="25">
      <c r="A570" s="303">
        <v>223</v>
      </c>
      <c r="B570" s="2"/>
      <c r="C570" s="206" t="s">
        <v>183</v>
      </c>
      <c r="D570" t="str">
        <f xml:space="preserve"> TRIM( SUBSTITUTE(SUBSTITUTE(SUBSTITUTE( Compil[[#This Row],[DESIGNATION]],"-",""),"–",""),"*",""))</f>
        <v>fourreaux ICTA diam, 40mm minimum entre chaque niveau en gaine palière suivant CCTP</v>
      </c>
      <c r="E570" s="193" t="s">
        <v>138</v>
      </c>
      <c r="F570" s="252">
        <f>(8+11)*3</f>
        <v>57</v>
      </c>
      <c r="G570" s="289" t="e">
        <f>IF(F570="","",(((L570*$M$6)+(M570*#REF!*#REF!))*$M$7)/F570)</f>
        <v>#VALUE!</v>
      </c>
      <c r="H570" s="164" t="e">
        <f>IF(F570="","",F570*G570)</f>
        <v>#VALUE!</v>
      </c>
      <c r="I570" t="s">
        <v>580</v>
      </c>
      <c r="J570" t="b">
        <f>AND(NOT(Compil[[#This Row],[Est ouvrage]]), NOT(ISBLANK(Compil[[#This Row],[ART.
CCTP]])))</f>
        <v>0</v>
      </c>
      <c r="K570" t="b">
        <f>OR(Compil[[#This Row],[Unité]]="U",Compil[[#This Row],[Unité]]="ens",Compil[[#This Row],[Unité]]="ml")</f>
        <v>1</v>
      </c>
      <c r="L570" t="b">
        <f>ISBLANK(Compil[[#This Row],[DESIGNATION]])</f>
        <v>0</v>
      </c>
      <c r="M570" s="359"/>
      <c r="N570" s="358"/>
      <c r="O570" s="358"/>
      <c r="P570" s="358"/>
      <c r="Q570" s="358">
        <f>COUNTIF(Compil[[Ma Désignation ]],Compil[[Ma Désignation ]])</f>
        <v>4</v>
      </c>
    </row>
    <row r="571" spans="1:17" ht="25">
      <c r="A571" s="312">
        <v>844</v>
      </c>
      <c r="B571" s="19"/>
      <c r="C571" s="88" t="s">
        <v>183</v>
      </c>
      <c r="D571" t="str">
        <f xml:space="preserve"> TRIM( SUBSTITUTE(SUBSTITUTE(SUBSTITUTE( Compil[[#This Row],[DESIGNATION]],"-",""),"–",""),"*",""))</f>
        <v>fourreaux ICTA diam, 40mm minimum entre chaque niveau en gaine palière suivant CCTP</v>
      </c>
      <c r="E571" s="9" t="s">
        <v>138</v>
      </c>
      <c r="F571" s="262">
        <v>360</v>
      </c>
      <c r="G571" s="289">
        <v>0</v>
      </c>
      <c r="H571" s="164">
        <v>0</v>
      </c>
      <c r="I571" t="s">
        <v>578</v>
      </c>
      <c r="J571" t="b">
        <f>AND(NOT(Compil[[#This Row],[Est ouvrage]]), NOT(ISBLANK(Compil[[#This Row],[ART.
CCTP]])))</f>
        <v>0</v>
      </c>
      <c r="K571" t="b">
        <f>OR(Compil[[#This Row],[Unité]]="U",Compil[[#This Row],[Unité]]="ens",Compil[[#This Row],[Unité]]="ml")</f>
        <v>1</v>
      </c>
      <c r="L571" t="b">
        <f>ISBLANK(Compil[[#This Row],[DESIGNATION]])</f>
        <v>0</v>
      </c>
      <c r="M571" s="359"/>
      <c r="N571" s="358"/>
      <c r="O571" s="358"/>
      <c r="P571" s="358"/>
      <c r="Q571" s="358">
        <f>COUNTIF(Compil[[Ma Désignation ]],Compil[[Ma Désignation ]])</f>
        <v>4</v>
      </c>
    </row>
    <row r="572" spans="1:17" ht="25">
      <c r="A572" s="312">
        <v>862</v>
      </c>
      <c r="B572" s="19"/>
      <c r="C572" s="88" t="s">
        <v>183</v>
      </c>
      <c r="D572" t="str">
        <f xml:space="preserve"> TRIM( SUBSTITUTE(SUBSTITUTE(SUBSTITUTE( Compil[[#This Row],[DESIGNATION]],"-",""),"–",""),"*",""))</f>
        <v>fourreaux ICTA diam, 40mm minimum entre chaque niveau en gaine palière suivant CCTP</v>
      </c>
      <c r="E572" s="9" t="s">
        <v>138</v>
      </c>
      <c r="F572" s="262">
        <v>210</v>
      </c>
      <c r="G572" s="289">
        <v>0</v>
      </c>
      <c r="H572" s="164">
        <v>0</v>
      </c>
      <c r="I572" t="s">
        <v>578</v>
      </c>
      <c r="J572" t="b">
        <f>AND(NOT(Compil[[#This Row],[Est ouvrage]]), NOT(ISBLANK(Compil[[#This Row],[ART.
CCTP]])))</f>
        <v>0</v>
      </c>
      <c r="K572" t="b">
        <f>OR(Compil[[#This Row],[Unité]]="U",Compil[[#This Row],[Unité]]="ens",Compil[[#This Row],[Unité]]="ml")</f>
        <v>1</v>
      </c>
      <c r="L572" t="b">
        <f>ISBLANK(Compil[[#This Row],[DESIGNATION]])</f>
        <v>0</v>
      </c>
      <c r="M572" s="359"/>
      <c r="N572" s="358"/>
      <c r="O572" s="358"/>
      <c r="P572" s="358"/>
      <c r="Q572" s="358">
        <f>COUNTIF(Compil[[Ma Désignation ]],Compil[[Ma Désignation ]])</f>
        <v>4</v>
      </c>
    </row>
    <row r="573" spans="1:17" ht="25">
      <c r="A573" s="303">
        <v>52</v>
      </c>
      <c r="B573" s="2"/>
      <c r="C573" s="200" t="s">
        <v>256</v>
      </c>
      <c r="D573" s="357" t="str">
        <f xml:space="preserve"> TRIM( SUBSTITUTE(SUBSTITUTE(SUBSTITUTE( Compil[[#This Row],[DESIGNATION]],"-",""),"–",""),"*",""))</f>
        <v>Fourreaux IK10 non propagateur de la flamme pour alimentation ERDF</v>
      </c>
      <c r="E573" s="381" t="s">
        <v>13</v>
      </c>
      <c r="F573" s="252">
        <f>F551+F552</f>
        <v>2</v>
      </c>
      <c r="G573" s="289" t="e">
        <f>IF(F573="","",(((L573*$M$6)+(M573*#REF!*#REF!))*$M$7)/F573)</f>
        <v>#VALUE!</v>
      </c>
      <c r="H573" s="164" t="e">
        <f>IF(F573="","",F573*G573)</f>
        <v>#VALUE!</v>
      </c>
      <c r="I573" t="s">
        <v>580</v>
      </c>
      <c r="J573" t="b">
        <f>AND(NOT(Compil[[#This Row],[Est ouvrage]]), NOT(ISBLANK(Compil[[#This Row],[ART.
CCTP]])))</f>
        <v>0</v>
      </c>
      <c r="K573" t="b">
        <f>OR(Compil[[#This Row],[Unité]]="U",Compil[[#This Row],[Unité]]="ens",Compil[[#This Row],[Unité]]="ml")</f>
        <v>1</v>
      </c>
      <c r="L573" t="b">
        <f>ISBLANK(Compil[[#This Row],[DESIGNATION]])</f>
        <v>0</v>
      </c>
      <c r="M573" s="359"/>
      <c r="N573" s="358"/>
      <c r="O573" s="358"/>
      <c r="P573" s="358"/>
      <c r="Q573" s="358">
        <f>COUNTIF(Compil[[Ma Désignation ]],Compil[[Ma Désignation ]])</f>
        <v>2</v>
      </c>
    </row>
    <row r="574" spans="1:17" ht="14">
      <c r="A574" s="310">
        <v>569</v>
      </c>
      <c r="B574" s="43"/>
      <c r="C574" s="416"/>
      <c r="D574" t="str">
        <f xml:space="preserve"> TRIM( SUBSTITUTE(SUBSTITUTE(SUBSTITUTE( Compil[[#This Row],[DESIGNATION]],"-",""),"–",""),"*",""))</f>
        <v/>
      </c>
      <c r="E574" s="9"/>
      <c r="F574" s="262"/>
      <c r="G574" s="289" t="s">
        <v>571</v>
      </c>
      <c r="H574" s="164" t="s">
        <v>571</v>
      </c>
      <c r="I574" t="s">
        <v>570</v>
      </c>
      <c r="J574" t="b">
        <f>AND(NOT(Compil[[#This Row],[Est ouvrage]]), NOT(ISBLANK(Compil[[#This Row],[ART.
CCTP]])))</f>
        <v>0</v>
      </c>
      <c r="K574" t="b">
        <f>OR(Compil[[#This Row],[Unité]]="U",Compil[[#This Row],[Unité]]="ens",Compil[[#This Row],[Unité]]="ml")</f>
        <v>0</v>
      </c>
      <c r="L574" t="b">
        <f>ISBLANK(Compil[[#This Row],[DESIGNATION]])</f>
        <v>1</v>
      </c>
      <c r="M574" s="358"/>
      <c r="N574" s="358"/>
      <c r="O574" s="358"/>
      <c r="P574" s="358"/>
      <c r="Q574" s="358">
        <f>COUNTIF(Compil[[Ma Désignation ]],Compil[[Ma Désignation ]])</f>
        <v>306</v>
      </c>
    </row>
    <row r="575" spans="1:17" ht="25">
      <c r="A575" s="312">
        <v>744</v>
      </c>
      <c r="B575" s="19"/>
      <c r="C575" s="82" t="s">
        <v>256</v>
      </c>
      <c r="D575" s="357" t="str">
        <f xml:space="preserve"> TRIM( SUBSTITUTE(SUBSTITUTE(SUBSTITUTE( Compil[[#This Row],[DESIGNATION]],"-",""),"–",""),"*",""))</f>
        <v>Fourreaux IK10 non propagateur de la flamme pour alimentation ERDF</v>
      </c>
      <c r="E575" s="102" t="s">
        <v>1</v>
      </c>
      <c r="F575" s="262">
        <v>70</v>
      </c>
      <c r="G575" s="289">
        <v>0</v>
      </c>
      <c r="H575" s="164">
        <v>0</v>
      </c>
      <c r="I575" t="s">
        <v>578</v>
      </c>
      <c r="J575" t="b">
        <f>AND(NOT(Compil[[#This Row],[Est ouvrage]]), NOT(ISBLANK(Compil[[#This Row],[ART.
CCTP]])))</f>
        <v>0</v>
      </c>
      <c r="K575" t="b">
        <f>OR(Compil[[#This Row],[Unité]]="U",Compil[[#This Row],[Unité]]="ens",Compil[[#This Row],[Unité]]="ml")</f>
        <v>1</v>
      </c>
      <c r="L575" t="b">
        <f>ISBLANK(Compil[[#This Row],[DESIGNATION]])</f>
        <v>0</v>
      </c>
      <c r="M575" s="359"/>
      <c r="N575" s="358"/>
      <c r="O575" s="358"/>
      <c r="P575" s="358"/>
      <c r="Q575" s="358">
        <f>COUNTIF(Compil[[Ma Désignation ]],Compil[[Ma Désignation ]])</f>
        <v>2</v>
      </c>
    </row>
    <row r="576" spans="1:17" ht="14">
      <c r="A576" s="303">
        <v>53</v>
      </c>
      <c r="B576" s="2"/>
      <c r="C576" s="200" t="s">
        <v>255</v>
      </c>
      <c r="D576" s="357" t="str">
        <f xml:space="preserve"> TRIM( SUBSTITUTE(SUBSTITUTE(SUBSTITUTE( Compil[[#This Row],[DESIGNATION]],"-",""),"–",""),"*",""))</f>
        <v>Fourreaux IK10 non propagateur de la flamme pour téléreport</v>
      </c>
      <c r="E576" s="208" t="s">
        <v>1</v>
      </c>
      <c r="F576" s="252">
        <f>+F553+F554</f>
        <v>1</v>
      </c>
      <c r="G576" s="289" t="e">
        <f>IF(F576="","",(((L576*$M$6)+(M576*#REF!*#REF!))*$M$7)/F576)</f>
        <v>#VALUE!</v>
      </c>
      <c r="H576" s="164" t="e">
        <f>IF(F576="","",F576*G576)</f>
        <v>#VALUE!</v>
      </c>
      <c r="I576" t="s">
        <v>580</v>
      </c>
      <c r="J576" t="b">
        <f>AND(NOT(Compil[[#This Row],[Est ouvrage]]), NOT(ISBLANK(Compil[[#This Row],[ART.
CCTP]])))</f>
        <v>0</v>
      </c>
      <c r="K576" t="b">
        <f>OR(Compil[[#This Row],[Unité]]="U",Compil[[#This Row],[Unité]]="ens",Compil[[#This Row],[Unité]]="ml")</f>
        <v>1</v>
      </c>
      <c r="L576" t="b">
        <f>ISBLANK(Compil[[#This Row],[DESIGNATION]])</f>
        <v>0</v>
      </c>
      <c r="M576" s="359"/>
      <c r="N576" s="358"/>
      <c r="O576" s="358"/>
      <c r="P576" s="358"/>
      <c r="Q576" s="358">
        <f>COUNTIF(Compil[[Ma Désignation ]],Compil[[Ma Désignation ]])</f>
        <v>2</v>
      </c>
    </row>
    <row r="577" spans="1:17" ht="14">
      <c r="A577" s="310">
        <v>572</v>
      </c>
      <c r="B577" s="43"/>
      <c r="C577" s="416"/>
      <c r="D577" t="str">
        <f xml:space="preserve"> TRIM( SUBSTITUTE(SUBSTITUTE(SUBSTITUTE( Compil[[#This Row],[DESIGNATION]],"-",""),"–",""),"*",""))</f>
        <v/>
      </c>
      <c r="E577" s="9"/>
      <c r="F577" s="262"/>
      <c r="G577" s="289" t="s">
        <v>571</v>
      </c>
      <c r="H577" s="164" t="s">
        <v>571</v>
      </c>
      <c r="I577" t="s">
        <v>570</v>
      </c>
      <c r="J577" t="b">
        <f>AND(NOT(Compil[[#This Row],[Est ouvrage]]), NOT(ISBLANK(Compil[[#This Row],[ART.
CCTP]])))</f>
        <v>0</v>
      </c>
      <c r="K577" t="b">
        <f>OR(Compil[[#This Row],[Unité]]="U",Compil[[#This Row],[Unité]]="ens",Compil[[#This Row],[Unité]]="ml")</f>
        <v>0</v>
      </c>
      <c r="L577" t="b">
        <f>ISBLANK(Compil[[#This Row],[DESIGNATION]])</f>
        <v>1</v>
      </c>
      <c r="M577" s="358"/>
      <c r="N577" s="358"/>
      <c r="O577" s="358"/>
      <c r="P577" s="358"/>
      <c r="Q577" s="358">
        <f>COUNTIF(Compil[[Ma Désignation ]],Compil[[Ma Désignation ]])</f>
        <v>306</v>
      </c>
    </row>
    <row r="578" spans="1:17" ht="14">
      <c r="A578" s="312">
        <v>745</v>
      </c>
      <c r="B578" s="19"/>
      <c r="C578" s="82" t="s">
        <v>255</v>
      </c>
      <c r="D578" s="357" t="str">
        <f xml:space="preserve"> TRIM( SUBSTITUTE(SUBSTITUTE(SUBSTITUTE( Compil[[#This Row],[DESIGNATION]],"-",""),"–",""),"*",""))</f>
        <v>Fourreaux IK10 non propagateur de la flamme pour téléreport</v>
      </c>
      <c r="E578" s="102" t="s">
        <v>1</v>
      </c>
      <c r="F578" s="262">
        <v>70</v>
      </c>
      <c r="G578" s="289">
        <v>0</v>
      </c>
      <c r="H578" s="164">
        <v>0</v>
      </c>
      <c r="I578" t="s">
        <v>578</v>
      </c>
      <c r="J578" t="b">
        <f>AND(NOT(Compil[[#This Row],[Est ouvrage]]), NOT(ISBLANK(Compil[[#This Row],[ART.
CCTP]])))</f>
        <v>0</v>
      </c>
      <c r="K578" t="b">
        <f>OR(Compil[[#This Row],[Unité]]="U",Compil[[#This Row],[Unité]]="ens",Compil[[#This Row],[Unité]]="ml")</f>
        <v>1</v>
      </c>
      <c r="L578" t="b">
        <f>ISBLANK(Compil[[#This Row],[DESIGNATION]])</f>
        <v>0</v>
      </c>
      <c r="M578" s="359"/>
      <c r="N578" s="358"/>
      <c r="O578" s="358"/>
      <c r="P578" s="358"/>
      <c r="Q578" s="358">
        <f>COUNTIF(Compil[[Ma Désignation ]],Compil[[Ma Désignation ]])</f>
        <v>2</v>
      </c>
    </row>
    <row r="579" spans="1:17" ht="25">
      <c r="A579" s="303">
        <v>254</v>
      </c>
      <c r="B579" s="2"/>
      <c r="C579" s="206" t="s">
        <v>393</v>
      </c>
      <c r="D579" t="str">
        <f xml:space="preserve"> TRIM( SUBSTITUTE(SUBSTITUTE(SUBSTITUTE( Compil[[#This Row],[DESIGNATION]],"-",""),"–",""),"*",""))</f>
        <v>fourreaux PVC diam. 45mm rigide à l'intérieur du bâtiment suivant CCTP</v>
      </c>
      <c r="E579" s="193" t="s">
        <v>138</v>
      </c>
      <c r="F579" s="252">
        <f>(8+11)*3</f>
        <v>57</v>
      </c>
      <c r="G579" s="289" t="e">
        <f>IF(F579="","",(((L579*$M$6)+(M579*#REF!*#REF!))*$M$7)/F579)</f>
        <v>#VALUE!</v>
      </c>
      <c r="H579" s="164" t="e">
        <f>IF(F579="","",F579*G579)</f>
        <v>#VALUE!</v>
      </c>
      <c r="I579" t="s">
        <v>580</v>
      </c>
      <c r="J579" t="b">
        <f>AND(NOT(Compil[[#This Row],[Est ouvrage]]), NOT(ISBLANK(Compil[[#This Row],[ART.
CCTP]])))</f>
        <v>0</v>
      </c>
      <c r="K579" t="b">
        <f>OR(Compil[[#This Row],[Unité]]="U",Compil[[#This Row],[Unité]]="ens",Compil[[#This Row],[Unité]]="ml")</f>
        <v>1</v>
      </c>
      <c r="L579" t="b">
        <f>ISBLANK(Compil[[#This Row],[DESIGNATION]])</f>
        <v>0</v>
      </c>
      <c r="M579" s="359"/>
      <c r="N579" s="358"/>
      <c r="O579" s="358"/>
      <c r="P579" s="358"/>
      <c r="Q579" s="358">
        <f>COUNTIF(Compil[[Ma Désignation ]],Compil[[Ma Désignation ]])</f>
        <v>2</v>
      </c>
    </row>
    <row r="580" spans="1:17" ht="25">
      <c r="A580" s="312">
        <v>889</v>
      </c>
      <c r="B580" s="19"/>
      <c r="C580" s="88" t="s">
        <v>393</v>
      </c>
      <c r="D580" t="str">
        <f xml:space="preserve"> TRIM( SUBSTITUTE(SUBSTITUTE(SUBSTITUTE( Compil[[#This Row],[DESIGNATION]],"-",""),"–",""),"*",""))</f>
        <v>fourreaux PVC diam. 45mm rigide à l'intérieur du bâtiment suivant CCTP</v>
      </c>
      <c r="E580" s="9" t="s">
        <v>138</v>
      </c>
      <c r="F580" s="262">
        <v>72</v>
      </c>
      <c r="G580" s="289">
        <v>0</v>
      </c>
      <c r="H580" s="164">
        <v>0</v>
      </c>
      <c r="I580" t="s">
        <v>578</v>
      </c>
      <c r="J580" t="b">
        <f>AND(NOT(Compil[[#This Row],[Est ouvrage]]), NOT(ISBLANK(Compil[[#This Row],[ART.
CCTP]])))</f>
        <v>0</v>
      </c>
      <c r="K580" t="b">
        <f>OR(Compil[[#This Row],[Unité]]="U",Compil[[#This Row],[Unité]]="ens",Compil[[#This Row],[Unité]]="ml")</f>
        <v>1</v>
      </c>
      <c r="L580" t="b">
        <f>ISBLANK(Compil[[#This Row],[DESIGNATION]])</f>
        <v>0</v>
      </c>
      <c r="M580" s="359"/>
      <c r="N580" s="358"/>
      <c r="O580" s="358"/>
      <c r="P580" s="358"/>
      <c r="Q580" s="358">
        <f>COUNTIF(Compil[[Ma Désignation ]],Compil[[Ma Désignation ]])</f>
        <v>2</v>
      </c>
    </row>
    <row r="581" spans="1:17" ht="25">
      <c r="A581" s="312">
        <v>843</v>
      </c>
      <c r="B581" s="19"/>
      <c r="C581" s="88" t="s">
        <v>181</v>
      </c>
      <c r="D581" t="str">
        <f xml:space="preserve"> TRIM( SUBSTITUTE(SUBSTITUTE(SUBSTITUTE( Compil[[#This Row],[DESIGNATION]],"-",""),"–",""),"*",""))</f>
        <v>fourreaux PVC TLST diam. 45 minimum à l'intérieur du bâtiment</v>
      </c>
      <c r="E581" s="9" t="s">
        <v>138</v>
      </c>
      <c r="F581" s="262">
        <v>120</v>
      </c>
      <c r="G581" s="289">
        <v>0</v>
      </c>
      <c r="H581" s="164">
        <v>0</v>
      </c>
      <c r="I581" t="s">
        <v>578</v>
      </c>
      <c r="J581" t="b">
        <f>AND(NOT(Compil[[#This Row],[Est ouvrage]]), NOT(ISBLANK(Compil[[#This Row],[ART.
CCTP]])))</f>
        <v>0</v>
      </c>
      <c r="K581" t="b">
        <f>OR(Compil[[#This Row],[Unité]]="U",Compil[[#This Row],[Unité]]="ens",Compil[[#This Row],[Unité]]="ml")</f>
        <v>1</v>
      </c>
      <c r="L581" t="b">
        <f>ISBLANK(Compil[[#This Row],[DESIGNATION]])</f>
        <v>0</v>
      </c>
      <c r="M581" s="359"/>
      <c r="N581" s="358"/>
      <c r="O581" s="358"/>
      <c r="P581" s="358"/>
      <c r="Q581" s="358">
        <f>COUNTIF(Compil[[Ma Désignation ]],Compil[[Ma Désignation ]])</f>
        <v>4</v>
      </c>
    </row>
    <row r="582" spans="1:17" ht="25">
      <c r="A582" s="312">
        <v>861</v>
      </c>
      <c r="B582" s="19"/>
      <c r="C582" s="88" t="s">
        <v>181</v>
      </c>
      <c r="D582" t="str">
        <f xml:space="preserve"> TRIM( SUBSTITUTE(SUBSTITUTE(SUBSTITUTE( Compil[[#This Row],[DESIGNATION]],"-",""),"–",""),"*",""))</f>
        <v>fourreaux PVC TLST diam. 45 minimum à l'intérieur du bâtiment</v>
      </c>
      <c r="E582" s="8" t="s">
        <v>12</v>
      </c>
      <c r="F582" s="262">
        <v>1</v>
      </c>
      <c r="G582" s="289">
        <v>0</v>
      </c>
      <c r="H582" s="164">
        <v>0</v>
      </c>
      <c r="I582" t="s">
        <v>578</v>
      </c>
      <c r="J582" t="b">
        <f>AND(NOT(Compil[[#This Row],[Est ouvrage]]), NOT(ISBLANK(Compil[[#This Row],[ART.
CCTP]])))</f>
        <v>0</v>
      </c>
      <c r="K582" t="b">
        <f>OR(Compil[[#This Row],[Unité]]="U",Compil[[#This Row],[Unité]]="ens",Compil[[#This Row],[Unité]]="ml")</f>
        <v>1</v>
      </c>
      <c r="L582" t="b">
        <f>ISBLANK(Compil[[#This Row],[DESIGNATION]])</f>
        <v>0</v>
      </c>
      <c r="M582" s="359"/>
      <c r="N582" s="358"/>
      <c r="O582" s="358"/>
      <c r="P582" s="358"/>
      <c r="Q582" s="358">
        <f>COUNTIF(Compil[[Ma Désignation ]],Compil[[Ma Désignation ]])</f>
        <v>4</v>
      </c>
    </row>
    <row r="583" spans="1:17" ht="14">
      <c r="A583" s="310">
        <v>578</v>
      </c>
      <c r="B583" s="43"/>
      <c r="C583" s="416"/>
      <c r="D583" t="str">
        <f xml:space="preserve"> TRIM( SUBSTITUTE(SUBSTITUTE(SUBSTITUTE( Compil[[#This Row],[DESIGNATION]],"-",""),"–",""),"*",""))</f>
        <v/>
      </c>
      <c r="E583" s="9"/>
      <c r="F583" s="262"/>
      <c r="G583" s="289" t="s">
        <v>571</v>
      </c>
      <c r="H583" s="164" t="s">
        <v>571</v>
      </c>
      <c r="I583" t="s">
        <v>570</v>
      </c>
      <c r="J583" t="b">
        <f>AND(NOT(Compil[[#This Row],[Est ouvrage]]), NOT(ISBLANK(Compil[[#This Row],[ART.
CCTP]])))</f>
        <v>0</v>
      </c>
      <c r="K583" t="b">
        <f>OR(Compil[[#This Row],[Unité]]="U",Compil[[#This Row],[Unité]]="ens",Compil[[#This Row],[Unité]]="ml")</f>
        <v>0</v>
      </c>
      <c r="L583" t="b">
        <f>ISBLANK(Compil[[#This Row],[DESIGNATION]])</f>
        <v>1</v>
      </c>
      <c r="M583" s="358"/>
      <c r="N583" s="358"/>
      <c r="O583" s="358"/>
      <c r="P583" s="358"/>
      <c r="Q583" s="358">
        <f>COUNTIF(Compil[[Ma Désignation ]],Compil[[Ma Désignation ]])</f>
        <v>306</v>
      </c>
    </row>
    <row r="584" spans="1:17" ht="14">
      <c r="A584" s="312">
        <v>796</v>
      </c>
      <c r="B584" s="19"/>
      <c r="C584" s="86" t="s">
        <v>363</v>
      </c>
      <c r="D584" t="str">
        <f xml:space="preserve"> TRIM( SUBSTITUTE(SUBSTITUTE(SUBSTITUTE( Compil[[#This Row],[DESIGNATION]],"-",""),"–",""),"*",""))</f>
        <v>Goulotte 2 compartiments</v>
      </c>
      <c r="E584" s="8" t="s">
        <v>1</v>
      </c>
      <c r="F584" s="262">
        <v>464</v>
      </c>
      <c r="G584" s="289">
        <v>0</v>
      </c>
      <c r="H584" s="164">
        <v>0</v>
      </c>
      <c r="I584" t="s">
        <v>578</v>
      </c>
      <c r="J584" t="b">
        <f>AND(NOT(Compil[[#This Row],[Est ouvrage]]), NOT(ISBLANK(Compil[[#This Row],[ART.
CCTP]])))</f>
        <v>0</v>
      </c>
      <c r="K584" t="b">
        <f>OR(Compil[[#This Row],[Unité]]="U",Compil[[#This Row],[Unité]]="ens",Compil[[#This Row],[Unité]]="ml")</f>
        <v>1</v>
      </c>
      <c r="L584" t="b">
        <f>ISBLANK(Compil[[#This Row],[DESIGNATION]])</f>
        <v>0</v>
      </c>
      <c r="M584" s="359"/>
      <c r="N584" s="358"/>
      <c r="O584" s="358"/>
      <c r="P584" s="358"/>
      <c r="Q584" s="358">
        <f>COUNTIF(Compil[[Ma Désignation ]],Compil[[Ma Désignation ]])</f>
        <v>1</v>
      </c>
    </row>
    <row r="585" spans="1:17" ht="14">
      <c r="A585" s="310">
        <v>580</v>
      </c>
      <c r="B585" s="43"/>
      <c r="C585" s="428"/>
      <c r="D585" t="str">
        <f xml:space="preserve"> TRIM( SUBSTITUTE(SUBSTITUTE(SUBSTITUTE( Compil[[#This Row],[DESIGNATION]],"-",""),"–",""),"*",""))</f>
        <v/>
      </c>
      <c r="E585" s="8"/>
      <c r="F585" s="262"/>
      <c r="G585" s="289" t="s">
        <v>571</v>
      </c>
      <c r="H585" s="164" t="s">
        <v>571</v>
      </c>
      <c r="I585" t="s">
        <v>570</v>
      </c>
      <c r="J585" t="b">
        <f>AND(NOT(Compil[[#This Row],[Est ouvrage]]), NOT(ISBLANK(Compil[[#This Row],[ART.
CCTP]])))</f>
        <v>0</v>
      </c>
      <c r="K585" t="b">
        <f>OR(Compil[[#This Row],[Unité]]="U",Compil[[#This Row],[Unité]]="ens",Compil[[#This Row],[Unité]]="ml")</f>
        <v>0</v>
      </c>
      <c r="L585" t="b">
        <f>ISBLANK(Compil[[#This Row],[DESIGNATION]])</f>
        <v>1</v>
      </c>
      <c r="M585" s="358"/>
      <c r="N585" s="358"/>
      <c r="O585" s="358"/>
      <c r="P585" s="358"/>
      <c r="Q585" s="358">
        <f>COUNTIF(Compil[[Ma Désignation ]],Compil[[Ma Désignation ]])</f>
        <v>306</v>
      </c>
    </row>
    <row r="586" spans="1:17" ht="14">
      <c r="A586" s="310">
        <v>581</v>
      </c>
      <c r="B586" s="43"/>
      <c r="C586" s="413" t="s">
        <v>239</v>
      </c>
      <c r="D586" t="str">
        <f xml:space="preserve"> TRIM( SUBSTITUTE(SUBSTITUTE(SUBSTITUTE( Compil[[#This Row],[DESIGNATION]],"-",""),"–",""),"*",""))</f>
        <v>Sous total HT pour un T4</v>
      </c>
      <c r="E586" s="9"/>
      <c r="F586" s="262"/>
      <c r="G586" s="289" t="s">
        <v>571</v>
      </c>
      <c r="H586" s="164" t="s">
        <v>571</v>
      </c>
      <c r="I586" t="s">
        <v>570</v>
      </c>
      <c r="J586" t="b">
        <f>AND(NOT(Compil[[#This Row],[Est ouvrage]]), NOT(ISBLANK(Compil[[#This Row],[ART.
CCTP]])))</f>
        <v>0</v>
      </c>
      <c r="K586" t="b">
        <f>OR(Compil[[#This Row],[Unité]]="U",Compil[[#This Row],[Unité]]="ens",Compil[[#This Row],[Unité]]="ml")</f>
        <v>0</v>
      </c>
      <c r="L586" t="b">
        <f>ISBLANK(Compil[[#This Row],[DESIGNATION]])</f>
        <v>0</v>
      </c>
      <c r="M586" s="359"/>
      <c r="N586" s="358"/>
      <c r="O586" s="358"/>
      <c r="P586" s="358"/>
      <c r="Q586" s="358">
        <f>COUNTIF(Compil[[Ma Désignation ]],Compil[[Ma Désignation ]])</f>
        <v>1</v>
      </c>
    </row>
    <row r="587" spans="1:17" ht="14">
      <c r="A587" s="310">
        <v>404</v>
      </c>
      <c r="B587" s="43"/>
      <c r="C587" s="416" t="s">
        <v>446</v>
      </c>
      <c r="D587" t="str">
        <f xml:space="preserve"> TRIM( SUBSTITUTE(SUBSTITUTE(SUBSTITUTE( Compil[[#This Row],[DESIGNATION]],"-",""),"–",""),"*",""))</f>
        <v>Goulotte de distribution en cuisine bâtiment G1</v>
      </c>
      <c r="E587" s="9" t="s">
        <v>1</v>
      </c>
      <c r="F587" s="262"/>
      <c r="G587" s="289" t="s">
        <v>571</v>
      </c>
      <c r="H587" s="164" t="s">
        <v>571</v>
      </c>
      <c r="I587" t="s">
        <v>570</v>
      </c>
      <c r="J587" t="b">
        <f>AND(NOT(Compil[[#This Row],[Est ouvrage]]), NOT(ISBLANK(Compil[[#This Row],[ART.
CCTP]])))</f>
        <v>0</v>
      </c>
      <c r="K587" t="b">
        <f>OR(Compil[[#This Row],[Unité]]="U",Compil[[#This Row],[Unité]]="ens",Compil[[#This Row],[Unité]]="ml")</f>
        <v>1</v>
      </c>
      <c r="L587" t="b">
        <f>ISBLANK(Compil[[#This Row],[DESIGNATION]])</f>
        <v>0</v>
      </c>
      <c r="M587" s="359"/>
      <c r="N587" s="358"/>
      <c r="O587" s="358"/>
      <c r="P587" s="358"/>
      <c r="Q587" s="358">
        <f>COUNTIF(Compil[[Ma Désignation ]],Compil[[Ma Désignation ]])</f>
        <v>6</v>
      </c>
    </row>
    <row r="588" spans="1:17" ht="14">
      <c r="A588" s="310">
        <v>583</v>
      </c>
      <c r="B588" s="43"/>
      <c r="C588" s="81"/>
      <c r="D588" s="357" t="str">
        <f xml:space="preserve"> TRIM( SUBSTITUTE(SUBSTITUTE(SUBSTITUTE( Compil[[#This Row],[DESIGNATION]],"-",""),"–",""),"*",""))</f>
        <v/>
      </c>
      <c r="E588" s="9"/>
      <c r="F588" s="262"/>
      <c r="G588" s="289" t="s">
        <v>571</v>
      </c>
      <c r="H588" s="164" t="s">
        <v>571</v>
      </c>
      <c r="I588" t="s">
        <v>570</v>
      </c>
      <c r="J588" t="b">
        <f>AND(NOT(Compil[[#This Row],[Est ouvrage]]), NOT(ISBLANK(Compil[[#This Row],[ART.
CCTP]])))</f>
        <v>0</v>
      </c>
      <c r="K588" t="b">
        <f>OR(Compil[[#This Row],[Unité]]="U",Compil[[#This Row],[Unité]]="ens",Compil[[#This Row],[Unité]]="ml")</f>
        <v>0</v>
      </c>
      <c r="L588" t="b">
        <f>ISBLANK(Compil[[#This Row],[DESIGNATION]])</f>
        <v>1</v>
      </c>
      <c r="M588" s="358"/>
      <c r="N588" s="358"/>
      <c r="O588" s="358"/>
      <c r="P588" s="358"/>
      <c r="Q588" s="358">
        <f>COUNTIF(Compil[[Ma Désignation ]],Compil[[Ma Désignation ]])</f>
        <v>306</v>
      </c>
    </row>
    <row r="589" spans="1:17" ht="14">
      <c r="A589" s="310">
        <v>584</v>
      </c>
      <c r="B589" s="43"/>
      <c r="C589" s="429" t="s">
        <v>278</v>
      </c>
      <c r="D589" t="str">
        <f xml:space="preserve"> TRIM( SUBSTITUTE(SUBSTITUTE(SUBSTITUTE( Compil[[#This Row],[DESIGNATION]],"-",""),"–",""),"*",""))</f>
        <v>Sous total 2.7.2 Appartement T4</v>
      </c>
      <c r="E589" s="72"/>
      <c r="F589" s="262"/>
      <c r="G589" s="289" t="s">
        <v>571</v>
      </c>
      <c r="H589" s="164" t="s">
        <v>571</v>
      </c>
      <c r="I589" t="s">
        <v>570</v>
      </c>
      <c r="J589" t="b">
        <f>AND(NOT(Compil[[#This Row],[Est ouvrage]]), NOT(ISBLANK(Compil[[#This Row],[ART.
CCTP]])))</f>
        <v>0</v>
      </c>
      <c r="K589" t="b">
        <f>OR(Compil[[#This Row],[Unité]]="U",Compil[[#This Row],[Unité]]="ens",Compil[[#This Row],[Unité]]="ml")</f>
        <v>0</v>
      </c>
      <c r="L589" t="b">
        <f>ISBLANK(Compil[[#This Row],[DESIGNATION]])</f>
        <v>0</v>
      </c>
      <c r="M589" s="359"/>
      <c r="N589" s="358"/>
      <c r="O589" s="358"/>
      <c r="P589" s="358"/>
      <c r="Q589" s="358">
        <f>COUNTIF(Compil[[Ma Désignation ]],Compil[[Ma Désignation ]])</f>
        <v>1</v>
      </c>
    </row>
    <row r="590" spans="1:17" ht="14">
      <c r="A590" s="310">
        <v>585</v>
      </c>
      <c r="B590" s="43"/>
      <c r="C590" s="440"/>
      <c r="D590" t="str">
        <f xml:space="preserve"> TRIM( SUBSTITUTE(SUBSTITUTE(SUBSTITUTE( Compil[[#This Row],[DESIGNATION]],"-",""),"–",""),"*",""))</f>
        <v/>
      </c>
      <c r="E590" s="8"/>
      <c r="F590" s="262"/>
      <c r="G590" s="289" t="s">
        <v>571</v>
      </c>
      <c r="H590" s="164" t="s">
        <v>571</v>
      </c>
      <c r="I590" t="s">
        <v>570</v>
      </c>
      <c r="J590" t="b">
        <f>AND(NOT(Compil[[#This Row],[Est ouvrage]]), NOT(ISBLANK(Compil[[#This Row],[ART.
CCTP]])))</f>
        <v>0</v>
      </c>
      <c r="K590" t="b">
        <f>OR(Compil[[#This Row],[Unité]]="U",Compil[[#This Row],[Unité]]="ens",Compil[[#This Row],[Unité]]="ml")</f>
        <v>0</v>
      </c>
      <c r="L590" t="b">
        <f>ISBLANK(Compil[[#This Row],[DESIGNATION]])</f>
        <v>1</v>
      </c>
      <c r="M590" s="358"/>
      <c r="N590" s="358"/>
      <c r="O590" s="358"/>
      <c r="P590" s="358"/>
      <c r="Q590" s="358">
        <f>COUNTIF(Compil[[Ma Désignation ]],Compil[[Ma Désignation ]])</f>
        <v>306</v>
      </c>
    </row>
    <row r="591" spans="1:17" ht="14">
      <c r="A591" s="310">
        <v>586</v>
      </c>
      <c r="B591" s="2" t="s">
        <v>261</v>
      </c>
      <c r="C591" s="413" t="s">
        <v>279</v>
      </c>
      <c r="D591" t="str">
        <f xml:space="preserve"> TRIM( SUBSTITUTE(SUBSTITUTE(SUBSTITUTE( Compil[[#This Row],[DESIGNATION]],"-",""),"–",""),"*",""))</f>
        <v>Appartement de type T5</v>
      </c>
      <c r="E591" s="9"/>
      <c r="F591" s="262"/>
      <c r="G591" s="289" t="s">
        <v>571</v>
      </c>
      <c r="H591" s="164" t="s">
        <v>571</v>
      </c>
      <c r="I591" t="s">
        <v>570</v>
      </c>
      <c r="J591" t="b">
        <f>AND(NOT(Compil[[#This Row],[Est ouvrage]]), NOT(ISBLANK(Compil[[#This Row],[ART.
CCTP]])))</f>
        <v>1</v>
      </c>
      <c r="K591" t="b">
        <f>OR(Compil[[#This Row],[Unité]]="U",Compil[[#This Row],[Unité]]="ens",Compil[[#This Row],[Unité]]="ml")</f>
        <v>0</v>
      </c>
      <c r="L591" t="b">
        <f>ISBLANK(Compil[[#This Row],[DESIGNATION]])</f>
        <v>0</v>
      </c>
      <c r="M591" s="359"/>
      <c r="N591" s="358"/>
      <c r="O591" s="358"/>
      <c r="P591" s="358"/>
      <c r="Q591" s="358">
        <f>COUNTIF(Compil[[Ma Désignation ]],Compil[[Ma Désignation ]])</f>
        <v>1</v>
      </c>
    </row>
    <row r="592" spans="1:17" ht="14">
      <c r="A592" s="310">
        <v>587</v>
      </c>
      <c r="B592" s="2"/>
      <c r="C592" s="433"/>
      <c r="D592" t="str">
        <f xml:space="preserve"> TRIM( SUBSTITUTE(SUBSTITUTE(SUBSTITUTE( Compil[[#This Row],[DESIGNATION]],"-",""),"–",""),"*",""))</f>
        <v/>
      </c>
      <c r="E592" s="9"/>
      <c r="F592" s="262"/>
      <c r="G592" s="289" t="s">
        <v>571</v>
      </c>
      <c r="H592" s="164" t="s">
        <v>571</v>
      </c>
      <c r="I592" t="s">
        <v>570</v>
      </c>
      <c r="J592" t="b">
        <f>AND(NOT(Compil[[#This Row],[Est ouvrage]]), NOT(ISBLANK(Compil[[#This Row],[ART.
CCTP]])))</f>
        <v>0</v>
      </c>
      <c r="K592" t="b">
        <f>OR(Compil[[#This Row],[Unité]]="U",Compil[[#This Row],[Unité]]="ens",Compil[[#This Row],[Unité]]="ml")</f>
        <v>0</v>
      </c>
      <c r="L592" t="b">
        <f>ISBLANK(Compil[[#This Row],[DESIGNATION]])</f>
        <v>1</v>
      </c>
      <c r="M592" s="358"/>
      <c r="N592" s="358"/>
      <c r="O592" s="358"/>
      <c r="P592" s="358"/>
      <c r="Q592" s="358">
        <f>COUNTIF(Compil[[Ma Désignation ]],Compil[[Ma Désignation ]])</f>
        <v>306</v>
      </c>
    </row>
    <row r="593" spans="1:17" ht="14">
      <c r="A593" s="310">
        <v>588</v>
      </c>
      <c r="B593" s="43"/>
      <c r="C593" s="430" t="s">
        <v>572</v>
      </c>
      <c r="D593" t="str">
        <f xml:space="preserve"> TRIM( SUBSTITUTE(SUBSTITUTE(SUBSTITUTE( Compil[[#This Row],[DESIGNATION]],"-",""),"–",""),"*",""))</f>
        <v>Appareillages de finition blanche</v>
      </c>
      <c r="E593" s="9"/>
      <c r="F593" s="262"/>
      <c r="G593" s="289" t="s">
        <v>571</v>
      </c>
      <c r="H593" s="164" t="s">
        <v>571</v>
      </c>
      <c r="I593" t="s">
        <v>570</v>
      </c>
      <c r="J593" t="b">
        <f>AND(NOT(Compil[[#This Row],[Est ouvrage]]), NOT(ISBLANK(Compil[[#This Row],[ART.
CCTP]])))</f>
        <v>0</v>
      </c>
      <c r="K593" t="b">
        <f>OR(Compil[[#This Row],[Unité]]="U",Compil[[#This Row],[Unité]]="ens",Compil[[#This Row],[Unité]]="ml")</f>
        <v>0</v>
      </c>
      <c r="L593" t="b">
        <f>ISBLANK(Compil[[#This Row],[DESIGNATION]])</f>
        <v>0</v>
      </c>
      <c r="M593" s="359"/>
      <c r="N593" s="358"/>
      <c r="O593" s="358"/>
      <c r="P593" s="358"/>
      <c r="Q593" s="358">
        <f>COUNTIF(Compil[[Ma Désignation ]],Compil[[Ma Désignation ]])</f>
        <v>9</v>
      </c>
    </row>
    <row r="594" spans="1:17" ht="14">
      <c r="A594" s="310">
        <v>458</v>
      </c>
      <c r="B594" s="43"/>
      <c r="C594" s="416" t="s">
        <v>446</v>
      </c>
      <c r="D594" t="str">
        <f xml:space="preserve"> TRIM( SUBSTITUTE(SUBSTITUTE(SUBSTITUTE( Compil[[#This Row],[DESIGNATION]],"-",""),"–",""),"*",""))</f>
        <v>Goulotte de distribution en cuisine bâtiment G1</v>
      </c>
      <c r="E594" s="9" t="s">
        <v>1</v>
      </c>
      <c r="F594" s="262"/>
      <c r="G594" s="289" t="s">
        <v>571</v>
      </c>
      <c r="H594" s="164" t="s">
        <v>571</v>
      </c>
      <c r="I594" t="s">
        <v>570</v>
      </c>
      <c r="J594" t="b">
        <f>AND(NOT(Compil[[#This Row],[Est ouvrage]]), NOT(ISBLANK(Compil[[#This Row],[ART.
CCTP]])))</f>
        <v>0</v>
      </c>
      <c r="K594" t="b">
        <f>OR(Compil[[#This Row],[Unité]]="U",Compil[[#This Row],[Unité]]="ens",Compil[[#This Row],[Unité]]="ml")</f>
        <v>1</v>
      </c>
      <c r="L594" t="b">
        <f>ISBLANK(Compil[[#This Row],[DESIGNATION]])</f>
        <v>0</v>
      </c>
      <c r="M594" s="359"/>
      <c r="N594" s="358"/>
      <c r="O594" s="358"/>
      <c r="P594" s="358"/>
      <c r="Q594" s="358">
        <f>COUNTIF(Compil[[Ma Désignation ]],Compil[[Ma Désignation ]])</f>
        <v>6</v>
      </c>
    </row>
    <row r="595" spans="1:17" ht="14">
      <c r="A595" s="310">
        <v>514</v>
      </c>
      <c r="B595" s="2"/>
      <c r="C595" s="416" t="s">
        <v>446</v>
      </c>
      <c r="D595" t="str">
        <f xml:space="preserve"> TRIM( SUBSTITUTE(SUBSTITUTE(SUBSTITUTE( Compil[[#This Row],[DESIGNATION]],"-",""),"–",""),"*",""))</f>
        <v>Goulotte de distribution en cuisine bâtiment G1</v>
      </c>
      <c r="E595" s="9" t="s">
        <v>1</v>
      </c>
      <c r="F595" s="262"/>
      <c r="G595" s="289" t="s">
        <v>571</v>
      </c>
      <c r="H595" s="164" t="s">
        <v>571</v>
      </c>
      <c r="I595" t="s">
        <v>570</v>
      </c>
      <c r="J595" t="b">
        <f>AND(NOT(Compil[[#This Row],[Est ouvrage]]), NOT(ISBLANK(Compil[[#This Row],[ART.
CCTP]])))</f>
        <v>0</v>
      </c>
      <c r="K595" t="b">
        <f>OR(Compil[[#This Row],[Unité]]="U",Compil[[#This Row],[Unité]]="ens",Compil[[#This Row],[Unité]]="ml")</f>
        <v>1</v>
      </c>
      <c r="L595" t="b">
        <f>ISBLANK(Compil[[#This Row],[DESIGNATION]])</f>
        <v>0</v>
      </c>
      <c r="M595" s="359"/>
      <c r="N595" s="358"/>
      <c r="O595" s="358"/>
      <c r="P595" s="358"/>
      <c r="Q595" s="358">
        <f>COUNTIF(Compil[[Ma Désignation ]],Compil[[Ma Désignation ]])</f>
        <v>6</v>
      </c>
    </row>
    <row r="596" spans="1:17" ht="14">
      <c r="A596" s="310">
        <v>570</v>
      </c>
      <c r="B596" s="43"/>
      <c r="C596" s="416" t="s">
        <v>446</v>
      </c>
      <c r="D596" t="str">
        <f xml:space="preserve"> TRIM( SUBSTITUTE(SUBSTITUTE(SUBSTITUTE( Compil[[#This Row],[DESIGNATION]],"-",""),"–",""),"*",""))</f>
        <v>Goulotte de distribution en cuisine bâtiment G1</v>
      </c>
      <c r="E596" s="9" t="s">
        <v>1</v>
      </c>
      <c r="F596" s="262"/>
      <c r="G596" s="289" t="s">
        <v>571</v>
      </c>
      <c r="H596" s="164" t="s">
        <v>571</v>
      </c>
      <c r="I596" t="s">
        <v>570</v>
      </c>
      <c r="J596" t="b">
        <f>AND(NOT(Compil[[#This Row],[Est ouvrage]]), NOT(ISBLANK(Compil[[#This Row],[ART.
CCTP]])))</f>
        <v>0</v>
      </c>
      <c r="K596" t="b">
        <f>OR(Compil[[#This Row],[Unité]]="U",Compil[[#This Row],[Unité]]="ens",Compil[[#This Row],[Unité]]="ml")</f>
        <v>1</v>
      </c>
      <c r="L596" t="b">
        <f>ISBLANK(Compil[[#This Row],[DESIGNATION]])</f>
        <v>0</v>
      </c>
      <c r="M596" s="359"/>
      <c r="N596" s="358"/>
      <c r="O596" s="358"/>
      <c r="P596" s="358"/>
      <c r="Q596" s="358">
        <f>COUNTIF(Compil[[Ma Désignation ]],Compil[[Ma Désignation ]])</f>
        <v>6</v>
      </c>
    </row>
    <row r="597" spans="1:17" ht="14">
      <c r="A597" s="310">
        <v>626</v>
      </c>
      <c r="B597" s="43"/>
      <c r="C597" s="416" t="s">
        <v>446</v>
      </c>
      <c r="D597" t="str">
        <f xml:space="preserve"> TRIM( SUBSTITUTE(SUBSTITUTE(SUBSTITUTE( Compil[[#This Row],[DESIGNATION]],"-",""),"–",""),"*",""))</f>
        <v>Goulotte de distribution en cuisine bâtiment G1</v>
      </c>
      <c r="E597" s="9" t="s">
        <v>1</v>
      </c>
      <c r="F597" s="262"/>
      <c r="G597" s="289" t="s">
        <v>571</v>
      </c>
      <c r="H597" s="164" t="s">
        <v>571</v>
      </c>
      <c r="I597" t="s">
        <v>570</v>
      </c>
      <c r="J597" t="b">
        <f>AND(NOT(Compil[[#This Row],[Est ouvrage]]), NOT(ISBLANK(Compil[[#This Row],[ART.
CCTP]])))</f>
        <v>0</v>
      </c>
      <c r="K597" t="b">
        <f>OR(Compil[[#This Row],[Unité]]="U",Compil[[#This Row],[Unité]]="ens",Compil[[#This Row],[Unité]]="ml")</f>
        <v>1</v>
      </c>
      <c r="L597" t="b">
        <f>ISBLANK(Compil[[#This Row],[DESIGNATION]])</f>
        <v>0</v>
      </c>
      <c r="M597" s="359"/>
      <c r="N597" s="358"/>
      <c r="O597" s="358"/>
      <c r="P597" s="358"/>
      <c r="Q597" s="358">
        <f>COUNTIF(Compil[[Ma Désignation ]],Compil[[Ma Désignation ]])</f>
        <v>6</v>
      </c>
    </row>
    <row r="598" spans="1:17" ht="14">
      <c r="A598" s="310">
        <v>682</v>
      </c>
      <c r="B598" s="43"/>
      <c r="C598" s="416" t="s">
        <v>446</v>
      </c>
      <c r="D598" t="str">
        <f xml:space="preserve"> TRIM( SUBSTITUTE(SUBSTITUTE(SUBSTITUTE( Compil[[#This Row],[DESIGNATION]],"-",""),"–",""),"*",""))</f>
        <v>Goulotte de distribution en cuisine bâtiment G1</v>
      </c>
      <c r="E598" s="9" t="s">
        <v>1</v>
      </c>
      <c r="F598" s="262"/>
      <c r="G598" s="289" t="s">
        <v>571</v>
      </c>
      <c r="H598" s="164" t="s">
        <v>571</v>
      </c>
      <c r="I598" t="s">
        <v>570</v>
      </c>
      <c r="J598" t="b">
        <f>AND(NOT(Compil[[#This Row],[Est ouvrage]]), NOT(ISBLANK(Compil[[#This Row],[ART.
CCTP]])))</f>
        <v>0</v>
      </c>
      <c r="K598" t="b">
        <f>OR(Compil[[#This Row],[Unité]]="U",Compil[[#This Row],[Unité]]="ens",Compil[[#This Row],[Unité]]="ml")</f>
        <v>1</v>
      </c>
      <c r="L598" t="b">
        <f>ISBLANK(Compil[[#This Row],[DESIGNATION]])</f>
        <v>0</v>
      </c>
      <c r="M598" s="359"/>
      <c r="N598" s="358"/>
      <c r="O598" s="358"/>
      <c r="P598" s="358"/>
      <c r="Q598" s="358">
        <f>COUNTIF(Compil[[Ma Désignation ]],Compil[[Ma Désignation ]])</f>
        <v>6</v>
      </c>
    </row>
    <row r="599" spans="1:17" ht="14">
      <c r="A599" s="303">
        <v>196</v>
      </c>
      <c r="B599" s="2"/>
      <c r="C599" s="206" t="s">
        <v>314</v>
      </c>
      <c r="D599" t="str">
        <f xml:space="preserve"> TRIM( SUBSTITUTE(SUBSTITUTE(SUBSTITUTE( Compil[[#This Row],[DESIGNATION]],"-",""),"–",""),"*",""))</f>
        <v>grille de protection</v>
      </c>
      <c r="E599" s="193" t="s">
        <v>13</v>
      </c>
      <c r="F599" s="252">
        <f>QTE!J157</f>
        <v>36</v>
      </c>
      <c r="G599" s="289" t="e">
        <f>IF(F599="","",(((L599*$M$6)+(M599*#REF!*#REF!))*$M$7)/F599)</f>
        <v>#VALUE!</v>
      </c>
      <c r="H599" s="164" t="e">
        <f>IF(F599="","",F599*G599)</f>
        <v>#VALUE!</v>
      </c>
      <c r="I599" t="s">
        <v>580</v>
      </c>
      <c r="J599" t="b">
        <f>AND(NOT(Compil[[#This Row],[Est ouvrage]]), NOT(ISBLANK(Compil[[#This Row],[ART.
CCTP]])))</f>
        <v>0</v>
      </c>
      <c r="K599" t="b">
        <f>OR(Compil[[#This Row],[Unité]]="U",Compil[[#This Row],[Unité]]="ens",Compil[[#This Row],[Unité]]="ml")</f>
        <v>1</v>
      </c>
      <c r="L599" t="b">
        <f>ISBLANK(Compil[[#This Row],[DESIGNATION]])</f>
        <v>0</v>
      </c>
      <c r="M599" s="359"/>
      <c r="N599" s="358"/>
      <c r="O599" s="358"/>
      <c r="P599" s="358"/>
      <c r="Q599" s="358">
        <f>COUNTIF(Compil[[Ma Désignation ]],Compil[[Ma Désignation ]])</f>
        <v>2</v>
      </c>
    </row>
    <row r="600" spans="1:17" ht="14">
      <c r="A600" s="310">
        <v>595</v>
      </c>
      <c r="B600" s="43"/>
      <c r="C600" s="416"/>
      <c r="D600" t="str">
        <f xml:space="preserve"> TRIM( SUBSTITUTE(SUBSTITUTE(SUBSTITUTE( Compil[[#This Row],[DESIGNATION]],"-",""),"–",""),"*",""))</f>
        <v/>
      </c>
      <c r="E600" s="9"/>
      <c r="F600" s="262"/>
      <c r="G600" s="289" t="s">
        <v>571</v>
      </c>
      <c r="H600" s="164" t="s">
        <v>571</v>
      </c>
      <c r="I600" t="s">
        <v>570</v>
      </c>
      <c r="J600" t="b">
        <f>AND(NOT(Compil[[#This Row],[Est ouvrage]]), NOT(ISBLANK(Compil[[#This Row],[ART.
CCTP]])))</f>
        <v>0</v>
      </c>
      <c r="K600" t="b">
        <f>OR(Compil[[#This Row],[Unité]]="U",Compil[[#This Row],[Unité]]="ens",Compil[[#This Row],[Unité]]="ml")</f>
        <v>0</v>
      </c>
      <c r="L600" t="b">
        <f>ISBLANK(Compil[[#This Row],[DESIGNATION]])</f>
        <v>1</v>
      </c>
      <c r="M600" s="358"/>
      <c r="N600" s="358"/>
      <c r="O600" s="358"/>
      <c r="P600" s="358"/>
      <c r="Q600" s="358">
        <f>COUNTIF(Compil[[Ma Désignation ]],Compil[[Ma Désignation ]])</f>
        <v>306</v>
      </c>
    </row>
    <row r="601" spans="1:17" ht="14">
      <c r="A601" s="312">
        <v>835</v>
      </c>
      <c r="B601" s="19"/>
      <c r="C601" s="88" t="s">
        <v>314</v>
      </c>
      <c r="D601" t="str">
        <f xml:space="preserve"> TRIM( SUBSTITUTE(SUBSTITUTE(SUBSTITUTE( Compil[[#This Row],[DESIGNATION]],"-",""),"–",""),"*",""))</f>
        <v>grille de protection</v>
      </c>
      <c r="E601" s="8" t="s">
        <v>13</v>
      </c>
      <c r="F601" s="262"/>
      <c r="G601" s="289" t="s">
        <v>571</v>
      </c>
      <c r="H601" s="164" t="s">
        <v>571</v>
      </c>
      <c r="I601" t="s">
        <v>578</v>
      </c>
      <c r="J601" t="b">
        <f>AND(NOT(Compil[[#This Row],[Est ouvrage]]), NOT(ISBLANK(Compil[[#This Row],[ART.
CCTP]])))</f>
        <v>0</v>
      </c>
      <c r="K601" t="b">
        <f>OR(Compil[[#This Row],[Unité]]="U",Compil[[#This Row],[Unité]]="ens",Compil[[#This Row],[Unité]]="ml")</f>
        <v>1</v>
      </c>
      <c r="L601" t="b">
        <f>ISBLANK(Compil[[#This Row],[DESIGNATION]])</f>
        <v>0</v>
      </c>
      <c r="M601" s="359"/>
      <c r="N601" s="358"/>
      <c r="O601" s="358"/>
      <c r="P601" s="358"/>
      <c r="Q601" s="358">
        <f>COUNTIF(Compil[[Ma Désignation ]],Compil[[Ma Désignation ]])</f>
        <v>2</v>
      </c>
    </row>
    <row r="602" spans="1:17" ht="14">
      <c r="A602" s="312">
        <v>973</v>
      </c>
      <c r="B602" s="17"/>
      <c r="C602" s="86" t="s">
        <v>65</v>
      </c>
      <c r="D602" t="str">
        <f xml:space="preserve"> TRIM( SUBSTITUTE(SUBSTITUTE(SUBSTITUTE( Compil[[#This Row],[DESIGNATION]],"-",""),"–",""),"*",""))</f>
        <v>installations de chantier</v>
      </c>
      <c r="E602" s="9" t="s">
        <v>12</v>
      </c>
      <c r="F602" s="262"/>
      <c r="G602" s="289" t="s">
        <v>571</v>
      </c>
      <c r="H602" s="164" t="s">
        <v>571</v>
      </c>
      <c r="I602" t="s">
        <v>578</v>
      </c>
      <c r="J602" t="b">
        <f>AND(NOT(Compil[[#This Row],[Est ouvrage]]), NOT(ISBLANK(Compil[[#This Row],[ART.
CCTP]])))</f>
        <v>0</v>
      </c>
      <c r="K602" t="b">
        <f>OR(Compil[[#This Row],[Unité]]="U",Compil[[#This Row],[Unité]]="ens",Compil[[#This Row],[Unité]]="ml")</f>
        <v>1</v>
      </c>
      <c r="L602" t="b">
        <f>ISBLANK(Compil[[#This Row],[DESIGNATION]])</f>
        <v>0</v>
      </c>
      <c r="M602" s="359"/>
      <c r="N602" s="358"/>
      <c r="O602" s="358"/>
      <c r="P602" s="358"/>
      <c r="Q602" s="358">
        <f>COUNTIF(Compil[[Ma Désignation ]],Compil[[Ma Désignation ]])</f>
        <v>4</v>
      </c>
    </row>
    <row r="603" spans="1:17" ht="14">
      <c r="A603" s="303">
        <v>179</v>
      </c>
      <c r="B603" s="2"/>
      <c r="C603" s="221" t="s">
        <v>330</v>
      </c>
      <c r="D603" t="str">
        <f xml:space="preserve"> TRIM( SUBSTITUTE(SUBSTITUTE(SUBSTITUTE( Compil[[#This Row],[DESIGNATION]],"-",""),"–",""),"*",""))</f>
        <v>Interfaces d'étage</v>
      </c>
      <c r="E603" s="193" t="s">
        <v>13</v>
      </c>
      <c r="F603" s="252">
        <f>QTE!J202</f>
        <v>4</v>
      </c>
      <c r="G603" s="289" t="e">
        <f>IF(F603="","",(((L603*$M$6)+(M603*#REF!*#REF!))*$M$7)/F603)</f>
        <v>#VALUE!</v>
      </c>
      <c r="H603" s="164" t="e">
        <f>IF(F603="","",F603*G603)</f>
        <v>#VALUE!</v>
      </c>
      <c r="I603" t="s">
        <v>580</v>
      </c>
      <c r="J603" t="b">
        <f>AND(NOT(Compil[[#This Row],[Est ouvrage]]), NOT(ISBLANK(Compil[[#This Row],[ART.
CCTP]])))</f>
        <v>0</v>
      </c>
      <c r="K603" t="b">
        <f>OR(Compil[[#This Row],[Unité]]="U",Compil[[#This Row],[Unité]]="ens",Compil[[#This Row],[Unité]]="ml")</f>
        <v>1</v>
      </c>
      <c r="L603" t="b">
        <f>ISBLANK(Compil[[#This Row],[DESIGNATION]])</f>
        <v>0</v>
      </c>
      <c r="M603" s="359"/>
      <c r="N603" s="358"/>
      <c r="O603" s="358"/>
      <c r="P603" s="358"/>
      <c r="Q603" s="358">
        <f>COUNTIF(Compil[[Ma Désignation ]],Compil[[Ma Désignation ]])</f>
        <v>1</v>
      </c>
    </row>
    <row r="604" spans="1:17" ht="14">
      <c r="A604" s="303">
        <v>313</v>
      </c>
      <c r="B604" s="2"/>
      <c r="C604" s="206" t="s">
        <v>204</v>
      </c>
      <c r="D604" t="str">
        <f xml:space="preserve"> TRIM( SUBSTITUTE(SUBSTITUTE(SUBSTITUTE( Compil[[#This Row],[DESIGNATION]],"-",""),"–",""),"*",""))</f>
        <v>interrupteur crépusculaire + horloge astronomique</v>
      </c>
      <c r="E604" s="190" t="s">
        <v>12</v>
      </c>
      <c r="F604" s="252"/>
      <c r="G604" s="289" t="str">
        <f>IF(F604="","",(((L604*$M$6)+(M604*#REF!*#REF!))*$M$7)/F604)</f>
        <v/>
      </c>
      <c r="H604" s="164" t="str">
        <f>IF(F604="","",F604*G604)</f>
        <v/>
      </c>
      <c r="I604" t="s">
        <v>580</v>
      </c>
      <c r="J604" t="b">
        <f>AND(NOT(Compil[[#This Row],[Est ouvrage]]), NOT(ISBLANK(Compil[[#This Row],[ART.
CCTP]])))</f>
        <v>0</v>
      </c>
      <c r="K604" t="b">
        <f>OR(Compil[[#This Row],[Unité]]="U",Compil[[#This Row],[Unité]]="ens",Compil[[#This Row],[Unité]]="ml")</f>
        <v>1</v>
      </c>
      <c r="L604" t="b">
        <f>ISBLANK(Compil[[#This Row],[DESIGNATION]])</f>
        <v>0</v>
      </c>
      <c r="M604" s="359"/>
      <c r="N604" s="358"/>
      <c r="O604" s="358"/>
      <c r="P604" s="358"/>
      <c r="Q604" s="358">
        <f>COUNTIF(Compil[[Ma Désignation ]],Compil[[Ma Désignation ]])</f>
        <v>2</v>
      </c>
    </row>
    <row r="605" spans="1:17" ht="14">
      <c r="A605" s="312">
        <v>932</v>
      </c>
      <c r="B605" s="19"/>
      <c r="C605" s="88" t="s">
        <v>204</v>
      </c>
      <c r="D605" t="str">
        <f xml:space="preserve"> TRIM( SUBSTITUTE(SUBSTITUTE(SUBSTITUTE( Compil[[#This Row],[DESIGNATION]],"-",""),"–",""),"*",""))</f>
        <v>interrupteur crépusculaire + horloge astronomique</v>
      </c>
      <c r="E605" s="8" t="s">
        <v>12</v>
      </c>
      <c r="F605" s="262">
        <v>1</v>
      </c>
      <c r="G605" s="289">
        <v>0</v>
      </c>
      <c r="H605" s="164">
        <v>0</v>
      </c>
      <c r="I605" t="s">
        <v>578</v>
      </c>
      <c r="J605" t="b">
        <f>AND(NOT(Compil[[#This Row],[Est ouvrage]]), NOT(ISBLANK(Compil[[#This Row],[ART.
CCTP]])))</f>
        <v>0</v>
      </c>
      <c r="K605" t="b">
        <f>OR(Compil[[#This Row],[Unité]]="U",Compil[[#This Row],[Unité]]="ens",Compil[[#This Row],[Unité]]="ml")</f>
        <v>1</v>
      </c>
      <c r="L605" t="b">
        <f>ISBLANK(Compil[[#This Row],[DESIGNATION]])</f>
        <v>0</v>
      </c>
      <c r="M605" s="359"/>
      <c r="N605" s="358"/>
      <c r="O605" s="358"/>
      <c r="P605" s="358"/>
      <c r="Q605" s="358">
        <f>COUNTIF(Compil[[Ma Désignation ]],Compil[[Ma Désignation ]])</f>
        <v>2</v>
      </c>
    </row>
    <row r="606" spans="1:17" ht="14">
      <c r="A606" s="310">
        <v>374</v>
      </c>
      <c r="B606" s="43"/>
      <c r="C606" s="416" t="s">
        <v>53</v>
      </c>
      <c r="D606" t="str">
        <f xml:space="preserve"> TRIM( SUBSTITUTE(SUBSTITUTE(SUBSTITUTE( Compil[[#This Row],[DESIGNATION]],"-",""),"–",""),"*",""))</f>
        <v>Interrupteur double allumage</v>
      </c>
      <c r="E606" s="9" t="s">
        <v>13</v>
      </c>
      <c r="F606" s="262">
        <v>2.9523809523809521</v>
      </c>
      <c r="G606" s="289">
        <v>0</v>
      </c>
      <c r="H606" s="164">
        <v>0</v>
      </c>
      <c r="I606" t="s">
        <v>570</v>
      </c>
      <c r="J606" t="b">
        <f>AND(NOT(Compil[[#This Row],[Est ouvrage]]), NOT(ISBLANK(Compil[[#This Row],[ART.
CCTP]])))</f>
        <v>0</v>
      </c>
      <c r="K606" t="b">
        <f>OR(Compil[[#This Row],[Unité]]="U",Compil[[#This Row],[Unité]]="ens",Compil[[#This Row],[Unité]]="ml")</f>
        <v>1</v>
      </c>
      <c r="L606" t="b">
        <f>ISBLANK(Compil[[#This Row],[DESIGNATION]])</f>
        <v>0</v>
      </c>
      <c r="M606" s="359"/>
      <c r="N606" s="358"/>
      <c r="O606" s="358"/>
      <c r="P606" s="358"/>
      <c r="Q606" s="358">
        <f>COUNTIF(Compil[[Ma Désignation ]],Compil[[Ma Désignation ]])</f>
        <v>19</v>
      </c>
    </row>
    <row r="607" spans="1:17" ht="14">
      <c r="A607" s="310">
        <v>391</v>
      </c>
      <c r="B607" s="43"/>
      <c r="C607" s="416" t="s">
        <v>53</v>
      </c>
      <c r="D607" t="str">
        <f xml:space="preserve"> TRIM( SUBSTITUTE(SUBSTITUTE(SUBSTITUTE( Compil[[#This Row],[DESIGNATION]],"-",""),"–",""),"*",""))</f>
        <v>Interrupteur double allumage</v>
      </c>
      <c r="E607" s="9" t="s">
        <v>13</v>
      </c>
      <c r="F607" s="262"/>
      <c r="G607" s="289" t="s">
        <v>571</v>
      </c>
      <c r="H607" s="164" t="s">
        <v>571</v>
      </c>
      <c r="I607" t="s">
        <v>570</v>
      </c>
      <c r="J607" t="b">
        <f>AND(NOT(Compil[[#This Row],[Est ouvrage]]), NOT(ISBLANK(Compil[[#This Row],[ART.
CCTP]])))</f>
        <v>0</v>
      </c>
      <c r="K607" t="b">
        <f>OR(Compil[[#This Row],[Unité]]="U",Compil[[#This Row],[Unité]]="ens",Compil[[#This Row],[Unité]]="ml")</f>
        <v>1</v>
      </c>
      <c r="L607" t="b">
        <f>ISBLANK(Compil[[#This Row],[DESIGNATION]])</f>
        <v>0</v>
      </c>
      <c r="M607" s="359"/>
      <c r="N607" s="358"/>
      <c r="O607" s="358"/>
      <c r="P607" s="358"/>
      <c r="Q607" s="358">
        <f>COUNTIF(Compil[[Ma Désignation ]],Compil[[Ma Désignation ]])</f>
        <v>19</v>
      </c>
    </row>
    <row r="608" spans="1:17" ht="14">
      <c r="A608" s="310">
        <v>425</v>
      </c>
      <c r="B608" s="43"/>
      <c r="C608" s="416" t="s">
        <v>53</v>
      </c>
      <c r="D608" t="str">
        <f xml:space="preserve"> TRIM( SUBSTITUTE(SUBSTITUTE(SUBSTITUTE( Compil[[#This Row],[DESIGNATION]],"-",""),"–",""),"*",""))</f>
        <v>Interrupteur double allumage</v>
      </c>
      <c r="E608" s="9" t="s">
        <v>13</v>
      </c>
      <c r="F608" s="262">
        <v>0.952380952380952</v>
      </c>
      <c r="G608" s="289">
        <v>0</v>
      </c>
      <c r="H608" s="164">
        <v>0</v>
      </c>
      <c r="I608" t="s">
        <v>570</v>
      </c>
      <c r="J608" t="b">
        <f>AND(NOT(Compil[[#This Row],[Est ouvrage]]), NOT(ISBLANK(Compil[[#This Row],[ART.
CCTP]])))</f>
        <v>0</v>
      </c>
      <c r="K608" t="b">
        <f>OR(Compil[[#This Row],[Unité]]="U",Compil[[#This Row],[Unité]]="ens",Compil[[#This Row],[Unité]]="ml")</f>
        <v>1</v>
      </c>
      <c r="L608" t="b">
        <f>ISBLANK(Compil[[#This Row],[DESIGNATION]])</f>
        <v>0</v>
      </c>
      <c r="M608" s="359"/>
      <c r="N608" s="358"/>
      <c r="O608" s="358"/>
      <c r="P608" s="358"/>
      <c r="Q608" s="358">
        <f>COUNTIF(Compil[[Ma Désignation ]],Compil[[Ma Désignation ]])</f>
        <v>19</v>
      </c>
    </row>
    <row r="609" spans="1:17" ht="14">
      <c r="A609" s="310">
        <v>443</v>
      </c>
      <c r="B609" s="43"/>
      <c r="C609" s="416" t="s">
        <v>53</v>
      </c>
      <c r="D609" t="str">
        <f xml:space="preserve"> TRIM( SUBSTITUTE(SUBSTITUTE(SUBSTITUTE( Compil[[#This Row],[DESIGNATION]],"-",""),"–",""),"*",""))</f>
        <v>Interrupteur double allumage</v>
      </c>
      <c r="E609" s="9" t="s">
        <v>13</v>
      </c>
      <c r="F609" s="262"/>
      <c r="G609" s="289" t="s">
        <v>571</v>
      </c>
      <c r="H609" s="164" t="s">
        <v>571</v>
      </c>
      <c r="I609" t="s">
        <v>570</v>
      </c>
      <c r="J609" t="b">
        <f>AND(NOT(Compil[[#This Row],[Est ouvrage]]), NOT(ISBLANK(Compil[[#This Row],[ART.
CCTP]])))</f>
        <v>0</v>
      </c>
      <c r="K609" t="b">
        <f>OR(Compil[[#This Row],[Unité]]="U",Compil[[#This Row],[Unité]]="ens",Compil[[#This Row],[Unité]]="ml")</f>
        <v>1</v>
      </c>
      <c r="L609" t="b">
        <f>ISBLANK(Compil[[#This Row],[DESIGNATION]])</f>
        <v>0</v>
      </c>
      <c r="M609" s="359"/>
      <c r="N609" s="358"/>
      <c r="O609" s="358"/>
      <c r="P609" s="358"/>
      <c r="Q609" s="358">
        <f>COUNTIF(Compil[[Ma Désignation ]],Compil[[Ma Désignation ]])</f>
        <v>19</v>
      </c>
    </row>
    <row r="610" spans="1:17" ht="14">
      <c r="A610" s="310">
        <v>479</v>
      </c>
      <c r="B610" s="43"/>
      <c r="C610" s="416" t="s">
        <v>53</v>
      </c>
      <c r="D610" t="str">
        <f xml:space="preserve"> TRIM( SUBSTITUTE(SUBSTITUTE(SUBSTITUTE( Compil[[#This Row],[DESIGNATION]],"-",""),"–",""),"*",""))</f>
        <v>Interrupteur double allumage</v>
      </c>
      <c r="E610" s="9" t="s">
        <v>13</v>
      </c>
      <c r="F610" s="385">
        <v>0.952380952380952</v>
      </c>
      <c r="G610" s="289">
        <v>0</v>
      </c>
      <c r="H610" s="164">
        <v>0</v>
      </c>
      <c r="I610" t="s">
        <v>570</v>
      </c>
      <c r="J610" t="b">
        <f>AND(NOT(Compil[[#This Row],[Est ouvrage]]), NOT(ISBLANK(Compil[[#This Row],[ART.
CCTP]])))</f>
        <v>0</v>
      </c>
      <c r="K610" t="b">
        <f>OR(Compil[[#This Row],[Unité]]="U",Compil[[#This Row],[Unité]]="ens",Compil[[#This Row],[Unité]]="ml")</f>
        <v>1</v>
      </c>
      <c r="L610" t="b">
        <f>ISBLANK(Compil[[#This Row],[DESIGNATION]])</f>
        <v>0</v>
      </c>
      <c r="M610" s="359"/>
      <c r="N610" s="358"/>
      <c r="O610" s="358"/>
      <c r="P610" s="358"/>
      <c r="Q610" s="358">
        <f>COUNTIF(Compil[[Ma Désignation ]],Compil[[Ma Désignation ]])</f>
        <v>19</v>
      </c>
    </row>
    <row r="611" spans="1:17" ht="14">
      <c r="A611" s="310">
        <v>606</v>
      </c>
      <c r="B611" s="43"/>
      <c r="C611" s="416"/>
      <c r="D611" t="str">
        <f xml:space="preserve"> TRIM( SUBSTITUTE(SUBSTITUTE(SUBSTITUTE( Compil[[#This Row],[DESIGNATION]],"-",""),"–",""),"*",""))</f>
        <v/>
      </c>
      <c r="E611" s="9"/>
      <c r="F611" s="262"/>
      <c r="G611" s="289" t="s">
        <v>571</v>
      </c>
      <c r="H611" s="164" t="s">
        <v>571</v>
      </c>
      <c r="I611" t="s">
        <v>570</v>
      </c>
      <c r="J611" t="b">
        <f>AND(NOT(Compil[[#This Row],[Est ouvrage]]), NOT(ISBLANK(Compil[[#This Row],[ART.
CCTP]])))</f>
        <v>0</v>
      </c>
      <c r="K611" t="b">
        <f>OR(Compil[[#This Row],[Unité]]="U",Compil[[#This Row],[Unité]]="ens",Compil[[#This Row],[Unité]]="ml")</f>
        <v>0</v>
      </c>
      <c r="L611" t="b">
        <f>ISBLANK(Compil[[#This Row],[DESIGNATION]])</f>
        <v>1</v>
      </c>
      <c r="M611" s="358"/>
      <c r="N611" s="358"/>
      <c r="O611" s="358"/>
      <c r="P611" s="358"/>
      <c r="Q611" s="358">
        <f>COUNTIF(Compil[[Ma Désignation ]],Compil[[Ma Désignation ]])</f>
        <v>306</v>
      </c>
    </row>
    <row r="612" spans="1:17" ht="14">
      <c r="A612" s="310">
        <v>607</v>
      </c>
      <c r="B612" s="43"/>
      <c r="C612" s="430" t="s">
        <v>573</v>
      </c>
      <c r="D612" t="str">
        <f xml:space="preserve"> TRIM( SUBSTITUTE(SUBSTITUTE(SUBSTITUTE( Compil[[#This Row],[DESIGNATION]],"-",""),"–",""),"*",""))</f>
        <v>Appareillages de finition noire</v>
      </c>
      <c r="E612" s="9"/>
      <c r="F612" s="262"/>
      <c r="G612" s="289" t="s">
        <v>571</v>
      </c>
      <c r="H612" s="164" t="s">
        <v>571</v>
      </c>
      <c r="I612" t="s">
        <v>570</v>
      </c>
      <c r="J612" t="b">
        <f>AND(NOT(Compil[[#This Row],[Est ouvrage]]), NOT(ISBLANK(Compil[[#This Row],[ART.
CCTP]])))</f>
        <v>0</v>
      </c>
      <c r="K612" t="b">
        <f>OR(Compil[[#This Row],[Unité]]="U",Compil[[#This Row],[Unité]]="ens",Compil[[#This Row],[Unité]]="ml")</f>
        <v>0</v>
      </c>
      <c r="L612" t="b">
        <f>ISBLANK(Compil[[#This Row],[DESIGNATION]])</f>
        <v>0</v>
      </c>
      <c r="M612" s="359"/>
      <c r="N612" s="358"/>
      <c r="O612" s="358"/>
      <c r="P612" s="358"/>
      <c r="Q612" s="358">
        <f>COUNTIF(Compil[[Ma Désignation ]],Compil[[Ma Désignation ]])</f>
        <v>9</v>
      </c>
    </row>
    <row r="613" spans="1:17" ht="14">
      <c r="A613" s="310">
        <v>498</v>
      </c>
      <c r="B613" s="43"/>
      <c r="C613" s="416" t="s">
        <v>53</v>
      </c>
      <c r="D613" t="str">
        <f xml:space="preserve"> TRIM( SUBSTITUTE(SUBSTITUTE(SUBSTITUTE( Compil[[#This Row],[DESIGNATION]],"-",""),"–",""),"*",""))</f>
        <v>Interrupteur double allumage</v>
      </c>
      <c r="E613" s="9" t="s">
        <v>13</v>
      </c>
      <c r="F613" s="262"/>
      <c r="G613" s="289" t="s">
        <v>571</v>
      </c>
      <c r="H613" s="164" t="s">
        <v>571</v>
      </c>
      <c r="I613" t="s">
        <v>570</v>
      </c>
      <c r="J613" t="b">
        <f>AND(NOT(Compil[[#This Row],[Est ouvrage]]), NOT(ISBLANK(Compil[[#This Row],[ART.
CCTP]])))</f>
        <v>0</v>
      </c>
      <c r="K613" t="b">
        <f>OR(Compil[[#This Row],[Unité]]="U",Compil[[#This Row],[Unité]]="ens",Compil[[#This Row],[Unité]]="ml")</f>
        <v>1</v>
      </c>
      <c r="L613" t="b">
        <f>ISBLANK(Compil[[#This Row],[DESIGNATION]])</f>
        <v>0</v>
      </c>
      <c r="M613" s="359"/>
      <c r="N613" s="358"/>
      <c r="O613" s="358"/>
      <c r="P613" s="358"/>
      <c r="Q613" s="358">
        <f>COUNTIF(Compil[[Ma Désignation ]],Compil[[Ma Désignation ]])</f>
        <v>19</v>
      </c>
    </row>
    <row r="614" spans="1:17" ht="14">
      <c r="A614" s="310">
        <v>535</v>
      </c>
      <c r="B614" s="43"/>
      <c r="C614" s="416" t="s">
        <v>53</v>
      </c>
      <c r="D614" t="str">
        <f xml:space="preserve"> TRIM( SUBSTITUTE(SUBSTITUTE(SUBSTITUTE( Compil[[#This Row],[DESIGNATION]],"-",""),"–",""),"*",""))</f>
        <v>Interrupteur double allumage</v>
      </c>
      <c r="E614" s="9" t="s">
        <v>13</v>
      </c>
      <c r="F614" s="385">
        <v>0.952380952380952</v>
      </c>
      <c r="G614" s="289">
        <v>0</v>
      </c>
      <c r="H614" s="164">
        <v>0</v>
      </c>
      <c r="I614" t="s">
        <v>570</v>
      </c>
      <c r="J614" t="b">
        <f>AND(NOT(Compil[[#This Row],[Est ouvrage]]), NOT(ISBLANK(Compil[[#This Row],[ART.
CCTP]])))</f>
        <v>0</v>
      </c>
      <c r="K614" t="b">
        <f>OR(Compil[[#This Row],[Unité]]="U",Compil[[#This Row],[Unité]]="ens",Compil[[#This Row],[Unité]]="ml")</f>
        <v>1</v>
      </c>
      <c r="L614" t="b">
        <f>ISBLANK(Compil[[#This Row],[DESIGNATION]])</f>
        <v>0</v>
      </c>
      <c r="M614" s="359"/>
      <c r="N614" s="358"/>
      <c r="O614" s="358"/>
      <c r="P614" s="358"/>
      <c r="Q614" s="358">
        <f>COUNTIF(Compil[[Ma Désignation ]],Compil[[Ma Désignation ]])</f>
        <v>19</v>
      </c>
    </row>
    <row r="615" spans="1:17" ht="14">
      <c r="A615" s="310">
        <v>554</v>
      </c>
      <c r="B615" s="43"/>
      <c r="C615" s="416" t="s">
        <v>53</v>
      </c>
      <c r="D615" t="str">
        <f xml:space="preserve"> TRIM( SUBSTITUTE(SUBSTITUTE(SUBSTITUTE( Compil[[#This Row],[DESIGNATION]],"-",""),"–",""),"*",""))</f>
        <v>Interrupteur double allumage</v>
      </c>
      <c r="E615" s="9" t="s">
        <v>13</v>
      </c>
      <c r="F615" s="262"/>
      <c r="G615" s="289" t="s">
        <v>571</v>
      </c>
      <c r="H615" s="164" t="s">
        <v>571</v>
      </c>
      <c r="I615" t="s">
        <v>570</v>
      </c>
      <c r="J615" t="b">
        <f>AND(NOT(Compil[[#This Row],[Est ouvrage]]), NOT(ISBLANK(Compil[[#This Row],[ART.
CCTP]])))</f>
        <v>0</v>
      </c>
      <c r="K615" t="b">
        <f>OR(Compil[[#This Row],[Unité]]="U",Compil[[#This Row],[Unité]]="ens",Compil[[#This Row],[Unité]]="ml")</f>
        <v>1</v>
      </c>
      <c r="L615" t="b">
        <f>ISBLANK(Compil[[#This Row],[DESIGNATION]])</f>
        <v>0</v>
      </c>
      <c r="M615" s="359"/>
      <c r="N615" s="358"/>
      <c r="O615" s="358"/>
      <c r="P615" s="358"/>
      <c r="Q615" s="358">
        <f>COUNTIF(Compil[[Ma Désignation ]],Compil[[Ma Désignation ]])</f>
        <v>19</v>
      </c>
    </row>
    <row r="616" spans="1:17" ht="14">
      <c r="A616" s="310">
        <v>591</v>
      </c>
      <c r="B616" s="43"/>
      <c r="C616" s="416" t="s">
        <v>53</v>
      </c>
      <c r="D616" t="str">
        <f xml:space="preserve"> TRIM( SUBSTITUTE(SUBSTITUTE(SUBSTITUTE( Compil[[#This Row],[DESIGNATION]],"-",""),"–",""),"*",""))</f>
        <v>Interrupteur double allumage</v>
      </c>
      <c r="E616" s="9" t="s">
        <v>13</v>
      </c>
      <c r="F616" s="262">
        <v>5.9523809523809526</v>
      </c>
      <c r="G616" s="289">
        <v>0</v>
      </c>
      <c r="H616" s="164">
        <v>0</v>
      </c>
      <c r="I616" t="s">
        <v>570</v>
      </c>
      <c r="J616" t="b">
        <f>AND(NOT(Compil[[#This Row],[Est ouvrage]]), NOT(ISBLANK(Compil[[#This Row],[ART.
CCTP]])))</f>
        <v>0</v>
      </c>
      <c r="K616" t="b">
        <f>OR(Compil[[#This Row],[Unité]]="U",Compil[[#This Row],[Unité]]="ens",Compil[[#This Row],[Unité]]="ml")</f>
        <v>1</v>
      </c>
      <c r="L616" t="b">
        <f>ISBLANK(Compil[[#This Row],[DESIGNATION]])</f>
        <v>0</v>
      </c>
      <c r="M616" s="359"/>
      <c r="N616" s="358"/>
      <c r="O616" s="358"/>
      <c r="P616" s="358"/>
      <c r="Q616" s="358">
        <f>COUNTIF(Compil[[Ma Désignation ]],Compil[[Ma Désignation ]])</f>
        <v>19</v>
      </c>
    </row>
    <row r="617" spans="1:17" ht="14">
      <c r="A617" s="310">
        <v>610</v>
      </c>
      <c r="B617" s="43"/>
      <c r="C617" s="416" t="s">
        <v>53</v>
      </c>
      <c r="D617" t="str">
        <f xml:space="preserve"> TRIM( SUBSTITUTE(SUBSTITUTE(SUBSTITUTE( Compil[[#This Row],[DESIGNATION]],"-",""),"–",""),"*",""))</f>
        <v>Interrupteur double allumage</v>
      </c>
      <c r="E617" s="9" t="s">
        <v>13</v>
      </c>
      <c r="F617" s="262"/>
      <c r="G617" s="289" t="s">
        <v>571</v>
      </c>
      <c r="H617" s="164" t="s">
        <v>571</v>
      </c>
      <c r="I617" t="s">
        <v>570</v>
      </c>
      <c r="J617" t="b">
        <f>AND(NOT(Compil[[#This Row],[Est ouvrage]]), NOT(ISBLANK(Compil[[#This Row],[ART.
CCTP]])))</f>
        <v>0</v>
      </c>
      <c r="K617" t="b">
        <f>OR(Compil[[#This Row],[Unité]]="U",Compil[[#This Row],[Unité]]="ens",Compil[[#This Row],[Unité]]="ml")</f>
        <v>1</v>
      </c>
      <c r="L617" t="b">
        <f>ISBLANK(Compil[[#This Row],[DESIGNATION]])</f>
        <v>0</v>
      </c>
      <c r="M617" s="359"/>
      <c r="N617" s="358"/>
      <c r="O617" s="358"/>
      <c r="P617" s="358"/>
      <c r="Q617" s="358">
        <f>COUNTIF(Compil[[Ma Désignation ]],Compil[[Ma Désignation ]])</f>
        <v>19</v>
      </c>
    </row>
    <row r="618" spans="1:17" ht="14">
      <c r="A618" s="310">
        <v>647</v>
      </c>
      <c r="B618" s="43"/>
      <c r="C618" s="416" t="s">
        <v>53</v>
      </c>
      <c r="D618" t="str">
        <f xml:space="preserve"> TRIM( SUBSTITUTE(SUBSTITUTE(SUBSTITUTE( Compil[[#This Row],[DESIGNATION]],"-",""),"–",""),"*",""))</f>
        <v>Interrupteur double allumage</v>
      </c>
      <c r="E618" s="9" t="s">
        <v>13</v>
      </c>
      <c r="F618" s="385">
        <v>0.95238095238095233</v>
      </c>
      <c r="G618" s="289">
        <v>0</v>
      </c>
      <c r="H618" s="164">
        <v>0</v>
      </c>
      <c r="I618" t="s">
        <v>570</v>
      </c>
      <c r="J618" t="b">
        <f>AND(NOT(Compil[[#This Row],[Est ouvrage]]), NOT(ISBLANK(Compil[[#This Row],[ART.
CCTP]])))</f>
        <v>0</v>
      </c>
      <c r="K618" t="b">
        <f>OR(Compil[[#This Row],[Unité]]="U",Compil[[#This Row],[Unité]]="ens",Compil[[#This Row],[Unité]]="ml")</f>
        <v>1</v>
      </c>
      <c r="L618" t="b">
        <f>ISBLANK(Compil[[#This Row],[DESIGNATION]])</f>
        <v>0</v>
      </c>
      <c r="M618" s="359"/>
      <c r="N618" s="358"/>
      <c r="O618" s="358"/>
      <c r="P618" s="358"/>
      <c r="Q618" s="358">
        <f>COUNTIF(Compil[[Ma Désignation ]],Compil[[Ma Désignation ]])</f>
        <v>19</v>
      </c>
    </row>
    <row r="619" spans="1:17" ht="14">
      <c r="A619" s="310">
        <v>614</v>
      </c>
      <c r="B619" s="43"/>
      <c r="C619" s="416"/>
      <c r="D619" t="str">
        <f xml:space="preserve"> TRIM( SUBSTITUTE(SUBSTITUTE(SUBSTITUTE( Compil[[#This Row],[DESIGNATION]],"-",""),"–",""),"*",""))</f>
        <v/>
      </c>
      <c r="E619" s="9"/>
      <c r="F619" s="262"/>
      <c r="G619" s="289" t="s">
        <v>571</v>
      </c>
      <c r="H619" s="164" t="s">
        <v>571</v>
      </c>
      <c r="I619" t="s">
        <v>570</v>
      </c>
      <c r="J619" t="b">
        <f>AND(NOT(Compil[[#This Row],[Est ouvrage]]), NOT(ISBLANK(Compil[[#This Row],[ART.
CCTP]])))</f>
        <v>0</v>
      </c>
      <c r="K619" t="b">
        <f>OR(Compil[[#This Row],[Unité]]="U",Compil[[#This Row],[Unité]]="ens",Compil[[#This Row],[Unité]]="ml")</f>
        <v>0</v>
      </c>
      <c r="L619" t="b">
        <f>ISBLANK(Compil[[#This Row],[DESIGNATION]])</f>
        <v>1</v>
      </c>
      <c r="M619" s="358"/>
      <c r="N619" s="358"/>
      <c r="O619" s="358"/>
      <c r="P619" s="358"/>
      <c r="Q619" s="358">
        <f>COUNTIF(Compil[[Ma Désignation ]],Compil[[Ma Désignation ]])</f>
        <v>306</v>
      </c>
    </row>
    <row r="620" spans="1:17" ht="14">
      <c r="A620" s="310">
        <v>666</v>
      </c>
      <c r="B620" s="43"/>
      <c r="C620" s="416" t="s">
        <v>53</v>
      </c>
      <c r="D620" t="str">
        <f xml:space="preserve"> TRIM( SUBSTITUTE(SUBSTITUTE(SUBSTITUTE( Compil[[#This Row],[DESIGNATION]],"-",""),"–",""),"*",""))</f>
        <v>Interrupteur double allumage</v>
      </c>
      <c r="E620" s="9" t="s">
        <v>13</v>
      </c>
      <c r="F620" s="262"/>
      <c r="G620" s="289" t="s">
        <v>571</v>
      </c>
      <c r="H620" s="164" t="s">
        <v>571</v>
      </c>
      <c r="I620" t="s">
        <v>570</v>
      </c>
      <c r="J620" t="b">
        <f>AND(NOT(Compil[[#This Row],[Est ouvrage]]), NOT(ISBLANK(Compil[[#This Row],[ART.
CCTP]])))</f>
        <v>0</v>
      </c>
      <c r="K620" t="b">
        <f>OR(Compil[[#This Row],[Unité]]="U",Compil[[#This Row],[Unité]]="ens",Compil[[#This Row],[Unité]]="ml")</f>
        <v>1</v>
      </c>
      <c r="L620" t="b">
        <f>ISBLANK(Compil[[#This Row],[DESIGNATION]])</f>
        <v>0</v>
      </c>
      <c r="M620" s="359"/>
      <c r="N620" s="358"/>
      <c r="O620" s="358"/>
      <c r="P620" s="358"/>
      <c r="Q620" s="358">
        <f>COUNTIF(Compil[[Ma Désignation ]],Compil[[Ma Désignation ]])</f>
        <v>19</v>
      </c>
    </row>
    <row r="621" spans="1:17" ht="14">
      <c r="A621" s="312">
        <v>923</v>
      </c>
      <c r="B621" s="19"/>
      <c r="C621" s="88" t="s">
        <v>53</v>
      </c>
      <c r="D621" t="str">
        <f xml:space="preserve"> TRIM( SUBSTITUTE(SUBSTITUTE(SUBSTITUTE( Compil[[#This Row],[DESIGNATION]],"-",""),"–",""),"*",""))</f>
        <v>Interrupteur double allumage</v>
      </c>
      <c r="E621" s="8" t="s">
        <v>13</v>
      </c>
      <c r="F621" s="262"/>
      <c r="G621" s="289" t="s">
        <v>571</v>
      </c>
      <c r="H621" s="164" t="s">
        <v>571</v>
      </c>
      <c r="I621" t="s">
        <v>578</v>
      </c>
      <c r="J621" t="b">
        <f>AND(NOT(Compil[[#This Row],[Est ouvrage]]), NOT(ISBLANK(Compil[[#This Row],[ART.
CCTP]])))</f>
        <v>0</v>
      </c>
      <c r="K621" t="b">
        <f>OR(Compil[[#This Row],[Unité]]="U",Compil[[#This Row],[Unité]]="ens",Compil[[#This Row],[Unité]]="ml")</f>
        <v>1</v>
      </c>
      <c r="L621" t="b">
        <f>ISBLANK(Compil[[#This Row],[DESIGNATION]])</f>
        <v>0</v>
      </c>
      <c r="M621" s="359"/>
      <c r="N621" s="358"/>
      <c r="O621" s="358"/>
      <c r="P621" s="358"/>
      <c r="Q621" s="358">
        <f>COUNTIF(Compil[[Ma Désignation ]],Compil[[Ma Désignation ]])</f>
        <v>19</v>
      </c>
    </row>
    <row r="622" spans="1:17">
      <c r="A622" s="360">
        <v>1009</v>
      </c>
      <c r="B622" s="363"/>
      <c r="C622" s="402" t="s">
        <v>53</v>
      </c>
      <c r="D622" t="str">
        <f xml:space="preserve"> TRIM( SUBSTITUTE(SUBSTITUTE(SUBSTITUTE( Compil[[#This Row],[DESIGNATION]],"-",""),"–",""),"*",""))</f>
        <v>Interrupteur double allumage</v>
      </c>
      <c r="E622" s="369" t="s">
        <v>13</v>
      </c>
      <c r="F622" s="385">
        <v>1</v>
      </c>
      <c r="G622" s="390">
        <v>0</v>
      </c>
      <c r="H622" s="391">
        <v>0</v>
      </c>
      <c r="I622" t="s">
        <v>579</v>
      </c>
      <c r="J622" t="b">
        <f>AND(NOT(Compil[[#This Row],[Est ouvrage]]), NOT(ISBLANK(Compil[[#This Row],[ART.
CCTP]])))</f>
        <v>0</v>
      </c>
      <c r="K622" t="b">
        <f>OR(Compil[[#This Row],[Unité]]="U",Compil[[#This Row],[Unité]]="ens",Compil[[#This Row],[Unité]]="ml")</f>
        <v>1</v>
      </c>
      <c r="L622" t="b">
        <f>ISBLANK(Compil[[#This Row],[DESIGNATION]])</f>
        <v>0</v>
      </c>
      <c r="M622" s="359"/>
      <c r="N622" s="358"/>
      <c r="O622" s="358"/>
      <c r="P622" s="358"/>
      <c r="Q622" s="358">
        <f>COUNTIF(Compil[[Ma Désignation ]],Compil[[Ma Désignation ]])</f>
        <v>19</v>
      </c>
    </row>
    <row r="623" spans="1:17">
      <c r="A623" s="360">
        <v>1025</v>
      </c>
      <c r="B623" s="363"/>
      <c r="C623" s="402" t="s">
        <v>53</v>
      </c>
      <c r="D623" t="str">
        <f xml:space="preserve"> TRIM( SUBSTITUTE(SUBSTITUTE(SUBSTITUTE( Compil[[#This Row],[DESIGNATION]],"-",""),"–",""),"*",""))</f>
        <v>Interrupteur double allumage</v>
      </c>
      <c r="E623" s="369" t="s">
        <v>13</v>
      </c>
      <c r="F623" s="385"/>
      <c r="G623" s="390" t="s">
        <v>571</v>
      </c>
      <c r="H623" s="391" t="s">
        <v>571</v>
      </c>
      <c r="I623" t="s">
        <v>579</v>
      </c>
      <c r="J623" t="b">
        <f>AND(NOT(Compil[[#This Row],[Est ouvrage]]), NOT(ISBLANK(Compil[[#This Row],[ART.
CCTP]])))</f>
        <v>0</v>
      </c>
      <c r="K623" t="b">
        <f>OR(Compil[[#This Row],[Unité]]="U",Compil[[#This Row],[Unité]]="ens",Compil[[#This Row],[Unité]]="ml")</f>
        <v>1</v>
      </c>
      <c r="L623" t="b">
        <f>ISBLANK(Compil[[#This Row],[DESIGNATION]])</f>
        <v>0</v>
      </c>
      <c r="M623" s="359"/>
      <c r="N623" s="358"/>
      <c r="O623" s="358"/>
      <c r="P623" s="358"/>
      <c r="Q623" s="358">
        <f>COUNTIF(Compil[[Ma Désignation ]],Compil[[Ma Désignation ]])</f>
        <v>19</v>
      </c>
    </row>
    <row r="624" spans="1:17">
      <c r="A624" s="360">
        <v>1055</v>
      </c>
      <c r="B624" s="363"/>
      <c r="C624" s="402" t="s">
        <v>53</v>
      </c>
      <c r="D624" t="str">
        <f xml:space="preserve"> TRIM( SUBSTITUTE(SUBSTITUTE(SUBSTITUTE( Compil[[#This Row],[DESIGNATION]],"-",""),"–",""),"*",""))</f>
        <v>Interrupteur double allumage</v>
      </c>
      <c r="E624" s="369" t="s">
        <v>13</v>
      </c>
      <c r="F624" s="385"/>
      <c r="G624" s="390" t="s">
        <v>571</v>
      </c>
      <c r="H624" s="391" t="s">
        <v>571</v>
      </c>
      <c r="I624" t="s">
        <v>579</v>
      </c>
      <c r="J624" t="b">
        <f>AND(NOT(Compil[[#This Row],[Est ouvrage]]), NOT(ISBLANK(Compil[[#This Row],[ART.
CCTP]])))</f>
        <v>0</v>
      </c>
      <c r="K624" t="b">
        <f>OR(Compil[[#This Row],[Unité]]="U",Compil[[#This Row],[Unité]]="ens",Compil[[#This Row],[Unité]]="ml")</f>
        <v>1</v>
      </c>
      <c r="L624" t="b">
        <f>ISBLANK(Compil[[#This Row],[DESIGNATION]])</f>
        <v>0</v>
      </c>
      <c r="M624" s="359"/>
      <c r="N624" s="358"/>
      <c r="O624" s="358"/>
      <c r="P624" s="358"/>
      <c r="Q624" s="358">
        <f>COUNTIF(Compil[[Ma Désignation ]],Compil[[Ma Désignation ]])</f>
        <v>19</v>
      </c>
    </row>
    <row r="625" spans="1:17">
      <c r="A625" s="360">
        <v>1065</v>
      </c>
      <c r="B625" s="363"/>
      <c r="C625" s="402" t="s">
        <v>53</v>
      </c>
      <c r="D625" t="str">
        <f xml:space="preserve"> TRIM( SUBSTITUTE(SUBSTITUTE(SUBSTITUTE( Compil[[#This Row],[DESIGNATION]],"-",""),"–",""),"*",""))</f>
        <v>Interrupteur double allumage</v>
      </c>
      <c r="E625" s="369" t="s">
        <v>13</v>
      </c>
      <c r="F625" s="385"/>
      <c r="G625" s="390" t="s">
        <v>571</v>
      </c>
      <c r="H625" s="391" t="s">
        <v>571</v>
      </c>
      <c r="I625" t="s">
        <v>579</v>
      </c>
      <c r="J625" t="b">
        <f>AND(NOT(Compil[[#This Row],[Est ouvrage]]), NOT(ISBLANK(Compil[[#This Row],[ART.
CCTP]])))</f>
        <v>0</v>
      </c>
      <c r="K625" t="b">
        <f>OR(Compil[[#This Row],[Unité]]="U",Compil[[#This Row],[Unité]]="ens",Compil[[#This Row],[Unité]]="ml")</f>
        <v>1</v>
      </c>
      <c r="L625" t="b">
        <f>ISBLANK(Compil[[#This Row],[DESIGNATION]])</f>
        <v>0</v>
      </c>
      <c r="M625" s="359"/>
      <c r="N625" s="358"/>
      <c r="O625" s="358"/>
      <c r="P625" s="358"/>
      <c r="Q625" s="358">
        <f>COUNTIF(Compil[[Ma Désignation ]],Compil[[Ma Désignation ]])</f>
        <v>19</v>
      </c>
    </row>
    <row r="626" spans="1:17">
      <c r="A626" s="360">
        <v>1091</v>
      </c>
      <c r="B626" s="363"/>
      <c r="C626" s="402" t="s">
        <v>53</v>
      </c>
      <c r="D626" t="str">
        <f xml:space="preserve"> TRIM( SUBSTITUTE(SUBSTITUTE(SUBSTITUTE( Compil[[#This Row],[DESIGNATION]],"-",""),"–",""),"*",""))</f>
        <v>Interrupteur double allumage</v>
      </c>
      <c r="E626" s="369" t="s">
        <v>13</v>
      </c>
      <c r="F626" s="385"/>
      <c r="G626" s="390" t="s">
        <v>571</v>
      </c>
      <c r="H626" s="391" t="s">
        <v>571</v>
      </c>
      <c r="I626" t="s">
        <v>579</v>
      </c>
      <c r="J626" t="b">
        <f>AND(NOT(Compil[[#This Row],[Est ouvrage]]), NOT(ISBLANK(Compil[[#This Row],[ART.
CCTP]])))</f>
        <v>0</v>
      </c>
      <c r="K626" t="b">
        <f>OR(Compil[[#This Row],[Unité]]="U",Compil[[#This Row],[Unité]]="ens",Compil[[#This Row],[Unité]]="ml")</f>
        <v>1</v>
      </c>
      <c r="L626" t="b">
        <f>ISBLANK(Compil[[#This Row],[DESIGNATION]])</f>
        <v>0</v>
      </c>
      <c r="M626" s="359"/>
      <c r="N626" s="358"/>
      <c r="O626" s="358"/>
      <c r="P626" s="358"/>
      <c r="Q626" s="358">
        <f>COUNTIF(Compil[[Ma Désignation ]],Compil[[Ma Désignation ]])</f>
        <v>19</v>
      </c>
    </row>
    <row r="627" spans="1:17">
      <c r="A627" s="360">
        <v>1101</v>
      </c>
      <c r="B627" s="363"/>
      <c r="C627" s="402" t="s">
        <v>53</v>
      </c>
      <c r="D627" t="str">
        <f xml:space="preserve"> TRIM( SUBSTITUTE(SUBSTITUTE(SUBSTITUTE( Compil[[#This Row],[DESIGNATION]],"-",""),"–",""),"*",""))</f>
        <v>Interrupteur double allumage</v>
      </c>
      <c r="E627" s="369" t="s">
        <v>13</v>
      </c>
      <c r="F627" s="385"/>
      <c r="G627" s="390" t="s">
        <v>571</v>
      </c>
      <c r="H627" s="391" t="s">
        <v>571</v>
      </c>
      <c r="I627" t="s">
        <v>579</v>
      </c>
      <c r="J627" t="b">
        <f>AND(NOT(Compil[[#This Row],[Est ouvrage]]), NOT(ISBLANK(Compil[[#This Row],[ART.
CCTP]])))</f>
        <v>0</v>
      </c>
      <c r="K627" t="b">
        <f>OR(Compil[[#This Row],[Unité]]="U",Compil[[#This Row],[Unité]]="ens",Compil[[#This Row],[Unité]]="ml")</f>
        <v>1</v>
      </c>
      <c r="L627" t="b">
        <f>ISBLANK(Compil[[#This Row],[DESIGNATION]])</f>
        <v>0</v>
      </c>
      <c r="M627" s="359"/>
      <c r="N627" s="358"/>
      <c r="O627" s="358"/>
      <c r="P627" s="358"/>
      <c r="Q627" s="358">
        <f>COUNTIF(Compil[[Ma Désignation ]],Compil[[Ma Désignation ]])</f>
        <v>19</v>
      </c>
    </row>
    <row r="628" spans="1:17" ht="14">
      <c r="A628" s="303">
        <v>287</v>
      </c>
      <c r="B628" s="2"/>
      <c r="C628" s="206" t="s">
        <v>52</v>
      </c>
      <c r="D628" t="str">
        <f xml:space="preserve"> TRIM( SUBSTITUTE(SUBSTITUTE(SUBSTITUTE( Compil[[#This Row],[DESIGNATION]],"-",""),"–",""),"*",""))</f>
        <v>Interrupteur simple allumage</v>
      </c>
      <c r="E628" s="190" t="s">
        <v>13</v>
      </c>
      <c r="F628" s="252"/>
      <c r="G628" s="289" t="str">
        <f>IF(F628="","",(((L628*$M$6)+(M628*#REF!*#REF!))*$M$7)/F628)</f>
        <v/>
      </c>
      <c r="H628" s="164" t="str">
        <f>IF(F628="","",F628*G628)</f>
        <v/>
      </c>
      <c r="I628" t="s">
        <v>580</v>
      </c>
      <c r="J628" t="b">
        <f>AND(NOT(Compil[[#This Row],[Est ouvrage]]), NOT(ISBLANK(Compil[[#This Row],[ART.
CCTP]])))</f>
        <v>0</v>
      </c>
      <c r="K628" t="b">
        <f>OR(Compil[[#This Row],[Unité]]="U",Compil[[#This Row],[Unité]]="ens",Compil[[#This Row],[Unité]]="ml")</f>
        <v>1</v>
      </c>
      <c r="L628" t="b">
        <f>ISBLANK(Compil[[#This Row],[DESIGNATION]])</f>
        <v>0</v>
      </c>
      <c r="M628" s="359"/>
      <c r="N628" s="358"/>
      <c r="O628" s="358"/>
      <c r="P628" s="358"/>
      <c r="Q628" s="358">
        <f>COUNTIF(Compil[[Ma Désignation ]],Compil[[Ma Désignation ]])</f>
        <v>20</v>
      </c>
    </row>
    <row r="629" spans="1:17" ht="14">
      <c r="A629" s="303">
        <v>297</v>
      </c>
      <c r="B629" s="2"/>
      <c r="C629" s="206" t="s">
        <v>52</v>
      </c>
      <c r="D629" t="str">
        <f xml:space="preserve"> TRIM( SUBSTITUTE(SUBSTITUTE(SUBSTITUTE( Compil[[#This Row],[DESIGNATION]],"-",""),"–",""),"*",""))</f>
        <v>Interrupteur simple allumage</v>
      </c>
      <c r="E629" s="190" t="s">
        <v>13</v>
      </c>
      <c r="F629" s="247">
        <v>1</v>
      </c>
      <c r="G629" s="289"/>
      <c r="H629" s="164"/>
      <c r="I629" t="s">
        <v>580</v>
      </c>
      <c r="J629" t="b">
        <f>AND(NOT(Compil[[#This Row],[Est ouvrage]]), NOT(ISBLANK(Compil[[#This Row],[ART.
CCTP]])))</f>
        <v>0</v>
      </c>
      <c r="K629" t="b">
        <f>OR(Compil[[#This Row],[Unité]]="U",Compil[[#This Row],[Unité]]="ens",Compil[[#This Row],[Unité]]="ml")</f>
        <v>1</v>
      </c>
      <c r="L629" t="b">
        <f>ISBLANK(Compil[[#This Row],[DESIGNATION]])</f>
        <v>0</v>
      </c>
      <c r="M629" s="359"/>
      <c r="N629" s="358"/>
      <c r="O629" s="358"/>
      <c r="P629" s="358"/>
      <c r="Q629" s="358">
        <f>COUNTIF(Compil[[Ma Désignation ]],Compil[[Ma Désignation ]])</f>
        <v>20</v>
      </c>
    </row>
    <row r="630" spans="1:17" ht="14">
      <c r="A630" s="310">
        <v>625</v>
      </c>
      <c r="B630" s="43"/>
      <c r="C630" s="416"/>
      <c r="D630" t="str">
        <f xml:space="preserve"> TRIM( SUBSTITUTE(SUBSTITUTE(SUBSTITUTE( Compil[[#This Row],[DESIGNATION]],"-",""),"–",""),"*",""))</f>
        <v/>
      </c>
      <c r="E630" s="9"/>
      <c r="F630" s="262"/>
      <c r="G630" s="289" t="s">
        <v>571</v>
      </c>
      <c r="H630" s="164" t="s">
        <v>571</v>
      </c>
      <c r="I630" t="s">
        <v>570</v>
      </c>
      <c r="J630" t="b">
        <f>AND(NOT(Compil[[#This Row],[Est ouvrage]]), NOT(ISBLANK(Compil[[#This Row],[ART.
CCTP]])))</f>
        <v>0</v>
      </c>
      <c r="K630" t="b">
        <f>OR(Compil[[#This Row],[Unité]]="U",Compil[[#This Row],[Unité]]="ens",Compil[[#This Row],[Unité]]="ml")</f>
        <v>0</v>
      </c>
      <c r="L630" t="b">
        <f>ISBLANK(Compil[[#This Row],[DESIGNATION]])</f>
        <v>1</v>
      </c>
      <c r="M630" s="358"/>
      <c r="N630" s="358"/>
      <c r="O630" s="358"/>
      <c r="P630" s="358"/>
      <c r="Q630" s="358">
        <f>COUNTIF(Compil[[Ma Désignation ]],Compil[[Ma Désignation ]])</f>
        <v>306</v>
      </c>
    </row>
    <row r="631" spans="1:17" ht="14">
      <c r="A631" s="310">
        <v>372</v>
      </c>
      <c r="B631" s="43"/>
      <c r="C631" s="416" t="s">
        <v>52</v>
      </c>
      <c r="D631" t="str">
        <f xml:space="preserve"> TRIM( SUBSTITUTE(SUBSTITUTE(SUBSTITUTE( Compil[[#This Row],[DESIGNATION]],"-",""),"–",""),"*",""))</f>
        <v>Interrupteur simple allumage</v>
      </c>
      <c r="E631" s="9" t="s">
        <v>13</v>
      </c>
      <c r="F631" s="388">
        <v>1</v>
      </c>
      <c r="G631" s="289">
        <v>0</v>
      </c>
      <c r="H631" s="164">
        <v>0</v>
      </c>
      <c r="I631" t="s">
        <v>570</v>
      </c>
      <c r="J631" t="b">
        <f>AND(NOT(Compil[[#This Row],[Est ouvrage]]), NOT(ISBLANK(Compil[[#This Row],[ART.
CCTP]])))</f>
        <v>0</v>
      </c>
      <c r="K631" t="b">
        <f>OR(Compil[[#This Row],[Unité]]="U",Compil[[#This Row],[Unité]]="ens",Compil[[#This Row],[Unité]]="ml")</f>
        <v>1</v>
      </c>
      <c r="L631" t="b">
        <f>ISBLANK(Compil[[#This Row],[DESIGNATION]])</f>
        <v>0</v>
      </c>
      <c r="M631" s="359"/>
      <c r="N631" s="358"/>
      <c r="O631" s="358"/>
      <c r="P631" s="358"/>
      <c r="Q631" s="358">
        <f>COUNTIF(Compil[[Ma Désignation ]],Compil[[Ma Désignation ]])</f>
        <v>20</v>
      </c>
    </row>
    <row r="632" spans="1:17" ht="14">
      <c r="A632" s="310">
        <v>389</v>
      </c>
      <c r="B632" s="43"/>
      <c r="C632" s="416" t="s">
        <v>52</v>
      </c>
      <c r="D632" t="str">
        <f xml:space="preserve"> TRIM( SUBSTITUTE(SUBSTITUTE(SUBSTITUTE( Compil[[#This Row],[DESIGNATION]],"-",""),"–",""),"*",""))</f>
        <v>Interrupteur simple allumage</v>
      </c>
      <c r="E632" s="9" t="s">
        <v>13</v>
      </c>
      <c r="F632" s="262"/>
      <c r="G632" s="289" t="s">
        <v>571</v>
      </c>
      <c r="H632" s="164" t="s">
        <v>571</v>
      </c>
      <c r="I632" t="s">
        <v>570</v>
      </c>
      <c r="J632" t="b">
        <f>AND(NOT(Compil[[#This Row],[Est ouvrage]]), NOT(ISBLANK(Compil[[#This Row],[ART.
CCTP]])))</f>
        <v>0</v>
      </c>
      <c r="K632" t="b">
        <f>OR(Compil[[#This Row],[Unité]]="U",Compil[[#This Row],[Unité]]="ens",Compil[[#This Row],[Unité]]="ml")</f>
        <v>1</v>
      </c>
      <c r="L632" t="b">
        <f>ISBLANK(Compil[[#This Row],[DESIGNATION]])</f>
        <v>0</v>
      </c>
      <c r="M632" s="359"/>
      <c r="N632" s="358"/>
      <c r="O632" s="358"/>
      <c r="P632" s="358"/>
      <c r="Q632" s="358">
        <f>COUNTIF(Compil[[Ma Désignation ]],Compil[[Ma Désignation ]])</f>
        <v>20</v>
      </c>
    </row>
    <row r="633" spans="1:17" ht="14">
      <c r="A633" s="310">
        <v>628</v>
      </c>
      <c r="B633" s="43"/>
      <c r="C633" s="416"/>
      <c r="D633" t="str">
        <f xml:space="preserve"> TRIM( SUBSTITUTE(SUBSTITUTE(SUBSTITUTE( Compil[[#This Row],[DESIGNATION]],"-",""),"–",""),"*",""))</f>
        <v/>
      </c>
      <c r="E633" s="9"/>
      <c r="F633" s="262"/>
      <c r="G633" s="289" t="s">
        <v>571</v>
      </c>
      <c r="H633" s="164" t="s">
        <v>571</v>
      </c>
      <c r="I633" t="s">
        <v>570</v>
      </c>
      <c r="J633" t="b">
        <f>AND(NOT(Compil[[#This Row],[Est ouvrage]]), NOT(ISBLANK(Compil[[#This Row],[ART.
CCTP]])))</f>
        <v>0</v>
      </c>
      <c r="K633" t="b">
        <f>OR(Compil[[#This Row],[Unité]]="U",Compil[[#This Row],[Unité]]="ens",Compil[[#This Row],[Unité]]="ml")</f>
        <v>0</v>
      </c>
      <c r="L633" t="b">
        <f>ISBLANK(Compil[[#This Row],[DESIGNATION]])</f>
        <v>1</v>
      </c>
      <c r="M633" s="358"/>
      <c r="N633" s="358"/>
      <c r="O633" s="358"/>
      <c r="P633" s="358"/>
      <c r="Q633" s="358">
        <f>COUNTIF(Compil[[Ma Désignation ]],Compil[[Ma Désignation ]])</f>
        <v>306</v>
      </c>
    </row>
    <row r="634" spans="1:17" ht="14">
      <c r="A634" s="310">
        <v>423</v>
      </c>
      <c r="B634" s="43"/>
      <c r="C634" s="416" t="s">
        <v>52</v>
      </c>
      <c r="D634" t="str">
        <f xml:space="preserve"> TRIM( SUBSTITUTE(SUBSTITUTE(SUBSTITUTE( Compil[[#This Row],[DESIGNATION]],"-",""),"–",""),"*",""))</f>
        <v>Interrupteur simple allumage</v>
      </c>
      <c r="E634" s="9" t="s">
        <v>13</v>
      </c>
      <c r="F634" s="371">
        <v>4</v>
      </c>
      <c r="G634" s="289">
        <v>0</v>
      </c>
      <c r="H634" s="164">
        <v>0</v>
      </c>
      <c r="I634" t="s">
        <v>570</v>
      </c>
      <c r="J634" t="b">
        <f>AND(NOT(Compil[[#This Row],[Est ouvrage]]), NOT(ISBLANK(Compil[[#This Row],[ART.
CCTP]])))</f>
        <v>0</v>
      </c>
      <c r="K634" t="b">
        <f>OR(Compil[[#This Row],[Unité]]="U",Compil[[#This Row],[Unité]]="ens",Compil[[#This Row],[Unité]]="ml")</f>
        <v>1</v>
      </c>
      <c r="L634" t="b">
        <f>ISBLANK(Compil[[#This Row],[DESIGNATION]])</f>
        <v>0</v>
      </c>
      <c r="M634" s="359"/>
      <c r="N634" s="358"/>
      <c r="O634" s="358"/>
      <c r="P634" s="358"/>
      <c r="Q634" s="358">
        <f>COUNTIF(Compil[[Ma Désignation ]],Compil[[Ma Désignation ]])</f>
        <v>20</v>
      </c>
    </row>
    <row r="635" spans="1:17" ht="14">
      <c r="A635" s="310">
        <v>441</v>
      </c>
      <c r="B635" s="43"/>
      <c r="C635" s="416" t="s">
        <v>52</v>
      </c>
      <c r="D635" t="str">
        <f xml:space="preserve"> TRIM( SUBSTITUTE(SUBSTITUTE(SUBSTITUTE( Compil[[#This Row],[DESIGNATION]],"-",""),"–",""),"*",""))</f>
        <v>Interrupteur simple allumage</v>
      </c>
      <c r="E635" s="9" t="s">
        <v>13</v>
      </c>
      <c r="F635" s="262"/>
      <c r="G635" s="289" t="s">
        <v>571</v>
      </c>
      <c r="H635" s="164" t="s">
        <v>571</v>
      </c>
      <c r="I635" t="s">
        <v>570</v>
      </c>
      <c r="J635" t="b">
        <f>AND(NOT(Compil[[#This Row],[Est ouvrage]]), NOT(ISBLANK(Compil[[#This Row],[ART.
CCTP]])))</f>
        <v>0</v>
      </c>
      <c r="K635" t="b">
        <f>OR(Compil[[#This Row],[Unité]]="U",Compil[[#This Row],[Unité]]="ens",Compil[[#This Row],[Unité]]="ml")</f>
        <v>1</v>
      </c>
      <c r="L635" t="b">
        <f>ISBLANK(Compil[[#This Row],[DESIGNATION]])</f>
        <v>0</v>
      </c>
      <c r="M635" s="359"/>
      <c r="N635" s="358"/>
      <c r="O635" s="358"/>
      <c r="P635" s="358"/>
      <c r="Q635" s="358">
        <f>COUNTIF(Compil[[Ma Désignation ]],Compil[[Ma Désignation ]])</f>
        <v>20</v>
      </c>
    </row>
    <row r="636" spans="1:17" ht="14">
      <c r="A636" s="310">
        <v>477</v>
      </c>
      <c r="B636" s="43"/>
      <c r="C636" s="416" t="s">
        <v>52</v>
      </c>
      <c r="D636" t="str">
        <f xml:space="preserve"> TRIM( SUBSTITUTE(SUBSTITUTE(SUBSTITUTE( Compil[[#This Row],[DESIGNATION]],"-",""),"–",""),"*",""))</f>
        <v>Interrupteur simple allumage</v>
      </c>
      <c r="E636" s="9" t="s">
        <v>13</v>
      </c>
      <c r="F636" s="385">
        <v>6.1338582677165352</v>
      </c>
      <c r="G636" s="289">
        <v>0</v>
      </c>
      <c r="H636" s="164">
        <v>0</v>
      </c>
      <c r="I636" t="s">
        <v>570</v>
      </c>
      <c r="J636" t="b">
        <f>AND(NOT(Compil[[#This Row],[Est ouvrage]]), NOT(ISBLANK(Compil[[#This Row],[ART.
CCTP]])))</f>
        <v>0</v>
      </c>
      <c r="K636" t="b">
        <f>OR(Compil[[#This Row],[Unité]]="U",Compil[[#This Row],[Unité]]="ens",Compil[[#This Row],[Unité]]="ml")</f>
        <v>1</v>
      </c>
      <c r="L636" t="b">
        <f>ISBLANK(Compil[[#This Row],[DESIGNATION]])</f>
        <v>0</v>
      </c>
      <c r="M636" s="359"/>
      <c r="N636" s="358"/>
      <c r="O636" s="358"/>
      <c r="P636" s="358"/>
      <c r="Q636" s="358">
        <f>COUNTIF(Compil[[Ma Désignation ]],Compil[[Ma Désignation ]])</f>
        <v>20</v>
      </c>
    </row>
    <row r="637" spans="1:17" ht="14">
      <c r="A637" s="310">
        <v>496</v>
      </c>
      <c r="B637" s="43"/>
      <c r="C637" s="416" t="s">
        <v>52</v>
      </c>
      <c r="D637" t="str">
        <f xml:space="preserve"> TRIM( SUBSTITUTE(SUBSTITUTE(SUBSTITUTE( Compil[[#This Row],[DESIGNATION]],"-",""),"–",""),"*",""))</f>
        <v>Interrupteur simple allumage</v>
      </c>
      <c r="E637" s="9" t="s">
        <v>13</v>
      </c>
      <c r="F637" s="262"/>
      <c r="G637" s="289" t="s">
        <v>571</v>
      </c>
      <c r="H637" s="164" t="s">
        <v>571</v>
      </c>
      <c r="I637" t="s">
        <v>570</v>
      </c>
      <c r="J637" t="b">
        <f>AND(NOT(Compil[[#This Row],[Est ouvrage]]), NOT(ISBLANK(Compil[[#This Row],[ART.
CCTP]])))</f>
        <v>0</v>
      </c>
      <c r="K637" t="b">
        <f>OR(Compil[[#This Row],[Unité]]="U",Compil[[#This Row],[Unité]]="ens",Compil[[#This Row],[Unité]]="ml")</f>
        <v>1</v>
      </c>
      <c r="L637" t="b">
        <f>ISBLANK(Compil[[#This Row],[DESIGNATION]])</f>
        <v>0</v>
      </c>
      <c r="M637" s="359"/>
      <c r="N637" s="358"/>
      <c r="O637" s="358"/>
      <c r="P637" s="358"/>
      <c r="Q637" s="358">
        <f>COUNTIF(Compil[[Ma Désignation ]],Compil[[Ma Désignation ]])</f>
        <v>20</v>
      </c>
    </row>
    <row r="638" spans="1:17" ht="14">
      <c r="A638" s="310">
        <v>533</v>
      </c>
      <c r="B638" s="43"/>
      <c r="C638" s="416" t="s">
        <v>52</v>
      </c>
      <c r="D638" t="str">
        <f xml:space="preserve"> TRIM( SUBSTITUTE(SUBSTITUTE(SUBSTITUTE( Compil[[#This Row],[DESIGNATION]],"-",""),"–",""),"*",""))</f>
        <v>Interrupteur simple allumage</v>
      </c>
      <c r="E638" s="9" t="s">
        <v>13</v>
      </c>
      <c r="F638" s="262">
        <v>7.1338582677165352</v>
      </c>
      <c r="G638" s="289">
        <v>0</v>
      </c>
      <c r="H638" s="164">
        <v>0</v>
      </c>
      <c r="I638" t="s">
        <v>570</v>
      </c>
      <c r="J638" t="b">
        <f>AND(NOT(Compil[[#This Row],[Est ouvrage]]), NOT(ISBLANK(Compil[[#This Row],[ART.
CCTP]])))</f>
        <v>0</v>
      </c>
      <c r="K638" t="b">
        <f>OR(Compil[[#This Row],[Unité]]="U",Compil[[#This Row],[Unité]]="ens",Compil[[#This Row],[Unité]]="ml")</f>
        <v>1</v>
      </c>
      <c r="L638" t="b">
        <f>ISBLANK(Compil[[#This Row],[DESIGNATION]])</f>
        <v>0</v>
      </c>
      <c r="M638" s="359"/>
      <c r="N638" s="358"/>
      <c r="O638" s="358"/>
      <c r="P638" s="358"/>
      <c r="Q638" s="358">
        <f>COUNTIF(Compil[[Ma Désignation ]],Compil[[Ma Désignation ]])</f>
        <v>20</v>
      </c>
    </row>
    <row r="639" spans="1:17" ht="14">
      <c r="A639" s="310">
        <v>634</v>
      </c>
      <c r="B639" s="43"/>
      <c r="C639" s="416"/>
      <c r="D639" t="str">
        <f xml:space="preserve"> TRIM( SUBSTITUTE(SUBSTITUTE(SUBSTITUTE( Compil[[#This Row],[DESIGNATION]],"-",""),"–",""),"*",""))</f>
        <v/>
      </c>
      <c r="E639" s="9"/>
      <c r="F639" s="262"/>
      <c r="G639" s="289" t="s">
        <v>571</v>
      </c>
      <c r="H639" s="164" t="s">
        <v>571</v>
      </c>
      <c r="I639" t="s">
        <v>570</v>
      </c>
      <c r="J639" t="b">
        <f>AND(NOT(Compil[[#This Row],[Est ouvrage]]), NOT(ISBLANK(Compil[[#This Row],[ART.
CCTP]])))</f>
        <v>0</v>
      </c>
      <c r="K639" t="b">
        <f>OR(Compil[[#This Row],[Unité]]="U",Compil[[#This Row],[Unité]]="ens",Compil[[#This Row],[Unité]]="ml")</f>
        <v>0</v>
      </c>
      <c r="L639" t="b">
        <f>ISBLANK(Compil[[#This Row],[DESIGNATION]])</f>
        <v>1</v>
      </c>
      <c r="M639" s="358"/>
      <c r="N639" s="358"/>
      <c r="O639" s="358"/>
      <c r="P639" s="358"/>
      <c r="Q639" s="358">
        <f>COUNTIF(Compil[[Ma Désignation ]],Compil[[Ma Désignation ]])</f>
        <v>306</v>
      </c>
    </row>
    <row r="640" spans="1:17" ht="14">
      <c r="A640" s="310">
        <v>552</v>
      </c>
      <c r="B640" s="43"/>
      <c r="C640" s="416" t="s">
        <v>52</v>
      </c>
      <c r="D640" t="str">
        <f xml:space="preserve"> TRIM( SUBSTITUTE(SUBSTITUTE(SUBSTITUTE( Compil[[#This Row],[DESIGNATION]],"-",""),"–",""),"*",""))</f>
        <v>Interrupteur simple allumage</v>
      </c>
      <c r="E640" s="9" t="s">
        <v>13</v>
      </c>
      <c r="F640" s="262"/>
      <c r="G640" s="289" t="s">
        <v>571</v>
      </c>
      <c r="H640" s="164" t="s">
        <v>571</v>
      </c>
      <c r="I640" t="s">
        <v>570</v>
      </c>
      <c r="J640" t="b">
        <f>AND(NOT(Compil[[#This Row],[Est ouvrage]]), NOT(ISBLANK(Compil[[#This Row],[ART.
CCTP]])))</f>
        <v>0</v>
      </c>
      <c r="K640" t="b">
        <f>OR(Compil[[#This Row],[Unité]]="U",Compil[[#This Row],[Unité]]="ens",Compil[[#This Row],[Unité]]="ml")</f>
        <v>1</v>
      </c>
      <c r="L640" t="b">
        <f>ISBLANK(Compil[[#This Row],[DESIGNATION]])</f>
        <v>0</v>
      </c>
      <c r="M640" s="359"/>
      <c r="N640" s="358"/>
      <c r="O640" s="358"/>
      <c r="P640" s="358"/>
      <c r="Q640" s="358">
        <f>COUNTIF(Compil[[Ma Désignation ]],Compil[[Ma Désignation ]])</f>
        <v>20</v>
      </c>
    </row>
    <row r="641" spans="1:17" ht="14">
      <c r="A641" s="310">
        <v>636</v>
      </c>
      <c r="B641" s="43"/>
      <c r="C641" s="428"/>
      <c r="D641" t="str">
        <f xml:space="preserve"> TRIM( SUBSTITUTE(SUBSTITUTE(SUBSTITUTE( Compil[[#This Row],[DESIGNATION]],"-",""),"–",""),"*",""))</f>
        <v/>
      </c>
      <c r="E641" s="8"/>
      <c r="F641" s="262"/>
      <c r="G641" s="289" t="s">
        <v>571</v>
      </c>
      <c r="H641" s="164" t="s">
        <v>571</v>
      </c>
      <c r="I641" t="s">
        <v>570</v>
      </c>
      <c r="J641" t="b">
        <f>AND(NOT(Compil[[#This Row],[Est ouvrage]]), NOT(ISBLANK(Compil[[#This Row],[ART.
CCTP]])))</f>
        <v>0</v>
      </c>
      <c r="K641" t="b">
        <f>OR(Compil[[#This Row],[Unité]]="U",Compil[[#This Row],[Unité]]="ens",Compil[[#This Row],[Unité]]="ml")</f>
        <v>0</v>
      </c>
      <c r="L641" t="b">
        <f>ISBLANK(Compil[[#This Row],[DESIGNATION]])</f>
        <v>1</v>
      </c>
      <c r="M641" s="358"/>
      <c r="N641" s="358"/>
      <c r="O641" s="358"/>
      <c r="P641" s="358"/>
      <c r="Q641" s="358">
        <f>COUNTIF(Compil[[Ma Désignation ]],Compil[[Ma Désignation ]])</f>
        <v>306</v>
      </c>
    </row>
    <row r="642" spans="1:17" ht="14">
      <c r="A642" s="310">
        <v>637</v>
      </c>
      <c r="B642" s="43"/>
      <c r="C642" s="413" t="s">
        <v>280</v>
      </c>
      <c r="D642" t="str">
        <f xml:space="preserve"> TRIM( SUBSTITUTE(SUBSTITUTE(SUBSTITUTE( Compil[[#This Row],[DESIGNATION]],"-",""),"–",""),"*",""))</f>
        <v>Sous total HT pour un T5</v>
      </c>
      <c r="E642" s="9"/>
      <c r="F642" s="262"/>
      <c r="G642" s="289" t="s">
        <v>571</v>
      </c>
      <c r="H642" s="164" t="s">
        <v>571</v>
      </c>
      <c r="I642" t="s">
        <v>570</v>
      </c>
      <c r="J642" t="b">
        <f>AND(NOT(Compil[[#This Row],[Est ouvrage]]), NOT(ISBLANK(Compil[[#This Row],[ART.
CCTP]])))</f>
        <v>0</v>
      </c>
      <c r="K642" t="b">
        <f>OR(Compil[[#This Row],[Unité]]="U",Compil[[#This Row],[Unité]]="ens",Compil[[#This Row],[Unité]]="ml")</f>
        <v>0</v>
      </c>
      <c r="L642" t="b">
        <f>ISBLANK(Compil[[#This Row],[DESIGNATION]])</f>
        <v>0</v>
      </c>
      <c r="M642" s="359"/>
      <c r="N642" s="358"/>
      <c r="O642" s="358"/>
      <c r="P642" s="358"/>
      <c r="Q642" s="358">
        <f>COUNTIF(Compil[[Ma Désignation ]],Compil[[Ma Désignation ]])</f>
        <v>2</v>
      </c>
    </row>
    <row r="643" spans="1:17" ht="14">
      <c r="A643" s="310">
        <v>589</v>
      </c>
      <c r="B643" s="43"/>
      <c r="C643" s="416" t="s">
        <v>52</v>
      </c>
      <c r="D643" t="str">
        <f xml:space="preserve"> TRIM( SUBSTITUTE(SUBSTITUTE(SUBSTITUTE( Compil[[#This Row],[DESIGNATION]],"-",""),"–",""),"*",""))</f>
        <v>Interrupteur simple allumage</v>
      </c>
      <c r="E643" s="9" t="s">
        <v>13</v>
      </c>
      <c r="F643" s="262">
        <v>5.1338582677165352</v>
      </c>
      <c r="G643" s="289">
        <v>0</v>
      </c>
      <c r="H643" s="164">
        <v>0</v>
      </c>
      <c r="I643" t="s">
        <v>570</v>
      </c>
      <c r="J643" t="b">
        <f>AND(NOT(Compil[[#This Row],[Est ouvrage]]), NOT(ISBLANK(Compil[[#This Row],[ART.
CCTP]])))</f>
        <v>0</v>
      </c>
      <c r="K643" t="b">
        <f>OR(Compil[[#This Row],[Unité]]="U",Compil[[#This Row],[Unité]]="ens",Compil[[#This Row],[Unité]]="ml")</f>
        <v>1</v>
      </c>
      <c r="L643" t="b">
        <f>ISBLANK(Compil[[#This Row],[DESIGNATION]])</f>
        <v>0</v>
      </c>
      <c r="M643" s="359"/>
      <c r="N643" s="358"/>
      <c r="O643" s="358"/>
      <c r="P643" s="358"/>
      <c r="Q643" s="358">
        <f>COUNTIF(Compil[[Ma Désignation ]],Compil[[Ma Désignation ]])</f>
        <v>20</v>
      </c>
    </row>
    <row r="644" spans="1:17" ht="14">
      <c r="A644" s="310">
        <v>639</v>
      </c>
      <c r="B644" s="43"/>
      <c r="C644" s="81"/>
      <c r="D644" s="357" t="str">
        <f xml:space="preserve"> TRIM( SUBSTITUTE(SUBSTITUTE(SUBSTITUTE( Compil[[#This Row],[DESIGNATION]],"-",""),"–",""),"*",""))</f>
        <v/>
      </c>
      <c r="E644" s="9"/>
      <c r="F644" s="262"/>
      <c r="G644" s="289" t="s">
        <v>571</v>
      </c>
      <c r="H644" s="164" t="s">
        <v>571</v>
      </c>
      <c r="I644" t="s">
        <v>570</v>
      </c>
      <c r="J644" t="b">
        <f>AND(NOT(Compil[[#This Row],[Est ouvrage]]), NOT(ISBLANK(Compil[[#This Row],[ART.
CCTP]])))</f>
        <v>0</v>
      </c>
      <c r="K644" t="b">
        <f>OR(Compil[[#This Row],[Unité]]="U",Compil[[#This Row],[Unité]]="ens",Compil[[#This Row],[Unité]]="ml")</f>
        <v>0</v>
      </c>
      <c r="L644" t="b">
        <f>ISBLANK(Compil[[#This Row],[DESIGNATION]])</f>
        <v>1</v>
      </c>
      <c r="M644" s="358"/>
      <c r="N644" s="358"/>
      <c r="O644" s="358"/>
      <c r="P644" s="358"/>
      <c r="Q644" s="358">
        <f>COUNTIF(Compil[[Ma Désignation ]],Compil[[Ma Désignation ]])</f>
        <v>306</v>
      </c>
    </row>
    <row r="645" spans="1:17" ht="14">
      <c r="A645" s="310">
        <v>640</v>
      </c>
      <c r="B645" s="43"/>
      <c r="C645" s="429" t="s">
        <v>282</v>
      </c>
      <c r="D645" t="str">
        <f xml:space="preserve"> TRIM( SUBSTITUTE(SUBSTITUTE(SUBSTITUTE( Compil[[#This Row],[DESIGNATION]],"-",""),"–",""),"*",""))</f>
        <v>Sous total 2.7.2 Appartement T5</v>
      </c>
      <c r="E645" s="72"/>
      <c r="F645" s="262"/>
      <c r="G645" s="289" t="s">
        <v>571</v>
      </c>
      <c r="H645" s="164" t="s">
        <v>571</v>
      </c>
      <c r="I645" t="s">
        <v>570</v>
      </c>
      <c r="J645" t="b">
        <f>AND(NOT(Compil[[#This Row],[Est ouvrage]]), NOT(ISBLANK(Compil[[#This Row],[ART.
CCTP]])))</f>
        <v>0</v>
      </c>
      <c r="K645" t="b">
        <f>OR(Compil[[#This Row],[Unité]]="U",Compil[[#This Row],[Unité]]="ens",Compil[[#This Row],[Unité]]="ml")</f>
        <v>0</v>
      </c>
      <c r="L645" t="b">
        <f>ISBLANK(Compil[[#This Row],[DESIGNATION]])</f>
        <v>0</v>
      </c>
      <c r="M645" s="359"/>
      <c r="N645" s="358"/>
      <c r="O645" s="358"/>
      <c r="P645" s="358"/>
      <c r="Q645" s="358">
        <f>COUNTIF(Compil[[Ma Désignation ]],Compil[[Ma Désignation ]])</f>
        <v>1</v>
      </c>
    </row>
    <row r="646" spans="1:17" ht="14">
      <c r="A646" s="310">
        <v>641</v>
      </c>
      <c r="B646" s="43"/>
      <c r="C646" s="415"/>
      <c r="D646" t="str">
        <f xml:space="preserve"> TRIM( SUBSTITUTE(SUBSTITUTE(SUBSTITUTE( Compil[[#This Row],[DESIGNATION]],"-",""),"–",""),"*",""))</f>
        <v/>
      </c>
      <c r="E646" s="9"/>
      <c r="F646" s="262"/>
      <c r="G646" s="289" t="s">
        <v>571</v>
      </c>
      <c r="H646" s="164" t="s">
        <v>571</v>
      </c>
      <c r="I646" t="s">
        <v>570</v>
      </c>
      <c r="J646" t="b">
        <f>AND(NOT(Compil[[#This Row],[Est ouvrage]]), NOT(ISBLANK(Compil[[#This Row],[ART.
CCTP]])))</f>
        <v>0</v>
      </c>
      <c r="K646" t="b">
        <f>OR(Compil[[#This Row],[Unité]]="U",Compil[[#This Row],[Unité]]="ens",Compil[[#This Row],[Unité]]="ml")</f>
        <v>0</v>
      </c>
      <c r="L646" t="b">
        <f>ISBLANK(Compil[[#This Row],[DESIGNATION]])</f>
        <v>1</v>
      </c>
      <c r="M646" s="358"/>
      <c r="N646" s="358"/>
      <c r="O646" s="358"/>
      <c r="P646" s="358"/>
      <c r="Q646" s="358">
        <f>COUNTIF(Compil[[Ma Désignation ]],Compil[[Ma Désignation ]])</f>
        <v>306</v>
      </c>
    </row>
    <row r="647" spans="1:17" ht="14">
      <c r="A647" s="310">
        <v>642</v>
      </c>
      <c r="B647" s="2" t="s">
        <v>261</v>
      </c>
      <c r="C647" s="413" t="s">
        <v>389</v>
      </c>
      <c r="D647" t="str">
        <f xml:space="preserve"> TRIM( SUBSTITUTE(SUBSTITUTE(SUBSTITUTE( Compil[[#This Row],[DESIGNATION]],"-",""),"–",""),"*",""))</f>
        <v>Appartement de type T5 duplex</v>
      </c>
      <c r="E647" s="9"/>
      <c r="F647" s="262"/>
      <c r="G647" s="289" t="s">
        <v>571</v>
      </c>
      <c r="H647" s="164" t="s">
        <v>571</v>
      </c>
      <c r="I647" t="s">
        <v>570</v>
      </c>
      <c r="J647" t="b">
        <f>AND(NOT(Compil[[#This Row],[Est ouvrage]]), NOT(ISBLANK(Compil[[#This Row],[ART.
CCTP]])))</f>
        <v>1</v>
      </c>
      <c r="K647" t="b">
        <f>OR(Compil[[#This Row],[Unité]]="U",Compil[[#This Row],[Unité]]="ens",Compil[[#This Row],[Unité]]="ml")</f>
        <v>0</v>
      </c>
      <c r="L647" t="b">
        <f>ISBLANK(Compil[[#This Row],[DESIGNATION]])</f>
        <v>0</v>
      </c>
      <c r="M647" s="359"/>
      <c r="N647" s="358"/>
      <c r="O647" s="358"/>
      <c r="P647" s="358"/>
      <c r="Q647" s="358">
        <f>COUNTIF(Compil[[Ma Désignation ]],Compil[[Ma Désignation ]])</f>
        <v>1</v>
      </c>
    </row>
    <row r="648" spans="1:17" ht="14">
      <c r="A648" s="310">
        <v>643</v>
      </c>
      <c r="B648" s="43"/>
      <c r="C648" s="433"/>
      <c r="D648" t="str">
        <f xml:space="preserve"> TRIM( SUBSTITUTE(SUBSTITUTE(SUBSTITUTE( Compil[[#This Row],[DESIGNATION]],"-",""),"–",""),"*",""))</f>
        <v/>
      </c>
      <c r="E648" s="9"/>
      <c r="F648" s="262"/>
      <c r="G648" s="289" t="s">
        <v>571</v>
      </c>
      <c r="H648" s="164" t="s">
        <v>571</v>
      </c>
      <c r="I648" t="s">
        <v>570</v>
      </c>
      <c r="J648" t="b">
        <f>AND(NOT(Compil[[#This Row],[Est ouvrage]]), NOT(ISBLANK(Compil[[#This Row],[ART.
CCTP]])))</f>
        <v>0</v>
      </c>
      <c r="K648" t="b">
        <f>OR(Compil[[#This Row],[Unité]]="U",Compil[[#This Row],[Unité]]="ens",Compil[[#This Row],[Unité]]="ml")</f>
        <v>0</v>
      </c>
      <c r="L648" t="b">
        <f>ISBLANK(Compil[[#This Row],[DESIGNATION]])</f>
        <v>1</v>
      </c>
      <c r="M648" s="358"/>
      <c r="N648" s="358"/>
      <c r="O648" s="358"/>
      <c r="P648" s="358"/>
      <c r="Q648" s="358">
        <f>COUNTIF(Compil[[Ma Désignation ]],Compil[[Ma Désignation ]])</f>
        <v>306</v>
      </c>
    </row>
    <row r="649" spans="1:17" ht="14">
      <c r="A649" s="310">
        <v>644</v>
      </c>
      <c r="B649" s="43"/>
      <c r="C649" s="430" t="s">
        <v>572</v>
      </c>
      <c r="D649" t="str">
        <f xml:space="preserve"> TRIM( SUBSTITUTE(SUBSTITUTE(SUBSTITUTE( Compil[[#This Row],[DESIGNATION]],"-",""),"–",""),"*",""))</f>
        <v>Appareillages de finition blanche</v>
      </c>
      <c r="E649" s="9"/>
      <c r="F649" s="262"/>
      <c r="G649" s="289" t="s">
        <v>571</v>
      </c>
      <c r="H649" s="164" t="s">
        <v>571</v>
      </c>
      <c r="I649" t="s">
        <v>570</v>
      </c>
      <c r="J649" t="b">
        <f>AND(NOT(Compil[[#This Row],[Est ouvrage]]), NOT(ISBLANK(Compil[[#This Row],[ART.
CCTP]])))</f>
        <v>0</v>
      </c>
      <c r="K649" t="b">
        <f>OR(Compil[[#This Row],[Unité]]="U",Compil[[#This Row],[Unité]]="ens",Compil[[#This Row],[Unité]]="ml")</f>
        <v>0</v>
      </c>
      <c r="L649" t="b">
        <f>ISBLANK(Compil[[#This Row],[DESIGNATION]])</f>
        <v>0</v>
      </c>
      <c r="M649" s="359"/>
      <c r="N649" s="358"/>
      <c r="O649" s="358"/>
      <c r="P649" s="358"/>
      <c r="Q649" s="358">
        <f>COUNTIF(Compil[[Ma Désignation ]],Compil[[Ma Désignation ]])</f>
        <v>9</v>
      </c>
    </row>
    <row r="650" spans="1:17" ht="14">
      <c r="A650" s="310">
        <v>608</v>
      </c>
      <c r="B650" s="43"/>
      <c r="C650" s="416" t="s">
        <v>52</v>
      </c>
      <c r="D650" t="str">
        <f xml:space="preserve"> TRIM( SUBSTITUTE(SUBSTITUTE(SUBSTITUTE( Compil[[#This Row],[DESIGNATION]],"-",""),"–",""),"*",""))</f>
        <v>Interrupteur simple allumage</v>
      </c>
      <c r="E650" s="9" t="s">
        <v>13</v>
      </c>
      <c r="F650" s="262"/>
      <c r="G650" s="289" t="s">
        <v>571</v>
      </c>
      <c r="H650" s="164" t="s">
        <v>571</v>
      </c>
      <c r="I650" t="s">
        <v>570</v>
      </c>
      <c r="J650" t="b">
        <f>AND(NOT(Compil[[#This Row],[Est ouvrage]]), NOT(ISBLANK(Compil[[#This Row],[ART.
CCTP]])))</f>
        <v>0</v>
      </c>
      <c r="K650" t="b">
        <f>OR(Compil[[#This Row],[Unité]]="U",Compil[[#This Row],[Unité]]="ens",Compil[[#This Row],[Unité]]="ml")</f>
        <v>1</v>
      </c>
      <c r="L650" t="b">
        <f>ISBLANK(Compil[[#This Row],[DESIGNATION]])</f>
        <v>0</v>
      </c>
      <c r="M650" s="359"/>
      <c r="N650" s="358"/>
      <c r="O650" s="358"/>
      <c r="P650" s="358"/>
      <c r="Q650" s="358">
        <f>COUNTIF(Compil[[Ma Désignation ]],Compil[[Ma Désignation ]])</f>
        <v>20</v>
      </c>
    </row>
    <row r="651" spans="1:17" ht="14">
      <c r="A651" s="310">
        <v>645</v>
      </c>
      <c r="B651" s="43"/>
      <c r="C651" s="416" t="s">
        <v>52</v>
      </c>
      <c r="D651" t="str">
        <f xml:space="preserve"> TRIM( SUBSTITUTE(SUBSTITUTE(SUBSTITUTE( Compil[[#This Row],[DESIGNATION]],"-",""),"–",""),"*",""))</f>
        <v>Interrupteur simple allumage</v>
      </c>
      <c r="E651" s="9" t="s">
        <v>13</v>
      </c>
      <c r="F651" s="262">
        <v>10.133858267716535</v>
      </c>
      <c r="G651" s="289">
        <v>0</v>
      </c>
      <c r="H651" s="164">
        <v>0</v>
      </c>
      <c r="I651" t="s">
        <v>570</v>
      </c>
      <c r="J651" t="b">
        <f>AND(NOT(Compil[[#This Row],[Est ouvrage]]), NOT(ISBLANK(Compil[[#This Row],[ART.
CCTP]])))</f>
        <v>0</v>
      </c>
      <c r="K651" t="b">
        <f>OR(Compil[[#This Row],[Unité]]="U",Compil[[#This Row],[Unité]]="ens",Compil[[#This Row],[Unité]]="ml")</f>
        <v>1</v>
      </c>
      <c r="L651" t="b">
        <f>ISBLANK(Compil[[#This Row],[DESIGNATION]])</f>
        <v>0</v>
      </c>
      <c r="M651" s="359"/>
      <c r="N651" s="358"/>
      <c r="O651" s="358"/>
      <c r="P651" s="358"/>
      <c r="Q651" s="358">
        <f>COUNTIF(Compil[[Ma Désignation ]],Compil[[Ma Désignation ]])</f>
        <v>20</v>
      </c>
    </row>
    <row r="652" spans="1:17" ht="14">
      <c r="A652" s="310">
        <v>664</v>
      </c>
      <c r="B652" s="43"/>
      <c r="C652" s="416" t="s">
        <v>52</v>
      </c>
      <c r="D652" t="str">
        <f xml:space="preserve"> TRIM( SUBSTITUTE(SUBSTITUTE(SUBSTITUTE( Compil[[#This Row],[DESIGNATION]],"-",""),"–",""),"*",""))</f>
        <v>Interrupteur simple allumage</v>
      </c>
      <c r="E652" s="9" t="s">
        <v>13</v>
      </c>
      <c r="F652" s="386"/>
      <c r="G652" s="289" t="s">
        <v>571</v>
      </c>
      <c r="H652" s="164" t="s">
        <v>571</v>
      </c>
      <c r="I652" t="s">
        <v>570</v>
      </c>
      <c r="J652" t="b">
        <f>AND(NOT(Compil[[#This Row],[Est ouvrage]]), NOT(ISBLANK(Compil[[#This Row],[ART.
CCTP]])))</f>
        <v>0</v>
      </c>
      <c r="K652" t="b">
        <f>OR(Compil[[#This Row],[Unité]]="U",Compil[[#This Row],[Unité]]="ens",Compil[[#This Row],[Unité]]="ml")</f>
        <v>1</v>
      </c>
      <c r="L652" t="b">
        <f>ISBLANK(Compil[[#This Row],[DESIGNATION]])</f>
        <v>0</v>
      </c>
      <c r="M652" s="359"/>
      <c r="N652" s="358"/>
      <c r="O652" s="358"/>
      <c r="P652" s="358"/>
      <c r="Q652" s="358">
        <f>COUNTIF(Compil[[Ma Désignation ]],Compil[[Ma Désignation ]])</f>
        <v>20</v>
      </c>
    </row>
    <row r="653" spans="1:17">
      <c r="A653" s="360">
        <v>1007</v>
      </c>
      <c r="B653" s="363"/>
      <c r="C653" s="402" t="s">
        <v>52</v>
      </c>
      <c r="D653" t="str">
        <f xml:space="preserve"> TRIM( SUBSTITUTE(SUBSTITUTE(SUBSTITUTE( Compil[[#This Row],[DESIGNATION]],"-",""),"–",""),"*",""))</f>
        <v>Interrupteur simple allumage</v>
      </c>
      <c r="E653" s="369" t="s">
        <v>13</v>
      </c>
      <c r="F653" s="385">
        <v>0.13385826771653542</v>
      </c>
      <c r="G653" s="390">
        <v>0</v>
      </c>
      <c r="H653" s="391">
        <v>0</v>
      </c>
      <c r="I653" t="s">
        <v>579</v>
      </c>
      <c r="J653" t="b">
        <f>AND(NOT(Compil[[#This Row],[Est ouvrage]]), NOT(ISBLANK(Compil[[#This Row],[ART.
CCTP]])))</f>
        <v>0</v>
      </c>
      <c r="K653" t="b">
        <f>OR(Compil[[#This Row],[Unité]]="U",Compil[[#This Row],[Unité]]="ens",Compil[[#This Row],[Unité]]="ml")</f>
        <v>1</v>
      </c>
      <c r="L653" t="b">
        <f>ISBLANK(Compil[[#This Row],[DESIGNATION]])</f>
        <v>0</v>
      </c>
      <c r="M653" s="359"/>
      <c r="N653" s="358"/>
      <c r="O653" s="358"/>
      <c r="P653" s="358"/>
      <c r="Q653" s="358">
        <f>COUNTIF(Compil[[Ma Désignation ]],Compil[[Ma Désignation ]])</f>
        <v>20</v>
      </c>
    </row>
    <row r="654" spans="1:17">
      <c r="A654" s="360">
        <v>1023</v>
      </c>
      <c r="B654" s="363"/>
      <c r="C654" s="402" t="s">
        <v>52</v>
      </c>
      <c r="D654" t="str">
        <f xml:space="preserve"> TRIM( SUBSTITUTE(SUBSTITUTE(SUBSTITUTE( Compil[[#This Row],[DESIGNATION]],"-",""),"–",""),"*",""))</f>
        <v>Interrupteur simple allumage</v>
      </c>
      <c r="E654" s="369" t="s">
        <v>13</v>
      </c>
      <c r="F654" s="385"/>
      <c r="G654" s="390" t="s">
        <v>571</v>
      </c>
      <c r="H654" s="391" t="s">
        <v>571</v>
      </c>
      <c r="I654" t="s">
        <v>579</v>
      </c>
      <c r="J654" t="b">
        <f>AND(NOT(Compil[[#This Row],[Est ouvrage]]), NOT(ISBLANK(Compil[[#This Row],[ART.
CCTP]])))</f>
        <v>0</v>
      </c>
      <c r="K654" t="b">
        <f>OR(Compil[[#This Row],[Unité]]="U",Compil[[#This Row],[Unité]]="ens",Compil[[#This Row],[Unité]]="ml")</f>
        <v>1</v>
      </c>
      <c r="L654" t="b">
        <f>ISBLANK(Compil[[#This Row],[DESIGNATION]])</f>
        <v>0</v>
      </c>
      <c r="M654" s="359"/>
      <c r="N654" s="358"/>
      <c r="O654" s="358"/>
      <c r="P654" s="358"/>
      <c r="Q654" s="358">
        <f>COUNTIF(Compil[[Ma Désignation ]],Compil[[Ma Désignation ]])</f>
        <v>20</v>
      </c>
    </row>
    <row r="655" spans="1:17">
      <c r="A655" s="360">
        <v>1053</v>
      </c>
      <c r="B655" s="363"/>
      <c r="C655" s="402" t="s">
        <v>52</v>
      </c>
      <c r="D655" t="str">
        <f xml:space="preserve"> TRIM( SUBSTITUTE(SUBSTITUTE(SUBSTITUTE( Compil[[#This Row],[DESIGNATION]],"-",""),"–",""),"*",""))</f>
        <v>Interrupteur simple allumage</v>
      </c>
      <c r="E655" s="369" t="s">
        <v>13</v>
      </c>
      <c r="F655" s="385">
        <v>5.1338582677165352</v>
      </c>
      <c r="G655" s="390">
        <v>0</v>
      </c>
      <c r="H655" s="391">
        <v>0</v>
      </c>
      <c r="I655" t="s">
        <v>579</v>
      </c>
      <c r="J655" t="b">
        <f>AND(NOT(Compil[[#This Row],[Est ouvrage]]), NOT(ISBLANK(Compil[[#This Row],[ART.
CCTP]])))</f>
        <v>0</v>
      </c>
      <c r="K655" t="b">
        <f>OR(Compil[[#This Row],[Unité]]="U",Compil[[#This Row],[Unité]]="ens",Compil[[#This Row],[Unité]]="ml")</f>
        <v>1</v>
      </c>
      <c r="L655" t="b">
        <f>ISBLANK(Compil[[#This Row],[DESIGNATION]])</f>
        <v>0</v>
      </c>
      <c r="M655" s="359"/>
      <c r="N655" s="358"/>
      <c r="O655" s="358"/>
      <c r="P655" s="358"/>
      <c r="Q655" s="358">
        <f>COUNTIF(Compil[[Ma Désignation ]],Compil[[Ma Désignation ]])</f>
        <v>20</v>
      </c>
    </row>
    <row r="656" spans="1:17" ht="14">
      <c r="A656" s="310">
        <v>651</v>
      </c>
      <c r="B656" s="43"/>
      <c r="C656" s="416"/>
      <c r="D656" t="str">
        <f xml:space="preserve"> TRIM( SUBSTITUTE(SUBSTITUTE(SUBSTITUTE( Compil[[#This Row],[DESIGNATION]],"-",""),"–",""),"*",""))</f>
        <v/>
      </c>
      <c r="E656" s="9"/>
      <c r="F656" s="262"/>
      <c r="G656" s="289" t="s">
        <v>571</v>
      </c>
      <c r="H656" s="164" t="s">
        <v>571</v>
      </c>
      <c r="I656" t="s">
        <v>570</v>
      </c>
      <c r="J656" t="b">
        <f>AND(NOT(Compil[[#This Row],[Est ouvrage]]), NOT(ISBLANK(Compil[[#This Row],[ART.
CCTP]])))</f>
        <v>0</v>
      </c>
      <c r="K656" t="b">
        <f>OR(Compil[[#This Row],[Unité]]="U",Compil[[#This Row],[Unité]]="ens",Compil[[#This Row],[Unité]]="ml")</f>
        <v>0</v>
      </c>
      <c r="L656" t="b">
        <f>ISBLANK(Compil[[#This Row],[DESIGNATION]])</f>
        <v>1</v>
      </c>
      <c r="M656" s="358"/>
      <c r="N656" s="358"/>
      <c r="O656" s="358"/>
      <c r="P656" s="358"/>
      <c r="Q656" s="358">
        <f>COUNTIF(Compil[[Ma Désignation ]],Compil[[Ma Désignation ]])</f>
        <v>306</v>
      </c>
    </row>
    <row r="657" spans="1:17">
      <c r="A657" s="360">
        <v>1063</v>
      </c>
      <c r="B657" s="363"/>
      <c r="C657" s="402" t="s">
        <v>52</v>
      </c>
      <c r="D657" t="str">
        <f xml:space="preserve"> TRIM( SUBSTITUTE(SUBSTITUTE(SUBSTITUTE( Compil[[#This Row],[DESIGNATION]],"-",""),"–",""),"*",""))</f>
        <v>Interrupteur simple allumage</v>
      </c>
      <c r="E657" s="369" t="s">
        <v>13</v>
      </c>
      <c r="F657" s="385"/>
      <c r="G657" s="390" t="s">
        <v>571</v>
      </c>
      <c r="H657" s="391" t="s">
        <v>571</v>
      </c>
      <c r="I657" t="s">
        <v>579</v>
      </c>
      <c r="J657" t="b">
        <f>AND(NOT(Compil[[#This Row],[Est ouvrage]]), NOT(ISBLANK(Compil[[#This Row],[ART.
CCTP]])))</f>
        <v>0</v>
      </c>
      <c r="K657" t="b">
        <f>OR(Compil[[#This Row],[Unité]]="U",Compil[[#This Row],[Unité]]="ens",Compil[[#This Row],[Unité]]="ml")</f>
        <v>1</v>
      </c>
      <c r="L657" t="b">
        <f>ISBLANK(Compil[[#This Row],[DESIGNATION]])</f>
        <v>0</v>
      </c>
      <c r="M657" s="359"/>
      <c r="N657" s="358"/>
      <c r="O657" s="358"/>
      <c r="P657" s="358"/>
      <c r="Q657" s="358">
        <f>COUNTIF(Compil[[Ma Désignation ]],Compil[[Ma Désignation ]])</f>
        <v>20</v>
      </c>
    </row>
    <row r="658" spans="1:17">
      <c r="A658" s="360">
        <v>1089</v>
      </c>
      <c r="B658" s="363"/>
      <c r="C658" s="402" t="s">
        <v>52</v>
      </c>
      <c r="D658" t="str">
        <f xml:space="preserve"> TRIM( SUBSTITUTE(SUBSTITUTE(SUBSTITUTE( Compil[[#This Row],[DESIGNATION]],"-",""),"–",""),"*",""))</f>
        <v>Interrupteur simple allumage</v>
      </c>
      <c r="E658" s="369" t="s">
        <v>13</v>
      </c>
      <c r="F658" s="385"/>
      <c r="G658" s="390" t="s">
        <v>571</v>
      </c>
      <c r="H658" s="391" t="s">
        <v>571</v>
      </c>
      <c r="I658" t="s">
        <v>579</v>
      </c>
      <c r="J658" t="b">
        <f>AND(NOT(Compil[[#This Row],[Est ouvrage]]), NOT(ISBLANK(Compil[[#This Row],[ART.
CCTP]])))</f>
        <v>0</v>
      </c>
      <c r="K658" t="b">
        <f>OR(Compil[[#This Row],[Unité]]="U",Compil[[#This Row],[Unité]]="ens",Compil[[#This Row],[Unité]]="ml")</f>
        <v>1</v>
      </c>
      <c r="L658" t="b">
        <f>ISBLANK(Compil[[#This Row],[DESIGNATION]])</f>
        <v>0</v>
      </c>
      <c r="M658" s="359"/>
      <c r="N658" s="358"/>
      <c r="O658" s="358"/>
      <c r="P658" s="358"/>
      <c r="Q658" s="358">
        <f>COUNTIF(Compil[[Ma Désignation ]],Compil[[Ma Désignation ]])</f>
        <v>20</v>
      </c>
    </row>
    <row r="659" spans="1:17">
      <c r="A659" s="360">
        <v>1099</v>
      </c>
      <c r="B659" s="363"/>
      <c r="C659" s="402" t="s">
        <v>52</v>
      </c>
      <c r="D659" t="str">
        <f xml:space="preserve"> TRIM( SUBSTITUTE(SUBSTITUTE(SUBSTITUTE( Compil[[#This Row],[DESIGNATION]],"-",""),"–",""),"*",""))</f>
        <v>Interrupteur simple allumage</v>
      </c>
      <c r="E659" s="369" t="s">
        <v>13</v>
      </c>
      <c r="F659" s="385"/>
      <c r="G659" s="390" t="s">
        <v>571</v>
      </c>
      <c r="H659" s="391" t="s">
        <v>571</v>
      </c>
      <c r="I659" t="s">
        <v>579</v>
      </c>
      <c r="J659" t="b">
        <f>AND(NOT(Compil[[#This Row],[Est ouvrage]]), NOT(ISBLANK(Compil[[#This Row],[ART.
CCTP]])))</f>
        <v>0</v>
      </c>
      <c r="K659" t="b">
        <f>OR(Compil[[#This Row],[Unité]]="U",Compil[[#This Row],[Unité]]="ens",Compil[[#This Row],[Unité]]="ml")</f>
        <v>1</v>
      </c>
      <c r="L659" t="b">
        <f>ISBLANK(Compil[[#This Row],[DESIGNATION]])</f>
        <v>0</v>
      </c>
      <c r="M659" s="359"/>
      <c r="N659" s="358"/>
      <c r="O659" s="358"/>
      <c r="P659" s="358"/>
      <c r="Q659" s="358">
        <f>COUNTIF(Compil[[Ma Désignation ]],Compil[[Ma Désignation ]])</f>
        <v>20</v>
      </c>
    </row>
    <row r="660" spans="1:17" ht="14">
      <c r="A660" s="310">
        <v>373</v>
      </c>
      <c r="B660" s="43"/>
      <c r="C660" s="428" t="s">
        <v>269</v>
      </c>
      <c r="D660" t="str">
        <f xml:space="preserve"> TRIM( SUBSTITUTE(SUBSTITUTE(SUBSTITUTE( Compil[[#This Row],[DESIGNATION]],"-",""),"–",""),"*",""))</f>
        <v>Interrupteur simple allumage à voyant</v>
      </c>
      <c r="E660" s="9" t="s">
        <v>13</v>
      </c>
      <c r="F660" s="262"/>
      <c r="G660" s="289" t="s">
        <v>571</v>
      </c>
      <c r="H660" s="164" t="s">
        <v>571</v>
      </c>
      <c r="I660" t="s">
        <v>570</v>
      </c>
      <c r="J660" t="b">
        <f>AND(NOT(Compil[[#This Row],[Est ouvrage]]), NOT(ISBLANK(Compil[[#This Row],[ART.
CCTP]])))</f>
        <v>0</v>
      </c>
      <c r="K660" t="b">
        <f>OR(Compil[[#This Row],[Unité]]="U",Compil[[#This Row],[Unité]]="ens",Compil[[#This Row],[Unité]]="ml")</f>
        <v>1</v>
      </c>
      <c r="L660" t="b">
        <f>ISBLANK(Compil[[#This Row],[DESIGNATION]])</f>
        <v>0</v>
      </c>
      <c r="M660" s="359"/>
      <c r="N660" s="358"/>
      <c r="O660" s="358"/>
      <c r="P660" s="358"/>
      <c r="Q660" s="358">
        <f>COUNTIF(Compil[[Ma Désignation ]],Compil[[Ma Désignation ]])</f>
        <v>17</v>
      </c>
    </row>
    <row r="661" spans="1:17" ht="14">
      <c r="A661" s="310">
        <v>390</v>
      </c>
      <c r="B661" s="43"/>
      <c r="C661" s="428" t="s">
        <v>269</v>
      </c>
      <c r="D661" t="str">
        <f xml:space="preserve"> TRIM( SUBSTITUTE(SUBSTITUTE(SUBSTITUTE( Compil[[#This Row],[DESIGNATION]],"-",""),"–",""),"*",""))</f>
        <v>Interrupteur simple allumage à voyant</v>
      </c>
      <c r="E661" s="9" t="s">
        <v>13</v>
      </c>
      <c r="F661" s="262"/>
      <c r="G661" s="289" t="s">
        <v>571</v>
      </c>
      <c r="H661" s="164" t="s">
        <v>571</v>
      </c>
      <c r="I661" t="s">
        <v>570</v>
      </c>
      <c r="J661" t="b">
        <f>AND(NOT(Compil[[#This Row],[Est ouvrage]]), NOT(ISBLANK(Compil[[#This Row],[ART.
CCTP]])))</f>
        <v>0</v>
      </c>
      <c r="K661" t="b">
        <f>OR(Compil[[#This Row],[Unité]]="U",Compil[[#This Row],[Unité]]="ens",Compil[[#This Row],[Unité]]="ml")</f>
        <v>1</v>
      </c>
      <c r="L661" t="b">
        <f>ISBLANK(Compil[[#This Row],[DESIGNATION]])</f>
        <v>0</v>
      </c>
      <c r="M661" s="359"/>
      <c r="N661" s="358"/>
      <c r="O661" s="358"/>
      <c r="P661" s="358"/>
      <c r="Q661" s="358">
        <f>COUNTIF(Compil[[Ma Désignation ]],Compil[[Ma Désignation ]])</f>
        <v>17</v>
      </c>
    </row>
    <row r="662" spans="1:17" ht="14">
      <c r="A662" s="310">
        <v>424</v>
      </c>
      <c r="B662" s="43"/>
      <c r="C662" s="428" t="s">
        <v>269</v>
      </c>
      <c r="D662" t="str">
        <f xml:space="preserve"> TRIM( SUBSTITUTE(SUBSTITUTE(SUBSTITUTE( Compil[[#This Row],[DESIGNATION]],"-",""),"–",""),"*",""))</f>
        <v>Interrupteur simple allumage à voyant</v>
      </c>
      <c r="E662" s="9" t="s">
        <v>13</v>
      </c>
      <c r="F662" s="262"/>
      <c r="G662" s="289" t="s">
        <v>571</v>
      </c>
      <c r="H662" s="164" t="s">
        <v>571</v>
      </c>
      <c r="I662" t="s">
        <v>570</v>
      </c>
      <c r="J662" t="b">
        <f>AND(NOT(Compil[[#This Row],[Est ouvrage]]), NOT(ISBLANK(Compil[[#This Row],[ART.
CCTP]])))</f>
        <v>0</v>
      </c>
      <c r="K662" t="b">
        <f>OR(Compil[[#This Row],[Unité]]="U",Compil[[#This Row],[Unité]]="ens",Compil[[#This Row],[Unité]]="ml")</f>
        <v>1</v>
      </c>
      <c r="L662" t="b">
        <f>ISBLANK(Compil[[#This Row],[DESIGNATION]])</f>
        <v>0</v>
      </c>
      <c r="M662" s="359"/>
      <c r="N662" s="358"/>
      <c r="O662" s="358"/>
      <c r="P662" s="358"/>
      <c r="Q662" s="358">
        <f>COUNTIF(Compil[[Ma Désignation ]],Compil[[Ma Désignation ]])</f>
        <v>17</v>
      </c>
    </row>
    <row r="663" spans="1:17" ht="14">
      <c r="A663" s="310">
        <v>478</v>
      </c>
      <c r="B663" s="43"/>
      <c r="C663" s="416" t="s">
        <v>269</v>
      </c>
      <c r="D663" t="str">
        <f xml:space="preserve"> TRIM( SUBSTITUTE(SUBSTITUTE(SUBSTITUTE( Compil[[#This Row],[DESIGNATION]],"-",""),"–",""),"*",""))</f>
        <v>Interrupteur simple allumage à voyant</v>
      </c>
      <c r="E663" s="9" t="s">
        <v>13</v>
      </c>
      <c r="F663" s="262">
        <v>0.9</v>
      </c>
      <c r="G663" s="289">
        <v>0</v>
      </c>
      <c r="H663" s="164">
        <v>0</v>
      </c>
      <c r="I663" t="s">
        <v>570</v>
      </c>
      <c r="J663" t="b">
        <f>AND(NOT(Compil[[#This Row],[Est ouvrage]]), NOT(ISBLANK(Compil[[#This Row],[ART.
CCTP]])))</f>
        <v>0</v>
      </c>
      <c r="K663" t="b">
        <f>OR(Compil[[#This Row],[Unité]]="U",Compil[[#This Row],[Unité]]="ens",Compil[[#This Row],[Unité]]="ml")</f>
        <v>1</v>
      </c>
      <c r="L663" t="b">
        <f>ISBLANK(Compil[[#This Row],[DESIGNATION]])</f>
        <v>0</v>
      </c>
      <c r="M663" s="359"/>
      <c r="N663" s="358"/>
      <c r="O663" s="358"/>
      <c r="P663" s="358"/>
      <c r="Q663" s="358">
        <f>COUNTIF(Compil[[Ma Désignation ]],Compil[[Ma Désignation ]])</f>
        <v>17</v>
      </c>
    </row>
    <row r="664" spans="1:17" ht="14">
      <c r="A664" s="310">
        <v>497</v>
      </c>
      <c r="B664" s="43"/>
      <c r="C664" s="416" t="s">
        <v>269</v>
      </c>
      <c r="D664" t="str">
        <f xml:space="preserve"> TRIM( SUBSTITUTE(SUBSTITUTE(SUBSTITUTE( Compil[[#This Row],[DESIGNATION]],"-",""),"–",""),"*",""))</f>
        <v>Interrupteur simple allumage à voyant</v>
      </c>
      <c r="E664" s="9" t="s">
        <v>13</v>
      </c>
      <c r="F664" s="262"/>
      <c r="G664" s="289" t="s">
        <v>571</v>
      </c>
      <c r="H664" s="164" t="s">
        <v>571</v>
      </c>
      <c r="I664" t="s">
        <v>570</v>
      </c>
      <c r="J664" t="b">
        <f>AND(NOT(Compil[[#This Row],[Est ouvrage]]), NOT(ISBLANK(Compil[[#This Row],[ART.
CCTP]])))</f>
        <v>0</v>
      </c>
      <c r="K664" t="b">
        <f>OR(Compil[[#This Row],[Unité]]="U",Compil[[#This Row],[Unité]]="ens",Compil[[#This Row],[Unité]]="ml")</f>
        <v>1</v>
      </c>
      <c r="L664" t="b">
        <f>ISBLANK(Compil[[#This Row],[DESIGNATION]])</f>
        <v>0</v>
      </c>
      <c r="M664" s="359"/>
      <c r="N664" s="358"/>
      <c r="O664" s="358"/>
      <c r="P664" s="358"/>
      <c r="Q664" s="358">
        <f>COUNTIF(Compil[[Ma Désignation ]],Compil[[Ma Désignation ]])</f>
        <v>17</v>
      </c>
    </row>
    <row r="665" spans="1:17" ht="14">
      <c r="A665" s="310">
        <v>534</v>
      </c>
      <c r="B665" s="43"/>
      <c r="C665" s="416" t="s">
        <v>269</v>
      </c>
      <c r="D665" t="str">
        <f xml:space="preserve"> TRIM( SUBSTITUTE(SUBSTITUTE(SUBSTITUTE( Compil[[#This Row],[DESIGNATION]],"-",""),"–",""),"*",""))</f>
        <v>Interrupteur simple allumage à voyant</v>
      </c>
      <c r="E665" s="9" t="s">
        <v>13</v>
      </c>
      <c r="F665" s="262">
        <v>0.9</v>
      </c>
      <c r="G665" s="289">
        <v>0</v>
      </c>
      <c r="H665" s="164">
        <v>0</v>
      </c>
      <c r="I665" t="s">
        <v>570</v>
      </c>
      <c r="J665" t="b">
        <f>AND(NOT(Compil[[#This Row],[Est ouvrage]]), NOT(ISBLANK(Compil[[#This Row],[ART.
CCTP]])))</f>
        <v>0</v>
      </c>
      <c r="K665" t="b">
        <f>OR(Compil[[#This Row],[Unité]]="U",Compil[[#This Row],[Unité]]="ens",Compil[[#This Row],[Unité]]="ml")</f>
        <v>1</v>
      </c>
      <c r="L665" t="b">
        <f>ISBLANK(Compil[[#This Row],[DESIGNATION]])</f>
        <v>0</v>
      </c>
      <c r="M665" s="359"/>
      <c r="N665" s="358"/>
      <c r="O665" s="358"/>
      <c r="P665" s="358"/>
      <c r="Q665" s="358">
        <f>COUNTIF(Compil[[Ma Désignation ]],Compil[[Ma Désignation ]])</f>
        <v>17</v>
      </c>
    </row>
    <row r="666" spans="1:17" ht="14">
      <c r="A666" s="310">
        <v>553</v>
      </c>
      <c r="B666" s="43"/>
      <c r="C666" s="416" t="s">
        <v>269</v>
      </c>
      <c r="D666" t="str">
        <f xml:space="preserve"> TRIM( SUBSTITUTE(SUBSTITUTE(SUBSTITUTE( Compil[[#This Row],[DESIGNATION]],"-",""),"–",""),"*",""))</f>
        <v>Interrupteur simple allumage à voyant</v>
      </c>
      <c r="E666" s="9" t="s">
        <v>13</v>
      </c>
      <c r="F666" s="262"/>
      <c r="G666" s="289" t="s">
        <v>571</v>
      </c>
      <c r="H666" s="164" t="s">
        <v>571</v>
      </c>
      <c r="I666" t="s">
        <v>570</v>
      </c>
      <c r="J666" t="b">
        <f>AND(NOT(Compil[[#This Row],[Est ouvrage]]), NOT(ISBLANK(Compil[[#This Row],[ART.
CCTP]])))</f>
        <v>0</v>
      </c>
      <c r="K666" t="b">
        <f>OR(Compil[[#This Row],[Unité]]="U",Compil[[#This Row],[Unité]]="ens",Compil[[#This Row],[Unité]]="ml")</f>
        <v>1</v>
      </c>
      <c r="L666" t="b">
        <f>ISBLANK(Compil[[#This Row],[DESIGNATION]])</f>
        <v>0</v>
      </c>
      <c r="M666" s="359"/>
      <c r="N666" s="358"/>
      <c r="O666" s="358"/>
      <c r="P666" s="358"/>
      <c r="Q666" s="358">
        <f>COUNTIF(Compil[[Ma Désignation ]],Compil[[Ma Désignation ]])</f>
        <v>17</v>
      </c>
    </row>
    <row r="667" spans="1:17" ht="14">
      <c r="A667" s="310">
        <v>662</v>
      </c>
      <c r="B667" s="43"/>
      <c r="C667" s="416"/>
      <c r="D667" t="str">
        <f xml:space="preserve"> TRIM( SUBSTITUTE(SUBSTITUTE(SUBSTITUTE( Compil[[#This Row],[DESIGNATION]],"-",""),"–",""),"*",""))</f>
        <v/>
      </c>
      <c r="E667" s="9"/>
      <c r="F667" s="262"/>
      <c r="G667" s="289" t="s">
        <v>571</v>
      </c>
      <c r="H667" s="164" t="s">
        <v>571</v>
      </c>
      <c r="I667" t="s">
        <v>570</v>
      </c>
      <c r="J667" t="b">
        <f>AND(NOT(Compil[[#This Row],[Est ouvrage]]), NOT(ISBLANK(Compil[[#This Row],[ART.
CCTP]])))</f>
        <v>0</v>
      </c>
      <c r="K667" t="b">
        <f>OR(Compil[[#This Row],[Unité]]="U",Compil[[#This Row],[Unité]]="ens",Compil[[#This Row],[Unité]]="ml")</f>
        <v>0</v>
      </c>
      <c r="L667" t="b">
        <f>ISBLANK(Compil[[#This Row],[DESIGNATION]])</f>
        <v>1</v>
      </c>
      <c r="M667" s="358"/>
      <c r="N667" s="358"/>
      <c r="O667" s="358"/>
      <c r="P667" s="358"/>
      <c r="Q667" s="358">
        <f>COUNTIF(Compil[[Ma Désignation ]],Compil[[Ma Désignation ]])</f>
        <v>306</v>
      </c>
    </row>
    <row r="668" spans="1:17" ht="14">
      <c r="A668" s="310">
        <v>663</v>
      </c>
      <c r="B668" s="43"/>
      <c r="C668" s="430" t="s">
        <v>573</v>
      </c>
      <c r="D668" t="str">
        <f xml:space="preserve"> TRIM( SUBSTITUTE(SUBSTITUTE(SUBSTITUTE( Compil[[#This Row],[DESIGNATION]],"-",""),"–",""),"*",""))</f>
        <v>Appareillages de finition noire</v>
      </c>
      <c r="E668" s="9"/>
      <c r="F668" s="262"/>
      <c r="G668" s="289" t="s">
        <v>571</v>
      </c>
      <c r="H668" s="164" t="s">
        <v>571</v>
      </c>
      <c r="I668" t="s">
        <v>570</v>
      </c>
      <c r="J668" t="b">
        <f>AND(NOT(Compil[[#This Row],[Est ouvrage]]), NOT(ISBLANK(Compil[[#This Row],[ART.
CCTP]])))</f>
        <v>0</v>
      </c>
      <c r="K668" t="b">
        <f>OR(Compil[[#This Row],[Unité]]="U",Compil[[#This Row],[Unité]]="ens",Compil[[#This Row],[Unité]]="ml")</f>
        <v>0</v>
      </c>
      <c r="L668" t="b">
        <f>ISBLANK(Compil[[#This Row],[DESIGNATION]])</f>
        <v>0</v>
      </c>
      <c r="M668" s="359"/>
      <c r="N668" s="358"/>
      <c r="O668" s="358"/>
      <c r="P668" s="358"/>
      <c r="Q668" s="358">
        <f>COUNTIF(Compil[[Ma Désignation ]],Compil[[Ma Désignation ]])</f>
        <v>9</v>
      </c>
    </row>
    <row r="669" spans="1:17" ht="14">
      <c r="A669" s="310">
        <v>590</v>
      </c>
      <c r="B669" s="43"/>
      <c r="C669" s="416" t="s">
        <v>269</v>
      </c>
      <c r="D669" t="str">
        <f xml:space="preserve"> TRIM( SUBSTITUTE(SUBSTITUTE(SUBSTITUTE( Compil[[#This Row],[DESIGNATION]],"-",""),"–",""),"*",""))</f>
        <v>Interrupteur simple allumage à voyant</v>
      </c>
      <c r="E669" s="9" t="s">
        <v>13</v>
      </c>
      <c r="F669" s="262"/>
      <c r="G669" s="289" t="s">
        <v>571</v>
      </c>
      <c r="H669" s="164" t="s">
        <v>571</v>
      </c>
      <c r="I669" t="s">
        <v>570</v>
      </c>
      <c r="J669" t="b">
        <f>AND(NOT(Compil[[#This Row],[Est ouvrage]]), NOT(ISBLANK(Compil[[#This Row],[ART.
CCTP]])))</f>
        <v>0</v>
      </c>
      <c r="K669" t="b">
        <f>OR(Compil[[#This Row],[Unité]]="U",Compil[[#This Row],[Unité]]="ens",Compil[[#This Row],[Unité]]="ml")</f>
        <v>1</v>
      </c>
      <c r="L669" t="b">
        <f>ISBLANK(Compil[[#This Row],[DESIGNATION]])</f>
        <v>0</v>
      </c>
      <c r="M669" s="359"/>
      <c r="N669" s="358"/>
      <c r="O669" s="358"/>
      <c r="P669" s="358"/>
      <c r="Q669" s="358">
        <f>COUNTIF(Compil[[Ma Désignation ]],Compil[[Ma Désignation ]])</f>
        <v>17</v>
      </c>
    </row>
    <row r="670" spans="1:17" ht="14">
      <c r="A670" s="310">
        <v>609</v>
      </c>
      <c r="B670" s="43"/>
      <c r="C670" s="416" t="s">
        <v>269</v>
      </c>
      <c r="D670" t="str">
        <f xml:space="preserve"> TRIM( SUBSTITUTE(SUBSTITUTE(SUBSTITUTE( Compil[[#This Row],[DESIGNATION]],"-",""),"–",""),"*",""))</f>
        <v>Interrupteur simple allumage à voyant</v>
      </c>
      <c r="E670" s="9" t="s">
        <v>13</v>
      </c>
      <c r="F670" s="262"/>
      <c r="G670" s="289" t="s">
        <v>571</v>
      </c>
      <c r="H670" s="164" t="s">
        <v>571</v>
      </c>
      <c r="I670" t="s">
        <v>570</v>
      </c>
      <c r="J670" t="b">
        <f>AND(NOT(Compil[[#This Row],[Est ouvrage]]), NOT(ISBLANK(Compil[[#This Row],[ART.
CCTP]])))</f>
        <v>0</v>
      </c>
      <c r="K670" t="b">
        <f>OR(Compil[[#This Row],[Unité]]="U",Compil[[#This Row],[Unité]]="ens",Compil[[#This Row],[Unité]]="ml")</f>
        <v>1</v>
      </c>
      <c r="L670" t="b">
        <f>ISBLANK(Compil[[#This Row],[DESIGNATION]])</f>
        <v>0</v>
      </c>
      <c r="M670" s="359"/>
      <c r="N670" s="358"/>
      <c r="O670" s="358"/>
      <c r="P670" s="358"/>
      <c r="Q670" s="358">
        <f>COUNTIF(Compil[[Ma Désignation ]],Compil[[Ma Désignation ]])</f>
        <v>17</v>
      </c>
    </row>
    <row r="671" spans="1:17" ht="14">
      <c r="A671" s="310">
        <v>646</v>
      </c>
      <c r="B671" s="43"/>
      <c r="C671" s="416" t="s">
        <v>269</v>
      </c>
      <c r="D671" t="str">
        <f xml:space="preserve"> TRIM( SUBSTITUTE(SUBSTITUTE(SUBSTITUTE( Compil[[#This Row],[DESIGNATION]],"-",""),"–",""),"*",""))</f>
        <v>Interrupteur simple allumage à voyant</v>
      </c>
      <c r="E671" s="9" t="s">
        <v>13</v>
      </c>
      <c r="F671" s="262">
        <v>1</v>
      </c>
      <c r="G671" s="289">
        <v>0</v>
      </c>
      <c r="H671" s="164">
        <v>0</v>
      </c>
      <c r="I671" t="s">
        <v>570</v>
      </c>
      <c r="J671" t="b">
        <f>AND(NOT(Compil[[#This Row],[Est ouvrage]]), NOT(ISBLANK(Compil[[#This Row],[ART.
CCTP]])))</f>
        <v>0</v>
      </c>
      <c r="K671" t="b">
        <f>OR(Compil[[#This Row],[Unité]]="U",Compil[[#This Row],[Unité]]="ens",Compil[[#This Row],[Unité]]="ml")</f>
        <v>1</v>
      </c>
      <c r="L671" t="b">
        <f>ISBLANK(Compil[[#This Row],[DESIGNATION]])</f>
        <v>0</v>
      </c>
      <c r="M671" s="359"/>
      <c r="N671" s="358"/>
      <c r="O671" s="358"/>
      <c r="P671" s="358"/>
      <c r="Q671" s="358">
        <f>COUNTIF(Compil[[Ma Désignation ]],Compil[[Ma Désignation ]])</f>
        <v>17</v>
      </c>
    </row>
    <row r="672" spans="1:17" ht="14">
      <c r="A672" s="310">
        <v>665</v>
      </c>
      <c r="B672" s="43"/>
      <c r="C672" s="416" t="s">
        <v>269</v>
      </c>
      <c r="D672" t="str">
        <f xml:space="preserve"> TRIM( SUBSTITUTE(SUBSTITUTE(SUBSTITUTE( Compil[[#This Row],[DESIGNATION]],"-",""),"–",""),"*",""))</f>
        <v>Interrupteur simple allumage à voyant</v>
      </c>
      <c r="E672" s="9" t="s">
        <v>13</v>
      </c>
      <c r="F672" s="262"/>
      <c r="G672" s="289" t="s">
        <v>571</v>
      </c>
      <c r="H672" s="164" t="s">
        <v>571</v>
      </c>
      <c r="I672" t="s">
        <v>570</v>
      </c>
      <c r="J672" t="b">
        <f>AND(NOT(Compil[[#This Row],[Est ouvrage]]), NOT(ISBLANK(Compil[[#This Row],[ART.
CCTP]])))</f>
        <v>0</v>
      </c>
      <c r="K672" t="b">
        <f>OR(Compil[[#This Row],[Unité]]="U",Compil[[#This Row],[Unité]]="ens",Compil[[#This Row],[Unité]]="ml")</f>
        <v>1</v>
      </c>
      <c r="L672" t="b">
        <f>ISBLANK(Compil[[#This Row],[DESIGNATION]])</f>
        <v>0</v>
      </c>
      <c r="M672" s="359"/>
      <c r="N672" s="358"/>
      <c r="O672" s="358"/>
      <c r="P672" s="358"/>
      <c r="Q672" s="358">
        <f>COUNTIF(Compil[[Ma Désignation ]],Compil[[Ma Désignation ]])</f>
        <v>17</v>
      </c>
    </row>
    <row r="673" spans="1:17">
      <c r="A673" s="360">
        <v>1008</v>
      </c>
      <c r="B673" s="363"/>
      <c r="C673" s="402" t="s">
        <v>269</v>
      </c>
      <c r="D673" t="str">
        <f xml:space="preserve"> TRIM( SUBSTITUTE(SUBSTITUTE(SUBSTITUTE( Compil[[#This Row],[DESIGNATION]],"-",""),"–",""),"*",""))</f>
        <v>Interrupteur simple allumage à voyant</v>
      </c>
      <c r="E673" s="369" t="s">
        <v>13</v>
      </c>
      <c r="F673" s="385"/>
      <c r="G673" s="390" t="s">
        <v>571</v>
      </c>
      <c r="H673" s="391" t="s">
        <v>571</v>
      </c>
      <c r="I673" t="s">
        <v>579</v>
      </c>
      <c r="J673" t="b">
        <f>AND(NOT(Compil[[#This Row],[Est ouvrage]]), NOT(ISBLANK(Compil[[#This Row],[ART.
CCTP]])))</f>
        <v>0</v>
      </c>
      <c r="K673" t="b">
        <f>OR(Compil[[#This Row],[Unité]]="U",Compil[[#This Row],[Unité]]="ens",Compil[[#This Row],[Unité]]="ml")</f>
        <v>1</v>
      </c>
      <c r="L673" t="b">
        <f>ISBLANK(Compil[[#This Row],[DESIGNATION]])</f>
        <v>0</v>
      </c>
      <c r="M673" s="359"/>
      <c r="N673" s="358"/>
      <c r="O673" s="358"/>
      <c r="P673" s="358"/>
      <c r="Q673" s="358">
        <f>COUNTIF(Compil[[Ma Désignation ]],Compil[[Ma Désignation ]])</f>
        <v>17</v>
      </c>
    </row>
    <row r="674" spans="1:17">
      <c r="A674" s="360">
        <v>1024</v>
      </c>
      <c r="B674" s="363"/>
      <c r="C674" s="402" t="s">
        <v>269</v>
      </c>
      <c r="D674" t="str">
        <f xml:space="preserve"> TRIM( SUBSTITUTE(SUBSTITUTE(SUBSTITUTE( Compil[[#This Row],[DESIGNATION]],"-",""),"–",""),"*",""))</f>
        <v>Interrupteur simple allumage à voyant</v>
      </c>
      <c r="E674" s="369" t="s">
        <v>13</v>
      </c>
      <c r="F674" s="385"/>
      <c r="G674" s="390" t="s">
        <v>571</v>
      </c>
      <c r="H674" s="391" t="s">
        <v>571</v>
      </c>
      <c r="I674" t="s">
        <v>579</v>
      </c>
      <c r="J674" t="b">
        <f>AND(NOT(Compil[[#This Row],[Est ouvrage]]), NOT(ISBLANK(Compil[[#This Row],[ART.
CCTP]])))</f>
        <v>0</v>
      </c>
      <c r="K674" t="b">
        <f>OR(Compil[[#This Row],[Unité]]="U",Compil[[#This Row],[Unité]]="ens",Compil[[#This Row],[Unité]]="ml")</f>
        <v>1</v>
      </c>
      <c r="L674" t="b">
        <f>ISBLANK(Compil[[#This Row],[DESIGNATION]])</f>
        <v>0</v>
      </c>
      <c r="M674" s="359"/>
      <c r="N674" s="358"/>
      <c r="O674" s="358"/>
      <c r="P674" s="358"/>
      <c r="Q674" s="358">
        <f>COUNTIF(Compil[[Ma Désignation ]],Compil[[Ma Désignation ]])</f>
        <v>17</v>
      </c>
    </row>
    <row r="675" spans="1:17" ht="14">
      <c r="A675" s="310">
        <v>670</v>
      </c>
      <c r="B675" s="43"/>
      <c r="C675" s="416"/>
      <c r="D675" t="str">
        <f xml:space="preserve"> TRIM( SUBSTITUTE(SUBSTITUTE(SUBSTITUTE( Compil[[#This Row],[DESIGNATION]],"-",""),"–",""),"*",""))</f>
        <v/>
      </c>
      <c r="E675" s="9"/>
      <c r="F675" s="262"/>
      <c r="G675" s="289" t="s">
        <v>571</v>
      </c>
      <c r="H675" s="164" t="s">
        <v>571</v>
      </c>
      <c r="I675" t="s">
        <v>570</v>
      </c>
      <c r="J675" t="b">
        <f>AND(NOT(Compil[[#This Row],[Est ouvrage]]), NOT(ISBLANK(Compil[[#This Row],[ART.
CCTP]])))</f>
        <v>0</v>
      </c>
      <c r="K675" t="b">
        <f>OR(Compil[[#This Row],[Unité]]="U",Compil[[#This Row],[Unité]]="ens",Compil[[#This Row],[Unité]]="ml")</f>
        <v>0</v>
      </c>
      <c r="L675" t="b">
        <f>ISBLANK(Compil[[#This Row],[DESIGNATION]])</f>
        <v>1</v>
      </c>
      <c r="M675" s="358"/>
      <c r="N675" s="358"/>
      <c r="O675" s="358"/>
      <c r="P675" s="358"/>
      <c r="Q675" s="358">
        <f>COUNTIF(Compil[[Ma Désignation ]],Compil[[Ma Désignation ]])</f>
        <v>306</v>
      </c>
    </row>
    <row r="676" spans="1:17">
      <c r="A676" s="360">
        <v>1054</v>
      </c>
      <c r="B676" s="363"/>
      <c r="C676" s="402" t="s">
        <v>269</v>
      </c>
      <c r="D676" t="str">
        <f xml:space="preserve"> TRIM( SUBSTITUTE(SUBSTITUTE(SUBSTITUTE( Compil[[#This Row],[DESIGNATION]],"-",""),"–",""),"*",""))</f>
        <v>Interrupteur simple allumage à voyant</v>
      </c>
      <c r="E676" s="369" t="s">
        <v>13</v>
      </c>
      <c r="F676" s="385">
        <v>1</v>
      </c>
      <c r="G676" s="390">
        <v>0</v>
      </c>
      <c r="H676" s="391">
        <v>0</v>
      </c>
      <c r="I676" t="s">
        <v>579</v>
      </c>
      <c r="J676" t="b">
        <f>AND(NOT(Compil[[#This Row],[Est ouvrage]]), NOT(ISBLANK(Compil[[#This Row],[ART.
CCTP]])))</f>
        <v>0</v>
      </c>
      <c r="K676" t="b">
        <f>OR(Compil[[#This Row],[Unité]]="U",Compil[[#This Row],[Unité]]="ens",Compil[[#This Row],[Unité]]="ml")</f>
        <v>1</v>
      </c>
      <c r="L676" t="b">
        <f>ISBLANK(Compil[[#This Row],[DESIGNATION]])</f>
        <v>0</v>
      </c>
      <c r="M676" s="359"/>
      <c r="N676" s="358"/>
      <c r="O676" s="358"/>
      <c r="P676" s="358"/>
      <c r="Q676" s="358">
        <f>COUNTIF(Compil[[Ma Désignation ]],Compil[[Ma Désignation ]])</f>
        <v>17</v>
      </c>
    </row>
    <row r="677" spans="1:17">
      <c r="A677" s="360">
        <v>1064</v>
      </c>
      <c r="B677" s="363"/>
      <c r="C677" s="402" t="s">
        <v>269</v>
      </c>
      <c r="D677" t="str">
        <f xml:space="preserve"> TRIM( SUBSTITUTE(SUBSTITUTE(SUBSTITUTE( Compil[[#This Row],[DESIGNATION]],"-",""),"–",""),"*",""))</f>
        <v>Interrupteur simple allumage à voyant</v>
      </c>
      <c r="E677" s="369" t="s">
        <v>13</v>
      </c>
      <c r="F677" s="385"/>
      <c r="G677" s="390" t="s">
        <v>571</v>
      </c>
      <c r="H677" s="391" t="s">
        <v>571</v>
      </c>
      <c r="I677" t="s">
        <v>579</v>
      </c>
      <c r="J677" t="b">
        <f>AND(NOT(Compil[[#This Row],[Est ouvrage]]), NOT(ISBLANK(Compil[[#This Row],[ART.
CCTP]])))</f>
        <v>0</v>
      </c>
      <c r="K677" t="b">
        <f>OR(Compil[[#This Row],[Unité]]="U",Compil[[#This Row],[Unité]]="ens",Compil[[#This Row],[Unité]]="ml")</f>
        <v>1</v>
      </c>
      <c r="L677" t="b">
        <f>ISBLANK(Compil[[#This Row],[DESIGNATION]])</f>
        <v>0</v>
      </c>
      <c r="M677" s="359"/>
      <c r="N677" s="358"/>
      <c r="O677" s="358"/>
      <c r="P677" s="358"/>
      <c r="Q677" s="358">
        <f>COUNTIF(Compil[[Ma Désignation ]],Compil[[Ma Désignation ]])</f>
        <v>17</v>
      </c>
    </row>
    <row r="678" spans="1:17">
      <c r="A678" s="360">
        <v>1090</v>
      </c>
      <c r="B678" s="363"/>
      <c r="C678" s="402" t="s">
        <v>269</v>
      </c>
      <c r="D678" t="str">
        <f xml:space="preserve"> TRIM( SUBSTITUTE(SUBSTITUTE(SUBSTITUTE( Compil[[#This Row],[DESIGNATION]],"-",""),"–",""),"*",""))</f>
        <v>Interrupteur simple allumage à voyant</v>
      </c>
      <c r="E678" s="369" t="s">
        <v>13</v>
      </c>
      <c r="F678" s="385"/>
      <c r="G678" s="390" t="s">
        <v>571</v>
      </c>
      <c r="H678" s="391" t="s">
        <v>571</v>
      </c>
      <c r="I678" t="s">
        <v>579</v>
      </c>
      <c r="J678" t="b">
        <f>AND(NOT(Compil[[#This Row],[Est ouvrage]]), NOT(ISBLANK(Compil[[#This Row],[ART.
CCTP]])))</f>
        <v>0</v>
      </c>
      <c r="K678" t="b">
        <f>OR(Compil[[#This Row],[Unité]]="U",Compil[[#This Row],[Unité]]="ens",Compil[[#This Row],[Unité]]="ml")</f>
        <v>1</v>
      </c>
      <c r="L678" t="b">
        <f>ISBLANK(Compil[[#This Row],[DESIGNATION]])</f>
        <v>0</v>
      </c>
      <c r="M678" s="359"/>
      <c r="N678" s="358"/>
      <c r="O678" s="358"/>
      <c r="P678" s="358"/>
      <c r="Q678" s="358">
        <f>COUNTIF(Compil[[Ma Désignation ]],Compil[[Ma Désignation ]])</f>
        <v>17</v>
      </c>
    </row>
    <row r="679" spans="1:17">
      <c r="A679" s="360">
        <v>1100</v>
      </c>
      <c r="B679" s="363"/>
      <c r="C679" s="402" t="s">
        <v>269</v>
      </c>
      <c r="D679" t="str">
        <f xml:space="preserve"> TRIM( SUBSTITUTE(SUBSTITUTE(SUBSTITUTE( Compil[[#This Row],[DESIGNATION]],"-",""),"–",""),"*",""))</f>
        <v>Interrupteur simple allumage à voyant</v>
      </c>
      <c r="E679" s="369" t="s">
        <v>13</v>
      </c>
      <c r="F679" s="385"/>
      <c r="G679" s="390" t="s">
        <v>571</v>
      </c>
      <c r="H679" s="391" t="s">
        <v>571</v>
      </c>
      <c r="I679" t="s">
        <v>579</v>
      </c>
      <c r="J679" t="b">
        <f>AND(NOT(Compil[[#This Row],[Est ouvrage]]), NOT(ISBLANK(Compil[[#This Row],[ART.
CCTP]])))</f>
        <v>0</v>
      </c>
      <c r="K679" t="b">
        <f>OR(Compil[[#This Row],[Unité]]="U",Compil[[#This Row],[Unité]]="ens",Compil[[#This Row],[Unité]]="ml")</f>
        <v>1</v>
      </c>
      <c r="L679" t="b">
        <f>ISBLANK(Compil[[#This Row],[DESIGNATION]])</f>
        <v>0</v>
      </c>
      <c r="M679" s="359"/>
      <c r="N679" s="358"/>
      <c r="O679" s="358"/>
      <c r="P679" s="358"/>
      <c r="Q679" s="358">
        <f>COUNTIF(Compil[[Ma Désignation ]],Compil[[Ma Désignation ]])</f>
        <v>17</v>
      </c>
    </row>
    <row r="680" spans="1:17" ht="14">
      <c r="A680" s="303">
        <v>288</v>
      </c>
      <c r="B680" s="2"/>
      <c r="C680" s="206" t="s">
        <v>344</v>
      </c>
      <c r="D680" t="str">
        <f xml:space="preserve"> TRIM( SUBSTITUTE(SUBSTITUTE(SUBSTITUTE( Compil[[#This Row],[DESIGNATION]],"-",""),"–",""),"*",""))</f>
        <v>Interrupteur simple allumage étanche</v>
      </c>
      <c r="E680" s="190" t="s">
        <v>13</v>
      </c>
      <c r="F680" s="252">
        <f>QTE!J118-F690</f>
        <v>-3</v>
      </c>
      <c r="G680" s="289" t="e">
        <f>IF(F680="","",(((L680*$M$6)+(M680*#REF!*#REF!))*$M$7)/F680)</f>
        <v>#VALUE!</v>
      </c>
      <c r="H680" s="164" t="e">
        <f>IF(F680="","",F680*G680)</f>
        <v>#VALUE!</v>
      </c>
      <c r="I680" t="s">
        <v>580</v>
      </c>
      <c r="J680" t="b">
        <f>AND(NOT(Compil[[#This Row],[Est ouvrage]]), NOT(ISBLANK(Compil[[#This Row],[ART.
CCTP]])))</f>
        <v>0</v>
      </c>
      <c r="K680" t="b">
        <f>OR(Compil[[#This Row],[Unité]]="U",Compil[[#This Row],[Unité]]="ens",Compil[[#This Row],[Unité]]="ml")</f>
        <v>1</v>
      </c>
      <c r="L680" t="b">
        <f>ISBLANK(Compil[[#This Row],[DESIGNATION]])</f>
        <v>0</v>
      </c>
      <c r="M680" s="359"/>
      <c r="N680" s="358"/>
      <c r="O680" s="358"/>
      <c r="P680" s="358"/>
      <c r="Q680" s="358">
        <f>COUNTIF(Compil[[Ma Désignation ]],Compil[[Ma Désignation ]])</f>
        <v>2</v>
      </c>
    </row>
    <row r="681" spans="1:17" ht="14">
      <c r="A681" s="303">
        <v>298</v>
      </c>
      <c r="B681" s="2"/>
      <c r="C681" s="206" t="s">
        <v>344</v>
      </c>
      <c r="D681" t="str">
        <f xml:space="preserve"> TRIM( SUBSTITUTE(SUBSTITUTE(SUBSTITUTE( Compil[[#This Row],[DESIGNATION]],"-",""),"–",""),"*",""))</f>
        <v>Interrupteur simple allumage étanche</v>
      </c>
      <c r="E681" s="190" t="s">
        <v>13</v>
      </c>
      <c r="F681" s="252"/>
      <c r="G681" s="289" t="str">
        <f>IF(F681="","",(((L681*$M$6)+(M681*#REF!*#REF!))*$M$7)/F681)</f>
        <v/>
      </c>
      <c r="H681" s="164" t="str">
        <f>IF(F681="","",F681*G681)</f>
        <v/>
      </c>
      <c r="I681" t="s">
        <v>580</v>
      </c>
      <c r="J681" t="b">
        <f>AND(NOT(Compil[[#This Row],[Est ouvrage]]), NOT(ISBLANK(Compil[[#This Row],[ART.
CCTP]])))</f>
        <v>0</v>
      </c>
      <c r="K681" t="b">
        <f>OR(Compil[[#This Row],[Unité]]="U",Compil[[#This Row],[Unité]]="ens",Compil[[#This Row],[Unité]]="ml")</f>
        <v>1</v>
      </c>
      <c r="L681" t="b">
        <f>ISBLANK(Compil[[#This Row],[DESIGNATION]])</f>
        <v>0</v>
      </c>
      <c r="M681" s="359"/>
      <c r="N681" s="358"/>
      <c r="O681" s="358"/>
      <c r="P681" s="358"/>
      <c r="Q681" s="358">
        <f>COUNTIF(Compil[[Ma Désignation ]],Compil[[Ma Désignation ]])</f>
        <v>2</v>
      </c>
    </row>
    <row r="682" spans="1:17" ht="14">
      <c r="A682" s="303">
        <v>289</v>
      </c>
      <c r="B682" s="2"/>
      <c r="C682" s="206" t="s">
        <v>199</v>
      </c>
      <c r="D682" t="str">
        <f xml:space="preserve"> TRIM( SUBSTITUTE(SUBSTITUTE(SUBSTITUTE( Compil[[#This Row],[DESIGNATION]],"-",""),"–",""),"*",""))</f>
        <v>Interrupteur simple allumage étanche lumineux</v>
      </c>
      <c r="E682" s="190" t="s">
        <v>13</v>
      </c>
      <c r="F682" s="252"/>
      <c r="G682" s="289" t="str">
        <f>IF(F682="","",(((L682*$M$6)+(M682*#REF!*#REF!))*$M$7)/F682)</f>
        <v/>
      </c>
      <c r="H682" s="164" t="str">
        <f>IF(F682="","",F682*G682)</f>
        <v/>
      </c>
      <c r="I682" t="s">
        <v>580</v>
      </c>
      <c r="J682" t="b">
        <f>AND(NOT(Compil[[#This Row],[Est ouvrage]]), NOT(ISBLANK(Compil[[#This Row],[ART.
CCTP]])))</f>
        <v>0</v>
      </c>
      <c r="K682" t="b">
        <f>OR(Compil[[#This Row],[Unité]]="U",Compil[[#This Row],[Unité]]="ens",Compil[[#This Row],[Unité]]="ml")</f>
        <v>1</v>
      </c>
      <c r="L682" t="b">
        <f>ISBLANK(Compil[[#This Row],[DESIGNATION]])</f>
        <v>0</v>
      </c>
      <c r="M682" s="359"/>
      <c r="N682" s="358"/>
      <c r="O682" s="358"/>
      <c r="P682" s="358"/>
      <c r="Q682" s="358">
        <f>COUNTIF(Compil[[Ma Désignation ]],Compil[[Ma Désignation ]])</f>
        <v>3</v>
      </c>
    </row>
    <row r="683" spans="1:17" ht="14">
      <c r="A683" s="303">
        <v>299</v>
      </c>
      <c r="B683" s="2"/>
      <c r="C683" s="206" t="s">
        <v>199</v>
      </c>
      <c r="D683" t="str">
        <f xml:space="preserve"> TRIM( SUBSTITUTE(SUBSTITUTE(SUBSTITUTE( Compil[[#This Row],[DESIGNATION]],"-",""),"–",""),"*",""))</f>
        <v>Interrupteur simple allumage étanche lumineux</v>
      </c>
      <c r="E683" s="190" t="s">
        <v>13</v>
      </c>
      <c r="F683" s="252"/>
      <c r="G683" s="289" t="str">
        <f>IF(F683="","",(((L683*$M$6)+(M683*#REF!*#REF!))*$M$7)/F683)</f>
        <v/>
      </c>
      <c r="H683" s="164" t="str">
        <f>IF(F683="","",F683*G683)</f>
        <v/>
      </c>
      <c r="I683" t="s">
        <v>580</v>
      </c>
      <c r="J683" t="b">
        <f>AND(NOT(Compil[[#This Row],[Est ouvrage]]), NOT(ISBLANK(Compil[[#This Row],[ART.
CCTP]])))</f>
        <v>0</v>
      </c>
      <c r="K683" t="b">
        <f>OR(Compil[[#This Row],[Unité]]="U",Compil[[#This Row],[Unité]]="ens",Compil[[#This Row],[Unité]]="ml")</f>
        <v>1</v>
      </c>
      <c r="L683" t="b">
        <f>ISBLANK(Compil[[#This Row],[DESIGNATION]])</f>
        <v>0</v>
      </c>
      <c r="M683" s="359"/>
      <c r="N683" s="358"/>
      <c r="O683" s="358"/>
      <c r="P683" s="358"/>
      <c r="Q683" s="358">
        <f>COUNTIF(Compil[[Ma Désignation ]],Compil[[Ma Désignation ]])</f>
        <v>3</v>
      </c>
    </row>
    <row r="684" spans="1:17" ht="14">
      <c r="A684" s="312">
        <v>922</v>
      </c>
      <c r="B684" s="19"/>
      <c r="C684" s="88" t="s">
        <v>199</v>
      </c>
      <c r="D684" t="str">
        <f xml:space="preserve"> TRIM( SUBSTITUTE(SUBSTITUTE(SUBSTITUTE( Compil[[#This Row],[DESIGNATION]],"-",""),"–",""),"*",""))</f>
        <v>Interrupteur simple allumage étanche lumineux</v>
      </c>
      <c r="E684" s="8" t="s">
        <v>13</v>
      </c>
      <c r="F684" s="262"/>
      <c r="G684" s="289" t="s">
        <v>571</v>
      </c>
      <c r="H684" s="164" t="s">
        <v>571</v>
      </c>
      <c r="I684" t="s">
        <v>578</v>
      </c>
      <c r="J684" t="b">
        <f>AND(NOT(Compil[[#This Row],[Est ouvrage]]), NOT(ISBLANK(Compil[[#This Row],[ART.
CCTP]])))</f>
        <v>0</v>
      </c>
      <c r="K684" t="b">
        <f>OR(Compil[[#This Row],[Unité]]="U",Compil[[#This Row],[Unité]]="ens",Compil[[#This Row],[Unité]]="ml")</f>
        <v>1</v>
      </c>
      <c r="L684" t="b">
        <f>ISBLANK(Compil[[#This Row],[DESIGNATION]])</f>
        <v>0</v>
      </c>
      <c r="M684" s="359"/>
      <c r="N684" s="358"/>
      <c r="O684" s="358"/>
      <c r="P684" s="358"/>
      <c r="Q684" s="358">
        <f>COUNTIF(Compil[[Ma Désignation ]],Compil[[Ma Désignation ]])</f>
        <v>3</v>
      </c>
    </row>
    <row r="685" spans="1:17" ht="14">
      <c r="A685" s="310">
        <v>442</v>
      </c>
      <c r="B685" s="43"/>
      <c r="C685" s="428" t="s">
        <v>162</v>
      </c>
      <c r="D685" t="str">
        <f xml:space="preserve"> TRIM( SUBSTITUTE(SUBSTITUTE(SUBSTITUTE( Compil[[#This Row],[DESIGNATION]],"-",""),"–",""),"*",""))</f>
        <v>Interrupteur simple allumageà voyant</v>
      </c>
      <c r="E685" s="9" t="s">
        <v>13</v>
      </c>
      <c r="F685" s="262"/>
      <c r="G685" s="289" t="s">
        <v>571</v>
      </c>
      <c r="H685" s="164" t="s">
        <v>571</v>
      </c>
      <c r="I685" t="s">
        <v>570</v>
      </c>
      <c r="J685" t="b">
        <f>AND(NOT(Compil[[#This Row],[Est ouvrage]]), NOT(ISBLANK(Compil[[#This Row],[ART.
CCTP]])))</f>
        <v>0</v>
      </c>
      <c r="K685" t="b">
        <f>OR(Compil[[#This Row],[Unité]]="U",Compil[[#This Row],[Unité]]="ens",Compil[[#This Row],[Unité]]="ml")</f>
        <v>1</v>
      </c>
      <c r="L685" t="b">
        <f>ISBLANK(Compil[[#This Row],[DESIGNATION]])</f>
        <v>0</v>
      </c>
      <c r="M685" s="359"/>
      <c r="N685" s="358"/>
      <c r="O685" s="358"/>
      <c r="P685" s="358"/>
      <c r="Q685" s="358">
        <f>COUNTIF(Compil[[Ma Désignation ]],Compil[[Ma Désignation ]])</f>
        <v>1</v>
      </c>
    </row>
    <row r="686" spans="1:17" ht="14">
      <c r="A686" s="310">
        <v>681</v>
      </c>
      <c r="B686" s="43"/>
      <c r="C686" s="416"/>
      <c r="D686" t="str">
        <f xml:space="preserve"> TRIM( SUBSTITUTE(SUBSTITUTE(SUBSTITUTE( Compil[[#This Row],[DESIGNATION]],"-",""),"–",""),"*",""))</f>
        <v/>
      </c>
      <c r="E686" s="9"/>
      <c r="F686" s="262"/>
      <c r="G686" s="289" t="s">
        <v>571</v>
      </c>
      <c r="H686" s="164" t="s">
        <v>571</v>
      </c>
      <c r="I686" t="s">
        <v>570</v>
      </c>
      <c r="J686" t="b">
        <f>AND(NOT(Compil[[#This Row],[Est ouvrage]]), NOT(ISBLANK(Compil[[#This Row],[ART.
CCTP]])))</f>
        <v>0</v>
      </c>
      <c r="K686" t="b">
        <f>OR(Compil[[#This Row],[Unité]]="U",Compil[[#This Row],[Unité]]="ens",Compil[[#This Row],[Unité]]="ml")</f>
        <v>0</v>
      </c>
      <c r="L686" t="b">
        <f>ISBLANK(Compil[[#This Row],[DESIGNATION]])</f>
        <v>1</v>
      </c>
      <c r="M686" s="358"/>
      <c r="N686" s="358"/>
      <c r="O686" s="358"/>
      <c r="P686" s="358"/>
      <c r="Q686" s="358">
        <f>COUNTIF(Compil[[Ma Désignation ]],Compil[[Ma Désignation ]])</f>
        <v>306</v>
      </c>
    </row>
    <row r="687" spans="1:17" ht="14">
      <c r="A687" s="310">
        <v>375</v>
      </c>
      <c r="B687" s="43"/>
      <c r="C687" s="416" t="s">
        <v>72</v>
      </c>
      <c r="D687" t="str">
        <f xml:space="preserve"> TRIM( SUBSTITUTE(SUBSTITUTE(SUBSTITUTE( Compil[[#This Row],[DESIGNATION]],"-",""),"–",""),"*",""))</f>
        <v>Interrupteur va et vient</v>
      </c>
      <c r="E687" s="9" t="s">
        <v>13</v>
      </c>
      <c r="F687" s="262">
        <v>1.5</v>
      </c>
      <c r="G687" s="289">
        <v>0</v>
      </c>
      <c r="H687" s="164">
        <v>0</v>
      </c>
      <c r="I687" t="s">
        <v>570</v>
      </c>
      <c r="J687" t="b">
        <f>AND(NOT(Compil[[#This Row],[Est ouvrage]]), NOT(ISBLANK(Compil[[#This Row],[ART.
CCTP]])))</f>
        <v>0</v>
      </c>
      <c r="K687" t="b">
        <f>OR(Compil[[#This Row],[Unité]]="U",Compil[[#This Row],[Unité]]="ens",Compil[[#This Row],[Unité]]="ml")</f>
        <v>1</v>
      </c>
      <c r="L687" t="b">
        <f>ISBLANK(Compil[[#This Row],[DESIGNATION]])</f>
        <v>0</v>
      </c>
      <c r="M687" s="359"/>
      <c r="N687" s="358"/>
      <c r="O687" s="358"/>
      <c r="P687" s="358"/>
      <c r="Q687" s="358">
        <f>COUNTIF(Compil[[Ma Désignation ]],Compil[[Ma Désignation ]])</f>
        <v>18</v>
      </c>
    </row>
    <row r="688" spans="1:17" ht="14">
      <c r="A688" s="310">
        <v>392</v>
      </c>
      <c r="B688" s="43"/>
      <c r="C688" s="416" t="s">
        <v>72</v>
      </c>
      <c r="D688" t="str">
        <f xml:space="preserve"> TRIM( SUBSTITUTE(SUBSTITUTE(SUBSTITUTE( Compil[[#This Row],[DESIGNATION]],"-",""),"–",""),"*",""))</f>
        <v>Interrupteur va et vient</v>
      </c>
      <c r="E688" s="9" t="s">
        <v>13</v>
      </c>
      <c r="F688" s="262"/>
      <c r="G688" s="289" t="s">
        <v>571</v>
      </c>
      <c r="H688" s="164" t="s">
        <v>571</v>
      </c>
      <c r="I688" t="s">
        <v>570</v>
      </c>
      <c r="J688" t="b">
        <f>AND(NOT(Compil[[#This Row],[Est ouvrage]]), NOT(ISBLANK(Compil[[#This Row],[ART.
CCTP]])))</f>
        <v>0</v>
      </c>
      <c r="K688" t="b">
        <f>OR(Compil[[#This Row],[Unité]]="U",Compil[[#This Row],[Unité]]="ens",Compil[[#This Row],[Unité]]="ml")</f>
        <v>1</v>
      </c>
      <c r="L688" t="b">
        <f>ISBLANK(Compil[[#This Row],[DESIGNATION]])</f>
        <v>0</v>
      </c>
      <c r="M688" s="359"/>
      <c r="N688" s="358"/>
      <c r="O688" s="358"/>
      <c r="P688" s="358"/>
      <c r="Q688" s="358">
        <f>COUNTIF(Compil[[Ma Désignation ]],Compil[[Ma Désignation ]])</f>
        <v>18</v>
      </c>
    </row>
    <row r="689" spans="1:17" ht="14">
      <c r="A689" s="310">
        <v>684</v>
      </c>
      <c r="B689" s="43"/>
      <c r="C689" s="416"/>
      <c r="D689" t="str">
        <f xml:space="preserve"> TRIM( SUBSTITUTE(SUBSTITUTE(SUBSTITUTE( Compil[[#This Row],[DESIGNATION]],"-",""),"–",""),"*",""))</f>
        <v/>
      </c>
      <c r="E689" s="9"/>
      <c r="F689" s="262"/>
      <c r="G689" s="289" t="s">
        <v>571</v>
      </c>
      <c r="H689" s="164" t="s">
        <v>571</v>
      </c>
      <c r="I689" t="s">
        <v>570</v>
      </c>
      <c r="J689" t="b">
        <f>AND(NOT(Compil[[#This Row],[Est ouvrage]]), NOT(ISBLANK(Compil[[#This Row],[ART.
CCTP]])))</f>
        <v>0</v>
      </c>
      <c r="K689" t="b">
        <f>OR(Compil[[#This Row],[Unité]]="U",Compil[[#This Row],[Unité]]="ens",Compil[[#This Row],[Unité]]="ml")</f>
        <v>0</v>
      </c>
      <c r="L689" t="b">
        <f>ISBLANK(Compil[[#This Row],[DESIGNATION]])</f>
        <v>1</v>
      </c>
      <c r="M689" s="358"/>
      <c r="N689" s="358"/>
      <c r="O689" s="358"/>
      <c r="P689" s="358"/>
      <c r="Q689" s="358">
        <f>COUNTIF(Compil[[Ma Désignation ]],Compil[[Ma Désignation ]])</f>
        <v>306</v>
      </c>
    </row>
    <row r="690" spans="1:17" ht="14">
      <c r="A690" s="310">
        <v>426</v>
      </c>
      <c r="B690" s="43"/>
      <c r="C690" s="416" t="s">
        <v>72</v>
      </c>
      <c r="D690" t="str">
        <f xml:space="preserve"> TRIM( SUBSTITUTE(SUBSTITUTE(SUBSTITUTE( Compil[[#This Row],[DESIGNATION]],"-",""),"–",""),"*",""))</f>
        <v>Interrupteur va et vient</v>
      </c>
      <c r="E690" s="9" t="s">
        <v>13</v>
      </c>
      <c r="F690" s="262">
        <v>3</v>
      </c>
      <c r="G690" s="289">
        <v>0</v>
      </c>
      <c r="H690" s="164">
        <v>0</v>
      </c>
      <c r="I690" t="s">
        <v>570</v>
      </c>
      <c r="J690" t="b">
        <f>AND(NOT(Compil[[#This Row],[Est ouvrage]]), NOT(ISBLANK(Compil[[#This Row],[ART.
CCTP]])))</f>
        <v>0</v>
      </c>
      <c r="K690" t="b">
        <f>OR(Compil[[#This Row],[Unité]]="U",Compil[[#This Row],[Unité]]="ens",Compil[[#This Row],[Unité]]="ml")</f>
        <v>1</v>
      </c>
      <c r="L690" t="b">
        <f>ISBLANK(Compil[[#This Row],[DESIGNATION]])</f>
        <v>0</v>
      </c>
      <c r="M690" s="359"/>
      <c r="N690" s="358"/>
      <c r="O690" s="358"/>
      <c r="P690" s="358"/>
      <c r="Q690" s="358">
        <f>COUNTIF(Compil[[Ma Désignation ]],Compil[[Ma Désignation ]])</f>
        <v>18</v>
      </c>
    </row>
    <row r="691" spans="1:17" ht="14">
      <c r="A691" s="310">
        <v>444</v>
      </c>
      <c r="B691" s="43"/>
      <c r="C691" s="416" t="s">
        <v>72</v>
      </c>
      <c r="D691" t="str">
        <f xml:space="preserve"> TRIM( SUBSTITUTE(SUBSTITUTE(SUBSTITUTE( Compil[[#This Row],[DESIGNATION]],"-",""),"–",""),"*",""))</f>
        <v>Interrupteur va et vient</v>
      </c>
      <c r="E691" s="9" t="s">
        <v>13</v>
      </c>
      <c r="F691" s="262"/>
      <c r="G691" s="289" t="s">
        <v>571</v>
      </c>
      <c r="H691" s="164" t="s">
        <v>571</v>
      </c>
      <c r="I691" t="s">
        <v>570</v>
      </c>
      <c r="J691" t="b">
        <f>AND(NOT(Compil[[#This Row],[Est ouvrage]]), NOT(ISBLANK(Compil[[#This Row],[ART.
CCTP]])))</f>
        <v>0</v>
      </c>
      <c r="K691" t="b">
        <f>OR(Compil[[#This Row],[Unité]]="U",Compil[[#This Row],[Unité]]="ens",Compil[[#This Row],[Unité]]="ml")</f>
        <v>1</v>
      </c>
      <c r="L691" t="b">
        <f>ISBLANK(Compil[[#This Row],[DESIGNATION]])</f>
        <v>0</v>
      </c>
      <c r="M691" s="359"/>
      <c r="N691" s="358"/>
      <c r="O691" s="358"/>
      <c r="P691" s="358"/>
      <c r="Q691" s="358">
        <f>COUNTIF(Compil[[Ma Désignation ]],Compil[[Ma Désignation ]])</f>
        <v>18</v>
      </c>
    </row>
    <row r="692" spans="1:17" ht="14">
      <c r="A692" s="310">
        <v>480</v>
      </c>
      <c r="B692" s="2"/>
      <c r="C692" s="416" t="s">
        <v>72</v>
      </c>
      <c r="D692" t="str">
        <f xml:space="preserve"> TRIM( SUBSTITUTE(SUBSTITUTE(SUBSTITUTE( Compil[[#This Row],[DESIGNATION]],"-",""),"–",""),"*",""))</f>
        <v>Interrupteur va et vient</v>
      </c>
      <c r="E692" s="9" t="s">
        <v>13</v>
      </c>
      <c r="F692" s="262">
        <v>1</v>
      </c>
      <c r="G692" s="289">
        <v>0</v>
      </c>
      <c r="H692" s="164">
        <v>0</v>
      </c>
      <c r="I692" t="s">
        <v>570</v>
      </c>
      <c r="J692" t="b">
        <f>AND(NOT(Compil[[#This Row],[Est ouvrage]]), NOT(ISBLANK(Compil[[#This Row],[ART.
CCTP]])))</f>
        <v>0</v>
      </c>
      <c r="K692" t="b">
        <f>OR(Compil[[#This Row],[Unité]]="U",Compil[[#This Row],[Unité]]="ens",Compil[[#This Row],[Unité]]="ml")</f>
        <v>1</v>
      </c>
      <c r="L692" t="b">
        <f>ISBLANK(Compil[[#This Row],[DESIGNATION]])</f>
        <v>0</v>
      </c>
      <c r="M692" s="359"/>
      <c r="N692" s="358"/>
      <c r="O692" s="358"/>
      <c r="P692" s="358"/>
      <c r="Q692" s="358">
        <f>COUNTIF(Compil[[Ma Désignation ]],Compil[[Ma Désignation ]])</f>
        <v>18</v>
      </c>
    </row>
    <row r="693" spans="1:17" ht="14">
      <c r="A693" s="310">
        <v>499</v>
      </c>
      <c r="B693" s="43"/>
      <c r="C693" s="416" t="s">
        <v>72</v>
      </c>
      <c r="D693" t="str">
        <f xml:space="preserve"> TRIM( SUBSTITUTE(SUBSTITUTE(SUBSTITUTE( Compil[[#This Row],[DESIGNATION]],"-",""),"–",""),"*",""))</f>
        <v>Interrupteur va et vient</v>
      </c>
      <c r="E693" s="9" t="s">
        <v>13</v>
      </c>
      <c r="F693" s="262"/>
      <c r="G693" s="289" t="s">
        <v>571</v>
      </c>
      <c r="H693" s="164" t="s">
        <v>571</v>
      </c>
      <c r="I693" t="s">
        <v>570</v>
      </c>
      <c r="J693" t="b">
        <f>AND(NOT(Compil[[#This Row],[Est ouvrage]]), NOT(ISBLANK(Compil[[#This Row],[ART.
CCTP]])))</f>
        <v>0</v>
      </c>
      <c r="K693" t="b">
        <f>OR(Compil[[#This Row],[Unité]]="U",Compil[[#This Row],[Unité]]="ens",Compil[[#This Row],[Unité]]="ml")</f>
        <v>1</v>
      </c>
      <c r="L693" t="b">
        <f>ISBLANK(Compil[[#This Row],[DESIGNATION]])</f>
        <v>0</v>
      </c>
      <c r="M693" s="359"/>
      <c r="N693" s="358"/>
      <c r="O693" s="358"/>
      <c r="P693" s="358"/>
      <c r="Q693" s="358">
        <f>COUNTIF(Compil[[Ma Désignation ]],Compil[[Ma Désignation ]])</f>
        <v>18</v>
      </c>
    </row>
    <row r="694" spans="1:17" ht="14">
      <c r="A694" s="310">
        <v>536</v>
      </c>
      <c r="B694" s="43"/>
      <c r="C694" s="416" t="s">
        <v>72</v>
      </c>
      <c r="D694" t="str">
        <f xml:space="preserve"> TRIM( SUBSTITUTE(SUBSTITUTE(SUBSTITUTE( Compil[[#This Row],[DESIGNATION]],"-",""),"–",""),"*",""))</f>
        <v>Interrupteur va et vient</v>
      </c>
      <c r="E694" s="9" t="s">
        <v>13</v>
      </c>
      <c r="F694" s="262">
        <v>1</v>
      </c>
      <c r="G694" s="289">
        <v>0</v>
      </c>
      <c r="H694" s="164">
        <v>0</v>
      </c>
      <c r="I694" t="s">
        <v>570</v>
      </c>
      <c r="J694" t="b">
        <f>AND(NOT(Compil[[#This Row],[Est ouvrage]]), NOT(ISBLANK(Compil[[#This Row],[ART.
CCTP]])))</f>
        <v>0</v>
      </c>
      <c r="K694" t="b">
        <f>OR(Compil[[#This Row],[Unité]]="U",Compil[[#This Row],[Unité]]="ens",Compil[[#This Row],[Unité]]="ml")</f>
        <v>1</v>
      </c>
      <c r="L694" t="b">
        <f>ISBLANK(Compil[[#This Row],[DESIGNATION]])</f>
        <v>0</v>
      </c>
      <c r="M694" s="359"/>
      <c r="N694" s="358"/>
      <c r="O694" s="358"/>
      <c r="P694" s="358"/>
      <c r="Q694" s="358">
        <f>COUNTIF(Compil[[Ma Désignation ]],Compil[[Ma Désignation ]])</f>
        <v>18</v>
      </c>
    </row>
    <row r="695" spans="1:17" ht="14">
      <c r="A695" s="310">
        <v>690</v>
      </c>
      <c r="B695" s="43"/>
      <c r="C695" s="416"/>
      <c r="D695" t="str">
        <f xml:space="preserve"> TRIM( SUBSTITUTE(SUBSTITUTE(SUBSTITUTE( Compil[[#This Row],[DESIGNATION]],"-",""),"–",""),"*",""))</f>
        <v/>
      </c>
      <c r="E695" s="9"/>
      <c r="F695" s="262"/>
      <c r="G695" s="289" t="s">
        <v>571</v>
      </c>
      <c r="H695" s="164" t="s">
        <v>571</v>
      </c>
      <c r="I695" t="s">
        <v>570</v>
      </c>
      <c r="J695" t="b">
        <f>AND(NOT(Compil[[#This Row],[Est ouvrage]]), NOT(ISBLANK(Compil[[#This Row],[ART.
CCTP]])))</f>
        <v>0</v>
      </c>
      <c r="K695" t="b">
        <f>OR(Compil[[#This Row],[Unité]]="U",Compil[[#This Row],[Unité]]="ens",Compil[[#This Row],[Unité]]="ml")</f>
        <v>0</v>
      </c>
      <c r="L695" t="b">
        <f>ISBLANK(Compil[[#This Row],[DESIGNATION]])</f>
        <v>1</v>
      </c>
      <c r="M695" s="358"/>
      <c r="N695" s="358"/>
      <c r="O695" s="358"/>
      <c r="P695" s="358"/>
      <c r="Q695" s="358">
        <f>COUNTIF(Compil[[Ma Désignation ]],Compil[[Ma Désignation ]])</f>
        <v>306</v>
      </c>
    </row>
    <row r="696" spans="1:17" ht="14">
      <c r="A696" s="310">
        <v>555</v>
      </c>
      <c r="B696" s="43"/>
      <c r="C696" s="416" t="s">
        <v>72</v>
      </c>
      <c r="D696" t="str">
        <f xml:space="preserve"> TRIM( SUBSTITUTE(SUBSTITUTE(SUBSTITUTE( Compil[[#This Row],[DESIGNATION]],"-",""),"–",""),"*",""))</f>
        <v>Interrupteur va et vient</v>
      </c>
      <c r="E696" s="9" t="s">
        <v>13</v>
      </c>
      <c r="F696" s="262"/>
      <c r="G696" s="289" t="s">
        <v>571</v>
      </c>
      <c r="H696" s="164" t="s">
        <v>571</v>
      </c>
      <c r="I696" t="s">
        <v>570</v>
      </c>
      <c r="J696" t="b">
        <f>AND(NOT(Compil[[#This Row],[Est ouvrage]]), NOT(ISBLANK(Compil[[#This Row],[ART.
CCTP]])))</f>
        <v>0</v>
      </c>
      <c r="K696" t="b">
        <f>OR(Compil[[#This Row],[Unité]]="U",Compil[[#This Row],[Unité]]="ens",Compil[[#This Row],[Unité]]="ml")</f>
        <v>1</v>
      </c>
      <c r="L696" t="b">
        <f>ISBLANK(Compil[[#This Row],[DESIGNATION]])</f>
        <v>0</v>
      </c>
      <c r="M696" s="359"/>
      <c r="N696" s="358"/>
      <c r="O696" s="358"/>
      <c r="P696" s="358"/>
      <c r="Q696" s="358">
        <f>COUNTIF(Compil[[Ma Désignation ]],Compil[[Ma Désignation ]])</f>
        <v>18</v>
      </c>
    </row>
    <row r="697" spans="1:17" ht="14">
      <c r="A697" s="310">
        <v>692</v>
      </c>
      <c r="B697" s="43"/>
      <c r="C697" s="428"/>
      <c r="D697" t="str">
        <f xml:space="preserve"> TRIM( SUBSTITUTE(SUBSTITUTE(SUBSTITUTE( Compil[[#This Row],[DESIGNATION]],"-",""),"–",""),"*",""))</f>
        <v/>
      </c>
      <c r="E697" s="8"/>
      <c r="F697" s="262"/>
      <c r="G697" s="289" t="s">
        <v>571</v>
      </c>
      <c r="H697" s="164" t="s">
        <v>571</v>
      </c>
      <c r="I697" t="s">
        <v>570</v>
      </c>
      <c r="J697" t="b">
        <f>AND(NOT(Compil[[#This Row],[Est ouvrage]]), NOT(ISBLANK(Compil[[#This Row],[ART.
CCTP]])))</f>
        <v>0</v>
      </c>
      <c r="K697" t="b">
        <f>OR(Compil[[#This Row],[Unité]]="U",Compil[[#This Row],[Unité]]="ens",Compil[[#This Row],[Unité]]="ml")</f>
        <v>0</v>
      </c>
      <c r="L697" t="b">
        <f>ISBLANK(Compil[[#This Row],[DESIGNATION]])</f>
        <v>1</v>
      </c>
      <c r="M697" s="358"/>
      <c r="N697" s="358"/>
      <c r="O697" s="358"/>
      <c r="P697" s="358"/>
      <c r="Q697" s="358">
        <f>COUNTIF(Compil[[Ma Désignation ]],Compil[[Ma Désignation ]])</f>
        <v>306</v>
      </c>
    </row>
    <row r="698" spans="1:17" ht="14">
      <c r="A698" s="310">
        <v>693</v>
      </c>
      <c r="B698" s="43"/>
      <c r="C698" s="413" t="s">
        <v>280</v>
      </c>
      <c r="D698" t="str">
        <f xml:space="preserve"> TRIM( SUBSTITUTE(SUBSTITUTE(SUBSTITUTE( Compil[[#This Row],[DESIGNATION]],"-",""),"–",""),"*",""))</f>
        <v>Sous total HT pour un T5</v>
      </c>
      <c r="E698" s="9"/>
      <c r="F698" s="262"/>
      <c r="G698" s="289" t="s">
        <v>571</v>
      </c>
      <c r="H698" s="164" t="s">
        <v>571</v>
      </c>
      <c r="I698" t="s">
        <v>570</v>
      </c>
      <c r="J698" t="b">
        <f>AND(NOT(Compil[[#This Row],[Est ouvrage]]), NOT(ISBLANK(Compil[[#This Row],[ART.
CCTP]])))</f>
        <v>0</v>
      </c>
      <c r="K698" t="b">
        <f>OR(Compil[[#This Row],[Unité]]="U",Compil[[#This Row],[Unité]]="ens",Compil[[#This Row],[Unité]]="ml")</f>
        <v>0</v>
      </c>
      <c r="L698" t="b">
        <f>ISBLANK(Compil[[#This Row],[DESIGNATION]])</f>
        <v>0</v>
      </c>
      <c r="M698" s="359"/>
      <c r="N698" s="358"/>
      <c r="O698" s="358"/>
      <c r="P698" s="358"/>
      <c r="Q698" s="358">
        <f>COUNTIF(Compil[[Ma Désignation ]],Compil[[Ma Désignation ]])</f>
        <v>2</v>
      </c>
    </row>
    <row r="699" spans="1:17" ht="14">
      <c r="A699" s="310">
        <v>592</v>
      </c>
      <c r="B699" s="43"/>
      <c r="C699" s="416" t="s">
        <v>72</v>
      </c>
      <c r="D699" t="str">
        <f xml:space="preserve"> TRIM( SUBSTITUTE(SUBSTITUTE(SUBSTITUTE( Compil[[#This Row],[DESIGNATION]],"-",""),"–",""),"*",""))</f>
        <v>Interrupteur va et vient</v>
      </c>
      <c r="E699" s="9" t="s">
        <v>13</v>
      </c>
      <c r="F699" s="262"/>
      <c r="G699" s="289" t="s">
        <v>571</v>
      </c>
      <c r="H699" s="164" t="s">
        <v>571</v>
      </c>
      <c r="I699" t="s">
        <v>570</v>
      </c>
      <c r="J699" t="b">
        <f>AND(NOT(Compil[[#This Row],[Est ouvrage]]), NOT(ISBLANK(Compil[[#This Row],[ART.
CCTP]])))</f>
        <v>0</v>
      </c>
      <c r="K699" t="b">
        <f>OR(Compil[[#This Row],[Unité]]="U",Compil[[#This Row],[Unité]]="ens",Compil[[#This Row],[Unité]]="ml")</f>
        <v>1</v>
      </c>
      <c r="L699" t="b">
        <f>ISBLANK(Compil[[#This Row],[DESIGNATION]])</f>
        <v>0</v>
      </c>
      <c r="M699" s="359"/>
      <c r="N699" s="358"/>
      <c r="O699" s="358"/>
      <c r="P699" s="358"/>
      <c r="Q699" s="358">
        <f>COUNTIF(Compil[[Ma Désignation ]],Compil[[Ma Désignation ]])</f>
        <v>18</v>
      </c>
    </row>
    <row r="700" spans="1:17" ht="14">
      <c r="A700" s="310">
        <v>695</v>
      </c>
      <c r="B700" s="43"/>
      <c r="C700" s="81"/>
      <c r="D700" s="357" t="str">
        <f xml:space="preserve"> TRIM( SUBSTITUTE(SUBSTITUTE(SUBSTITUTE( Compil[[#This Row],[DESIGNATION]],"-",""),"–",""),"*",""))</f>
        <v/>
      </c>
      <c r="E700" s="9"/>
      <c r="F700" s="262"/>
      <c r="G700" s="289" t="s">
        <v>571</v>
      </c>
      <c r="H700" s="164" t="s">
        <v>571</v>
      </c>
      <c r="I700" t="s">
        <v>570</v>
      </c>
      <c r="J700" t="b">
        <f>AND(NOT(Compil[[#This Row],[Est ouvrage]]), NOT(ISBLANK(Compil[[#This Row],[ART.
CCTP]])))</f>
        <v>0</v>
      </c>
      <c r="K700" t="b">
        <f>OR(Compil[[#This Row],[Unité]]="U",Compil[[#This Row],[Unité]]="ens",Compil[[#This Row],[Unité]]="ml")</f>
        <v>0</v>
      </c>
      <c r="L700" t="b">
        <f>ISBLANK(Compil[[#This Row],[DESIGNATION]])</f>
        <v>1</v>
      </c>
      <c r="M700" s="358"/>
      <c r="N700" s="358"/>
      <c r="O700" s="358"/>
      <c r="P700" s="358"/>
      <c r="Q700" s="358">
        <f>COUNTIF(Compil[[Ma Désignation ]],Compil[[Ma Désignation ]])</f>
        <v>306</v>
      </c>
    </row>
    <row r="701" spans="1:17" ht="14">
      <c r="A701" s="310">
        <v>696</v>
      </c>
      <c r="B701" s="43"/>
      <c r="C701" s="429" t="s">
        <v>390</v>
      </c>
      <c r="D701" t="str">
        <f xml:space="preserve"> TRIM( SUBSTITUTE(SUBSTITUTE(SUBSTITUTE( Compil[[#This Row],[DESIGNATION]],"-",""),"–",""),"*",""))</f>
        <v>Sous total 2.7.2 Appartement T5 duplex</v>
      </c>
      <c r="E701" s="72"/>
      <c r="F701" s="262"/>
      <c r="G701" s="289" t="s">
        <v>571</v>
      </c>
      <c r="H701" s="164" t="s">
        <v>571</v>
      </c>
      <c r="I701" t="s">
        <v>570</v>
      </c>
      <c r="J701" t="b">
        <f>AND(NOT(Compil[[#This Row],[Est ouvrage]]), NOT(ISBLANK(Compil[[#This Row],[ART.
CCTP]])))</f>
        <v>0</v>
      </c>
      <c r="K701" t="b">
        <f>OR(Compil[[#This Row],[Unité]]="U",Compil[[#This Row],[Unité]]="ens",Compil[[#This Row],[Unité]]="ml")</f>
        <v>0</v>
      </c>
      <c r="L701" t="b">
        <f>ISBLANK(Compil[[#This Row],[DESIGNATION]])</f>
        <v>0</v>
      </c>
      <c r="M701" s="359"/>
      <c r="N701" s="358"/>
      <c r="O701" s="358"/>
      <c r="P701" s="358"/>
      <c r="Q701" s="358">
        <f>COUNTIF(Compil[[Ma Désignation ]],Compil[[Ma Désignation ]])</f>
        <v>1</v>
      </c>
    </row>
    <row r="702" spans="1:17" ht="14">
      <c r="A702" s="310">
        <v>697</v>
      </c>
      <c r="B702" s="43"/>
      <c r="C702" s="415"/>
      <c r="D702" t="str">
        <f xml:space="preserve"> TRIM( SUBSTITUTE(SUBSTITUTE(SUBSTITUTE( Compil[[#This Row],[DESIGNATION]],"-",""),"–",""),"*",""))</f>
        <v/>
      </c>
      <c r="E702" s="9"/>
      <c r="F702" s="262"/>
      <c r="G702" s="289" t="s">
        <v>571</v>
      </c>
      <c r="H702" s="164" t="s">
        <v>571</v>
      </c>
      <c r="I702" t="s">
        <v>570</v>
      </c>
      <c r="J702" t="b">
        <f>AND(NOT(Compil[[#This Row],[Est ouvrage]]), NOT(ISBLANK(Compil[[#This Row],[ART.
CCTP]])))</f>
        <v>0</v>
      </c>
      <c r="K702" t="b">
        <f>OR(Compil[[#This Row],[Unité]]="U",Compil[[#This Row],[Unité]]="ens",Compil[[#This Row],[Unité]]="ml")</f>
        <v>0</v>
      </c>
      <c r="L702" t="b">
        <f>ISBLANK(Compil[[#This Row],[DESIGNATION]])</f>
        <v>1</v>
      </c>
      <c r="M702" s="358"/>
      <c r="N702" s="358"/>
      <c r="O702" s="358"/>
      <c r="P702" s="358"/>
      <c r="Q702" s="358">
        <f>COUNTIF(Compil[[Ma Désignation ]],Compil[[Ma Désignation ]])</f>
        <v>306</v>
      </c>
    </row>
    <row r="703" spans="1:17" ht="14">
      <c r="A703" s="310">
        <v>698</v>
      </c>
      <c r="B703" s="2"/>
      <c r="C703" s="414" t="s">
        <v>111</v>
      </c>
      <c r="D703" t="str">
        <f xml:space="preserve"> TRIM( SUBSTITUTE(SUBSTITUTE(SUBSTITUTE( Compil[[#This Row],[DESIGNATION]],"-",""),"–",""),"*",""))</f>
        <v>Sous total 2.7</v>
      </c>
      <c r="E703" s="9"/>
      <c r="F703" s="262"/>
      <c r="G703" s="289" t="s">
        <v>571</v>
      </c>
      <c r="H703" s="164" t="s">
        <v>571</v>
      </c>
      <c r="I703" t="s">
        <v>570</v>
      </c>
      <c r="J703" t="b">
        <f>AND(NOT(Compil[[#This Row],[Est ouvrage]]), NOT(ISBLANK(Compil[[#This Row],[ART.
CCTP]])))</f>
        <v>0</v>
      </c>
      <c r="K703" t="b">
        <f>OR(Compil[[#This Row],[Unité]]="U",Compil[[#This Row],[Unité]]="ens",Compil[[#This Row],[Unité]]="ml")</f>
        <v>0</v>
      </c>
      <c r="L703" t="b">
        <f>ISBLANK(Compil[[#This Row],[DESIGNATION]])</f>
        <v>0</v>
      </c>
      <c r="M703" s="359"/>
      <c r="N703" s="358"/>
      <c r="O703" s="358"/>
      <c r="P703" s="358"/>
      <c r="Q703" s="358">
        <f>COUNTIF(Compil[[Ma Désignation ]],Compil[[Ma Désignation ]])</f>
        <v>1</v>
      </c>
    </row>
    <row r="704" spans="1:17" ht="14">
      <c r="A704" s="310">
        <v>699</v>
      </c>
      <c r="B704" s="2"/>
      <c r="C704" s="11"/>
      <c r="D704" t="str">
        <f xml:space="preserve"> TRIM( SUBSTITUTE(SUBSTITUTE(SUBSTITUTE( Compil[[#This Row],[DESIGNATION]],"-",""),"–",""),"*",""))</f>
        <v/>
      </c>
      <c r="E704" s="9"/>
      <c r="F704" s="262"/>
      <c r="G704" s="289" t="s">
        <v>571</v>
      </c>
      <c r="H704" s="164" t="s">
        <v>571</v>
      </c>
      <c r="I704" t="s">
        <v>570</v>
      </c>
      <c r="J704" t="b">
        <f>AND(NOT(Compil[[#This Row],[Est ouvrage]]), NOT(ISBLANK(Compil[[#This Row],[ART.
CCTP]])))</f>
        <v>0</v>
      </c>
      <c r="K704" t="b">
        <f>OR(Compil[[#This Row],[Unité]]="U",Compil[[#This Row],[Unité]]="ens",Compil[[#This Row],[Unité]]="ml")</f>
        <v>0</v>
      </c>
      <c r="L704" t="b">
        <f>ISBLANK(Compil[[#This Row],[DESIGNATION]])</f>
        <v>1</v>
      </c>
      <c r="M704" s="358"/>
      <c r="N704" s="358"/>
      <c r="O704" s="358"/>
      <c r="P704" s="358"/>
      <c r="Q704" s="358">
        <f>COUNTIF(Compil[[Ma Désignation ]],Compil[[Ma Désignation ]])</f>
        <v>306</v>
      </c>
    </row>
    <row r="705" spans="1:17" ht="14">
      <c r="A705" s="310">
        <v>700</v>
      </c>
      <c r="B705" s="2" t="s">
        <v>190</v>
      </c>
      <c r="C705" s="432" t="s">
        <v>60</v>
      </c>
      <c r="D705" t="str">
        <f xml:space="preserve"> TRIM( SUBSTITUTE(SUBSTITUTE(SUBSTITUTE( Compil[[#This Row],[DESIGNATION]],"-",""),"–",""),"*",""))</f>
        <v>Téléphone / Fibre optique</v>
      </c>
      <c r="E705" s="9"/>
      <c r="F705" s="262"/>
      <c r="G705" s="289" t="s">
        <v>571</v>
      </c>
      <c r="H705" s="164" t="s">
        <v>571</v>
      </c>
      <c r="I705" t="s">
        <v>570</v>
      </c>
      <c r="J705" t="b">
        <f>AND(NOT(Compil[[#This Row],[Est ouvrage]]), NOT(ISBLANK(Compil[[#This Row],[ART.
CCTP]])))</f>
        <v>1</v>
      </c>
      <c r="K705" t="b">
        <f>OR(Compil[[#This Row],[Unité]]="U",Compil[[#This Row],[Unité]]="ens",Compil[[#This Row],[Unité]]="ml")</f>
        <v>0</v>
      </c>
      <c r="L705" t="b">
        <f>ISBLANK(Compil[[#This Row],[DESIGNATION]])</f>
        <v>0</v>
      </c>
      <c r="M705" s="359"/>
      <c r="N705" s="358"/>
      <c r="O705" s="358"/>
      <c r="P705" s="358"/>
      <c r="Q705" s="358">
        <f>COUNTIF(Compil[[Ma Désignation ]],Compil[[Ma Désignation ]])</f>
        <v>4</v>
      </c>
    </row>
    <row r="706" spans="1:17" ht="14">
      <c r="A706" s="310">
        <v>701</v>
      </c>
      <c r="B706" s="2"/>
      <c r="C706" s="427"/>
      <c r="D706" t="str">
        <f xml:space="preserve"> TRIM( SUBSTITUTE(SUBSTITUTE(SUBSTITUTE( Compil[[#This Row],[DESIGNATION]],"-",""),"–",""),"*",""))</f>
        <v/>
      </c>
      <c r="E706" s="9"/>
      <c r="F706" s="262"/>
      <c r="G706" s="289" t="s">
        <v>571</v>
      </c>
      <c r="H706" s="164" t="s">
        <v>571</v>
      </c>
      <c r="I706" t="s">
        <v>570</v>
      </c>
      <c r="J706" t="b">
        <f>AND(NOT(Compil[[#This Row],[Est ouvrage]]), NOT(ISBLANK(Compil[[#This Row],[ART.
CCTP]])))</f>
        <v>0</v>
      </c>
      <c r="K706" t="b">
        <f>OR(Compil[[#This Row],[Unité]]="U",Compil[[#This Row],[Unité]]="ens",Compil[[#This Row],[Unité]]="ml")</f>
        <v>0</v>
      </c>
      <c r="L706" t="b">
        <f>ISBLANK(Compil[[#This Row],[DESIGNATION]])</f>
        <v>1</v>
      </c>
      <c r="M706" s="358"/>
      <c r="N706" s="358"/>
      <c r="O706" s="358"/>
      <c r="P706" s="358"/>
      <c r="Q706" s="358">
        <f>COUNTIF(Compil[[Ma Désignation ]],Compil[[Ma Désignation ]])</f>
        <v>306</v>
      </c>
    </row>
    <row r="707" spans="1:17" ht="14">
      <c r="A707" s="310">
        <v>611</v>
      </c>
      <c r="B707" s="43"/>
      <c r="C707" s="416" t="s">
        <v>72</v>
      </c>
      <c r="D707" t="str">
        <f xml:space="preserve"> TRIM( SUBSTITUTE(SUBSTITUTE(SUBSTITUTE( Compil[[#This Row],[DESIGNATION]],"-",""),"–",""),"*",""))</f>
        <v>Interrupteur va et vient</v>
      </c>
      <c r="E707" s="9" t="s">
        <v>13</v>
      </c>
      <c r="F707" s="262"/>
      <c r="G707" s="289" t="s">
        <v>571</v>
      </c>
      <c r="H707" s="164" t="s">
        <v>571</v>
      </c>
      <c r="I707" t="s">
        <v>570</v>
      </c>
      <c r="J707" t="b">
        <f>AND(NOT(Compil[[#This Row],[Est ouvrage]]), NOT(ISBLANK(Compil[[#This Row],[ART.
CCTP]])))</f>
        <v>0</v>
      </c>
      <c r="K707" t="b">
        <f>OR(Compil[[#This Row],[Unité]]="U",Compil[[#This Row],[Unité]]="ens",Compil[[#This Row],[Unité]]="ml")</f>
        <v>1</v>
      </c>
      <c r="L707" t="b">
        <f>ISBLANK(Compil[[#This Row],[DESIGNATION]])</f>
        <v>0</v>
      </c>
      <c r="M707" s="359"/>
      <c r="N707" s="358"/>
      <c r="O707" s="358"/>
      <c r="P707" s="358"/>
      <c r="Q707" s="358">
        <f>COUNTIF(Compil[[Ma Désignation ]],Compil[[Ma Désignation ]])</f>
        <v>18</v>
      </c>
    </row>
    <row r="708" spans="1:17" ht="14">
      <c r="A708" s="310">
        <v>648</v>
      </c>
      <c r="B708" s="43"/>
      <c r="C708" s="416" t="s">
        <v>72</v>
      </c>
      <c r="D708" t="str">
        <f xml:space="preserve"> TRIM( SUBSTITUTE(SUBSTITUTE(SUBSTITUTE( Compil[[#This Row],[DESIGNATION]],"-",""),"–",""),"*",""))</f>
        <v>Interrupteur va et vient</v>
      </c>
      <c r="E708" s="9" t="s">
        <v>13</v>
      </c>
      <c r="F708" s="262">
        <v>7</v>
      </c>
      <c r="G708" s="289">
        <v>0</v>
      </c>
      <c r="H708" s="164">
        <v>0</v>
      </c>
      <c r="I708" t="s">
        <v>570</v>
      </c>
      <c r="J708" t="b">
        <f>AND(NOT(Compil[[#This Row],[Est ouvrage]]), NOT(ISBLANK(Compil[[#This Row],[ART.
CCTP]])))</f>
        <v>0</v>
      </c>
      <c r="K708" t="b">
        <f>OR(Compil[[#This Row],[Unité]]="U",Compil[[#This Row],[Unité]]="ens",Compil[[#This Row],[Unité]]="ml")</f>
        <v>1</v>
      </c>
      <c r="L708" t="b">
        <f>ISBLANK(Compil[[#This Row],[DESIGNATION]])</f>
        <v>0</v>
      </c>
      <c r="M708" s="359"/>
      <c r="N708" s="358"/>
      <c r="O708" s="358"/>
      <c r="P708" s="358"/>
      <c r="Q708" s="358">
        <f>COUNTIF(Compil[[Ma Désignation ]],Compil[[Ma Désignation ]])</f>
        <v>18</v>
      </c>
    </row>
    <row r="709" spans="1:17" ht="14">
      <c r="A709" s="310">
        <v>667</v>
      </c>
      <c r="B709" s="43"/>
      <c r="C709" s="416" t="s">
        <v>72</v>
      </c>
      <c r="D709" t="str">
        <f xml:space="preserve"> TRIM( SUBSTITUTE(SUBSTITUTE(SUBSTITUTE( Compil[[#This Row],[DESIGNATION]],"-",""),"–",""),"*",""))</f>
        <v>Interrupteur va et vient</v>
      </c>
      <c r="E709" s="9" t="s">
        <v>13</v>
      </c>
      <c r="F709" s="262"/>
      <c r="G709" s="289" t="s">
        <v>571</v>
      </c>
      <c r="H709" s="164" t="s">
        <v>571</v>
      </c>
      <c r="I709" t="s">
        <v>570</v>
      </c>
      <c r="J709" t="b">
        <f>AND(NOT(Compil[[#This Row],[Est ouvrage]]), NOT(ISBLANK(Compil[[#This Row],[ART.
CCTP]])))</f>
        <v>0</v>
      </c>
      <c r="K709" t="b">
        <f>OR(Compil[[#This Row],[Unité]]="U",Compil[[#This Row],[Unité]]="ens",Compil[[#This Row],[Unité]]="ml")</f>
        <v>1</v>
      </c>
      <c r="L709" t="b">
        <f>ISBLANK(Compil[[#This Row],[DESIGNATION]])</f>
        <v>0</v>
      </c>
      <c r="M709" s="359"/>
      <c r="N709" s="358"/>
      <c r="O709" s="358"/>
      <c r="P709" s="358"/>
      <c r="Q709" s="358">
        <f>COUNTIF(Compil[[Ma Désignation ]],Compil[[Ma Désignation ]])</f>
        <v>18</v>
      </c>
    </row>
    <row r="710" spans="1:17">
      <c r="A710" s="360">
        <v>1010</v>
      </c>
      <c r="B710" s="363"/>
      <c r="C710" s="402" t="s">
        <v>72</v>
      </c>
      <c r="D710" t="str">
        <f xml:space="preserve"> TRIM( SUBSTITUTE(SUBSTITUTE(SUBSTITUTE( Compil[[#This Row],[DESIGNATION]],"-",""),"–",""),"*",""))</f>
        <v>Interrupteur va et vient</v>
      </c>
      <c r="E710" s="369" t="s">
        <v>13</v>
      </c>
      <c r="F710" s="385">
        <v>4</v>
      </c>
      <c r="G710" s="390">
        <v>0</v>
      </c>
      <c r="H710" s="391">
        <v>0</v>
      </c>
      <c r="I710" t="s">
        <v>579</v>
      </c>
      <c r="J710" t="b">
        <f>AND(NOT(Compil[[#This Row],[Est ouvrage]]), NOT(ISBLANK(Compil[[#This Row],[ART.
CCTP]])))</f>
        <v>0</v>
      </c>
      <c r="K710" t="b">
        <f>OR(Compil[[#This Row],[Unité]]="U",Compil[[#This Row],[Unité]]="ens",Compil[[#This Row],[Unité]]="ml")</f>
        <v>1</v>
      </c>
      <c r="L710" t="b">
        <f>ISBLANK(Compil[[#This Row],[DESIGNATION]])</f>
        <v>0</v>
      </c>
      <c r="M710" s="359"/>
      <c r="N710" s="358"/>
      <c r="O710" s="358"/>
      <c r="P710" s="358"/>
      <c r="Q710" s="358">
        <f>COUNTIF(Compil[[Ma Désignation ]],Compil[[Ma Désignation ]])</f>
        <v>18</v>
      </c>
    </row>
    <row r="711" spans="1:17" ht="14">
      <c r="A711" s="310">
        <v>706</v>
      </c>
      <c r="B711" s="69"/>
      <c r="C711" s="427"/>
      <c r="D711" t="str">
        <f xml:space="preserve"> TRIM( SUBSTITUTE(SUBSTITUTE(SUBSTITUTE( Compil[[#This Row],[DESIGNATION]],"-",""),"–",""),"*",""))</f>
        <v/>
      </c>
      <c r="E711" s="14"/>
      <c r="F711" s="262"/>
      <c r="G711" s="289" t="s">
        <v>571</v>
      </c>
      <c r="H711" s="164" t="s">
        <v>571</v>
      </c>
      <c r="I711" t="s">
        <v>570</v>
      </c>
      <c r="J711" t="b">
        <f>AND(NOT(Compil[[#This Row],[Est ouvrage]]), NOT(ISBLANK(Compil[[#This Row],[ART.
CCTP]])))</f>
        <v>0</v>
      </c>
      <c r="K711" t="b">
        <f>OR(Compil[[#This Row],[Unité]]="U",Compil[[#This Row],[Unité]]="ens",Compil[[#This Row],[Unité]]="ml")</f>
        <v>0</v>
      </c>
      <c r="L711" t="b">
        <f>ISBLANK(Compil[[#This Row],[DESIGNATION]])</f>
        <v>1</v>
      </c>
      <c r="M711" s="358"/>
      <c r="N711" s="358"/>
      <c r="O711" s="358"/>
      <c r="P711" s="358"/>
      <c r="Q711" s="358">
        <f>COUNTIF(Compil[[Ma Désignation ]],Compil[[Ma Désignation ]])</f>
        <v>306</v>
      </c>
    </row>
    <row r="712" spans="1:17">
      <c r="A712" s="360">
        <v>1026</v>
      </c>
      <c r="B712" s="363"/>
      <c r="C712" s="402" t="s">
        <v>72</v>
      </c>
      <c r="D712" t="str">
        <f xml:space="preserve"> TRIM( SUBSTITUTE(SUBSTITUTE(SUBSTITUTE( Compil[[#This Row],[DESIGNATION]],"-",""),"–",""),"*",""))</f>
        <v>Interrupteur va et vient</v>
      </c>
      <c r="E712" s="369" t="s">
        <v>13</v>
      </c>
      <c r="F712" s="385"/>
      <c r="G712" s="390" t="s">
        <v>571</v>
      </c>
      <c r="H712" s="391" t="s">
        <v>571</v>
      </c>
      <c r="I712" t="s">
        <v>579</v>
      </c>
      <c r="J712" t="b">
        <f>AND(NOT(Compil[[#This Row],[Est ouvrage]]), NOT(ISBLANK(Compil[[#This Row],[ART.
CCTP]])))</f>
        <v>0</v>
      </c>
      <c r="K712" t="b">
        <f>OR(Compil[[#This Row],[Unité]]="U",Compil[[#This Row],[Unité]]="ens",Compil[[#This Row],[Unité]]="ml")</f>
        <v>1</v>
      </c>
      <c r="L712" t="b">
        <f>ISBLANK(Compil[[#This Row],[DESIGNATION]])</f>
        <v>0</v>
      </c>
      <c r="M712" s="359"/>
      <c r="N712" s="358"/>
      <c r="O712" s="358"/>
      <c r="P712" s="358"/>
      <c r="Q712" s="358">
        <f>COUNTIF(Compil[[Ma Désignation ]],Compil[[Ma Désignation ]])</f>
        <v>18</v>
      </c>
    </row>
    <row r="713" spans="1:17" ht="14">
      <c r="A713" s="310">
        <v>708</v>
      </c>
      <c r="B713" s="70"/>
      <c r="C713" s="81"/>
      <c r="D713" s="357" t="str">
        <f xml:space="preserve"> TRIM( SUBSTITUTE(SUBSTITUTE(SUBSTITUTE( Compil[[#This Row],[DESIGNATION]],"-",""),"–",""),"*",""))</f>
        <v/>
      </c>
      <c r="E713" s="9"/>
      <c r="F713" s="262"/>
      <c r="G713" s="289" t="s">
        <v>571</v>
      </c>
      <c r="H713" s="164" t="s">
        <v>571</v>
      </c>
      <c r="I713" t="s">
        <v>570</v>
      </c>
      <c r="J713" t="b">
        <f>AND(NOT(Compil[[#This Row],[Est ouvrage]]), NOT(ISBLANK(Compil[[#This Row],[ART.
CCTP]])))</f>
        <v>0</v>
      </c>
      <c r="K713" t="b">
        <f>OR(Compil[[#This Row],[Unité]]="U",Compil[[#This Row],[Unité]]="ens",Compil[[#This Row],[Unité]]="ml")</f>
        <v>0</v>
      </c>
      <c r="L713" t="b">
        <f>ISBLANK(Compil[[#This Row],[DESIGNATION]])</f>
        <v>1</v>
      </c>
      <c r="M713" s="358"/>
      <c r="N713" s="358"/>
      <c r="O713" s="358"/>
      <c r="P713" s="358"/>
      <c r="Q713" s="358">
        <f>COUNTIF(Compil[[Ma Désignation ]],Compil[[Ma Désignation ]])</f>
        <v>306</v>
      </c>
    </row>
    <row r="714" spans="1:17" ht="14">
      <c r="A714" s="310">
        <v>709</v>
      </c>
      <c r="B714" s="2"/>
      <c r="C714" s="414" t="s">
        <v>191</v>
      </c>
      <c r="D714" t="str">
        <f xml:space="preserve"> TRIM( SUBSTITUTE(SUBSTITUTE(SUBSTITUTE( Compil[[#This Row],[DESIGNATION]],"-",""),"–",""),"*",""))</f>
        <v>Sous total 2.12</v>
      </c>
      <c r="E714" s="9"/>
      <c r="F714" s="262"/>
      <c r="G714" s="289" t="s">
        <v>571</v>
      </c>
      <c r="H714" s="164" t="s">
        <v>571</v>
      </c>
      <c r="I714" t="s">
        <v>570</v>
      </c>
      <c r="J714" t="b">
        <f>AND(NOT(Compil[[#This Row],[Est ouvrage]]), NOT(ISBLANK(Compil[[#This Row],[ART.
CCTP]])))</f>
        <v>0</v>
      </c>
      <c r="K714" t="b">
        <f>OR(Compil[[#This Row],[Unité]]="U",Compil[[#This Row],[Unité]]="ens",Compil[[#This Row],[Unité]]="ml")</f>
        <v>0</v>
      </c>
      <c r="L714" t="b">
        <f>ISBLANK(Compil[[#This Row],[DESIGNATION]])</f>
        <v>0</v>
      </c>
      <c r="M714" s="359"/>
      <c r="N714" s="358"/>
      <c r="O714" s="358"/>
      <c r="P714" s="358"/>
      <c r="Q714" s="358">
        <f>COUNTIF(Compil[[Ma Désignation ]],Compil[[Ma Désignation ]])</f>
        <v>2</v>
      </c>
    </row>
    <row r="715" spans="1:17" ht="14">
      <c r="A715" s="310">
        <v>710</v>
      </c>
      <c r="B715" s="2"/>
      <c r="C715" s="11"/>
      <c r="D715" t="str">
        <f xml:space="preserve"> TRIM( SUBSTITUTE(SUBSTITUTE(SUBSTITUTE( Compil[[#This Row],[DESIGNATION]],"-",""),"–",""),"*",""))</f>
        <v/>
      </c>
      <c r="E715" s="9"/>
      <c r="F715" s="262"/>
      <c r="G715" s="289" t="s">
        <v>571</v>
      </c>
      <c r="H715" s="164" t="s">
        <v>571</v>
      </c>
      <c r="I715" t="s">
        <v>570</v>
      </c>
      <c r="J715" t="b">
        <f>AND(NOT(Compil[[#This Row],[Est ouvrage]]), NOT(ISBLANK(Compil[[#This Row],[ART.
CCTP]])))</f>
        <v>0</v>
      </c>
      <c r="K715" t="b">
        <f>OR(Compil[[#This Row],[Unité]]="U",Compil[[#This Row],[Unité]]="ens",Compil[[#This Row],[Unité]]="ml")</f>
        <v>0</v>
      </c>
      <c r="L715" t="b">
        <f>ISBLANK(Compil[[#This Row],[DESIGNATION]])</f>
        <v>1</v>
      </c>
      <c r="M715" s="358"/>
      <c r="N715" s="358"/>
      <c r="O715" s="358"/>
      <c r="P715" s="358"/>
      <c r="Q715" s="358">
        <f>COUNTIF(Compil[[Ma Désignation ]],Compil[[Ma Désignation ]])</f>
        <v>306</v>
      </c>
    </row>
    <row r="716" spans="1:17" ht="14">
      <c r="A716" s="310">
        <v>711</v>
      </c>
      <c r="B716" s="2" t="s">
        <v>84</v>
      </c>
      <c r="C716" s="432" t="s">
        <v>102</v>
      </c>
      <c r="D716" t="str">
        <f xml:space="preserve"> TRIM( SUBSTITUTE(SUBSTITUTE(SUBSTITUTE( Compil[[#This Row],[DESIGNATION]],"-",""),"–",""),"*",""))</f>
        <v>Télévision Prise (TV/FM)</v>
      </c>
      <c r="E716" s="9"/>
      <c r="F716" s="262"/>
      <c r="G716" s="289" t="s">
        <v>571</v>
      </c>
      <c r="H716" s="164" t="s">
        <v>571</v>
      </c>
      <c r="I716" t="s">
        <v>570</v>
      </c>
      <c r="J716" t="b">
        <f>AND(NOT(Compil[[#This Row],[Est ouvrage]]), NOT(ISBLANK(Compil[[#This Row],[ART.
CCTP]])))</f>
        <v>1</v>
      </c>
      <c r="K716" t="b">
        <f>OR(Compil[[#This Row],[Unité]]="U",Compil[[#This Row],[Unité]]="ens",Compil[[#This Row],[Unité]]="ml")</f>
        <v>0</v>
      </c>
      <c r="L716" t="b">
        <f>ISBLANK(Compil[[#This Row],[DESIGNATION]])</f>
        <v>0</v>
      </c>
      <c r="M716" s="359"/>
      <c r="N716" s="358"/>
      <c r="O716" s="358"/>
      <c r="P716" s="358"/>
      <c r="Q716" s="358">
        <f>COUNTIF(Compil[[Ma Désignation ]],Compil[[Ma Désignation ]])</f>
        <v>1</v>
      </c>
    </row>
    <row r="717" spans="1:17" ht="14">
      <c r="A717" s="310">
        <v>712</v>
      </c>
      <c r="B717" s="2"/>
      <c r="C717" s="427"/>
      <c r="D717" t="str">
        <f xml:space="preserve"> TRIM( SUBSTITUTE(SUBSTITUTE(SUBSTITUTE( Compil[[#This Row],[DESIGNATION]],"-",""),"–",""),"*",""))</f>
        <v/>
      </c>
      <c r="E717" s="9"/>
      <c r="F717" s="262"/>
      <c r="G717" s="289" t="s">
        <v>571</v>
      </c>
      <c r="H717" s="164" t="s">
        <v>571</v>
      </c>
      <c r="I717" t="s">
        <v>570</v>
      </c>
      <c r="J717" t="b">
        <f>AND(NOT(Compil[[#This Row],[Est ouvrage]]), NOT(ISBLANK(Compil[[#This Row],[ART.
CCTP]])))</f>
        <v>0</v>
      </c>
      <c r="K717" t="b">
        <f>OR(Compil[[#This Row],[Unité]]="U",Compil[[#This Row],[Unité]]="ens",Compil[[#This Row],[Unité]]="ml")</f>
        <v>0</v>
      </c>
      <c r="L717" t="b">
        <f>ISBLANK(Compil[[#This Row],[DESIGNATION]])</f>
        <v>1</v>
      </c>
      <c r="M717" s="358"/>
      <c r="N717" s="358"/>
      <c r="O717" s="358"/>
      <c r="P717" s="358"/>
      <c r="Q717" s="358">
        <f>COUNTIF(Compil[[Ma Désignation ]],Compil[[Ma Désignation ]])</f>
        <v>306</v>
      </c>
    </row>
    <row r="718" spans="1:17">
      <c r="A718" s="360">
        <v>1056</v>
      </c>
      <c r="B718" s="363"/>
      <c r="C718" s="402" t="s">
        <v>72</v>
      </c>
      <c r="D718" t="str">
        <f xml:space="preserve"> TRIM( SUBSTITUTE(SUBSTITUTE(SUBSTITUTE( Compil[[#This Row],[DESIGNATION]],"-",""),"–",""),"*",""))</f>
        <v>Interrupteur va et vient</v>
      </c>
      <c r="E718" s="369" t="s">
        <v>13</v>
      </c>
      <c r="F718" s="385">
        <v>6</v>
      </c>
      <c r="G718" s="390">
        <v>0</v>
      </c>
      <c r="H718" s="391">
        <v>0</v>
      </c>
      <c r="I718" t="s">
        <v>579</v>
      </c>
      <c r="J718" t="b">
        <f>AND(NOT(Compil[[#This Row],[Est ouvrage]]), NOT(ISBLANK(Compil[[#This Row],[ART.
CCTP]])))</f>
        <v>0</v>
      </c>
      <c r="K718" t="b">
        <f>OR(Compil[[#This Row],[Unité]]="U",Compil[[#This Row],[Unité]]="ens",Compil[[#This Row],[Unité]]="ml")</f>
        <v>1</v>
      </c>
      <c r="L718" t="b">
        <f>ISBLANK(Compil[[#This Row],[DESIGNATION]])</f>
        <v>0</v>
      </c>
      <c r="M718" s="359"/>
      <c r="N718" s="358"/>
      <c r="O718" s="358"/>
      <c r="P718" s="358"/>
      <c r="Q718" s="358">
        <f>COUNTIF(Compil[[Ma Désignation ]],Compil[[Ma Désignation ]])</f>
        <v>18</v>
      </c>
    </row>
    <row r="719" spans="1:17">
      <c r="A719" s="360">
        <v>1066</v>
      </c>
      <c r="B719" s="363"/>
      <c r="C719" s="402" t="s">
        <v>72</v>
      </c>
      <c r="D719" t="str">
        <f xml:space="preserve"> TRIM( SUBSTITUTE(SUBSTITUTE(SUBSTITUTE( Compil[[#This Row],[DESIGNATION]],"-",""),"–",""),"*",""))</f>
        <v>Interrupteur va et vient</v>
      </c>
      <c r="E719" s="369" t="s">
        <v>13</v>
      </c>
      <c r="F719" s="385"/>
      <c r="G719" s="390" t="s">
        <v>571</v>
      </c>
      <c r="H719" s="391" t="s">
        <v>571</v>
      </c>
      <c r="I719" t="s">
        <v>579</v>
      </c>
      <c r="J719" t="b">
        <f>AND(NOT(Compil[[#This Row],[Est ouvrage]]), NOT(ISBLANK(Compil[[#This Row],[ART.
CCTP]])))</f>
        <v>0</v>
      </c>
      <c r="K719" t="b">
        <f>OR(Compil[[#This Row],[Unité]]="U",Compil[[#This Row],[Unité]]="ens",Compil[[#This Row],[Unité]]="ml")</f>
        <v>1</v>
      </c>
      <c r="L719" t="b">
        <f>ISBLANK(Compil[[#This Row],[DESIGNATION]])</f>
        <v>0</v>
      </c>
      <c r="M719" s="359"/>
      <c r="N719" s="358"/>
      <c r="O719" s="358"/>
      <c r="P719" s="358"/>
      <c r="Q719" s="358">
        <f>COUNTIF(Compil[[Ma Désignation ]],Compil[[Ma Désignation ]])</f>
        <v>18</v>
      </c>
    </row>
    <row r="720" spans="1:17">
      <c r="A720" s="360">
        <v>1092</v>
      </c>
      <c r="B720" s="363"/>
      <c r="C720" s="402" t="s">
        <v>72</v>
      </c>
      <c r="D720" t="str">
        <f xml:space="preserve"> TRIM( SUBSTITUTE(SUBSTITUTE(SUBSTITUTE( Compil[[#This Row],[DESIGNATION]],"-",""),"–",""),"*",""))</f>
        <v>Interrupteur va et vient</v>
      </c>
      <c r="E720" s="369" t="s">
        <v>13</v>
      </c>
      <c r="F720" s="385"/>
      <c r="G720" s="390" t="s">
        <v>571</v>
      </c>
      <c r="H720" s="391" t="s">
        <v>571</v>
      </c>
      <c r="I720" t="s">
        <v>579</v>
      </c>
      <c r="J720" t="b">
        <f>AND(NOT(Compil[[#This Row],[Est ouvrage]]), NOT(ISBLANK(Compil[[#This Row],[ART.
CCTP]])))</f>
        <v>0</v>
      </c>
      <c r="K720" t="b">
        <f>OR(Compil[[#This Row],[Unité]]="U",Compil[[#This Row],[Unité]]="ens",Compil[[#This Row],[Unité]]="ml")</f>
        <v>1</v>
      </c>
      <c r="L720" t="b">
        <f>ISBLANK(Compil[[#This Row],[DESIGNATION]])</f>
        <v>0</v>
      </c>
      <c r="M720" s="359"/>
      <c r="N720" s="358"/>
      <c r="O720" s="358"/>
      <c r="P720" s="358"/>
      <c r="Q720" s="358">
        <f>COUNTIF(Compil[[Ma Désignation ]],Compil[[Ma Désignation ]])</f>
        <v>18</v>
      </c>
    </row>
    <row r="721" spans="1:17" ht="14.5" thickBot="1">
      <c r="A721" s="310">
        <v>716</v>
      </c>
      <c r="B721" s="19"/>
      <c r="C721" s="81"/>
      <c r="D721" s="357" t="str">
        <f xml:space="preserve"> TRIM( SUBSTITUTE(SUBSTITUTE(SUBSTITUTE( Compil[[#This Row],[DESIGNATION]],"-",""),"–",""),"*",""))</f>
        <v/>
      </c>
      <c r="E721" s="9"/>
      <c r="F721" s="262"/>
      <c r="G721" s="289" t="s">
        <v>571</v>
      </c>
      <c r="H721" s="164" t="s">
        <v>571</v>
      </c>
      <c r="I721" t="s">
        <v>570</v>
      </c>
      <c r="J721" t="b">
        <f>AND(NOT(Compil[[#This Row],[Est ouvrage]]), NOT(ISBLANK(Compil[[#This Row],[ART.
CCTP]])))</f>
        <v>0</v>
      </c>
      <c r="K721" t="b">
        <f>OR(Compil[[#This Row],[Unité]]="U",Compil[[#This Row],[Unité]]="ens",Compil[[#This Row],[Unité]]="ml")</f>
        <v>0</v>
      </c>
      <c r="L721" t="b">
        <f>ISBLANK(Compil[[#This Row],[DESIGNATION]])</f>
        <v>1</v>
      </c>
      <c r="M721" s="358"/>
      <c r="N721" s="358"/>
      <c r="O721" s="358"/>
      <c r="P721" s="358"/>
      <c r="Q721" s="358">
        <f>COUNTIF(Compil[[Ma Désignation ]],Compil[[Ma Désignation ]])</f>
        <v>306</v>
      </c>
    </row>
    <row r="722" spans="1:17" ht="13.5" thickBot="1">
      <c r="A722" s="310">
        <v>717</v>
      </c>
      <c r="B722" s="65"/>
      <c r="C722" s="431" t="s">
        <v>114</v>
      </c>
      <c r="D722" t="str">
        <f xml:space="preserve"> TRIM( SUBSTITUTE(SUBSTITUTE(SUBSTITUTE( Compil[[#This Row],[DESIGNATION]],"-",""),"–",""),"*",""))</f>
        <v>Sous total 2.13</v>
      </c>
      <c r="E722" s="74"/>
      <c r="F722" s="265"/>
      <c r="G722" s="75"/>
      <c r="H722" s="120"/>
      <c r="I722" t="s">
        <v>570</v>
      </c>
      <c r="J722" t="b">
        <f>AND(NOT(Compil[[#This Row],[Est ouvrage]]), NOT(ISBLANK(Compil[[#This Row],[ART.
CCTP]])))</f>
        <v>0</v>
      </c>
      <c r="K722" t="b">
        <f>OR(Compil[[#This Row],[Unité]]="U",Compil[[#This Row],[Unité]]="ens",Compil[[#This Row],[Unité]]="ml")</f>
        <v>0</v>
      </c>
      <c r="L722" t="b">
        <f>ISBLANK(Compil[[#This Row],[DESIGNATION]])</f>
        <v>0</v>
      </c>
      <c r="M722" s="359"/>
      <c r="N722" s="358"/>
      <c r="O722" s="358"/>
      <c r="P722" s="358"/>
      <c r="Q722" s="358">
        <f>COUNTIF(Compil[[Ma Désignation ]],Compil[[Ma Désignation ]])</f>
        <v>2</v>
      </c>
    </row>
    <row r="723" spans="1:17" ht="13">
      <c r="A723" s="312">
        <v>718</v>
      </c>
      <c r="B723" s="17"/>
      <c r="C723" s="412" t="s">
        <v>2</v>
      </c>
      <c r="D723" t="str">
        <f xml:space="preserve"> TRIM( SUBSTITUTE(SUBSTITUTE(SUBSTITUTE( Compil[[#This Row],[DESIGNATION]],"-",""),"–",""),"*",""))</f>
        <v>SOLUTION DE BASE</v>
      </c>
      <c r="E723" s="53"/>
      <c r="F723" s="262"/>
      <c r="G723" s="123"/>
      <c r="H723" s="121"/>
      <c r="I723" t="s">
        <v>578</v>
      </c>
      <c r="J723" t="b">
        <f>AND(NOT(Compil[[#This Row],[Est ouvrage]]), NOT(ISBLANK(Compil[[#This Row],[ART.
CCTP]])))</f>
        <v>0</v>
      </c>
      <c r="K723" t="b">
        <f>OR(Compil[[#This Row],[Unité]]="U",Compil[[#This Row],[Unité]]="ens",Compil[[#This Row],[Unité]]="ml")</f>
        <v>0</v>
      </c>
      <c r="L723" t="b">
        <f>ISBLANK(Compil[[#This Row],[DESIGNATION]])</f>
        <v>0</v>
      </c>
      <c r="M723" s="359"/>
      <c r="N723" s="358"/>
      <c r="O723" s="358"/>
      <c r="P723" s="358"/>
      <c r="Q723" s="358">
        <f>COUNTIF(Compil[[Ma Désignation ]],Compil[[Ma Désignation ]])</f>
        <v>4</v>
      </c>
    </row>
    <row r="724" spans="1:17" ht="13">
      <c r="A724" s="312">
        <v>719</v>
      </c>
      <c r="B724" s="125"/>
      <c r="C724" s="412"/>
      <c r="D724" t="str">
        <f xml:space="preserve"> TRIM( SUBSTITUTE(SUBSTITUTE(SUBSTITUTE( Compil[[#This Row],[DESIGNATION]],"-",""),"–",""),"*",""))</f>
        <v/>
      </c>
      <c r="E724" s="71"/>
      <c r="F724" s="262"/>
      <c r="G724" s="123"/>
      <c r="H724" s="121"/>
      <c r="I724" t="s">
        <v>578</v>
      </c>
      <c r="J724" t="b">
        <f>AND(NOT(Compil[[#This Row],[Est ouvrage]]), NOT(ISBLANK(Compil[[#This Row],[ART.
CCTP]])))</f>
        <v>0</v>
      </c>
      <c r="K724" t="b">
        <f>OR(Compil[[#This Row],[Unité]]="U",Compil[[#This Row],[Unité]]="ens",Compil[[#This Row],[Unité]]="ml")</f>
        <v>0</v>
      </c>
      <c r="L724" t="b">
        <f>ISBLANK(Compil[[#This Row],[DESIGNATION]])</f>
        <v>1</v>
      </c>
      <c r="M724" s="358"/>
      <c r="N724" s="358"/>
      <c r="O724" s="358"/>
      <c r="P724" s="358"/>
      <c r="Q724" s="358">
        <f>COUNTIF(Compil[[Ma Désignation ]],Compil[[Ma Désignation ]])</f>
        <v>306</v>
      </c>
    </row>
    <row r="725" spans="1:17" ht="14">
      <c r="A725" s="312">
        <v>720</v>
      </c>
      <c r="B725" s="125"/>
      <c r="C725" s="410" t="s">
        <v>321</v>
      </c>
      <c r="D725" t="str">
        <f xml:space="preserve"> TRIM( SUBSTITUTE(SUBSTITUTE(SUBSTITUTE( Compil[[#This Row],[DESIGNATION]],"-",""),"–",""),"*",""))</f>
        <v>BÂTIMENT SOHO</v>
      </c>
      <c r="E725" s="71"/>
      <c r="F725" s="262"/>
      <c r="G725" s="123"/>
      <c r="H725" s="121"/>
      <c r="I725" t="s">
        <v>578</v>
      </c>
      <c r="J725" t="b">
        <f>AND(NOT(Compil[[#This Row],[Est ouvrage]]), NOT(ISBLANK(Compil[[#This Row],[ART.
CCTP]])))</f>
        <v>0</v>
      </c>
      <c r="K725" t="b">
        <f>OR(Compil[[#This Row],[Unité]]="U",Compil[[#This Row],[Unité]]="ens",Compil[[#This Row],[Unité]]="ml")</f>
        <v>0</v>
      </c>
      <c r="L725" t="b">
        <f>ISBLANK(Compil[[#This Row],[DESIGNATION]])</f>
        <v>0</v>
      </c>
      <c r="M725" s="359"/>
      <c r="N725" s="358"/>
      <c r="O725" s="358"/>
      <c r="P725" s="358"/>
      <c r="Q725" s="358">
        <f>COUNTIF(Compil[[Ma Désignation ]],Compil[[Ma Désignation ]])</f>
        <v>2</v>
      </c>
    </row>
    <row r="726" spans="1:17" ht="13">
      <c r="A726" s="312">
        <v>721</v>
      </c>
      <c r="B726" s="19"/>
      <c r="C726" s="20"/>
      <c r="D726" t="str">
        <f xml:space="preserve"> TRIM( SUBSTITUTE(SUBSTITUTE(SUBSTITUTE( Compil[[#This Row],[DESIGNATION]],"-",""),"–",""),"*",""))</f>
        <v/>
      </c>
      <c r="E726" s="22"/>
      <c r="F726" s="263"/>
      <c r="G726" s="59"/>
      <c r="H726" s="121"/>
      <c r="I726" t="s">
        <v>578</v>
      </c>
      <c r="J726" t="b">
        <f>AND(NOT(Compil[[#This Row],[Est ouvrage]]), NOT(ISBLANK(Compil[[#This Row],[ART.
CCTP]])))</f>
        <v>0</v>
      </c>
      <c r="K726" t="b">
        <f>OR(Compil[[#This Row],[Unité]]="U",Compil[[#This Row],[Unité]]="ens",Compil[[#This Row],[Unité]]="ml")</f>
        <v>0</v>
      </c>
      <c r="L726" t="b">
        <f>ISBLANK(Compil[[#This Row],[DESIGNATION]])</f>
        <v>1</v>
      </c>
      <c r="M726" s="358"/>
      <c r="N726" s="358"/>
      <c r="O726" s="358"/>
      <c r="P726" s="358"/>
      <c r="Q726" s="358">
        <f>COUNTIF(Compil[[Ma Désignation ]],Compil[[Ma Désignation ]])</f>
        <v>306</v>
      </c>
    </row>
    <row r="727" spans="1:17" ht="13">
      <c r="A727" s="312">
        <v>722</v>
      </c>
      <c r="B727" s="19">
        <v>3</v>
      </c>
      <c r="C727" s="23" t="s">
        <v>61</v>
      </c>
      <c r="D727" t="str">
        <f xml:space="preserve"> TRIM( SUBSTITUTE(SUBSTITUTE(SUBSTITUTE( Compil[[#This Row],[DESIGNATION]],"-",""),"–",""),"*",""))</f>
        <v>EQUIPEMENTS DES COMMUNS</v>
      </c>
      <c r="E727" s="54"/>
      <c r="F727" s="263"/>
      <c r="G727" s="59"/>
      <c r="H727" s="121"/>
      <c r="I727" t="s">
        <v>578</v>
      </c>
      <c r="J727" t="b">
        <f>AND(NOT(Compil[[#This Row],[Est ouvrage]]), NOT(ISBLANK(Compil[[#This Row],[ART.
CCTP]])))</f>
        <v>1</v>
      </c>
      <c r="K727" t="b">
        <f>OR(Compil[[#This Row],[Unité]]="U",Compil[[#This Row],[Unité]]="ens",Compil[[#This Row],[Unité]]="ml")</f>
        <v>0</v>
      </c>
      <c r="L727" t="b">
        <f>ISBLANK(Compil[[#This Row],[DESIGNATION]])</f>
        <v>0</v>
      </c>
      <c r="M727" s="359"/>
      <c r="N727" s="358"/>
      <c r="O727" s="358"/>
      <c r="P727" s="358"/>
      <c r="Q727" s="358">
        <f>COUNTIF(Compil[[Ma Désignation ]],Compil[[Ma Désignation ]])</f>
        <v>2</v>
      </c>
    </row>
    <row r="728" spans="1:17" ht="13">
      <c r="A728" s="312">
        <v>723</v>
      </c>
      <c r="B728" s="19"/>
      <c r="C728" s="23"/>
      <c r="D728" t="str">
        <f xml:space="preserve"> TRIM( SUBSTITUTE(SUBSTITUTE(SUBSTITUTE( Compil[[#This Row],[DESIGNATION]],"-",""),"–",""),"*",""))</f>
        <v/>
      </c>
      <c r="E728" s="54"/>
      <c r="F728" s="263"/>
      <c r="G728" s="59"/>
      <c r="H728" s="121"/>
      <c r="I728" t="s">
        <v>578</v>
      </c>
      <c r="J728" t="b">
        <f>AND(NOT(Compil[[#This Row],[Est ouvrage]]), NOT(ISBLANK(Compil[[#This Row],[ART.
CCTP]])))</f>
        <v>0</v>
      </c>
      <c r="K728" t="b">
        <f>OR(Compil[[#This Row],[Unité]]="U",Compil[[#This Row],[Unité]]="ens",Compil[[#This Row],[Unité]]="ml")</f>
        <v>0</v>
      </c>
      <c r="L728" t="b">
        <f>ISBLANK(Compil[[#This Row],[DESIGNATION]])</f>
        <v>1</v>
      </c>
      <c r="M728" s="358"/>
      <c r="N728" s="358"/>
      <c r="O728" s="358"/>
      <c r="P728" s="358"/>
      <c r="Q728" s="358">
        <f>COUNTIF(Compil[[Ma Désignation ]],Compil[[Ma Désignation ]])</f>
        <v>306</v>
      </c>
    </row>
    <row r="729" spans="1:17" ht="26">
      <c r="A729" s="312">
        <v>724</v>
      </c>
      <c r="B729" s="19"/>
      <c r="C729" s="76" t="s">
        <v>574</v>
      </c>
      <c r="D729" t="str">
        <f xml:space="preserve"> TRIM( SUBSTITUTE(SUBSTITUTE(SUBSTITUTE( Compil[[#This Row],[DESIGNATION]],"-",""),"–",""),"*",""))</f>
        <v>NOTA : Unités, quantités, prix unitaires, prix totaux, etc... : à compléter par l'Entreprise</v>
      </c>
      <c r="E729" s="54"/>
      <c r="F729" s="263"/>
      <c r="G729" s="59"/>
      <c r="H729" s="121"/>
      <c r="I729" t="s">
        <v>578</v>
      </c>
      <c r="J729" t="b">
        <f>AND(NOT(Compil[[#This Row],[Est ouvrage]]), NOT(ISBLANK(Compil[[#This Row],[ART.
CCTP]])))</f>
        <v>0</v>
      </c>
      <c r="K729" t="b">
        <f>OR(Compil[[#This Row],[Unité]]="U",Compil[[#This Row],[Unité]]="ens",Compil[[#This Row],[Unité]]="ml")</f>
        <v>0</v>
      </c>
      <c r="L729" t="b">
        <f>ISBLANK(Compil[[#This Row],[DESIGNATION]])</f>
        <v>0</v>
      </c>
      <c r="M729" s="359"/>
      <c r="N729" s="358"/>
      <c r="O729" s="358"/>
      <c r="P729" s="358"/>
      <c r="Q729" s="358">
        <f>COUNTIF(Compil[[Ma Désignation ]],Compil[[Ma Désignation ]])</f>
        <v>2</v>
      </c>
    </row>
    <row r="730" spans="1:17" ht="13">
      <c r="A730" s="312">
        <v>725</v>
      </c>
      <c r="B730" s="19"/>
      <c r="C730" s="86"/>
      <c r="D730" t="str">
        <f xml:space="preserve"> TRIM( SUBSTITUTE(SUBSTITUTE(SUBSTITUTE( Compil[[#This Row],[DESIGNATION]],"-",""),"–",""),"*",""))</f>
        <v/>
      </c>
      <c r="E730" s="54"/>
      <c r="F730" s="263"/>
      <c r="G730" s="59"/>
      <c r="H730" s="121"/>
      <c r="I730" t="s">
        <v>578</v>
      </c>
      <c r="J730" t="b">
        <f>AND(NOT(Compil[[#This Row],[Est ouvrage]]), NOT(ISBLANK(Compil[[#This Row],[ART.
CCTP]])))</f>
        <v>0</v>
      </c>
      <c r="K730" t="b">
        <f>OR(Compil[[#This Row],[Unité]]="U",Compil[[#This Row],[Unité]]="ens",Compil[[#This Row],[Unité]]="ml")</f>
        <v>0</v>
      </c>
      <c r="L730" t="b">
        <f>ISBLANK(Compil[[#This Row],[DESIGNATION]])</f>
        <v>1</v>
      </c>
      <c r="M730" s="358"/>
      <c r="N730" s="358"/>
      <c r="O730" s="358"/>
      <c r="P730" s="358"/>
      <c r="Q730" s="358">
        <f>COUNTIF(Compil[[Ma Désignation ]],Compil[[Ma Désignation ]])</f>
        <v>306</v>
      </c>
    </row>
    <row r="731" spans="1:17" ht="14">
      <c r="A731" s="312">
        <v>726</v>
      </c>
      <c r="B731" s="19" t="s">
        <v>349</v>
      </c>
      <c r="C731" s="78" t="s">
        <v>122</v>
      </c>
      <c r="D731" t="str">
        <f xml:space="preserve"> TRIM( SUBSTITUTE(SUBSTITUTE(SUBSTITUTE( Compil[[#This Row],[DESIGNATION]],"-",""),"–",""),"*",""))</f>
        <v>Alimentation électrique depuis le réseau EDF</v>
      </c>
      <c r="E731" s="54"/>
      <c r="F731" s="262"/>
      <c r="G731" s="289" t="s">
        <v>571</v>
      </c>
      <c r="H731" s="164" t="s">
        <v>571</v>
      </c>
      <c r="I731" t="s">
        <v>578</v>
      </c>
      <c r="J731" t="b">
        <f>AND(NOT(Compil[[#This Row],[Est ouvrage]]), NOT(ISBLANK(Compil[[#This Row],[ART.
CCTP]])))</f>
        <v>1</v>
      </c>
      <c r="K731" t="b">
        <f>OR(Compil[[#This Row],[Unité]]="U",Compil[[#This Row],[Unité]]="ens",Compil[[#This Row],[Unité]]="ml")</f>
        <v>0</v>
      </c>
      <c r="L731" t="b">
        <f>ISBLANK(Compil[[#This Row],[DESIGNATION]])</f>
        <v>0</v>
      </c>
      <c r="M731" s="359"/>
      <c r="N731" s="358"/>
      <c r="O731" s="358"/>
      <c r="P731" s="358"/>
      <c r="Q731" s="358">
        <f>COUNTIF(Compil[[Ma Désignation ]],Compil[[Ma Désignation ]])</f>
        <v>2</v>
      </c>
    </row>
    <row r="732" spans="1:17" ht="14">
      <c r="A732" s="312">
        <v>727</v>
      </c>
      <c r="B732" s="19"/>
      <c r="C732" s="421"/>
      <c r="D732" t="str">
        <f xml:space="preserve"> TRIM( SUBSTITUTE(SUBSTITUTE(SUBSTITUTE( Compil[[#This Row],[DESIGNATION]],"-",""),"–",""),"*",""))</f>
        <v/>
      </c>
      <c r="E732" s="54"/>
      <c r="F732" s="262"/>
      <c r="G732" s="289" t="s">
        <v>571</v>
      </c>
      <c r="H732" s="164" t="s">
        <v>571</v>
      </c>
      <c r="I732" t="s">
        <v>578</v>
      </c>
      <c r="J732" t="b">
        <f>AND(NOT(Compil[[#This Row],[Est ouvrage]]), NOT(ISBLANK(Compil[[#This Row],[ART.
CCTP]])))</f>
        <v>0</v>
      </c>
      <c r="K732" t="b">
        <f>OR(Compil[[#This Row],[Unité]]="U",Compil[[#This Row],[Unité]]="ens",Compil[[#This Row],[Unité]]="ml")</f>
        <v>0</v>
      </c>
      <c r="L732" t="b">
        <f>ISBLANK(Compil[[#This Row],[DESIGNATION]])</f>
        <v>1</v>
      </c>
      <c r="M732" s="358"/>
      <c r="N732" s="358"/>
      <c r="O732" s="358"/>
      <c r="P732" s="358"/>
      <c r="Q732" s="358">
        <f>COUNTIF(Compil[[Ma Désignation ]],Compil[[Ma Désignation ]])</f>
        <v>306</v>
      </c>
    </row>
    <row r="733" spans="1:17">
      <c r="A733" s="360">
        <v>1102</v>
      </c>
      <c r="B733" s="363"/>
      <c r="C733" s="402" t="s">
        <v>72</v>
      </c>
      <c r="D733" t="str">
        <f xml:space="preserve"> TRIM( SUBSTITUTE(SUBSTITUTE(SUBSTITUTE( Compil[[#This Row],[DESIGNATION]],"-",""),"–",""),"*",""))</f>
        <v>Interrupteur va et vient</v>
      </c>
      <c r="E733" s="374" t="s">
        <v>13</v>
      </c>
      <c r="F733" s="385"/>
      <c r="G733" s="390" t="s">
        <v>571</v>
      </c>
      <c r="H733" s="391" t="s">
        <v>571</v>
      </c>
      <c r="I733" t="s">
        <v>579</v>
      </c>
      <c r="J733" t="b">
        <f>AND(NOT(Compil[[#This Row],[Est ouvrage]]), NOT(ISBLANK(Compil[[#This Row],[ART.
CCTP]])))</f>
        <v>0</v>
      </c>
      <c r="K733" t="b">
        <f>OR(Compil[[#This Row],[Unité]]="U",Compil[[#This Row],[Unité]]="ens",Compil[[#This Row],[Unité]]="ml")</f>
        <v>1</v>
      </c>
      <c r="L733" t="b">
        <f>ISBLANK(Compil[[#This Row],[DESIGNATION]])</f>
        <v>0</v>
      </c>
      <c r="M733" s="359"/>
      <c r="N733" s="358"/>
      <c r="O733" s="358"/>
      <c r="P733" s="358"/>
      <c r="Q733" s="358">
        <f>COUNTIF(Compil[[Ma Désignation ]],Compil[[Ma Désignation ]])</f>
        <v>18</v>
      </c>
    </row>
    <row r="734" spans="1:17" ht="25">
      <c r="A734" s="312">
        <v>729</v>
      </c>
      <c r="B734" s="45"/>
      <c r="C734" s="82" t="s">
        <v>323</v>
      </c>
      <c r="D734" s="357" t="str">
        <f xml:space="preserve"> TRIM( SUBSTITUTE(SUBSTITUTE(SUBSTITUTE( Compil[[#This Row],[DESIGNATION]],"-",""),"–",""),"*",""))</f>
        <v>Pose du coffret de coupure sur socle avec embase de téléreport à la charge du lot G.O.</v>
      </c>
      <c r="E734" s="46" t="s">
        <v>33</v>
      </c>
      <c r="F734" s="262"/>
      <c r="G734" s="289" t="s">
        <v>571</v>
      </c>
      <c r="H734" s="164" t="s">
        <v>571</v>
      </c>
      <c r="I734" t="s">
        <v>578</v>
      </c>
      <c r="J734" t="b">
        <f>AND(NOT(Compil[[#This Row],[Est ouvrage]]), NOT(ISBLANK(Compil[[#This Row],[ART.
CCTP]])))</f>
        <v>0</v>
      </c>
      <c r="K734" t="b">
        <f>OR(Compil[[#This Row],[Unité]]="U",Compil[[#This Row],[Unité]]="ens",Compil[[#This Row],[Unité]]="ml")</f>
        <v>0</v>
      </c>
      <c r="L734" t="b">
        <f>ISBLANK(Compil[[#This Row],[DESIGNATION]])</f>
        <v>0</v>
      </c>
      <c r="M734" s="359"/>
      <c r="N734" s="358"/>
      <c r="O734" s="358"/>
      <c r="P734" s="358"/>
      <c r="Q734" s="358">
        <f>COUNTIF(Compil[[Ma Désignation ]],Compil[[Ma Désignation ]])</f>
        <v>1</v>
      </c>
    </row>
    <row r="735" spans="1:17" ht="14">
      <c r="A735" s="303">
        <v>272</v>
      </c>
      <c r="B735" s="179"/>
      <c r="C735" s="224" t="s">
        <v>198</v>
      </c>
      <c r="D735" t="str">
        <f xml:space="preserve"> TRIM( SUBSTITUTE(SUBSTITUTE(SUBSTITUTE( Compil[[#This Row],[DESIGNATION]],"-",""),"–",""),"*",""))</f>
        <v>Lecteur de badges VIGIK déportés</v>
      </c>
      <c r="E735" s="216" t="s">
        <v>13</v>
      </c>
      <c r="F735" s="252">
        <f>QTE!J189-'BATIMENT SOHO-ELEC 1'!D191</f>
        <v>0</v>
      </c>
      <c r="G735" s="289" t="e">
        <f>IF(F735="","",(((L735*$M$6)+(M735*#REF!*#REF!))*$M$7)/F735)</f>
        <v>#VALUE!</v>
      </c>
      <c r="H735" s="164" t="e">
        <f>IF(F735="","",F735*G735)</f>
        <v>#VALUE!</v>
      </c>
      <c r="I735" t="s">
        <v>580</v>
      </c>
      <c r="J735" t="b">
        <f>AND(NOT(Compil[[#This Row],[Est ouvrage]]), NOT(ISBLANK(Compil[[#This Row],[ART.
CCTP]])))</f>
        <v>0</v>
      </c>
      <c r="K735" t="b">
        <f>OR(Compil[[#This Row],[Unité]]="U",Compil[[#This Row],[Unité]]="ens",Compil[[#This Row],[Unité]]="ml")</f>
        <v>1</v>
      </c>
      <c r="L735" t="b">
        <f>ISBLANK(Compil[[#This Row],[DESIGNATION]])</f>
        <v>0</v>
      </c>
      <c r="M735" s="359"/>
      <c r="N735" s="358"/>
      <c r="O735" s="358"/>
      <c r="P735" s="358"/>
      <c r="Q735" s="358">
        <f>COUNTIF(Compil[[Ma Désignation ]],Compil[[Ma Désignation ]])</f>
        <v>2</v>
      </c>
    </row>
    <row r="736" spans="1:17" ht="14">
      <c r="A736" s="312">
        <v>731</v>
      </c>
      <c r="B736" s="19"/>
      <c r="C736" s="23"/>
      <c r="D736" t="str">
        <f xml:space="preserve"> TRIM( SUBSTITUTE(SUBSTITUTE(SUBSTITUTE( Compil[[#This Row],[DESIGNATION]],"-",""),"–",""),"*",""))</f>
        <v/>
      </c>
      <c r="E736" s="54"/>
      <c r="F736" s="262"/>
      <c r="G736" s="289" t="s">
        <v>571</v>
      </c>
      <c r="H736" s="164" t="s">
        <v>571</v>
      </c>
      <c r="I736" t="s">
        <v>578</v>
      </c>
      <c r="J736" t="b">
        <f>AND(NOT(Compil[[#This Row],[Est ouvrage]]), NOT(ISBLANK(Compil[[#This Row],[ART.
CCTP]])))</f>
        <v>0</v>
      </c>
      <c r="K736" t="b">
        <f>OR(Compil[[#This Row],[Unité]]="U",Compil[[#This Row],[Unité]]="ens",Compil[[#This Row],[Unité]]="ml")</f>
        <v>0</v>
      </c>
      <c r="L736" t="b">
        <f>ISBLANK(Compil[[#This Row],[DESIGNATION]])</f>
        <v>1</v>
      </c>
      <c r="M736" s="358"/>
      <c r="N736" s="358"/>
      <c r="O736" s="358"/>
      <c r="P736" s="358"/>
      <c r="Q736" s="358">
        <f>COUNTIF(Compil[[Ma Désignation ]],Compil[[Ma Désignation ]])</f>
        <v>306</v>
      </c>
    </row>
    <row r="737" spans="1:17" ht="14">
      <c r="A737" s="312">
        <v>907</v>
      </c>
      <c r="B737" s="17"/>
      <c r="C737" s="86" t="s">
        <v>198</v>
      </c>
      <c r="D737" t="str">
        <f xml:space="preserve"> TRIM( SUBSTITUTE(SUBSTITUTE(SUBSTITUTE( Compil[[#This Row],[DESIGNATION]],"-",""),"–",""),"*",""))</f>
        <v>Lecteur de badges VIGIK déportés</v>
      </c>
      <c r="E737" s="33" t="s">
        <v>13</v>
      </c>
      <c r="F737" s="262">
        <v>1</v>
      </c>
      <c r="G737" s="289">
        <v>0</v>
      </c>
      <c r="H737" s="164">
        <v>0</v>
      </c>
      <c r="I737" t="s">
        <v>578</v>
      </c>
      <c r="J737" t="b">
        <f>AND(NOT(Compil[[#This Row],[Est ouvrage]]), NOT(ISBLANK(Compil[[#This Row],[ART.
CCTP]])))</f>
        <v>0</v>
      </c>
      <c r="K737" t="b">
        <f>OR(Compil[[#This Row],[Unité]]="U",Compil[[#This Row],[Unité]]="ens",Compil[[#This Row],[Unité]]="ml")</f>
        <v>1</v>
      </c>
      <c r="L737" t="b">
        <f>ISBLANK(Compil[[#This Row],[DESIGNATION]])</f>
        <v>0</v>
      </c>
      <c r="M737" s="359"/>
      <c r="N737" s="358"/>
      <c r="O737" s="358"/>
      <c r="P737" s="358"/>
      <c r="Q737" s="358">
        <f>COUNTIF(Compil[[Ma Désignation ]],Compil[[Ma Désignation ]])</f>
        <v>2</v>
      </c>
    </row>
    <row r="738" spans="1:17" ht="14">
      <c r="A738" s="312">
        <v>733</v>
      </c>
      <c r="B738" s="19"/>
      <c r="C738" s="82"/>
      <c r="D738" s="357" t="str">
        <f xml:space="preserve"> TRIM( SUBSTITUTE(SUBSTITUTE(SUBSTITUTE( Compil[[#This Row],[DESIGNATION]],"-",""),"–",""),"*",""))</f>
        <v/>
      </c>
      <c r="E738" s="46"/>
      <c r="F738" s="262"/>
      <c r="G738" s="289" t="s">
        <v>571</v>
      </c>
      <c r="H738" s="164" t="s">
        <v>571</v>
      </c>
      <c r="I738" t="s">
        <v>578</v>
      </c>
      <c r="J738" t="b">
        <f>AND(NOT(Compil[[#This Row],[Est ouvrage]]), NOT(ISBLANK(Compil[[#This Row],[ART.
CCTP]])))</f>
        <v>0</v>
      </c>
      <c r="K738" t="b">
        <f>OR(Compil[[#This Row],[Unité]]="U",Compil[[#This Row],[Unité]]="ens",Compil[[#This Row],[Unité]]="ml")</f>
        <v>0</v>
      </c>
      <c r="L738" t="b">
        <f>ISBLANK(Compil[[#This Row],[DESIGNATION]])</f>
        <v>1</v>
      </c>
      <c r="M738" s="358"/>
      <c r="N738" s="358"/>
      <c r="O738" s="358"/>
      <c r="P738" s="358"/>
      <c r="Q738" s="358">
        <f>COUNTIF(Compil[[Ma Désignation ]],Compil[[Ma Désignation ]])</f>
        <v>306</v>
      </c>
    </row>
    <row r="739" spans="1:17" ht="14">
      <c r="A739" s="303">
        <v>62</v>
      </c>
      <c r="B739" s="212" t="s">
        <v>152</v>
      </c>
      <c r="C739" s="186" t="s">
        <v>139</v>
      </c>
      <c r="D739" t="str">
        <f xml:space="preserve"> TRIM( SUBSTITUTE(SUBSTITUTE(SUBSTITUTE( Compil[[#This Row],[DESIGNATION]],"-",""),"–",""),"*",""))</f>
        <v>Liaison appartement en câble HO7 2x10mm²</v>
      </c>
      <c r="E739" s="209" t="s">
        <v>13</v>
      </c>
      <c r="F739" s="252"/>
      <c r="G739" s="289" t="str">
        <f>IF(F739="","",(((L739*$M$6)+(M739*#REF!*#REF!))*$M$7)/F739)</f>
        <v/>
      </c>
      <c r="H739" s="164" t="str">
        <f>IF(F739="","",F739*G739)</f>
        <v/>
      </c>
      <c r="I739" t="s">
        <v>580</v>
      </c>
      <c r="J739" t="b">
        <f>AND(NOT(Compil[[#This Row],[Est ouvrage]]), NOT(ISBLANK(Compil[[#This Row],[ART.
CCTP]])))</f>
        <v>0</v>
      </c>
      <c r="K739" t="b">
        <f>OR(Compil[[#This Row],[Unité]]="U",Compil[[#This Row],[Unité]]="ens",Compil[[#This Row],[Unité]]="ml")</f>
        <v>1</v>
      </c>
      <c r="L739" t="b">
        <f>ISBLANK(Compil[[#This Row],[DESIGNATION]])</f>
        <v>0</v>
      </c>
      <c r="M739" s="359"/>
      <c r="N739" s="358"/>
      <c r="O739" s="358"/>
      <c r="P739" s="358"/>
      <c r="Q739" s="358">
        <f>COUNTIF(Compil[[Ma Désignation ]],Compil[[Ma Désignation ]])</f>
        <v>1</v>
      </c>
    </row>
    <row r="740" spans="1:17" ht="14">
      <c r="A740" s="312">
        <v>735</v>
      </c>
      <c r="B740" s="19"/>
      <c r="C740" s="23"/>
      <c r="D740" t="str">
        <f xml:space="preserve"> TRIM( SUBSTITUTE(SUBSTITUTE(SUBSTITUTE( Compil[[#This Row],[DESIGNATION]],"-",""),"–",""),"*",""))</f>
        <v/>
      </c>
      <c r="E740" s="54"/>
      <c r="F740" s="262"/>
      <c r="G740" s="289" t="s">
        <v>571</v>
      </c>
      <c r="H740" s="164" t="s">
        <v>571</v>
      </c>
      <c r="I740" t="s">
        <v>578</v>
      </c>
      <c r="J740" t="b">
        <f>AND(NOT(Compil[[#This Row],[Est ouvrage]]), NOT(ISBLANK(Compil[[#This Row],[ART.
CCTP]])))</f>
        <v>0</v>
      </c>
      <c r="K740" t="b">
        <f>OR(Compil[[#This Row],[Unité]]="U",Compil[[#This Row],[Unité]]="ens",Compil[[#This Row],[Unité]]="ml")</f>
        <v>0</v>
      </c>
      <c r="L740" t="b">
        <f>ISBLANK(Compil[[#This Row],[DESIGNATION]])</f>
        <v>1</v>
      </c>
      <c r="M740" s="358"/>
      <c r="N740" s="358"/>
      <c r="O740" s="358"/>
      <c r="P740" s="358"/>
      <c r="Q740" s="358">
        <f>COUNTIF(Compil[[Ma Désignation ]],Compil[[Ma Désignation ]])</f>
        <v>306</v>
      </c>
    </row>
    <row r="741" spans="1:17" ht="14">
      <c r="A741" s="303">
        <v>63</v>
      </c>
      <c r="B741" s="2"/>
      <c r="C741" s="186" t="s">
        <v>140</v>
      </c>
      <c r="D741" t="str">
        <f xml:space="preserve"> TRIM( SUBSTITUTE(SUBSTITUTE(SUBSTITUTE( Compil[[#This Row],[DESIGNATION]],"-",""),"–",""),"*",""))</f>
        <v>Liaison appartement en câble HO7 2x16mm²</v>
      </c>
      <c r="E741" s="209" t="s">
        <v>13</v>
      </c>
      <c r="F741" s="252">
        <f>+QTE!D255+QTE!E255+QTE!J255+QTE!K255+QTE!P255+QTE!Q255+QTE!V255+QTE!W255</f>
        <v>0</v>
      </c>
      <c r="G741" s="289" t="e">
        <f>IF(F741="","",(((L741*$M$6)+(M741*#REF!*#REF!))*$M$7)/F741)</f>
        <v>#VALUE!</v>
      </c>
      <c r="H741" s="164" t="e">
        <f>IF(F741="","",F741*G741)</f>
        <v>#VALUE!</v>
      </c>
      <c r="I741" t="s">
        <v>580</v>
      </c>
      <c r="J741" t="b">
        <f>AND(NOT(Compil[[#This Row],[Est ouvrage]]), NOT(ISBLANK(Compil[[#This Row],[ART.
CCTP]])))</f>
        <v>0</v>
      </c>
      <c r="K741" t="b">
        <f>OR(Compil[[#This Row],[Unité]]="U",Compil[[#This Row],[Unité]]="ens",Compil[[#This Row],[Unité]]="ml")</f>
        <v>1</v>
      </c>
      <c r="L741" t="b">
        <f>ISBLANK(Compil[[#This Row],[DESIGNATION]])</f>
        <v>0</v>
      </c>
      <c r="M741" s="359"/>
      <c r="N741" s="358"/>
      <c r="O741" s="358"/>
      <c r="P741" s="358"/>
      <c r="Q741" s="358">
        <f>COUNTIF(Compil[[Ma Désignation ]],Compil[[Ma Désignation ]])</f>
        <v>1</v>
      </c>
    </row>
    <row r="742" spans="1:17" ht="14">
      <c r="A742" s="303">
        <v>64</v>
      </c>
      <c r="B742" s="2"/>
      <c r="C742" s="186" t="s">
        <v>141</v>
      </c>
      <c r="D742" t="str">
        <f xml:space="preserve"> TRIM( SUBSTITUTE(SUBSTITUTE(SUBSTITUTE( Compil[[#This Row],[DESIGNATION]],"-",""),"–",""),"*",""))</f>
        <v>Liaison appartement en câble HO7 2x25mm²</v>
      </c>
      <c r="E742" s="209" t="s">
        <v>13</v>
      </c>
      <c r="F742" s="252">
        <f>+QTE!F255+QTE!G255+QTE!H255+QTE!L255+QTE!M255+QTE!N255+QTE!R255+QTE!S255+QTE!T255+QTE!X255+QTE!Y255+QTE!Z255</f>
        <v>0</v>
      </c>
      <c r="G742" s="289" t="e">
        <f>IF(F742="","",(((L742*$M$6)+(M742*#REF!*#REF!))*$M$7)/F742)</f>
        <v>#VALUE!</v>
      </c>
      <c r="H742" s="164" t="e">
        <f>IF(F742="","",F742*G742)</f>
        <v>#VALUE!</v>
      </c>
      <c r="I742" t="s">
        <v>580</v>
      </c>
      <c r="J742" t="b">
        <f>AND(NOT(Compil[[#This Row],[Est ouvrage]]), NOT(ISBLANK(Compil[[#This Row],[ART.
CCTP]])))</f>
        <v>0</v>
      </c>
      <c r="K742" t="b">
        <f>OR(Compil[[#This Row],[Unité]]="U",Compil[[#This Row],[Unité]]="ens",Compil[[#This Row],[Unité]]="ml")</f>
        <v>1</v>
      </c>
      <c r="L742" t="b">
        <f>ISBLANK(Compil[[#This Row],[DESIGNATION]])</f>
        <v>0</v>
      </c>
      <c r="M742" s="359"/>
      <c r="N742" s="358"/>
      <c r="O742" s="358"/>
      <c r="P742" s="358"/>
      <c r="Q742" s="358">
        <f>COUNTIF(Compil[[Ma Désignation ]],Compil[[Ma Désignation ]])</f>
        <v>1</v>
      </c>
    </row>
    <row r="743" spans="1:17" ht="14">
      <c r="A743" s="312">
        <v>738</v>
      </c>
      <c r="B743" s="110"/>
      <c r="C743" s="88"/>
      <c r="D743" t="str">
        <f xml:space="preserve"> TRIM( SUBSTITUTE(SUBSTITUTE(SUBSTITUTE( Compil[[#This Row],[DESIGNATION]],"-",""),"–",""),"*",""))</f>
        <v/>
      </c>
      <c r="E743" s="54"/>
      <c r="F743" s="262"/>
      <c r="G743" s="289" t="s">
        <v>571</v>
      </c>
      <c r="H743" s="164" t="s">
        <v>571</v>
      </c>
      <c r="I743" t="s">
        <v>578</v>
      </c>
      <c r="J743" t="b">
        <f>AND(NOT(Compil[[#This Row],[Est ouvrage]]), NOT(ISBLANK(Compil[[#This Row],[ART.
CCTP]])))</f>
        <v>0</v>
      </c>
      <c r="K743" t="b">
        <f>OR(Compil[[#This Row],[Unité]]="U",Compil[[#This Row],[Unité]]="ens",Compil[[#This Row],[Unité]]="ml")</f>
        <v>0</v>
      </c>
      <c r="L743" t="b">
        <f>ISBLANK(Compil[[#This Row],[DESIGNATION]])</f>
        <v>1</v>
      </c>
      <c r="M743" s="358"/>
      <c r="N743" s="358"/>
      <c r="O743" s="358"/>
      <c r="P743" s="358"/>
      <c r="Q743" s="358">
        <f>COUNTIF(Compil[[Ma Désignation ]],Compil[[Ma Désignation ]])</f>
        <v>306</v>
      </c>
    </row>
    <row r="744" spans="1:17" ht="14">
      <c r="A744" s="303">
        <v>65</v>
      </c>
      <c r="B744" s="2"/>
      <c r="C744" s="186" t="s">
        <v>142</v>
      </c>
      <c r="D744" t="str">
        <f xml:space="preserve"> TRIM( SUBSTITUTE(SUBSTITUTE(SUBSTITUTE( Compil[[#This Row],[DESIGNATION]],"-",""),"–",""),"*",""))</f>
        <v>Liaison appartement en câble HO7 2x35mm²</v>
      </c>
      <c r="E744" s="209" t="s">
        <v>13</v>
      </c>
      <c r="F744" s="252"/>
      <c r="G744" s="289" t="str">
        <f>IF(F744="","",(((L744*$M$6)+(M744*#REF!*#REF!))*$M$7)/F744)</f>
        <v/>
      </c>
      <c r="H744" s="164" t="str">
        <f>IF(F744="","",F744*G744)</f>
        <v/>
      </c>
      <c r="I744" t="s">
        <v>580</v>
      </c>
      <c r="J744" t="b">
        <f>AND(NOT(Compil[[#This Row],[Est ouvrage]]), NOT(ISBLANK(Compil[[#This Row],[ART.
CCTP]])))</f>
        <v>0</v>
      </c>
      <c r="K744" t="b">
        <f>OR(Compil[[#This Row],[Unité]]="U",Compil[[#This Row],[Unité]]="ens",Compil[[#This Row],[Unité]]="ml")</f>
        <v>1</v>
      </c>
      <c r="L744" t="b">
        <f>ISBLANK(Compil[[#This Row],[DESIGNATION]])</f>
        <v>0</v>
      </c>
      <c r="M744" s="359"/>
      <c r="N744" s="358"/>
      <c r="O744" s="358"/>
      <c r="P744" s="358"/>
      <c r="Q744" s="358">
        <f>COUNTIF(Compil[[Ma Désignation ]],Compil[[Ma Désignation ]])</f>
        <v>1</v>
      </c>
    </row>
    <row r="745" spans="1:17" ht="14">
      <c r="A745" s="312">
        <v>740</v>
      </c>
      <c r="B745" s="110"/>
      <c r="C745" s="88"/>
      <c r="D745" t="str">
        <f xml:space="preserve"> TRIM( SUBSTITUTE(SUBSTITUTE(SUBSTITUTE( Compil[[#This Row],[DESIGNATION]],"-",""),"–",""),"*",""))</f>
        <v/>
      </c>
      <c r="E745" s="54"/>
      <c r="F745" s="262"/>
      <c r="G745" s="289" t="s">
        <v>571</v>
      </c>
      <c r="H745" s="164" t="s">
        <v>571</v>
      </c>
      <c r="I745" t="s">
        <v>578</v>
      </c>
      <c r="J745" t="b">
        <f>AND(NOT(Compil[[#This Row],[Est ouvrage]]), NOT(ISBLANK(Compil[[#This Row],[ART.
CCTP]])))</f>
        <v>0</v>
      </c>
      <c r="K745" t="b">
        <f>OR(Compil[[#This Row],[Unité]]="U",Compil[[#This Row],[Unité]]="ens",Compil[[#This Row],[Unité]]="ml")</f>
        <v>0</v>
      </c>
      <c r="L745" t="b">
        <f>ISBLANK(Compil[[#This Row],[DESIGNATION]])</f>
        <v>1</v>
      </c>
      <c r="M745" s="358"/>
      <c r="N745" s="358"/>
      <c r="O745" s="358"/>
      <c r="P745" s="358"/>
      <c r="Q745" s="358">
        <f>COUNTIF(Compil[[Ma Désignation ]],Compil[[Ma Désignation ]])</f>
        <v>306</v>
      </c>
    </row>
    <row r="746" spans="1:17" ht="14">
      <c r="A746" s="312">
        <v>752</v>
      </c>
      <c r="B746" s="19" t="s">
        <v>356</v>
      </c>
      <c r="C746" s="405" t="s">
        <v>351</v>
      </c>
      <c r="D746" s="357" t="str">
        <f xml:space="preserve"> TRIM( SUBSTITUTE(SUBSTITUTE(SUBSTITUTE( Compil[[#This Row],[DESIGNATION]],"-",""),"–",""),"*",""))</f>
        <v>Liaison appartement et bureau en câble HO7 2x10mm²</v>
      </c>
      <c r="E746" s="102" t="s">
        <v>13</v>
      </c>
      <c r="F746" s="262"/>
      <c r="G746" s="289" t="s">
        <v>571</v>
      </c>
      <c r="H746" s="164" t="s">
        <v>571</v>
      </c>
      <c r="I746" t="s">
        <v>578</v>
      </c>
      <c r="J746" t="b">
        <f>AND(NOT(Compil[[#This Row],[Est ouvrage]]), NOT(ISBLANK(Compil[[#This Row],[ART.
CCTP]])))</f>
        <v>0</v>
      </c>
      <c r="K746" t="b">
        <f>OR(Compil[[#This Row],[Unité]]="U",Compil[[#This Row],[Unité]]="ens",Compil[[#This Row],[Unité]]="ml")</f>
        <v>1</v>
      </c>
      <c r="L746" t="b">
        <f>ISBLANK(Compil[[#This Row],[DESIGNATION]])</f>
        <v>0</v>
      </c>
      <c r="M746" s="359"/>
      <c r="N746" s="358"/>
      <c r="O746" s="358"/>
      <c r="P746" s="358"/>
      <c r="Q746" s="358">
        <f>COUNTIF(Compil[[Ma Désignation ]],Compil[[Ma Désignation ]])</f>
        <v>1</v>
      </c>
    </row>
    <row r="747" spans="1:17" ht="14">
      <c r="A747" s="312">
        <v>753</v>
      </c>
      <c r="B747" s="19"/>
      <c r="C747" s="405" t="s">
        <v>352</v>
      </c>
      <c r="D747" s="357" t="str">
        <f xml:space="preserve"> TRIM( SUBSTITUTE(SUBSTITUTE(SUBSTITUTE( Compil[[#This Row],[DESIGNATION]],"-",""),"–",""),"*",""))</f>
        <v>Liaison appartement et bureau en câble HO7 2x16mm²</v>
      </c>
      <c r="E747" s="102" t="s">
        <v>13</v>
      </c>
      <c r="F747" s="262">
        <v>13</v>
      </c>
      <c r="G747" s="289">
        <v>0</v>
      </c>
      <c r="H747" s="164">
        <v>0</v>
      </c>
      <c r="I747" t="s">
        <v>578</v>
      </c>
      <c r="J747" t="b">
        <f>AND(NOT(Compil[[#This Row],[Est ouvrage]]), NOT(ISBLANK(Compil[[#This Row],[ART.
CCTP]])))</f>
        <v>0</v>
      </c>
      <c r="K747" t="b">
        <f>OR(Compil[[#This Row],[Unité]]="U",Compil[[#This Row],[Unité]]="ens",Compil[[#This Row],[Unité]]="ml")</f>
        <v>1</v>
      </c>
      <c r="L747" t="b">
        <f>ISBLANK(Compil[[#This Row],[DESIGNATION]])</f>
        <v>0</v>
      </c>
      <c r="M747" s="359"/>
      <c r="N747" s="358"/>
      <c r="O747" s="358"/>
      <c r="P747" s="358"/>
      <c r="Q747" s="358">
        <f>COUNTIF(Compil[[Ma Désignation ]],Compil[[Ma Désignation ]])</f>
        <v>1</v>
      </c>
    </row>
    <row r="748" spans="1:17" ht="14">
      <c r="A748" s="312">
        <v>743</v>
      </c>
      <c r="B748" s="19"/>
      <c r="C748" s="405"/>
      <c r="D748" s="357" t="str">
        <f xml:space="preserve"> TRIM( SUBSTITUTE(SUBSTITUTE(SUBSTITUTE( Compil[[#This Row],[DESIGNATION]],"-",""),"–",""),"*",""))</f>
        <v/>
      </c>
      <c r="E748" s="103"/>
      <c r="F748" s="262"/>
      <c r="G748" s="289" t="s">
        <v>571</v>
      </c>
      <c r="H748" s="164" t="s">
        <v>571</v>
      </c>
      <c r="I748" t="s">
        <v>578</v>
      </c>
      <c r="J748" t="b">
        <f>AND(NOT(Compil[[#This Row],[Est ouvrage]]), NOT(ISBLANK(Compil[[#This Row],[ART.
CCTP]])))</f>
        <v>0</v>
      </c>
      <c r="K748" t="b">
        <f>OR(Compil[[#This Row],[Unité]]="U",Compil[[#This Row],[Unité]]="ens",Compil[[#This Row],[Unité]]="ml")</f>
        <v>0</v>
      </c>
      <c r="L748" t="b">
        <f>ISBLANK(Compil[[#This Row],[DESIGNATION]])</f>
        <v>1</v>
      </c>
      <c r="M748" s="358"/>
      <c r="N748" s="358"/>
      <c r="O748" s="358"/>
      <c r="P748" s="358"/>
      <c r="Q748" s="358">
        <f>COUNTIF(Compil[[Ma Désignation ]],Compil[[Ma Désignation ]])</f>
        <v>306</v>
      </c>
    </row>
    <row r="749" spans="1:17" ht="14">
      <c r="A749" s="312">
        <v>754</v>
      </c>
      <c r="B749" s="19"/>
      <c r="C749" s="405" t="s">
        <v>353</v>
      </c>
      <c r="D749" s="357" t="str">
        <f xml:space="preserve"> TRIM( SUBSTITUTE(SUBSTITUTE(SUBSTITUTE( Compil[[#This Row],[DESIGNATION]],"-",""),"–",""),"*",""))</f>
        <v>Liaison appartement et bureau en câble HO7 2x25mm²</v>
      </c>
      <c r="E749" s="102" t="s">
        <v>13</v>
      </c>
      <c r="F749" s="262">
        <v>3</v>
      </c>
      <c r="G749" s="289">
        <v>0</v>
      </c>
      <c r="H749" s="164">
        <v>0</v>
      </c>
      <c r="I749" t="s">
        <v>578</v>
      </c>
      <c r="J749" t="b">
        <f>AND(NOT(Compil[[#This Row],[Est ouvrage]]), NOT(ISBLANK(Compil[[#This Row],[ART.
CCTP]])))</f>
        <v>0</v>
      </c>
      <c r="K749" t="b">
        <f>OR(Compil[[#This Row],[Unité]]="U",Compil[[#This Row],[Unité]]="ens",Compil[[#This Row],[Unité]]="ml")</f>
        <v>1</v>
      </c>
      <c r="L749" t="b">
        <f>ISBLANK(Compil[[#This Row],[DESIGNATION]])</f>
        <v>0</v>
      </c>
      <c r="M749" s="359"/>
      <c r="N749" s="358"/>
      <c r="O749" s="358"/>
      <c r="P749" s="358"/>
      <c r="Q749" s="358">
        <f>COUNTIF(Compil[[Ma Désignation ]],Compil[[Ma Désignation ]])</f>
        <v>1</v>
      </c>
    </row>
    <row r="750" spans="1:17" ht="14">
      <c r="A750" s="312">
        <v>755</v>
      </c>
      <c r="B750" s="19"/>
      <c r="C750" s="405" t="s">
        <v>354</v>
      </c>
      <c r="D750" s="357" t="str">
        <f xml:space="preserve"> TRIM( SUBSTITUTE(SUBSTITUTE(SUBSTITUTE( Compil[[#This Row],[DESIGNATION]],"-",""),"–",""),"*",""))</f>
        <v>Liaison appartement et bureau en câble HO7 2x35mm²</v>
      </c>
      <c r="E750" s="102" t="s">
        <v>13</v>
      </c>
      <c r="F750" s="262">
        <v>14</v>
      </c>
      <c r="G750" s="289">
        <v>0</v>
      </c>
      <c r="H750" s="164">
        <v>0</v>
      </c>
      <c r="I750" t="s">
        <v>578</v>
      </c>
      <c r="J750" t="b">
        <f>AND(NOT(Compil[[#This Row],[Est ouvrage]]), NOT(ISBLANK(Compil[[#This Row],[ART.
CCTP]])))</f>
        <v>0</v>
      </c>
      <c r="K750" t="b">
        <f>OR(Compil[[#This Row],[Unité]]="U",Compil[[#This Row],[Unité]]="ens",Compil[[#This Row],[Unité]]="ml")</f>
        <v>1</v>
      </c>
      <c r="L750" t="b">
        <f>ISBLANK(Compil[[#This Row],[DESIGNATION]])</f>
        <v>0</v>
      </c>
      <c r="M750" s="359"/>
      <c r="N750" s="358"/>
      <c r="O750" s="358"/>
      <c r="P750" s="358"/>
      <c r="Q750" s="358">
        <f>COUNTIF(Compil[[Ma Désignation ]],Compil[[Ma Désignation ]])</f>
        <v>1</v>
      </c>
    </row>
    <row r="751" spans="1:17" ht="14">
      <c r="A751" s="312">
        <v>746</v>
      </c>
      <c r="B751" s="19"/>
      <c r="C751" s="20"/>
      <c r="D751" t="str">
        <f xml:space="preserve"> TRIM( SUBSTITUTE(SUBSTITUTE(SUBSTITUTE( Compil[[#This Row],[DESIGNATION]],"-",""),"–",""),"*",""))</f>
        <v/>
      </c>
      <c r="E751" s="103"/>
      <c r="F751" s="262"/>
      <c r="G751" s="289" t="s">
        <v>571</v>
      </c>
      <c r="H751" s="164" t="s">
        <v>571</v>
      </c>
      <c r="I751" t="s">
        <v>578</v>
      </c>
      <c r="J751" t="b">
        <f>AND(NOT(Compil[[#This Row],[Est ouvrage]]), NOT(ISBLANK(Compil[[#This Row],[ART.
CCTP]])))</f>
        <v>0</v>
      </c>
      <c r="K751" t="b">
        <f>OR(Compil[[#This Row],[Unité]]="U",Compil[[#This Row],[Unité]]="ens",Compil[[#This Row],[Unité]]="ml")</f>
        <v>0</v>
      </c>
      <c r="L751" t="b">
        <f>ISBLANK(Compil[[#This Row],[DESIGNATION]])</f>
        <v>1</v>
      </c>
      <c r="M751" s="358"/>
      <c r="N751" s="358"/>
      <c r="O751" s="358"/>
      <c r="P751" s="358"/>
      <c r="Q751" s="358">
        <f>COUNTIF(Compil[[Ma Désignation ]],Compil[[Ma Désignation ]])</f>
        <v>306</v>
      </c>
    </row>
    <row r="752" spans="1:17" ht="25">
      <c r="A752" s="303">
        <v>30</v>
      </c>
      <c r="B752" s="202"/>
      <c r="C752" s="200" t="s">
        <v>247</v>
      </c>
      <c r="D752" s="357" t="str">
        <f xml:space="preserve"> TRIM( SUBSTITUTE(SUBSTITUTE(SUBSTITUTE( Compil[[#This Row],[DESIGNATION]],"-",""),"–",""),"*",""))</f>
        <v>liaison au TJ en câble agrée EDF sous fourreaux IK 10 à la charge du présent lot pour les parkings</v>
      </c>
      <c r="E752" s="197" t="s">
        <v>1</v>
      </c>
      <c r="F752" s="252">
        <v>20</v>
      </c>
      <c r="G752" s="289" t="e">
        <f>IF(F752="","",(((L752*$M$6)+(M752*#REF!*#REF!))*$M$7)/F752)</f>
        <v>#VALUE!</v>
      </c>
      <c r="H752" s="164" t="e">
        <f>IF(F752="","",F752*G752)</f>
        <v>#VALUE!</v>
      </c>
      <c r="I752" t="s">
        <v>580</v>
      </c>
      <c r="J752" t="b">
        <f>AND(NOT(Compil[[#This Row],[Est ouvrage]]), NOT(ISBLANK(Compil[[#This Row],[ART.
CCTP]])))</f>
        <v>0</v>
      </c>
      <c r="K752" t="b">
        <f>OR(Compil[[#This Row],[Unité]]="U",Compil[[#This Row],[Unité]]="ens",Compil[[#This Row],[Unité]]="ml")</f>
        <v>1</v>
      </c>
      <c r="L752" t="b">
        <f>ISBLANK(Compil[[#This Row],[DESIGNATION]])</f>
        <v>0</v>
      </c>
      <c r="M752" s="359"/>
      <c r="N752" s="358"/>
      <c r="O752" s="358"/>
      <c r="P752" s="358"/>
      <c r="Q752" s="358">
        <f>COUNTIF(Compil[[Ma Désignation ]],Compil[[Ma Désignation ]])</f>
        <v>1</v>
      </c>
    </row>
    <row r="753" spans="1:17" ht="14">
      <c r="A753" s="312">
        <v>748</v>
      </c>
      <c r="B753" s="19"/>
      <c r="C753" s="405"/>
      <c r="D753" s="357" t="str">
        <f xml:space="preserve"> TRIM( SUBSTITUTE(SUBSTITUTE(SUBSTITUTE( Compil[[#This Row],[DESIGNATION]],"-",""),"–",""),"*",""))</f>
        <v/>
      </c>
      <c r="E753" s="46"/>
      <c r="F753" s="262"/>
      <c r="G753" s="289" t="s">
        <v>571</v>
      </c>
      <c r="H753" s="164" t="s">
        <v>571</v>
      </c>
      <c r="I753" t="s">
        <v>578</v>
      </c>
      <c r="J753" t="b">
        <f>AND(NOT(Compil[[#This Row],[Est ouvrage]]), NOT(ISBLANK(Compil[[#This Row],[ART.
CCTP]])))</f>
        <v>0</v>
      </c>
      <c r="K753" t="b">
        <f>OR(Compil[[#This Row],[Unité]]="U",Compil[[#This Row],[Unité]]="ens",Compil[[#This Row],[Unité]]="ml")</f>
        <v>0</v>
      </c>
      <c r="L753" t="b">
        <f>ISBLANK(Compil[[#This Row],[DESIGNATION]])</f>
        <v>1</v>
      </c>
      <c r="M753" s="358"/>
      <c r="N753" s="358"/>
      <c r="O753" s="358"/>
      <c r="P753" s="358"/>
      <c r="Q753" s="358">
        <f>COUNTIF(Compil[[Ma Désignation ]],Compil[[Ma Désignation ]])</f>
        <v>306</v>
      </c>
    </row>
    <row r="754" spans="1:17" ht="25">
      <c r="A754" s="303">
        <v>31</v>
      </c>
      <c r="B754" s="202"/>
      <c r="C754" s="200" t="s">
        <v>248</v>
      </c>
      <c r="D754" s="357" t="str">
        <f xml:space="preserve"> TRIM( SUBSTITUTE(SUBSTITUTE(SUBSTITUTE( Compil[[#This Row],[DESIGNATION]],"-",""),"–",""),"*",""))</f>
        <v>liaison au TJ en câble agrée EDF sous fourreaux IK 10 à la charge du présent lot pour les SG G2</v>
      </c>
      <c r="E754" s="381" t="s">
        <v>1</v>
      </c>
      <c r="F754" s="252">
        <v>65</v>
      </c>
      <c r="G754" s="289" t="e">
        <f>IF(F754="","",(((L754*$M$6)+(M754*#REF!*#REF!))*$M$7)/F754)</f>
        <v>#VALUE!</v>
      </c>
      <c r="H754" s="164" t="e">
        <f>IF(F754="","",F754*G754)</f>
        <v>#VALUE!</v>
      </c>
      <c r="I754" t="s">
        <v>580</v>
      </c>
      <c r="J754" t="b">
        <f>AND(NOT(Compil[[#This Row],[Est ouvrage]]), NOT(ISBLANK(Compil[[#This Row],[ART.
CCTP]])))</f>
        <v>0</v>
      </c>
      <c r="K754" t="b">
        <f>OR(Compil[[#This Row],[Unité]]="U",Compil[[#This Row],[Unité]]="ens",Compil[[#This Row],[Unité]]="ml")</f>
        <v>1</v>
      </c>
      <c r="L754" t="b">
        <f>ISBLANK(Compil[[#This Row],[DESIGNATION]])</f>
        <v>0</v>
      </c>
      <c r="M754" s="359"/>
      <c r="N754" s="358"/>
      <c r="O754" s="358"/>
      <c r="P754" s="358"/>
      <c r="Q754" s="358">
        <f>COUNTIF(Compil[[Ma Désignation ]],Compil[[Ma Désignation ]])</f>
        <v>1</v>
      </c>
    </row>
    <row r="755" spans="1:17" ht="27">
      <c r="A755" s="303">
        <v>90</v>
      </c>
      <c r="B755" s="2"/>
      <c r="C755" s="221" t="s">
        <v>125</v>
      </c>
      <c r="D755" t="str">
        <f xml:space="preserve"> TRIM( SUBSTITUTE(SUBSTITUTE(SUBSTITUTE( Compil[[#This Row],[DESIGNATION]],"-",""),"–",""),"*",""))</f>
        <v>liaison en câble 1x16mm2 sous fourreau ICTA diam. 16 entre la colonne et chaque logement</v>
      </c>
      <c r="E755" s="193" t="s">
        <v>13</v>
      </c>
      <c r="F755" s="252">
        <v>105</v>
      </c>
      <c r="G755" s="289" t="e">
        <f>IF(F755="","",(((L755*$M$6)+(M755*#REF!*#REF!))*$M$7)/F755)</f>
        <v>#VALUE!</v>
      </c>
      <c r="H755" s="164" t="e">
        <f>IF(F755="","",F755*G755)</f>
        <v>#VALUE!</v>
      </c>
      <c r="I755" t="s">
        <v>580</v>
      </c>
      <c r="J755" t="b">
        <f>AND(NOT(Compil[[#This Row],[Est ouvrage]]), NOT(ISBLANK(Compil[[#This Row],[ART.
CCTP]])))</f>
        <v>0</v>
      </c>
      <c r="K755" t="b">
        <f>OR(Compil[[#This Row],[Unité]]="U",Compil[[#This Row],[Unité]]="ens",Compil[[#This Row],[Unité]]="ml")</f>
        <v>1</v>
      </c>
      <c r="L755" t="b">
        <f>ISBLANK(Compil[[#This Row],[DESIGNATION]])</f>
        <v>0</v>
      </c>
      <c r="M755" s="359"/>
      <c r="N755" s="358"/>
      <c r="O755" s="358"/>
      <c r="P755" s="358"/>
      <c r="Q755" s="358">
        <f>COUNTIF(Compil[[Ma Désignation ]],Compil[[Ma Désignation ]])</f>
        <v>1</v>
      </c>
    </row>
    <row r="756" spans="1:17" ht="14">
      <c r="A756" s="312">
        <v>751</v>
      </c>
      <c r="B756" s="19"/>
      <c r="C756" s="444"/>
      <c r="D756" s="357" t="str">
        <f xml:space="preserve"> TRIM( SUBSTITUTE(SUBSTITUTE(SUBSTITUTE( Compil[[#This Row],[DESIGNATION]],"-",""),"–",""),"*",""))</f>
        <v/>
      </c>
      <c r="E756" s="102"/>
      <c r="F756" s="262"/>
      <c r="G756" s="289" t="s">
        <v>571</v>
      </c>
      <c r="H756" s="164" t="s">
        <v>571</v>
      </c>
      <c r="I756" t="s">
        <v>578</v>
      </c>
      <c r="J756" t="b">
        <f>AND(NOT(Compil[[#This Row],[Est ouvrage]]), NOT(ISBLANK(Compil[[#This Row],[ART.
CCTP]])))</f>
        <v>0</v>
      </c>
      <c r="K756" t="b">
        <f>OR(Compil[[#This Row],[Unité]]="U",Compil[[#This Row],[Unité]]="ens",Compil[[#This Row],[Unité]]="ml")</f>
        <v>0</v>
      </c>
      <c r="L756" t="b">
        <f>ISBLANK(Compil[[#This Row],[DESIGNATION]])</f>
        <v>1</v>
      </c>
      <c r="M756" s="358"/>
      <c r="N756" s="358"/>
      <c r="O756" s="358"/>
      <c r="P756" s="358"/>
      <c r="Q756" s="358">
        <f>COUNTIF(Compil[[Ma Désignation ]],Compil[[Ma Désignation ]])</f>
        <v>306</v>
      </c>
    </row>
    <row r="757" spans="1:17" ht="25">
      <c r="A757" s="312">
        <v>780</v>
      </c>
      <c r="B757" s="19"/>
      <c r="C757" s="47" t="s">
        <v>576</v>
      </c>
      <c r="D757" t="str">
        <f xml:space="preserve"> TRIM( SUBSTITUTE(SUBSTITUTE(SUBSTITUTE( Compil[[#This Row],[DESIGNATION]],"-",""),"–",""),"*",""))</f>
        <v>liaison en câble 1x16mm2 sous fourreau ICTA diam. 16 entre la colonne et chaque logement et bureaux</v>
      </c>
      <c r="E757" s="9" t="s">
        <v>13</v>
      </c>
      <c r="F757" s="262">
        <v>300</v>
      </c>
      <c r="G757" s="289">
        <v>0</v>
      </c>
      <c r="H757" s="164">
        <v>0</v>
      </c>
      <c r="I757" t="s">
        <v>578</v>
      </c>
      <c r="J757" t="b">
        <f>AND(NOT(Compil[[#This Row],[Est ouvrage]]), NOT(ISBLANK(Compil[[#This Row],[ART.
CCTP]])))</f>
        <v>0</v>
      </c>
      <c r="K757" t="b">
        <f>OR(Compil[[#This Row],[Unité]]="U",Compil[[#This Row],[Unité]]="ens",Compil[[#This Row],[Unité]]="ml")</f>
        <v>1</v>
      </c>
      <c r="L757" t="b">
        <f>ISBLANK(Compil[[#This Row],[DESIGNATION]])</f>
        <v>0</v>
      </c>
      <c r="M757" s="359"/>
      <c r="N757" s="358"/>
      <c r="O757" s="358"/>
      <c r="P757" s="358"/>
      <c r="Q757" s="358">
        <f>COUNTIF(Compil[[Ma Désignation ]],Compil[[Ma Désignation ]])</f>
        <v>1</v>
      </c>
    </row>
    <row r="758" spans="1:17" ht="25">
      <c r="A758" s="303">
        <v>32</v>
      </c>
      <c r="B758" s="202"/>
      <c r="C758" s="200" t="s">
        <v>215</v>
      </c>
      <c r="D758" s="357" t="str">
        <f xml:space="preserve"> TRIM( SUBSTITUTE(SUBSTITUTE(SUBSTITUTE( Compil[[#This Row],[DESIGNATION]],"-",""),"–",""),"*",""))</f>
        <v>liaison en câble R2V entre le comptage et le disjoncteur général des parkings</v>
      </c>
      <c r="E758" s="381" t="s">
        <v>1</v>
      </c>
      <c r="F758" s="252">
        <v>5</v>
      </c>
      <c r="G758" s="289" t="e">
        <f>IF(F758="","",(((L758*$M$6)+(M758*#REF!*#REF!))*$M$7)/F758)</f>
        <v>#VALUE!</v>
      </c>
      <c r="H758" s="164" t="e">
        <f>IF(F758="","",F758*G758)</f>
        <v>#VALUE!</v>
      </c>
      <c r="I758" t="s">
        <v>580</v>
      </c>
      <c r="J758" t="b">
        <f>AND(NOT(Compil[[#This Row],[Est ouvrage]]), NOT(ISBLANK(Compil[[#This Row],[ART.
CCTP]])))</f>
        <v>0</v>
      </c>
      <c r="K758" t="b">
        <f>OR(Compil[[#This Row],[Unité]]="U",Compil[[#This Row],[Unité]]="ens",Compil[[#This Row],[Unité]]="ml")</f>
        <v>1</v>
      </c>
      <c r="L758" t="b">
        <f>ISBLANK(Compil[[#This Row],[DESIGNATION]])</f>
        <v>0</v>
      </c>
      <c r="M758" s="359"/>
      <c r="N758" s="358"/>
      <c r="O758" s="358"/>
      <c r="P758" s="358"/>
      <c r="Q758" s="358">
        <f>COUNTIF(Compil[[Ma Désignation ]],Compil[[Ma Désignation ]])</f>
        <v>1</v>
      </c>
    </row>
    <row r="759" spans="1:17" ht="25">
      <c r="A759" s="303">
        <v>33</v>
      </c>
      <c r="B759" s="202"/>
      <c r="C759" s="200" t="s">
        <v>217</v>
      </c>
      <c r="D759" s="357" t="str">
        <f xml:space="preserve"> TRIM( SUBSTITUTE(SUBSTITUTE(SUBSTITUTE( Compil[[#This Row],[DESIGNATION]],"-",""),"–",""),"*",""))</f>
        <v>liaison en câble R2V entre le comptage et le disjoncteur général des SG G2</v>
      </c>
      <c r="E759" s="381" t="s">
        <v>1</v>
      </c>
      <c r="F759" s="252">
        <v>5</v>
      </c>
      <c r="G759" s="289" t="e">
        <f>IF(F759="","",(((L759*$M$6)+(M759*#REF!*#REF!))*$M$7)/F759)</f>
        <v>#VALUE!</v>
      </c>
      <c r="H759" s="164" t="e">
        <f>IF(F759="","",F759*G759)</f>
        <v>#VALUE!</v>
      </c>
      <c r="I759" t="s">
        <v>580</v>
      </c>
      <c r="J759" t="b">
        <f>AND(NOT(Compil[[#This Row],[Est ouvrage]]), NOT(ISBLANK(Compil[[#This Row],[ART.
CCTP]])))</f>
        <v>0</v>
      </c>
      <c r="K759" t="b">
        <f>OR(Compil[[#This Row],[Unité]]="U",Compil[[#This Row],[Unité]]="ens",Compil[[#This Row],[Unité]]="ml")</f>
        <v>1</v>
      </c>
      <c r="L759" t="b">
        <f>ISBLANK(Compil[[#This Row],[DESIGNATION]])</f>
        <v>0</v>
      </c>
      <c r="M759" s="359"/>
      <c r="N759" s="358"/>
      <c r="O759" s="358"/>
      <c r="P759" s="358"/>
      <c r="Q759" s="358">
        <f>COUNTIF(Compil[[Ma Désignation ]],Compil[[Ma Désignation ]])</f>
        <v>1</v>
      </c>
    </row>
    <row r="760" spans="1:17" ht="25">
      <c r="A760" s="312">
        <v>851</v>
      </c>
      <c r="B760" s="104"/>
      <c r="C760" s="88" t="s">
        <v>316</v>
      </c>
      <c r="D760" t="str">
        <f xml:space="preserve"> TRIM( SUBSTITUTE(SUBSTITUTE(SUBSTITUTE( Compil[[#This Row],[DESIGNATION]],"-",""),"–",""),"*",""))</f>
        <v>Liaison en câble série 298 téléphone colonne /bureaux du SOHO y compris fourreaux</v>
      </c>
      <c r="E760" s="9" t="s">
        <v>13</v>
      </c>
      <c r="F760" s="262">
        <v>210</v>
      </c>
      <c r="G760" s="289">
        <v>0</v>
      </c>
      <c r="H760" s="164">
        <v>0</v>
      </c>
      <c r="I760" t="s">
        <v>578</v>
      </c>
      <c r="J760" t="b">
        <f>AND(NOT(Compil[[#This Row],[Est ouvrage]]), NOT(ISBLANK(Compil[[#This Row],[ART.
CCTP]])))</f>
        <v>0</v>
      </c>
      <c r="K760" t="b">
        <f>OR(Compil[[#This Row],[Unité]]="U",Compil[[#This Row],[Unité]]="ens",Compil[[#This Row],[Unité]]="ml")</f>
        <v>1</v>
      </c>
      <c r="L760" t="b">
        <f>ISBLANK(Compil[[#This Row],[DESIGNATION]])</f>
        <v>0</v>
      </c>
      <c r="M760" s="359"/>
      <c r="N760" s="358"/>
      <c r="O760" s="358"/>
      <c r="P760" s="358"/>
      <c r="Q760" s="358">
        <f>COUNTIF(Compil[[Ma Désignation ]],Compil[[Ma Désignation ]])</f>
        <v>1</v>
      </c>
    </row>
    <row r="761" spans="1:17" ht="14">
      <c r="A761" s="312">
        <v>756</v>
      </c>
      <c r="B761" s="19"/>
      <c r="C761" s="409"/>
      <c r="D761" t="str">
        <f xml:space="preserve"> TRIM( SUBSTITUTE(SUBSTITUTE(SUBSTITUTE( Compil[[#This Row],[DESIGNATION]],"-",""),"–",""),"*",""))</f>
        <v/>
      </c>
      <c r="E761" s="103"/>
      <c r="F761" s="262"/>
      <c r="G761" s="289" t="s">
        <v>571</v>
      </c>
      <c r="H761" s="164" t="s">
        <v>571</v>
      </c>
      <c r="I761" t="s">
        <v>578</v>
      </c>
      <c r="J761" t="b">
        <f>AND(NOT(Compil[[#This Row],[Est ouvrage]]), NOT(ISBLANK(Compil[[#This Row],[ART.
CCTP]])))</f>
        <v>0</v>
      </c>
      <c r="K761" t="b">
        <f>OR(Compil[[#This Row],[Unité]]="U",Compil[[#This Row],[Unité]]="ens",Compil[[#This Row],[Unité]]="ml")</f>
        <v>0</v>
      </c>
      <c r="L761" t="b">
        <f>ISBLANK(Compil[[#This Row],[DESIGNATION]])</f>
        <v>1</v>
      </c>
      <c r="M761" s="358"/>
      <c r="N761" s="358"/>
      <c r="O761" s="358"/>
      <c r="P761" s="358"/>
      <c r="Q761" s="358">
        <f>COUNTIF(Compil[[Ma Désignation ]],Compil[[Ma Désignation ]])</f>
        <v>306</v>
      </c>
    </row>
    <row r="762" spans="1:17" ht="25">
      <c r="A762" s="303">
        <v>211</v>
      </c>
      <c r="B762" s="43"/>
      <c r="C762" s="206" t="s">
        <v>317</v>
      </c>
      <c r="D762" t="str">
        <f xml:space="preserve"> TRIM( SUBSTITUTE(SUBSTITUTE(SUBSTITUTE( Compil[[#This Row],[DESIGNATION]],"-",""),"–",""),"*",""))</f>
        <v>Liaison en câble série 298 téléphone colonne /logements y compris fourreaux</v>
      </c>
      <c r="E762" s="193" t="s">
        <v>13</v>
      </c>
      <c r="F762" s="252">
        <f>(8+11)*3</f>
        <v>57</v>
      </c>
      <c r="G762" s="289" t="e">
        <f>IF(F762="","",(((L762*$M$6)+(M762*#REF!*#REF!))*$M$7)/F762)</f>
        <v>#VALUE!</v>
      </c>
      <c r="H762" s="164" t="e">
        <f>IF(F762="","",F762*G762)</f>
        <v>#VALUE!</v>
      </c>
      <c r="I762" t="s">
        <v>580</v>
      </c>
      <c r="J762" t="b">
        <f>AND(NOT(Compil[[#This Row],[Est ouvrage]]), NOT(ISBLANK(Compil[[#This Row],[ART.
CCTP]])))</f>
        <v>0</v>
      </c>
      <c r="K762" t="b">
        <f>OR(Compil[[#This Row],[Unité]]="U",Compil[[#This Row],[Unité]]="ens",Compil[[#This Row],[Unité]]="ml")</f>
        <v>1</v>
      </c>
      <c r="L762" t="b">
        <f>ISBLANK(Compil[[#This Row],[DESIGNATION]])</f>
        <v>0</v>
      </c>
      <c r="M762" s="359"/>
      <c r="N762" s="358"/>
      <c r="O762" s="358"/>
      <c r="P762" s="358"/>
      <c r="Q762" s="358">
        <f>COUNTIF(Compil[[Ma Désignation ]],Compil[[Ma Désignation ]])</f>
        <v>2</v>
      </c>
    </row>
    <row r="763" spans="1:17" ht="14">
      <c r="A763" s="312">
        <v>758</v>
      </c>
      <c r="B763" s="19"/>
      <c r="C763" s="20"/>
      <c r="D763" t="str">
        <f xml:space="preserve"> TRIM( SUBSTITUTE(SUBSTITUTE(SUBSTITUTE( Compil[[#This Row],[DESIGNATION]],"-",""),"–",""),"*",""))</f>
        <v/>
      </c>
      <c r="E763" s="102"/>
      <c r="F763" s="262"/>
      <c r="G763" s="289" t="s">
        <v>571</v>
      </c>
      <c r="H763" s="164" t="s">
        <v>571</v>
      </c>
      <c r="I763" t="s">
        <v>578</v>
      </c>
      <c r="J763" t="b">
        <f>AND(NOT(Compil[[#This Row],[Est ouvrage]]), NOT(ISBLANK(Compil[[#This Row],[ART.
CCTP]])))</f>
        <v>0</v>
      </c>
      <c r="K763" t="b">
        <f>OR(Compil[[#This Row],[Unité]]="U",Compil[[#This Row],[Unité]]="ens",Compil[[#This Row],[Unité]]="ml")</f>
        <v>0</v>
      </c>
      <c r="L763" t="b">
        <f>ISBLANK(Compil[[#This Row],[DESIGNATION]])</f>
        <v>1</v>
      </c>
      <c r="M763" s="358"/>
      <c r="N763" s="358"/>
      <c r="O763" s="358"/>
      <c r="P763" s="358"/>
      <c r="Q763" s="358">
        <f>COUNTIF(Compil[[Ma Désignation ]],Compil[[Ma Désignation ]])</f>
        <v>306</v>
      </c>
    </row>
    <row r="764" spans="1:17" ht="25">
      <c r="A764" s="312">
        <v>850</v>
      </c>
      <c r="B764" s="104"/>
      <c r="C764" s="88" t="s">
        <v>317</v>
      </c>
      <c r="D764" t="str">
        <f xml:space="preserve"> TRIM( SUBSTITUTE(SUBSTITUTE(SUBSTITUTE( Compil[[#This Row],[DESIGNATION]],"-",""),"–",""),"*",""))</f>
        <v>Liaison en câble série 298 téléphone colonne /logements y compris fourreaux</v>
      </c>
      <c r="E764" s="9" t="s">
        <v>13</v>
      </c>
      <c r="F764" s="262">
        <v>192</v>
      </c>
      <c r="G764" s="289">
        <v>0</v>
      </c>
      <c r="H764" s="164">
        <v>0</v>
      </c>
      <c r="I764" t="s">
        <v>578</v>
      </c>
      <c r="J764" t="b">
        <f>AND(NOT(Compil[[#This Row],[Est ouvrage]]), NOT(ISBLANK(Compil[[#This Row],[ART.
CCTP]])))</f>
        <v>0</v>
      </c>
      <c r="K764" t="b">
        <f>OR(Compil[[#This Row],[Unité]]="U",Compil[[#This Row],[Unité]]="ens",Compil[[#This Row],[Unité]]="ml")</f>
        <v>1</v>
      </c>
      <c r="L764" t="b">
        <f>ISBLANK(Compil[[#This Row],[DESIGNATION]])</f>
        <v>0</v>
      </c>
      <c r="M764" s="359"/>
      <c r="N764" s="358"/>
      <c r="O764" s="358"/>
      <c r="P764" s="358"/>
      <c r="Q764" s="358">
        <f>COUNTIF(Compil[[Ma Désignation ]],Compil[[Ma Désignation ]])</f>
        <v>2</v>
      </c>
    </row>
    <row r="765" spans="1:17" ht="14">
      <c r="A765" s="303">
        <v>88</v>
      </c>
      <c r="B765" s="2"/>
      <c r="C765" s="220" t="s">
        <v>16</v>
      </c>
      <c r="D765" t="str">
        <f xml:space="preserve"> TRIM( SUBSTITUTE(SUBSTITUTE(SUBSTITUTE( Compil[[#This Row],[DESIGNATION]],"-",""),"–",""),"*",""))</f>
        <v>liaison équipotentielle principale</v>
      </c>
      <c r="E765" s="193" t="s">
        <v>12</v>
      </c>
      <c r="F765" s="252">
        <v>1</v>
      </c>
      <c r="G765" s="289" t="e">
        <f>IF(F765="","",(((L765*$M$6)+(M765*#REF!*#REF!))*$M$7)/F765)</f>
        <v>#VALUE!</v>
      </c>
      <c r="H765" s="164" t="e">
        <f>IF(F765="","",F765*G765)</f>
        <v>#VALUE!</v>
      </c>
      <c r="I765" t="s">
        <v>580</v>
      </c>
      <c r="J765" t="b">
        <f>AND(NOT(Compil[[#This Row],[Est ouvrage]]), NOT(ISBLANK(Compil[[#This Row],[ART.
CCTP]])))</f>
        <v>0</v>
      </c>
      <c r="K765" t="b">
        <f>OR(Compil[[#This Row],[Unité]]="U",Compil[[#This Row],[Unité]]="ens",Compil[[#This Row],[Unité]]="ml")</f>
        <v>1</v>
      </c>
      <c r="L765" t="b">
        <f>ISBLANK(Compil[[#This Row],[DESIGNATION]])</f>
        <v>0</v>
      </c>
      <c r="M765" s="359"/>
      <c r="N765" s="358"/>
      <c r="O765" s="358"/>
      <c r="P765" s="358"/>
      <c r="Q765" s="358">
        <f>COUNTIF(Compil[[Ma Désignation ]],Compil[[Ma Désignation ]])</f>
        <v>2</v>
      </c>
    </row>
    <row r="766" spans="1:17" ht="14">
      <c r="A766" s="312">
        <v>761</v>
      </c>
      <c r="B766" s="19"/>
      <c r="C766" s="436"/>
      <c r="D766" s="357" t="str">
        <f xml:space="preserve"> TRIM( SUBSTITUTE(SUBSTITUTE(SUBSTITUTE( Compil[[#This Row],[DESIGNATION]],"-",""),"–",""),"*",""))</f>
        <v/>
      </c>
      <c r="E766" s="102"/>
      <c r="F766" s="262"/>
      <c r="G766" s="289" t="s">
        <v>571</v>
      </c>
      <c r="H766" s="164" t="s">
        <v>571</v>
      </c>
      <c r="I766" t="s">
        <v>578</v>
      </c>
      <c r="J766" t="b">
        <f>AND(NOT(Compil[[#This Row],[Est ouvrage]]), NOT(ISBLANK(Compil[[#This Row],[ART.
CCTP]])))</f>
        <v>0</v>
      </c>
      <c r="K766" t="b">
        <f>OR(Compil[[#This Row],[Unité]]="U",Compil[[#This Row],[Unité]]="ens",Compil[[#This Row],[Unité]]="ml")</f>
        <v>0</v>
      </c>
      <c r="L766" t="b">
        <f>ISBLANK(Compil[[#This Row],[DESIGNATION]])</f>
        <v>1</v>
      </c>
      <c r="M766" s="358"/>
      <c r="N766" s="358"/>
      <c r="O766" s="358"/>
      <c r="P766" s="358"/>
      <c r="Q766" s="358">
        <f>COUNTIF(Compil[[Ma Désignation ]],Compil[[Ma Désignation ]])</f>
        <v>306</v>
      </c>
    </row>
    <row r="767" spans="1:17" ht="14">
      <c r="A767" s="312">
        <v>778</v>
      </c>
      <c r="B767" s="19"/>
      <c r="C767" s="86" t="s">
        <v>16</v>
      </c>
      <c r="D767" t="str">
        <f xml:space="preserve"> TRIM( SUBSTITUTE(SUBSTITUTE(SUBSTITUTE( Compil[[#This Row],[DESIGNATION]],"-",""),"–",""),"*",""))</f>
        <v>liaison équipotentielle principale</v>
      </c>
      <c r="E767" s="9" t="s">
        <v>12</v>
      </c>
      <c r="F767" s="262">
        <v>1</v>
      </c>
      <c r="G767" s="289">
        <v>0</v>
      </c>
      <c r="H767" s="164">
        <v>0</v>
      </c>
      <c r="I767" t="s">
        <v>578</v>
      </c>
      <c r="J767" t="b">
        <f>AND(NOT(Compil[[#This Row],[Est ouvrage]]), NOT(ISBLANK(Compil[[#This Row],[ART.
CCTP]])))</f>
        <v>0</v>
      </c>
      <c r="K767" t="b">
        <f>OR(Compil[[#This Row],[Unité]]="U",Compil[[#This Row],[Unité]]="ens",Compil[[#This Row],[Unité]]="ml")</f>
        <v>1</v>
      </c>
      <c r="L767" t="b">
        <f>ISBLANK(Compil[[#This Row],[DESIGNATION]])</f>
        <v>0</v>
      </c>
      <c r="M767" s="359"/>
      <c r="N767" s="358"/>
      <c r="O767" s="358"/>
      <c r="P767" s="358"/>
      <c r="Q767" s="358">
        <f>COUNTIF(Compil[[Ma Désignation ]],Compil[[Ma Désignation ]])</f>
        <v>2</v>
      </c>
    </row>
    <row r="768" spans="1:17" ht="14">
      <c r="A768" s="312">
        <v>763</v>
      </c>
      <c r="B768" s="19"/>
      <c r="C768" s="20"/>
      <c r="D768" t="str">
        <f xml:space="preserve"> TRIM( SUBSTITUTE(SUBSTITUTE(SUBSTITUTE( Compil[[#This Row],[DESIGNATION]],"-",""),"–",""),"*",""))</f>
        <v/>
      </c>
      <c r="E768" s="102"/>
      <c r="F768" s="262"/>
      <c r="G768" s="289" t="s">
        <v>571</v>
      </c>
      <c r="H768" s="164" t="s">
        <v>571</v>
      </c>
      <c r="I768" t="s">
        <v>578</v>
      </c>
      <c r="J768" t="b">
        <f>AND(NOT(Compil[[#This Row],[Est ouvrage]]), NOT(ISBLANK(Compil[[#This Row],[ART.
CCTP]])))</f>
        <v>0</v>
      </c>
      <c r="K768" t="b">
        <f>OR(Compil[[#This Row],[Unité]]="U",Compil[[#This Row],[Unité]]="ens",Compil[[#This Row],[Unité]]="ml")</f>
        <v>0</v>
      </c>
      <c r="L768" t="b">
        <f>ISBLANK(Compil[[#This Row],[DESIGNATION]])</f>
        <v>1</v>
      </c>
      <c r="M768" s="358"/>
      <c r="N768" s="358"/>
      <c r="O768" s="358"/>
      <c r="P768" s="358"/>
      <c r="Q768" s="358">
        <f>COUNTIF(Compil[[Ma Désignation ]],Compil[[Ma Désignation ]])</f>
        <v>306</v>
      </c>
    </row>
    <row r="769" spans="1:17" ht="14">
      <c r="A769" s="303">
        <v>91</v>
      </c>
      <c r="B769" s="2"/>
      <c r="C769" s="221" t="s">
        <v>31</v>
      </c>
      <c r="D769" t="str">
        <f xml:space="preserve"> TRIM( SUBSTITUTE(SUBSTITUTE(SUBSTITUTE( Compil[[#This Row],[DESIGNATION]],"-",""),"–",""),"*",""))</f>
        <v>liaison équipotentielle secondaire dans chaque logement</v>
      </c>
      <c r="E769" s="193" t="s">
        <v>13</v>
      </c>
      <c r="F769" s="252">
        <f>QTE!J148-'BATIMENT SOHO-ELEC 1'!D65</f>
        <v>118</v>
      </c>
      <c r="G769" s="289" t="e">
        <f>IF(F769="","",(((L769*$M$6)+(M769*#REF!*#REF!))*$M$7)/F769)</f>
        <v>#VALUE!</v>
      </c>
      <c r="H769" s="164" t="e">
        <f>IF(F769="","",F769*G769)</f>
        <v>#VALUE!</v>
      </c>
      <c r="I769" t="s">
        <v>580</v>
      </c>
      <c r="J769" t="b">
        <f>AND(NOT(Compil[[#This Row],[Est ouvrage]]), NOT(ISBLANK(Compil[[#This Row],[ART.
CCTP]])))</f>
        <v>0</v>
      </c>
      <c r="K769" t="b">
        <f>OR(Compil[[#This Row],[Unité]]="U",Compil[[#This Row],[Unité]]="ens",Compil[[#This Row],[Unité]]="ml")</f>
        <v>1</v>
      </c>
      <c r="L769" t="b">
        <f>ISBLANK(Compil[[#This Row],[DESIGNATION]])</f>
        <v>0</v>
      </c>
      <c r="M769" s="359"/>
      <c r="N769" s="358"/>
      <c r="O769" s="358"/>
      <c r="P769" s="358"/>
      <c r="Q769" s="358">
        <f>COUNTIF(Compil[[Ma Désignation ]],Compil[[Ma Désignation ]])</f>
        <v>2</v>
      </c>
    </row>
    <row r="770" spans="1:17" ht="14">
      <c r="A770" s="312">
        <v>765</v>
      </c>
      <c r="B770" s="19"/>
      <c r="C770" s="20"/>
      <c r="D770" t="str">
        <f xml:space="preserve"> TRIM( SUBSTITUTE(SUBSTITUTE(SUBSTITUTE( Compil[[#This Row],[DESIGNATION]],"-",""),"–",""),"*",""))</f>
        <v/>
      </c>
      <c r="E770" s="102"/>
      <c r="F770" s="262"/>
      <c r="G770" s="289" t="s">
        <v>571</v>
      </c>
      <c r="H770" s="164" t="s">
        <v>571</v>
      </c>
      <c r="I770" t="s">
        <v>578</v>
      </c>
      <c r="J770" t="b">
        <f>AND(NOT(Compil[[#This Row],[Est ouvrage]]), NOT(ISBLANK(Compil[[#This Row],[ART.
CCTP]])))</f>
        <v>0</v>
      </c>
      <c r="K770" t="b">
        <f>OR(Compil[[#This Row],[Unité]]="U",Compil[[#This Row],[Unité]]="ens",Compil[[#This Row],[Unité]]="ml")</f>
        <v>0</v>
      </c>
      <c r="L770" t="b">
        <f>ISBLANK(Compil[[#This Row],[DESIGNATION]])</f>
        <v>1</v>
      </c>
      <c r="M770" s="358"/>
      <c r="N770" s="358"/>
      <c r="O770" s="358"/>
      <c r="P770" s="358"/>
      <c r="Q770" s="358">
        <f>COUNTIF(Compil[[Ma Désignation ]],Compil[[Ma Désignation ]])</f>
        <v>306</v>
      </c>
    </row>
    <row r="771" spans="1:17" ht="14">
      <c r="A771" s="312">
        <v>781</v>
      </c>
      <c r="B771" s="19"/>
      <c r="C771" s="47" t="s">
        <v>31</v>
      </c>
      <c r="D771" t="str">
        <f xml:space="preserve"> TRIM( SUBSTITUTE(SUBSTITUTE(SUBSTITUTE( Compil[[#This Row],[DESIGNATION]],"-",""),"–",""),"*",""))</f>
        <v>liaison équipotentielle secondaire dans chaque logement</v>
      </c>
      <c r="E771" s="9" t="s">
        <v>13</v>
      </c>
      <c r="F771" s="262">
        <v>16</v>
      </c>
      <c r="G771" s="289">
        <v>0</v>
      </c>
      <c r="H771" s="164">
        <v>0</v>
      </c>
      <c r="I771" t="s">
        <v>578</v>
      </c>
      <c r="J771" t="b">
        <f>AND(NOT(Compil[[#This Row],[Est ouvrage]]), NOT(ISBLANK(Compil[[#This Row],[ART.
CCTP]])))</f>
        <v>0</v>
      </c>
      <c r="K771" t="b">
        <f>OR(Compil[[#This Row],[Unité]]="U",Compil[[#This Row],[Unité]]="ens",Compil[[#This Row],[Unité]]="ml")</f>
        <v>1</v>
      </c>
      <c r="L771" t="b">
        <f>ISBLANK(Compil[[#This Row],[DESIGNATION]])</f>
        <v>0</v>
      </c>
      <c r="M771" s="359"/>
      <c r="N771" s="358"/>
      <c r="O771" s="358"/>
      <c r="P771" s="358"/>
      <c r="Q771" s="358">
        <f>COUNTIF(Compil[[Ma Désignation ]],Compil[[Ma Désignation ]])</f>
        <v>2</v>
      </c>
    </row>
    <row r="772" spans="1:17" ht="14">
      <c r="A772" s="312">
        <v>767</v>
      </c>
      <c r="B772" s="19"/>
      <c r="C772" s="409"/>
      <c r="D772" t="str">
        <f xml:space="preserve"> TRIM( SUBSTITUTE(SUBSTITUTE(SUBSTITUTE( Compil[[#This Row],[DESIGNATION]],"-",""),"–",""),"*",""))</f>
        <v/>
      </c>
      <c r="E772" s="103"/>
      <c r="F772" s="262"/>
      <c r="G772" s="289" t="s">
        <v>571</v>
      </c>
      <c r="H772" s="164" t="s">
        <v>571</v>
      </c>
      <c r="I772" t="s">
        <v>578</v>
      </c>
      <c r="J772" t="b">
        <f>AND(NOT(Compil[[#This Row],[Est ouvrage]]), NOT(ISBLANK(Compil[[#This Row],[ART.
CCTP]])))</f>
        <v>0</v>
      </c>
      <c r="K772" t="b">
        <f>OR(Compil[[#This Row],[Unité]]="U",Compil[[#This Row],[Unité]]="ens",Compil[[#This Row],[Unité]]="ml")</f>
        <v>0</v>
      </c>
      <c r="L772" t="b">
        <f>ISBLANK(Compil[[#This Row],[DESIGNATION]])</f>
        <v>1</v>
      </c>
      <c r="M772" s="358"/>
      <c r="N772" s="358"/>
      <c r="O772" s="358"/>
      <c r="P772" s="358"/>
      <c r="Q772" s="358">
        <f>COUNTIF(Compil[[Ma Désignation ]],Compil[[Ma Désignation ]])</f>
        <v>306</v>
      </c>
    </row>
    <row r="773" spans="1:17" ht="14">
      <c r="A773" s="303">
        <v>269</v>
      </c>
      <c r="B773" s="179"/>
      <c r="C773" s="224" t="s">
        <v>45</v>
      </c>
      <c r="D773" t="str">
        <f xml:space="preserve"> TRIM( SUBSTITUTE(SUBSTITUTE(SUBSTITUTE( Compil[[#This Row],[DESIGNATION]],"-",""),"–",""),"*",""))</f>
        <v>liaison IP colonne/logement</v>
      </c>
      <c r="E773" s="193" t="s">
        <v>12</v>
      </c>
      <c r="F773" s="252">
        <v>1</v>
      </c>
      <c r="G773" s="289" t="e">
        <f>IF(F773="","",(((L773*$M$6)+(M773*#REF!*#REF!))*$M$7)/F773)</f>
        <v>#VALUE!</v>
      </c>
      <c r="H773" s="164" t="e">
        <f>IF(F773="","",F773*G773)</f>
        <v>#VALUE!</v>
      </c>
      <c r="I773" t="s">
        <v>580</v>
      </c>
      <c r="J773" t="b">
        <f>AND(NOT(Compil[[#This Row],[Est ouvrage]]), NOT(ISBLANK(Compil[[#This Row],[ART.
CCTP]])))</f>
        <v>0</v>
      </c>
      <c r="K773" t="b">
        <f>OR(Compil[[#This Row],[Unité]]="U",Compil[[#This Row],[Unité]]="ens",Compil[[#This Row],[Unité]]="ml")</f>
        <v>1</v>
      </c>
      <c r="L773" t="b">
        <f>ISBLANK(Compil[[#This Row],[DESIGNATION]])</f>
        <v>0</v>
      </c>
      <c r="M773" s="359"/>
      <c r="N773" s="358"/>
      <c r="O773" s="358"/>
      <c r="P773" s="358"/>
      <c r="Q773" s="358">
        <f>COUNTIF(Compil[[Ma Désignation ]],Compil[[Ma Désignation ]])</f>
        <v>2</v>
      </c>
    </row>
    <row r="774" spans="1:17" ht="14">
      <c r="A774" s="312">
        <v>769</v>
      </c>
      <c r="B774" s="19"/>
      <c r="C774" s="20"/>
      <c r="D774" t="str">
        <f xml:space="preserve"> TRIM( SUBSTITUTE(SUBSTITUTE(SUBSTITUTE( Compil[[#This Row],[DESIGNATION]],"-",""),"–",""),"*",""))</f>
        <v/>
      </c>
      <c r="E774" s="102"/>
      <c r="F774" s="262"/>
      <c r="G774" s="289" t="s">
        <v>571</v>
      </c>
      <c r="H774" s="164" t="s">
        <v>571</v>
      </c>
      <c r="I774" t="s">
        <v>578</v>
      </c>
      <c r="J774" t="b">
        <f>AND(NOT(Compil[[#This Row],[Est ouvrage]]), NOT(ISBLANK(Compil[[#This Row],[ART.
CCTP]])))</f>
        <v>0</v>
      </c>
      <c r="K774" t="b">
        <f>OR(Compil[[#This Row],[Unité]]="U",Compil[[#This Row],[Unité]]="ens",Compil[[#This Row],[Unité]]="ml")</f>
        <v>0</v>
      </c>
      <c r="L774" t="b">
        <f>ISBLANK(Compil[[#This Row],[DESIGNATION]])</f>
        <v>1</v>
      </c>
      <c r="M774" s="358"/>
      <c r="N774" s="358"/>
      <c r="O774" s="358"/>
      <c r="P774" s="358"/>
      <c r="Q774" s="358">
        <f>COUNTIF(Compil[[Ma Désignation ]],Compil[[Ma Désignation ]])</f>
        <v>306</v>
      </c>
    </row>
    <row r="775" spans="1:17" ht="14">
      <c r="A775" s="312">
        <v>904</v>
      </c>
      <c r="B775" s="17"/>
      <c r="C775" s="86" t="s">
        <v>45</v>
      </c>
      <c r="D775" t="str">
        <f xml:space="preserve"> TRIM( SUBSTITUTE(SUBSTITUTE(SUBSTITUTE( Compil[[#This Row],[DESIGNATION]],"-",""),"–",""),"*",""))</f>
        <v>liaison IP colonne/logement</v>
      </c>
      <c r="E775" s="9" t="s">
        <v>12</v>
      </c>
      <c r="F775" s="262">
        <v>1</v>
      </c>
      <c r="G775" s="289">
        <v>0</v>
      </c>
      <c r="H775" s="164">
        <v>0</v>
      </c>
      <c r="I775" t="s">
        <v>578</v>
      </c>
      <c r="J775" t="b">
        <f>AND(NOT(Compil[[#This Row],[Est ouvrage]]), NOT(ISBLANK(Compil[[#This Row],[ART.
CCTP]])))</f>
        <v>0</v>
      </c>
      <c r="K775" t="b">
        <f>OR(Compil[[#This Row],[Unité]]="U",Compil[[#This Row],[Unité]]="ens",Compil[[#This Row],[Unité]]="ml")</f>
        <v>1</v>
      </c>
      <c r="L775" t="b">
        <f>ISBLANK(Compil[[#This Row],[DESIGNATION]])</f>
        <v>0</v>
      </c>
      <c r="M775" s="359"/>
      <c r="N775" s="358"/>
      <c r="O775" s="358"/>
      <c r="P775" s="358"/>
      <c r="Q775" s="358">
        <f>COUNTIF(Compil[[Ma Désignation ]],Compil[[Ma Désignation ]])</f>
        <v>2</v>
      </c>
    </row>
    <row r="776" spans="1:17" ht="14">
      <c r="A776" s="312">
        <v>771</v>
      </c>
      <c r="B776" s="19"/>
      <c r="C776" s="81"/>
      <c r="D776" s="357" t="str">
        <f xml:space="preserve"> TRIM( SUBSTITUTE(SUBSTITUTE(SUBSTITUTE( Compil[[#This Row],[DESIGNATION]],"-",""),"–",""),"*",""))</f>
        <v/>
      </c>
      <c r="E776" s="33"/>
      <c r="F776" s="262"/>
      <c r="G776" s="289" t="s">
        <v>571</v>
      </c>
      <c r="H776" s="164" t="s">
        <v>571</v>
      </c>
      <c r="I776" t="s">
        <v>578</v>
      </c>
      <c r="J776" t="b">
        <f>AND(NOT(Compil[[#This Row],[Est ouvrage]]), NOT(ISBLANK(Compil[[#This Row],[ART.
CCTP]])))</f>
        <v>0</v>
      </c>
      <c r="K776" t="b">
        <f>OR(Compil[[#This Row],[Unité]]="U",Compil[[#This Row],[Unité]]="ens",Compil[[#This Row],[Unité]]="ml")</f>
        <v>0</v>
      </c>
      <c r="L776" t="b">
        <f>ISBLANK(Compil[[#This Row],[DESIGNATION]])</f>
        <v>1</v>
      </c>
      <c r="M776" s="358"/>
      <c r="N776" s="358"/>
      <c r="O776" s="358"/>
      <c r="P776" s="358"/>
      <c r="Q776" s="358">
        <f>COUNTIF(Compil[[Ma Désignation ]],Compil[[Ma Désignation ]])</f>
        <v>306</v>
      </c>
    </row>
    <row r="777" spans="1:17" ht="14">
      <c r="A777" s="312">
        <v>772</v>
      </c>
      <c r="B777" s="19"/>
      <c r="C777" s="395" t="s">
        <v>358</v>
      </c>
      <c r="D777" t="str">
        <f xml:space="preserve"> TRIM( SUBSTITUTE(SUBSTITUTE(SUBSTITUTE( Compil[[#This Row],[DESIGNATION]],"-",""),"–",""),"*",""))</f>
        <v>Sous total 3.1</v>
      </c>
      <c r="E777" s="33"/>
      <c r="F777" s="262"/>
      <c r="G777" s="289" t="s">
        <v>571</v>
      </c>
      <c r="H777" s="164" t="s">
        <v>571</v>
      </c>
      <c r="I777" t="s">
        <v>578</v>
      </c>
      <c r="J777" t="b">
        <f>AND(NOT(Compil[[#This Row],[Est ouvrage]]), NOT(ISBLANK(Compil[[#This Row],[ART.
CCTP]])))</f>
        <v>0</v>
      </c>
      <c r="K777" t="b">
        <f>OR(Compil[[#This Row],[Unité]]="U",Compil[[#This Row],[Unité]]="ens",Compil[[#This Row],[Unité]]="ml")</f>
        <v>0</v>
      </c>
      <c r="L777" t="b">
        <f>ISBLANK(Compil[[#This Row],[DESIGNATION]])</f>
        <v>0</v>
      </c>
      <c r="M777" s="359"/>
      <c r="N777" s="358"/>
      <c r="O777" s="358"/>
      <c r="P777" s="358"/>
      <c r="Q777" s="358">
        <f>COUNTIF(Compil[[Ma Désignation ]],Compil[[Ma Désignation ]])</f>
        <v>1</v>
      </c>
    </row>
    <row r="778" spans="1:17" ht="14">
      <c r="A778" s="312">
        <v>773</v>
      </c>
      <c r="B778" s="19"/>
      <c r="C778" s="421"/>
      <c r="D778" t="str">
        <f xml:space="preserve"> TRIM( SUBSTITUTE(SUBSTITUTE(SUBSTITUTE( Compil[[#This Row],[DESIGNATION]],"-",""),"–",""),"*",""))</f>
        <v/>
      </c>
      <c r="E778" s="33"/>
      <c r="F778" s="262"/>
      <c r="G778" s="289" t="s">
        <v>571</v>
      </c>
      <c r="H778" s="164" t="s">
        <v>571</v>
      </c>
      <c r="I778" t="s">
        <v>578</v>
      </c>
      <c r="J778" t="b">
        <f>AND(NOT(Compil[[#This Row],[Est ouvrage]]), NOT(ISBLANK(Compil[[#This Row],[ART.
CCTP]])))</f>
        <v>0</v>
      </c>
      <c r="K778" t="b">
        <f>OR(Compil[[#This Row],[Unité]]="U",Compil[[#This Row],[Unité]]="ens",Compil[[#This Row],[Unité]]="ml")</f>
        <v>0</v>
      </c>
      <c r="L778" t="b">
        <f>ISBLANK(Compil[[#This Row],[DESIGNATION]])</f>
        <v>1</v>
      </c>
      <c r="M778" s="358"/>
      <c r="N778" s="358"/>
      <c r="O778" s="358"/>
      <c r="P778" s="358"/>
      <c r="Q778" s="358">
        <f>COUNTIF(Compil[[Ma Désignation ]],Compil[[Ma Désignation ]])</f>
        <v>306</v>
      </c>
    </row>
    <row r="779" spans="1:17" ht="14">
      <c r="A779" s="312">
        <v>774</v>
      </c>
      <c r="B779" s="19" t="s">
        <v>360</v>
      </c>
      <c r="C779" s="78" t="s">
        <v>29</v>
      </c>
      <c r="D779" t="str">
        <f xml:space="preserve"> TRIM( SUBSTITUTE(SUBSTITUTE(SUBSTITUTE( Compil[[#This Row],[DESIGNATION]],"-",""),"–",""),"*",""))</f>
        <v>Circuit de terreLiaison équipotentielle</v>
      </c>
      <c r="E779" s="33"/>
      <c r="F779" s="262"/>
      <c r="G779" s="289" t="s">
        <v>571</v>
      </c>
      <c r="H779" s="164" t="s">
        <v>571</v>
      </c>
      <c r="I779" t="s">
        <v>578</v>
      </c>
      <c r="J779" t="b">
        <f>AND(NOT(Compil[[#This Row],[Est ouvrage]]), NOT(ISBLANK(Compil[[#This Row],[ART.
CCTP]])))</f>
        <v>1</v>
      </c>
      <c r="K779" t="b">
        <f>OR(Compil[[#This Row],[Unité]]="U",Compil[[#This Row],[Unité]]="ens",Compil[[#This Row],[Unité]]="ml")</f>
        <v>0</v>
      </c>
      <c r="L779" t="b">
        <f>ISBLANK(Compil[[#This Row],[DESIGNATION]])</f>
        <v>0</v>
      </c>
      <c r="M779" s="359"/>
      <c r="N779" s="358"/>
      <c r="O779" s="358"/>
      <c r="P779" s="358"/>
      <c r="Q779" s="358">
        <f>COUNTIF(Compil[[Ma Désignation ]],Compil[[Ma Désignation ]])</f>
        <v>2</v>
      </c>
    </row>
    <row r="780" spans="1:17" ht="14">
      <c r="A780" s="312">
        <v>775</v>
      </c>
      <c r="B780" s="19"/>
      <c r="C780" s="86"/>
      <c r="D780" t="str">
        <f xml:space="preserve"> TRIM( SUBSTITUTE(SUBSTITUTE(SUBSTITUTE( Compil[[#This Row],[DESIGNATION]],"-",""),"–",""),"*",""))</f>
        <v/>
      </c>
      <c r="E780" s="33"/>
      <c r="F780" s="262"/>
      <c r="G780" s="289" t="s">
        <v>571</v>
      </c>
      <c r="H780" s="164" t="s">
        <v>571</v>
      </c>
      <c r="I780" t="s">
        <v>578</v>
      </c>
      <c r="J780" t="b">
        <f>AND(NOT(Compil[[#This Row],[Est ouvrage]]), NOT(ISBLANK(Compil[[#This Row],[ART.
CCTP]])))</f>
        <v>0</v>
      </c>
      <c r="K780" t="b">
        <f>OR(Compil[[#This Row],[Unité]]="U",Compil[[#This Row],[Unité]]="ens",Compil[[#This Row],[Unité]]="ml")</f>
        <v>0</v>
      </c>
      <c r="L780" t="b">
        <f>ISBLANK(Compil[[#This Row],[DESIGNATION]])</f>
        <v>1</v>
      </c>
      <c r="M780" s="358"/>
      <c r="N780" s="358"/>
      <c r="O780" s="358"/>
      <c r="P780" s="358"/>
      <c r="Q780" s="358">
        <f>COUNTIF(Compil[[Ma Désignation ]],Compil[[Ma Désignation ]])</f>
        <v>306</v>
      </c>
    </row>
    <row r="781" spans="1:17" ht="14">
      <c r="A781" s="303">
        <v>252</v>
      </c>
      <c r="B781" s="2"/>
      <c r="C781" s="224" t="s">
        <v>40</v>
      </c>
      <c r="D781" t="str">
        <f xml:space="preserve"> TRIM( SUBSTITUTE(SUBSTITUTE(SUBSTITUTE( Compil[[#This Row],[DESIGNATION]],"-",""),"–",""),"*",""))</f>
        <v>liaison TV colonne /logement sous fourreaux</v>
      </c>
      <c r="E781" s="216" t="s">
        <v>12</v>
      </c>
      <c r="F781" s="252">
        <v>1</v>
      </c>
      <c r="G781" s="289" t="e">
        <f>IF(F781="","",(((L781*$M$6)+(M781*#REF!*#REF!))*$M$7)/F781)</f>
        <v>#VALUE!</v>
      </c>
      <c r="H781" s="164" t="e">
        <f>IF(F781="","",F781*G781)</f>
        <v>#VALUE!</v>
      </c>
      <c r="I781" t="s">
        <v>580</v>
      </c>
      <c r="J781" t="b">
        <f>AND(NOT(Compil[[#This Row],[Est ouvrage]]), NOT(ISBLANK(Compil[[#This Row],[ART.
CCTP]])))</f>
        <v>0</v>
      </c>
      <c r="K781" t="b">
        <f>OR(Compil[[#This Row],[Unité]]="U",Compil[[#This Row],[Unité]]="ens",Compil[[#This Row],[Unité]]="ml")</f>
        <v>1</v>
      </c>
      <c r="L781" t="b">
        <f>ISBLANK(Compil[[#This Row],[DESIGNATION]])</f>
        <v>0</v>
      </c>
      <c r="M781" s="359"/>
      <c r="N781" s="358"/>
      <c r="O781" s="358"/>
      <c r="P781" s="358"/>
      <c r="Q781" s="358">
        <f>COUNTIF(Compil[[Ma Désignation ]],Compil[[Ma Désignation ]])</f>
        <v>2</v>
      </c>
    </row>
    <row r="782" spans="1:17" ht="14">
      <c r="A782" s="312">
        <v>887</v>
      </c>
      <c r="B782" s="19"/>
      <c r="C782" s="86" t="s">
        <v>40</v>
      </c>
      <c r="D782" t="str">
        <f xml:space="preserve"> TRIM( SUBSTITUTE(SUBSTITUTE(SUBSTITUTE( Compil[[#This Row],[DESIGNATION]],"-",""),"–",""),"*",""))</f>
        <v>liaison TV colonne /logement sous fourreaux</v>
      </c>
      <c r="E782" s="33" t="s">
        <v>12</v>
      </c>
      <c r="F782" s="262">
        <v>1</v>
      </c>
      <c r="G782" s="289">
        <v>0</v>
      </c>
      <c r="H782" s="164">
        <v>0</v>
      </c>
      <c r="I782" t="s">
        <v>578</v>
      </c>
      <c r="J782" t="b">
        <f>AND(NOT(Compil[[#This Row],[Est ouvrage]]), NOT(ISBLANK(Compil[[#This Row],[ART.
CCTP]])))</f>
        <v>0</v>
      </c>
      <c r="K782" t="b">
        <f>OR(Compil[[#This Row],[Unité]]="U",Compil[[#This Row],[Unité]]="ens",Compil[[#This Row],[Unité]]="ml")</f>
        <v>1</v>
      </c>
      <c r="L782" t="b">
        <f>ISBLANK(Compil[[#This Row],[DESIGNATION]])</f>
        <v>0</v>
      </c>
      <c r="M782" s="359"/>
      <c r="N782" s="358"/>
      <c r="O782" s="358"/>
      <c r="P782" s="358"/>
      <c r="Q782" s="358">
        <f>COUNTIF(Compil[[Ma Désignation ]],Compil[[Ma Désignation ]])</f>
        <v>2</v>
      </c>
    </row>
    <row r="783" spans="1:17" ht="25">
      <c r="A783" s="303">
        <v>184</v>
      </c>
      <c r="B783" s="2"/>
      <c r="C783" s="221" t="s">
        <v>66</v>
      </c>
      <c r="D783" t="str">
        <f xml:space="preserve"> TRIM( SUBSTITUTE(SUBSTITUTE(SUBSTITUTE( Compil[[#This Row],[DESIGNATION]],"-",""),"–",""),"*",""))</f>
        <v>liaisons en câble 8/10 1paire sous fourreau y compris raccordements</v>
      </c>
      <c r="E783" s="216" t="s">
        <v>12</v>
      </c>
      <c r="F783" s="252">
        <v>1</v>
      </c>
      <c r="G783" s="289" t="e">
        <f>IF(F783="","",(((L783*$M$6)+(M783*#REF!*#REF!))*$M$7)/F783)</f>
        <v>#VALUE!</v>
      </c>
      <c r="H783" s="164" t="e">
        <f>IF(F783="","",F783*G783)</f>
        <v>#VALUE!</v>
      </c>
      <c r="I783" t="s">
        <v>580</v>
      </c>
      <c r="J783" t="b">
        <f>AND(NOT(Compil[[#This Row],[Est ouvrage]]), NOT(ISBLANK(Compil[[#This Row],[ART.
CCTP]])))</f>
        <v>0</v>
      </c>
      <c r="K783" t="b">
        <f>OR(Compil[[#This Row],[Unité]]="U",Compil[[#This Row],[Unité]]="ens",Compil[[#This Row],[Unité]]="ml")</f>
        <v>1</v>
      </c>
      <c r="L783" t="b">
        <f>ISBLANK(Compil[[#This Row],[DESIGNATION]])</f>
        <v>0</v>
      </c>
      <c r="M783" s="359"/>
      <c r="N783" s="358"/>
      <c r="O783" s="358"/>
      <c r="P783" s="358"/>
      <c r="Q783" s="358">
        <f>COUNTIF(Compil[[Ma Désignation ]],Compil[[Ma Désignation ]])</f>
        <v>1</v>
      </c>
    </row>
    <row r="784" spans="1:17" ht="25">
      <c r="A784" s="303">
        <v>183</v>
      </c>
      <c r="B784" s="2"/>
      <c r="C784" s="221" t="s">
        <v>168</v>
      </c>
      <c r="D784" t="str">
        <f xml:space="preserve"> TRIM( SUBSTITUTE(SUBSTITUTE(SUBSTITUTE( Compil[[#This Row],[DESIGNATION]],"-",""),"–",""),"*",""))</f>
        <v>liaisons en câble CR1 sous fourreau y compris raccordements (asservissements porte de recoupement)</v>
      </c>
      <c r="E784" s="216" t="s">
        <v>12</v>
      </c>
      <c r="F784" s="252">
        <v>1</v>
      </c>
      <c r="G784" s="289" t="e">
        <f>IF(F784="","",(((L784*$M$6)+(M784*#REF!*#REF!))*$M$7)/F784)</f>
        <v>#VALUE!</v>
      </c>
      <c r="H784" s="164" t="e">
        <f>IF(F784="","",F784*G784)</f>
        <v>#VALUE!</v>
      </c>
      <c r="I784" t="s">
        <v>580</v>
      </c>
      <c r="J784" t="b">
        <f>AND(NOT(Compil[[#This Row],[Est ouvrage]]), NOT(ISBLANK(Compil[[#This Row],[ART.
CCTP]])))</f>
        <v>0</v>
      </c>
      <c r="K784" t="b">
        <f>OR(Compil[[#This Row],[Unité]]="U",Compil[[#This Row],[Unité]]="ens",Compil[[#This Row],[Unité]]="ml")</f>
        <v>1</v>
      </c>
      <c r="L784" t="b">
        <f>ISBLANK(Compil[[#This Row],[DESIGNATION]])</f>
        <v>0</v>
      </c>
      <c r="M784" s="359"/>
      <c r="N784" s="358"/>
      <c r="O784" s="358"/>
      <c r="P784" s="358"/>
      <c r="Q784" s="358">
        <f>COUNTIF(Compil[[Ma Désignation ]],Compil[[Ma Désignation ]])</f>
        <v>1</v>
      </c>
    </row>
    <row r="785" spans="1:17" ht="25">
      <c r="A785" s="303">
        <v>182</v>
      </c>
      <c r="B785" s="2"/>
      <c r="C785" s="221" t="s">
        <v>169</v>
      </c>
      <c r="D785" t="str">
        <f xml:space="preserve"> TRIM( SUBSTITUTE(SUBSTITUTE(SUBSTITUTE( Compil[[#This Row],[DESIGNATION]],"-",""),"–",""),"*",""))</f>
        <v>liaisons en câble CR1 sous fourreau y compris raccordements (asservissements Vb/Vh)</v>
      </c>
      <c r="E785" s="216" t="s">
        <v>12</v>
      </c>
      <c r="F785" s="252">
        <v>1</v>
      </c>
      <c r="G785" s="289" t="e">
        <f>IF(F785="","",(((L785*$M$6)+(M785*#REF!*#REF!))*$M$7)/F785)</f>
        <v>#VALUE!</v>
      </c>
      <c r="H785" s="164" t="e">
        <f>IF(F785="","",F785*G785)</f>
        <v>#VALUE!</v>
      </c>
      <c r="I785" t="s">
        <v>580</v>
      </c>
      <c r="J785" t="b">
        <f>AND(NOT(Compil[[#This Row],[Est ouvrage]]), NOT(ISBLANK(Compil[[#This Row],[ART.
CCTP]])))</f>
        <v>0</v>
      </c>
      <c r="K785" t="b">
        <f>OR(Compil[[#This Row],[Unité]]="U",Compil[[#This Row],[Unité]]="ens",Compil[[#This Row],[Unité]]="ml")</f>
        <v>1</v>
      </c>
      <c r="L785" t="b">
        <f>ISBLANK(Compil[[#This Row],[DESIGNATION]])</f>
        <v>0</v>
      </c>
      <c r="M785" s="359"/>
      <c r="N785" s="358"/>
      <c r="O785" s="358"/>
      <c r="P785" s="358"/>
      <c r="Q785" s="358">
        <f>COUNTIF(Compil[[Ma Désignation ]],Compil[[Ma Désignation ]])</f>
        <v>1</v>
      </c>
    </row>
    <row r="786" spans="1:17" ht="27">
      <c r="A786" s="303">
        <v>170</v>
      </c>
      <c r="B786" s="2"/>
      <c r="C786" s="221" t="s">
        <v>20</v>
      </c>
      <c r="D786" t="str">
        <f xml:space="preserve"> TRIM( SUBSTITUTE(SUBSTITUTE(SUBSTITUTE( Compil[[#This Row],[DESIGNATION]],"-",""),"–",""),"*",""))</f>
        <v>liaisons en câble R02V 2x1,5mm2 sous fourreau y compris raccordements</v>
      </c>
      <c r="E786" s="216" t="s">
        <v>12</v>
      </c>
      <c r="F786" s="252">
        <v>1</v>
      </c>
      <c r="G786" s="289" t="e">
        <f>IF(F786="","",(((L786*$M$6)+(M786*#REF!*#REF!))*$M$7)/F786)</f>
        <v>#VALUE!</v>
      </c>
      <c r="H786" s="164" t="e">
        <f>IF(F786="","",F786*G786)</f>
        <v>#VALUE!</v>
      </c>
      <c r="I786" t="s">
        <v>580</v>
      </c>
      <c r="J786" t="b">
        <f>AND(NOT(Compil[[#This Row],[Est ouvrage]]), NOT(ISBLANK(Compil[[#This Row],[ART.
CCTP]])))</f>
        <v>0</v>
      </c>
      <c r="K786" t="b">
        <f>OR(Compil[[#This Row],[Unité]]="U",Compil[[#This Row],[Unité]]="ens",Compil[[#This Row],[Unité]]="ml")</f>
        <v>1</v>
      </c>
      <c r="L786" t="b">
        <f>ISBLANK(Compil[[#This Row],[DESIGNATION]])</f>
        <v>0</v>
      </c>
      <c r="M786" s="359"/>
      <c r="N786" s="358"/>
      <c r="O786" s="358"/>
      <c r="P786" s="358"/>
      <c r="Q786" s="358">
        <f>COUNTIF(Compil[[Ma Désignation ]],Compil[[Ma Désignation ]])</f>
        <v>2</v>
      </c>
    </row>
    <row r="787" spans="1:17" ht="14">
      <c r="A787" s="312">
        <v>782</v>
      </c>
      <c r="B787" s="19"/>
      <c r="C787" s="421"/>
      <c r="D787" t="str">
        <f xml:space="preserve"> TRIM( SUBSTITUTE(SUBSTITUTE(SUBSTITUTE( Compil[[#This Row],[DESIGNATION]],"-",""),"–",""),"*",""))</f>
        <v/>
      </c>
      <c r="E787" s="33"/>
      <c r="F787" s="262"/>
      <c r="G787" s="289" t="s">
        <v>571</v>
      </c>
      <c r="H787" s="164" t="s">
        <v>571</v>
      </c>
      <c r="I787" t="s">
        <v>578</v>
      </c>
      <c r="J787" t="b">
        <f>AND(NOT(Compil[[#This Row],[Est ouvrage]]), NOT(ISBLANK(Compil[[#This Row],[ART.
CCTP]])))</f>
        <v>0</v>
      </c>
      <c r="K787" t="b">
        <f>OR(Compil[[#This Row],[Unité]]="U",Compil[[#This Row],[Unité]]="ens",Compil[[#This Row],[Unité]]="ml")</f>
        <v>0</v>
      </c>
      <c r="L787" t="b">
        <f>ISBLANK(Compil[[#This Row],[DESIGNATION]])</f>
        <v>1</v>
      </c>
      <c r="M787" s="358"/>
      <c r="N787" s="358"/>
      <c r="O787" s="358"/>
      <c r="P787" s="358"/>
      <c r="Q787" s="358">
        <f>COUNTIF(Compil[[Ma Désignation ]],Compil[[Ma Désignation ]])</f>
        <v>306</v>
      </c>
    </row>
    <row r="788" spans="1:17" ht="14">
      <c r="A788" s="312">
        <v>783</v>
      </c>
      <c r="B788" s="19"/>
      <c r="C788" s="395" t="s">
        <v>361</v>
      </c>
      <c r="D788" t="str">
        <f xml:space="preserve"> TRIM( SUBSTITUTE(SUBSTITUTE(SUBSTITUTE( Compil[[#This Row],[DESIGNATION]],"-",""),"–",""),"*",""))</f>
        <v>Sous total 3.2</v>
      </c>
      <c r="E788" s="33"/>
      <c r="F788" s="262"/>
      <c r="G788" s="289" t="s">
        <v>571</v>
      </c>
      <c r="H788" s="164" t="s">
        <v>571</v>
      </c>
      <c r="I788" t="s">
        <v>578</v>
      </c>
      <c r="J788" t="b">
        <f>AND(NOT(Compil[[#This Row],[Est ouvrage]]), NOT(ISBLANK(Compil[[#This Row],[ART.
CCTP]])))</f>
        <v>0</v>
      </c>
      <c r="K788" t="b">
        <f>OR(Compil[[#This Row],[Unité]]="U",Compil[[#This Row],[Unité]]="ens",Compil[[#This Row],[Unité]]="ml")</f>
        <v>0</v>
      </c>
      <c r="L788" t="b">
        <f>ISBLANK(Compil[[#This Row],[DESIGNATION]])</f>
        <v>0</v>
      </c>
      <c r="M788" s="359"/>
      <c r="N788" s="358"/>
      <c r="O788" s="358"/>
      <c r="P788" s="358"/>
      <c r="Q788" s="358">
        <f>COUNTIF(Compil[[Ma Désignation ]],Compil[[Ma Désignation ]])</f>
        <v>1</v>
      </c>
    </row>
    <row r="789" spans="1:17" ht="14">
      <c r="A789" s="312">
        <v>784</v>
      </c>
      <c r="B789" s="19"/>
      <c r="C789" s="421"/>
      <c r="D789" t="str">
        <f xml:space="preserve"> TRIM( SUBSTITUTE(SUBSTITUTE(SUBSTITUTE( Compil[[#This Row],[DESIGNATION]],"-",""),"–",""),"*",""))</f>
        <v/>
      </c>
      <c r="E789" s="33"/>
      <c r="F789" s="262"/>
      <c r="G789" s="289" t="s">
        <v>571</v>
      </c>
      <c r="H789" s="164" t="s">
        <v>571</v>
      </c>
      <c r="I789" t="s">
        <v>578</v>
      </c>
      <c r="J789" t="b">
        <f>AND(NOT(Compil[[#This Row],[Est ouvrage]]), NOT(ISBLANK(Compil[[#This Row],[ART.
CCTP]])))</f>
        <v>0</v>
      </c>
      <c r="K789" t="b">
        <f>OR(Compil[[#This Row],[Unité]]="U",Compil[[#This Row],[Unité]]="ens",Compil[[#This Row],[Unité]]="ml")</f>
        <v>0</v>
      </c>
      <c r="L789" t="b">
        <f>ISBLANK(Compil[[#This Row],[DESIGNATION]])</f>
        <v>1</v>
      </c>
      <c r="M789" s="358"/>
      <c r="N789" s="358"/>
      <c r="O789" s="358"/>
      <c r="P789" s="358"/>
      <c r="Q789" s="358">
        <f>COUNTIF(Compil[[Ma Désignation ]],Compil[[Ma Désignation ]])</f>
        <v>306</v>
      </c>
    </row>
    <row r="790" spans="1:17" ht="14">
      <c r="A790" s="312">
        <v>785</v>
      </c>
      <c r="B790" s="19" t="s">
        <v>362</v>
      </c>
      <c r="C790" s="87" t="s">
        <v>157</v>
      </c>
      <c r="D790" t="str">
        <f xml:space="preserve"> TRIM( SUBSTITUTE(SUBSTITUTE(SUBSTITUTE( Compil[[#This Row],[DESIGNATION]],"-",""),"–",""),"*",""))</f>
        <v>Distribution principale</v>
      </c>
      <c r="E790" s="57"/>
      <c r="F790" s="262"/>
      <c r="G790" s="289" t="s">
        <v>571</v>
      </c>
      <c r="H790" s="164" t="s">
        <v>571</v>
      </c>
      <c r="I790" t="s">
        <v>578</v>
      </c>
      <c r="J790" t="b">
        <f>AND(NOT(Compil[[#This Row],[Est ouvrage]]), NOT(ISBLANK(Compil[[#This Row],[ART.
CCTP]])))</f>
        <v>1</v>
      </c>
      <c r="K790" t="b">
        <f>OR(Compil[[#This Row],[Unité]]="U",Compil[[#This Row],[Unité]]="ens",Compil[[#This Row],[Unité]]="ml")</f>
        <v>0</v>
      </c>
      <c r="L790" t="b">
        <f>ISBLANK(Compil[[#This Row],[DESIGNATION]])</f>
        <v>0</v>
      </c>
      <c r="M790" s="359"/>
      <c r="N790" s="358"/>
      <c r="O790" s="358"/>
      <c r="P790" s="358"/>
      <c r="Q790" s="358">
        <f>COUNTIF(Compil[[Ma Désignation ]],Compil[[Ma Désignation ]])</f>
        <v>2</v>
      </c>
    </row>
    <row r="791" spans="1:17" ht="14">
      <c r="A791" s="312">
        <v>786</v>
      </c>
      <c r="B791" s="19"/>
      <c r="C791" s="87"/>
      <c r="D791" t="str">
        <f xml:space="preserve"> TRIM( SUBSTITUTE(SUBSTITUTE(SUBSTITUTE( Compil[[#This Row],[DESIGNATION]],"-",""),"–",""),"*",""))</f>
        <v/>
      </c>
      <c r="E791" s="57"/>
      <c r="F791" s="262"/>
      <c r="G791" s="289" t="s">
        <v>571</v>
      </c>
      <c r="H791" s="164" t="s">
        <v>571</v>
      </c>
      <c r="I791" t="s">
        <v>578</v>
      </c>
      <c r="J791" t="b">
        <f>AND(NOT(Compil[[#This Row],[Est ouvrage]]), NOT(ISBLANK(Compil[[#This Row],[ART.
CCTP]])))</f>
        <v>0</v>
      </c>
      <c r="K791" t="b">
        <f>OR(Compil[[#This Row],[Unité]]="U",Compil[[#This Row],[Unité]]="ens",Compil[[#This Row],[Unité]]="ml")</f>
        <v>0</v>
      </c>
      <c r="L791" t="b">
        <f>ISBLANK(Compil[[#This Row],[DESIGNATION]])</f>
        <v>1</v>
      </c>
      <c r="M791" s="358"/>
      <c r="N791" s="358"/>
      <c r="O791" s="358"/>
      <c r="P791" s="358"/>
      <c r="Q791" s="358">
        <f>COUNTIF(Compil[[Ma Désignation ]],Compil[[Ma Désignation ]])</f>
        <v>306</v>
      </c>
    </row>
    <row r="792" spans="1:17" ht="14">
      <c r="A792" s="312">
        <v>787</v>
      </c>
      <c r="B792" s="19"/>
      <c r="C792" s="113" t="s">
        <v>158</v>
      </c>
      <c r="D792" t="str">
        <f xml:space="preserve"> TRIM( SUBSTITUTE(SUBSTITUTE(SUBSTITUTE( Compil[[#This Row],[DESIGNATION]],"-",""),"–",""),"*",""))</f>
        <v>Courants forts</v>
      </c>
      <c r="E792" s="57"/>
      <c r="F792" s="262"/>
      <c r="G792" s="289" t="s">
        <v>571</v>
      </c>
      <c r="H792" s="164" t="s">
        <v>571</v>
      </c>
      <c r="I792" t="s">
        <v>578</v>
      </c>
      <c r="J792" t="b">
        <f>AND(NOT(Compil[[#This Row],[Est ouvrage]]), NOT(ISBLANK(Compil[[#This Row],[ART.
CCTP]])))</f>
        <v>0</v>
      </c>
      <c r="K792" t="b">
        <f>OR(Compil[[#This Row],[Unité]]="U",Compil[[#This Row],[Unité]]="ens",Compil[[#This Row],[Unité]]="ml")</f>
        <v>0</v>
      </c>
      <c r="L792" t="b">
        <f>ISBLANK(Compil[[#This Row],[DESIGNATION]])</f>
        <v>0</v>
      </c>
      <c r="M792" s="359"/>
      <c r="N792" s="358"/>
      <c r="O792" s="358"/>
      <c r="P792" s="358"/>
      <c r="Q792" s="358">
        <f>COUNTIF(Compil[[Ma Désignation ]],Compil[[Ma Désignation ]])</f>
        <v>2</v>
      </c>
    </row>
    <row r="793" spans="1:17" ht="14">
      <c r="A793" s="312">
        <v>788</v>
      </c>
      <c r="B793" s="19"/>
      <c r="C793" s="86" t="s">
        <v>220</v>
      </c>
      <c r="D793" t="str">
        <f xml:space="preserve"> TRIM( SUBSTITUTE(SUBSTITUTE(SUBSTITUTE( Compil[[#This Row],[DESIGNATION]],"-",""),"–",""),"*",""))</f>
        <v>Chemin de câble isolant spécifique EDF</v>
      </c>
      <c r="E793" s="129" t="s">
        <v>257</v>
      </c>
      <c r="F793" s="262"/>
      <c r="G793" s="289" t="s">
        <v>571</v>
      </c>
      <c r="H793" s="164" t="s">
        <v>571</v>
      </c>
      <c r="I793" t="s">
        <v>578</v>
      </c>
      <c r="J793" t="b">
        <f>AND(NOT(Compil[[#This Row],[Est ouvrage]]), NOT(ISBLANK(Compil[[#This Row],[ART.
CCTP]])))</f>
        <v>0</v>
      </c>
      <c r="K793" t="b">
        <f>OR(Compil[[#This Row],[Unité]]="U",Compil[[#This Row],[Unité]]="ens",Compil[[#This Row],[Unité]]="ml")</f>
        <v>0</v>
      </c>
      <c r="L793" t="b">
        <f>ISBLANK(Compil[[#This Row],[DESIGNATION]])</f>
        <v>0</v>
      </c>
      <c r="M793" s="359"/>
      <c r="N793" s="358"/>
      <c r="O793" s="358"/>
      <c r="P793" s="358"/>
      <c r="Q793" s="358">
        <f>COUNTIF(Compil[[Ma Désignation ]],Compil[[Ma Désignation ]])</f>
        <v>2</v>
      </c>
    </row>
    <row r="794" spans="1:17" ht="25">
      <c r="A794" s="312">
        <v>824</v>
      </c>
      <c r="B794" s="19"/>
      <c r="C794" s="47" t="s">
        <v>577</v>
      </c>
      <c r="D794" t="str">
        <f xml:space="preserve"> TRIM( SUBSTITUTE(SUBSTITUTE(SUBSTITUTE( Compil[[#This Row],[DESIGNATION]],"-",""),"–",""),"*",""))</f>
        <v>liaisons en câble R02V 2x1,5mm2 sous fourreau y compris raccordements</v>
      </c>
      <c r="E794" s="33" t="s">
        <v>12</v>
      </c>
      <c r="F794" s="262">
        <v>1</v>
      </c>
      <c r="G794" s="289">
        <v>0</v>
      </c>
      <c r="H794" s="164">
        <v>0</v>
      </c>
      <c r="I794" t="s">
        <v>578</v>
      </c>
      <c r="J794" t="b">
        <f>AND(NOT(Compil[[#This Row],[Est ouvrage]]), NOT(ISBLANK(Compil[[#This Row],[ART.
CCTP]])))</f>
        <v>0</v>
      </c>
      <c r="K794" t="b">
        <f>OR(Compil[[#This Row],[Unité]]="U",Compil[[#This Row],[Unité]]="ens",Compil[[#This Row],[Unité]]="ml")</f>
        <v>1</v>
      </c>
      <c r="L794" t="b">
        <f>ISBLANK(Compil[[#This Row],[DESIGNATION]])</f>
        <v>0</v>
      </c>
      <c r="M794" s="359"/>
      <c r="N794" s="358"/>
      <c r="O794" s="358"/>
      <c r="P794" s="358"/>
      <c r="Q794" s="358">
        <f>COUNTIF(Compil[[Ma Désignation ]],Compil[[Ma Désignation ]])</f>
        <v>2</v>
      </c>
    </row>
    <row r="795" spans="1:17" ht="14">
      <c r="A795" s="310">
        <v>409</v>
      </c>
      <c r="B795" s="2"/>
      <c r="C795" s="428" t="s">
        <v>443</v>
      </c>
      <c r="D795" t="str">
        <f xml:space="preserve"> TRIM( SUBSTITUTE(SUBSTITUTE(SUBSTITUTE( Compil[[#This Row],[DESIGNATION]],"-",""),"–",""),"*",""))</f>
        <v>Luminaire type 10 Eclairage terrsse/balcon G2</v>
      </c>
      <c r="E795" s="33" t="s">
        <v>13</v>
      </c>
      <c r="F795" s="262"/>
      <c r="G795" s="289" t="s">
        <v>571</v>
      </c>
      <c r="H795" s="164" t="s">
        <v>571</v>
      </c>
      <c r="I795" t="s">
        <v>570</v>
      </c>
      <c r="J795" t="b">
        <f>AND(NOT(Compil[[#This Row],[Est ouvrage]]), NOT(ISBLANK(Compil[[#This Row],[ART.
CCTP]])))</f>
        <v>0</v>
      </c>
      <c r="K795" t="b">
        <f>OR(Compil[[#This Row],[Unité]]="U",Compil[[#This Row],[Unité]]="ens",Compil[[#This Row],[Unité]]="ml")</f>
        <v>1</v>
      </c>
      <c r="L795" t="b">
        <f>ISBLANK(Compil[[#This Row],[DESIGNATION]])</f>
        <v>0</v>
      </c>
      <c r="M795" s="359"/>
      <c r="N795" s="358"/>
      <c r="O795" s="358"/>
      <c r="P795" s="358"/>
      <c r="Q795" s="358">
        <f>COUNTIF(Compil[[Ma Désignation ]],Compil[[Ma Désignation ]])</f>
        <v>6</v>
      </c>
    </row>
    <row r="796" spans="1:17" ht="14">
      <c r="A796" s="312">
        <v>791</v>
      </c>
      <c r="B796" s="19"/>
      <c r="C796" s="86"/>
      <c r="D796" t="str">
        <f xml:space="preserve"> TRIM( SUBSTITUTE(SUBSTITUTE(SUBSTITUTE( Compil[[#This Row],[DESIGNATION]],"-",""),"–",""),"*",""))</f>
        <v/>
      </c>
      <c r="E796" s="57"/>
      <c r="F796" s="262"/>
      <c r="G796" s="289" t="s">
        <v>571</v>
      </c>
      <c r="H796" s="164" t="s">
        <v>571</v>
      </c>
      <c r="I796" t="s">
        <v>578</v>
      </c>
      <c r="J796" t="b">
        <f>AND(NOT(Compil[[#This Row],[Est ouvrage]]), NOT(ISBLANK(Compil[[#This Row],[ART.
CCTP]])))</f>
        <v>0</v>
      </c>
      <c r="K796" t="b">
        <f>OR(Compil[[#This Row],[Unité]]="U",Compil[[#This Row],[Unité]]="ens",Compil[[#This Row],[Unité]]="ml")</f>
        <v>0</v>
      </c>
      <c r="L796" t="b">
        <f>ISBLANK(Compil[[#This Row],[DESIGNATION]])</f>
        <v>1</v>
      </c>
      <c r="M796" s="358"/>
      <c r="N796" s="358"/>
      <c r="O796" s="358"/>
      <c r="P796" s="358"/>
      <c r="Q796" s="358">
        <f>COUNTIF(Compil[[Ma Désignation ]],Compil[[Ma Désignation ]])</f>
        <v>306</v>
      </c>
    </row>
    <row r="797" spans="1:17" ht="14">
      <c r="A797" s="312">
        <v>792</v>
      </c>
      <c r="B797" s="19"/>
      <c r="C797" s="113" t="s">
        <v>159</v>
      </c>
      <c r="D797" t="str">
        <f xml:space="preserve"> TRIM( SUBSTITUTE(SUBSTITUTE(SUBSTITUTE( Compil[[#This Row],[DESIGNATION]],"-",""),"–",""),"*",""))</f>
        <v>Courants faibles</v>
      </c>
      <c r="E797" s="57"/>
      <c r="F797" s="262"/>
      <c r="G797" s="289" t="s">
        <v>571</v>
      </c>
      <c r="H797" s="164" t="s">
        <v>571</v>
      </c>
      <c r="I797" t="s">
        <v>578</v>
      </c>
      <c r="J797" t="b">
        <f>AND(NOT(Compil[[#This Row],[Est ouvrage]]), NOT(ISBLANK(Compil[[#This Row],[ART.
CCTP]])))</f>
        <v>0</v>
      </c>
      <c r="K797" t="b">
        <f>OR(Compil[[#This Row],[Unité]]="U",Compil[[#This Row],[Unité]]="ens",Compil[[#This Row],[Unité]]="ml")</f>
        <v>0</v>
      </c>
      <c r="L797" t="b">
        <f>ISBLANK(Compil[[#This Row],[DESIGNATION]])</f>
        <v>0</v>
      </c>
      <c r="M797" s="359"/>
      <c r="N797" s="358"/>
      <c r="O797" s="358"/>
      <c r="P797" s="358"/>
      <c r="Q797" s="358">
        <f>COUNTIF(Compil[[Ma Désignation ]],Compil[[Ma Désignation ]])</f>
        <v>2</v>
      </c>
    </row>
    <row r="798" spans="1:17" ht="14">
      <c r="A798" s="310">
        <v>463</v>
      </c>
      <c r="B798" s="2"/>
      <c r="C798" s="428" t="s">
        <v>443</v>
      </c>
      <c r="D798" t="str">
        <f xml:space="preserve"> TRIM( SUBSTITUTE(SUBSTITUTE(SUBSTITUTE( Compil[[#This Row],[DESIGNATION]],"-",""),"–",""),"*",""))</f>
        <v>Luminaire type 10 Eclairage terrsse/balcon G2</v>
      </c>
      <c r="E798" s="33" t="s">
        <v>13</v>
      </c>
      <c r="F798" s="262"/>
      <c r="G798" s="289" t="s">
        <v>571</v>
      </c>
      <c r="H798" s="164" t="s">
        <v>571</v>
      </c>
      <c r="I798" t="s">
        <v>570</v>
      </c>
      <c r="J798" t="b">
        <f>AND(NOT(Compil[[#This Row],[Est ouvrage]]), NOT(ISBLANK(Compil[[#This Row],[ART.
CCTP]])))</f>
        <v>0</v>
      </c>
      <c r="K798" t="b">
        <f>OR(Compil[[#This Row],[Unité]]="U",Compil[[#This Row],[Unité]]="ens",Compil[[#This Row],[Unité]]="ml")</f>
        <v>1</v>
      </c>
      <c r="L798" t="b">
        <f>ISBLANK(Compil[[#This Row],[DESIGNATION]])</f>
        <v>0</v>
      </c>
      <c r="M798" s="359"/>
      <c r="N798" s="358"/>
      <c r="O798" s="358"/>
      <c r="P798" s="358"/>
      <c r="Q798" s="358">
        <f>COUNTIF(Compil[[Ma Désignation ]],Compil[[Ma Désignation ]])</f>
        <v>6</v>
      </c>
    </row>
    <row r="799" spans="1:17" ht="14">
      <c r="A799" s="310">
        <v>519</v>
      </c>
      <c r="B799" s="2"/>
      <c r="C799" s="428" t="s">
        <v>443</v>
      </c>
      <c r="D799" t="str">
        <f xml:space="preserve"> TRIM( SUBSTITUTE(SUBSTITUTE(SUBSTITUTE( Compil[[#This Row],[DESIGNATION]],"-",""),"–",""),"*",""))</f>
        <v>Luminaire type 10 Eclairage terrsse/balcon G2</v>
      </c>
      <c r="E799" s="33" t="s">
        <v>13</v>
      </c>
      <c r="F799" s="262">
        <v>0.65517241379310343</v>
      </c>
      <c r="G799" s="289">
        <v>0</v>
      </c>
      <c r="H799" s="164">
        <v>0</v>
      </c>
      <c r="I799" t="s">
        <v>570</v>
      </c>
      <c r="J799" t="b">
        <f>AND(NOT(Compil[[#This Row],[Est ouvrage]]), NOT(ISBLANK(Compil[[#This Row],[ART.
CCTP]])))</f>
        <v>0</v>
      </c>
      <c r="K799" t="b">
        <f>OR(Compil[[#This Row],[Unité]]="U",Compil[[#This Row],[Unité]]="ens",Compil[[#This Row],[Unité]]="ml")</f>
        <v>1</v>
      </c>
      <c r="L799" t="b">
        <f>ISBLANK(Compil[[#This Row],[DESIGNATION]])</f>
        <v>0</v>
      </c>
      <c r="M799" s="359"/>
      <c r="N799" s="358"/>
      <c r="O799" s="358"/>
      <c r="P799" s="358"/>
      <c r="Q799" s="358">
        <f>COUNTIF(Compil[[Ma Désignation ]],Compil[[Ma Désignation ]])</f>
        <v>6</v>
      </c>
    </row>
    <row r="800" spans="1:17" ht="14">
      <c r="A800" s="312">
        <v>795</v>
      </c>
      <c r="B800" s="19"/>
      <c r="C800" s="86"/>
      <c r="D800" t="str">
        <f xml:space="preserve"> TRIM( SUBSTITUTE(SUBSTITUTE(SUBSTITUTE( Compil[[#This Row],[DESIGNATION]],"-",""),"–",""),"*",""))</f>
        <v/>
      </c>
      <c r="E800" s="57"/>
      <c r="F800" s="262"/>
      <c r="G800" s="289" t="s">
        <v>571</v>
      </c>
      <c r="H800" s="164" t="s">
        <v>571</v>
      </c>
      <c r="I800" t="s">
        <v>578</v>
      </c>
      <c r="J800" t="b">
        <f>AND(NOT(Compil[[#This Row],[Est ouvrage]]), NOT(ISBLANK(Compil[[#This Row],[ART.
CCTP]])))</f>
        <v>0</v>
      </c>
      <c r="K800" t="b">
        <f>OR(Compil[[#This Row],[Unité]]="U",Compil[[#This Row],[Unité]]="ens",Compil[[#This Row],[Unité]]="ml")</f>
        <v>0</v>
      </c>
      <c r="L800" t="b">
        <f>ISBLANK(Compil[[#This Row],[DESIGNATION]])</f>
        <v>1</v>
      </c>
      <c r="M800" s="358"/>
      <c r="N800" s="358"/>
      <c r="O800" s="358"/>
      <c r="P800" s="358"/>
      <c r="Q800" s="358">
        <f>COUNTIF(Compil[[Ma Désignation ]],Compil[[Ma Désignation ]])</f>
        <v>306</v>
      </c>
    </row>
    <row r="801" spans="1:17" ht="14">
      <c r="A801" s="310">
        <v>575</v>
      </c>
      <c r="B801" s="43"/>
      <c r="C801" s="428" t="s">
        <v>443</v>
      </c>
      <c r="D801" t="str">
        <f xml:space="preserve"> TRIM( SUBSTITUTE(SUBSTITUTE(SUBSTITUTE( Compil[[#This Row],[DESIGNATION]],"-",""),"–",""),"*",""))</f>
        <v>Luminaire type 10 Eclairage terrsse/balcon G2</v>
      </c>
      <c r="E801" s="33" t="s">
        <v>13</v>
      </c>
      <c r="F801" s="262"/>
      <c r="G801" s="289" t="s">
        <v>571</v>
      </c>
      <c r="H801" s="164" t="s">
        <v>571</v>
      </c>
      <c r="I801" t="s">
        <v>570</v>
      </c>
      <c r="J801" t="b">
        <f>AND(NOT(Compil[[#This Row],[Est ouvrage]]), NOT(ISBLANK(Compil[[#This Row],[ART.
CCTP]])))</f>
        <v>0</v>
      </c>
      <c r="K801" t="b">
        <f>OR(Compil[[#This Row],[Unité]]="U",Compil[[#This Row],[Unité]]="ens",Compil[[#This Row],[Unité]]="ml")</f>
        <v>1</v>
      </c>
      <c r="L801" t="b">
        <f>ISBLANK(Compil[[#This Row],[DESIGNATION]])</f>
        <v>0</v>
      </c>
      <c r="M801" s="359"/>
      <c r="N801" s="358"/>
      <c r="O801" s="358"/>
      <c r="P801" s="358"/>
      <c r="Q801" s="358">
        <f>COUNTIF(Compil[[Ma Désignation ]],Compil[[Ma Désignation ]])</f>
        <v>6</v>
      </c>
    </row>
    <row r="802" spans="1:17" ht="14">
      <c r="A802" s="312">
        <v>797</v>
      </c>
      <c r="B802" s="19"/>
      <c r="C802" s="86"/>
      <c r="D802" t="str">
        <f xml:space="preserve"> TRIM( SUBSTITUTE(SUBSTITUTE(SUBSTITUTE( Compil[[#This Row],[DESIGNATION]],"-",""),"–",""),"*",""))</f>
        <v/>
      </c>
      <c r="E802" s="57"/>
      <c r="F802" s="262"/>
      <c r="G802" s="289" t="s">
        <v>571</v>
      </c>
      <c r="H802" s="164" t="s">
        <v>571</v>
      </c>
      <c r="I802" t="s">
        <v>578</v>
      </c>
      <c r="J802" t="b">
        <f>AND(NOT(Compil[[#This Row],[Est ouvrage]]), NOT(ISBLANK(Compil[[#This Row],[ART.
CCTP]])))</f>
        <v>0</v>
      </c>
      <c r="K802" t="b">
        <f>OR(Compil[[#This Row],[Unité]]="U",Compil[[#This Row],[Unité]]="ens",Compil[[#This Row],[Unité]]="ml")</f>
        <v>0</v>
      </c>
      <c r="L802" t="b">
        <f>ISBLANK(Compil[[#This Row],[DESIGNATION]])</f>
        <v>1</v>
      </c>
      <c r="M802" s="358"/>
      <c r="N802" s="358"/>
      <c r="O802" s="358"/>
      <c r="P802" s="358"/>
      <c r="Q802" s="358">
        <f>COUNTIF(Compil[[Ma Désignation ]],Compil[[Ma Désignation ]])</f>
        <v>306</v>
      </c>
    </row>
    <row r="803" spans="1:17" ht="14">
      <c r="A803" s="312">
        <v>798</v>
      </c>
      <c r="B803" s="19"/>
      <c r="C803" s="396" t="s">
        <v>365</v>
      </c>
      <c r="D803" t="str">
        <f xml:space="preserve"> TRIM( SUBSTITUTE(SUBSTITUTE(SUBSTITUTE( Compil[[#This Row],[DESIGNATION]],"-",""),"–",""),"*",""))</f>
        <v>Sous total 3.3</v>
      </c>
      <c r="E803" s="33"/>
      <c r="F803" s="262"/>
      <c r="G803" s="289" t="s">
        <v>571</v>
      </c>
      <c r="H803" s="164" t="s">
        <v>571</v>
      </c>
      <c r="I803" t="s">
        <v>578</v>
      </c>
      <c r="J803" t="b">
        <f>AND(NOT(Compil[[#This Row],[Est ouvrage]]), NOT(ISBLANK(Compil[[#This Row],[ART.
CCTP]])))</f>
        <v>0</v>
      </c>
      <c r="K803" t="b">
        <f>OR(Compil[[#This Row],[Unité]]="U",Compil[[#This Row],[Unité]]="ens",Compil[[#This Row],[Unité]]="ml")</f>
        <v>0</v>
      </c>
      <c r="L803" t="b">
        <f>ISBLANK(Compil[[#This Row],[DESIGNATION]])</f>
        <v>0</v>
      </c>
      <c r="M803" s="359"/>
      <c r="N803" s="358"/>
      <c r="O803" s="358"/>
      <c r="P803" s="358"/>
      <c r="Q803" s="358">
        <f>COUNTIF(Compil[[Ma Désignation ]],Compil[[Ma Désignation ]])</f>
        <v>1</v>
      </c>
    </row>
    <row r="804" spans="1:17" ht="14">
      <c r="A804" s="312">
        <v>799</v>
      </c>
      <c r="B804" s="19"/>
      <c r="C804" s="86"/>
      <c r="D804" t="str">
        <f xml:space="preserve"> TRIM( SUBSTITUTE(SUBSTITUTE(SUBSTITUTE( Compil[[#This Row],[DESIGNATION]],"-",""),"–",""),"*",""))</f>
        <v/>
      </c>
      <c r="E804" s="33"/>
      <c r="F804" s="262"/>
      <c r="G804" s="289" t="s">
        <v>571</v>
      </c>
      <c r="H804" s="164" t="s">
        <v>571</v>
      </c>
      <c r="I804" t="s">
        <v>578</v>
      </c>
      <c r="J804" t="b">
        <f>AND(NOT(Compil[[#This Row],[Est ouvrage]]), NOT(ISBLANK(Compil[[#This Row],[ART.
CCTP]])))</f>
        <v>0</v>
      </c>
      <c r="K804" t="b">
        <f>OR(Compil[[#This Row],[Unité]]="U",Compil[[#This Row],[Unité]]="ens",Compil[[#This Row],[Unité]]="ml")</f>
        <v>0</v>
      </c>
      <c r="L804" t="b">
        <f>ISBLANK(Compil[[#This Row],[DESIGNATION]])</f>
        <v>1</v>
      </c>
      <c r="M804" s="358"/>
      <c r="N804" s="358"/>
      <c r="O804" s="358"/>
      <c r="P804" s="358"/>
      <c r="Q804" s="358">
        <f>COUNTIF(Compil[[Ma Désignation ]],Compil[[Ma Désignation ]])</f>
        <v>306</v>
      </c>
    </row>
    <row r="805" spans="1:17" ht="14">
      <c r="A805" s="312">
        <v>800</v>
      </c>
      <c r="B805" s="19" t="s">
        <v>366</v>
      </c>
      <c r="C805" s="87" t="s">
        <v>73</v>
      </c>
      <c r="D805" t="str">
        <f xml:space="preserve"> TRIM( SUBSTITUTE(SUBSTITUTE(SUBSTITUTE( Compil[[#This Row],[DESIGNATION]],"-",""),"–",""),"*",""))</f>
        <v>Tableau Général Basse Tension</v>
      </c>
      <c r="E805" s="33"/>
      <c r="F805" s="262"/>
      <c r="G805" s="289" t="s">
        <v>571</v>
      </c>
      <c r="H805" s="164" t="s">
        <v>571</v>
      </c>
      <c r="I805" t="s">
        <v>578</v>
      </c>
      <c r="J805" t="b">
        <f>AND(NOT(Compil[[#This Row],[Est ouvrage]]), NOT(ISBLANK(Compil[[#This Row],[ART.
CCTP]])))</f>
        <v>1</v>
      </c>
      <c r="K805" t="b">
        <f>OR(Compil[[#This Row],[Unité]]="U",Compil[[#This Row],[Unité]]="ens",Compil[[#This Row],[Unité]]="ml")</f>
        <v>0</v>
      </c>
      <c r="L805" t="b">
        <f>ISBLANK(Compil[[#This Row],[DESIGNATION]])</f>
        <v>0</v>
      </c>
      <c r="M805" s="359"/>
      <c r="N805" s="358"/>
      <c r="O805" s="358"/>
      <c r="P805" s="358"/>
      <c r="Q805" s="358">
        <f>COUNTIF(Compil[[Ma Désignation ]],Compil[[Ma Désignation ]])</f>
        <v>2</v>
      </c>
    </row>
    <row r="806" spans="1:17" ht="14">
      <c r="A806" s="312">
        <v>801</v>
      </c>
      <c r="B806" s="19"/>
      <c r="C806" s="86"/>
      <c r="D806" t="str">
        <f xml:space="preserve"> TRIM( SUBSTITUTE(SUBSTITUTE(SUBSTITUTE( Compil[[#This Row],[DESIGNATION]],"-",""),"–",""),"*",""))</f>
        <v/>
      </c>
      <c r="E806" s="33"/>
      <c r="F806" s="262"/>
      <c r="G806" s="289" t="s">
        <v>571</v>
      </c>
      <c r="H806" s="164" t="s">
        <v>571</v>
      </c>
      <c r="I806" t="s">
        <v>578</v>
      </c>
      <c r="J806" t="b">
        <f>AND(NOT(Compil[[#This Row],[Est ouvrage]]), NOT(ISBLANK(Compil[[#This Row],[ART.
CCTP]])))</f>
        <v>0</v>
      </c>
      <c r="K806" t="b">
        <f>OR(Compil[[#This Row],[Unité]]="U",Compil[[#This Row],[Unité]]="ens",Compil[[#This Row],[Unité]]="ml")</f>
        <v>0</v>
      </c>
      <c r="L806" t="b">
        <f>ISBLANK(Compil[[#This Row],[DESIGNATION]])</f>
        <v>1</v>
      </c>
      <c r="M806" s="358"/>
      <c r="N806" s="358"/>
      <c r="O806" s="358"/>
      <c r="P806" s="358"/>
      <c r="Q806" s="358">
        <f>COUNTIF(Compil[[Ma Désignation ]],Compil[[Ma Désignation ]])</f>
        <v>306</v>
      </c>
    </row>
    <row r="807" spans="1:17" ht="14">
      <c r="A807" s="310">
        <v>631</v>
      </c>
      <c r="B807" s="43"/>
      <c r="C807" s="428" t="s">
        <v>443</v>
      </c>
      <c r="D807" t="str">
        <f xml:space="preserve"> TRIM( SUBSTITUTE(SUBSTITUTE(SUBSTITUTE( Compil[[#This Row],[DESIGNATION]],"-",""),"–",""),"*",""))</f>
        <v>Luminaire type 10 Eclairage terrsse/balcon G2</v>
      </c>
      <c r="E807" s="9" t="s">
        <v>13</v>
      </c>
      <c r="F807" s="262"/>
      <c r="G807" s="289" t="s">
        <v>571</v>
      </c>
      <c r="H807" s="164" t="s">
        <v>571</v>
      </c>
      <c r="I807" t="s">
        <v>570</v>
      </c>
      <c r="J807" t="b">
        <f>AND(NOT(Compil[[#This Row],[Est ouvrage]]), NOT(ISBLANK(Compil[[#This Row],[ART.
CCTP]])))</f>
        <v>0</v>
      </c>
      <c r="K807" t="b">
        <f>OR(Compil[[#This Row],[Unité]]="U",Compil[[#This Row],[Unité]]="ens",Compil[[#This Row],[Unité]]="ml")</f>
        <v>1</v>
      </c>
      <c r="L807" t="b">
        <f>ISBLANK(Compil[[#This Row],[DESIGNATION]])</f>
        <v>0</v>
      </c>
      <c r="M807" s="359"/>
      <c r="N807" s="358"/>
      <c r="O807" s="358"/>
      <c r="P807" s="358"/>
      <c r="Q807" s="358">
        <f>COUNTIF(Compil[[Ma Désignation ]],Compil[[Ma Désignation ]])</f>
        <v>6</v>
      </c>
    </row>
    <row r="808" spans="1:17" ht="14">
      <c r="A808" s="312">
        <v>803</v>
      </c>
      <c r="B808" s="19"/>
      <c r="C808" s="47"/>
      <c r="D808" t="str">
        <f xml:space="preserve"> TRIM( SUBSTITUTE(SUBSTITUTE(SUBSTITUTE( Compil[[#This Row],[DESIGNATION]],"-",""),"–",""),"*",""))</f>
        <v/>
      </c>
      <c r="E808" s="9"/>
      <c r="F808" s="262"/>
      <c r="G808" s="289" t="s">
        <v>571</v>
      </c>
      <c r="H808" s="164" t="s">
        <v>571</v>
      </c>
      <c r="I808" t="s">
        <v>578</v>
      </c>
      <c r="J808" t="b">
        <f>AND(NOT(Compil[[#This Row],[Est ouvrage]]), NOT(ISBLANK(Compil[[#This Row],[ART.
CCTP]])))</f>
        <v>0</v>
      </c>
      <c r="K808" t="b">
        <f>OR(Compil[[#This Row],[Unité]]="U",Compil[[#This Row],[Unité]]="ens",Compil[[#This Row],[Unité]]="ml")</f>
        <v>0</v>
      </c>
      <c r="L808" t="b">
        <f>ISBLANK(Compil[[#This Row],[DESIGNATION]])</f>
        <v>1</v>
      </c>
      <c r="M808" s="358"/>
      <c r="N808" s="358"/>
      <c r="O808" s="358"/>
      <c r="P808" s="358"/>
      <c r="Q808" s="358">
        <f>COUNTIF(Compil[[Ma Désignation ]],Compil[[Ma Désignation ]])</f>
        <v>306</v>
      </c>
    </row>
    <row r="809" spans="1:17" ht="14">
      <c r="A809" s="310">
        <v>687</v>
      </c>
      <c r="B809" s="43"/>
      <c r="C809" s="428" t="s">
        <v>443</v>
      </c>
      <c r="D809" t="str">
        <f xml:space="preserve"> TRIM( SUBSTITUTE(SUBSTITUTE(SUBSTITUTE( Compil[[#This Row],[DESIGNATION]],"-",""),"–",""),"*",""))</f>
        <v>Luminaire type 10 Eclairage terrsse/balcon G2</v>
      </c>
      <c r="E809" s="33" t="s">
        <v>13</v>
      </c>
      <c r="F809" s="262"/>
      <c r="G809" s="289" t="s">
        <v>571</v>
      </c>
      <c r="H809" s="164" t="s">
        <v>571</v>
      </c>
      <c r="I809" t="s">
        <v>570</v>
      </c>
      <c r="J809" t="b">
        <f>AND(NOT(Compil[[#This Row],[Est ouvrage]]), NOT(ISBLANK(Compil[[#This Row],[ART.
CCTP]])))</f>
        <v>0</v>
      </c>
      <c r="K809" t="b">
        <f>OR(Compil[[#This Row],[Unité]]="U",Compil[[#This Row],[Unité]]="ens",Compil[[#This Row],[Unité]]="ml")</f>
        <v>1</v>
      </c>
      <c r="L809" t="b">
        <f>ISBLANK(Compil[[#This Row],[DESIGNATION]])</f>
        <v>0</v>
      </c>
      <c r="M809" s="359"/>
      <c r="N809" s="358"/>
      <c r="O809" s="358"/>
      <c r="P809" s="358"/>
      <c r="Q809" s="358">
        <f>COUNTIF(Compil[[Ma Désignation ]],Compil[[Ma Désignation ]])</f>
        <v>6</v>
      </c>
    </row>
    <row r="810" spans="1:17" ht="14">
      <c r="A810" s="312">
        <v>805</v>
      </c>
      <c r="B810" s="19"/>
      <c r="C810" s="84"/>
      <c r="D810" s="357" t="str">
        <f xml:space="preserve"> TRIM( SUBSTITUTE(SUBSTITUTE(SUBSTITUTE( Compil[[#This Row],[DESIGNATION]],"-",""),"–",""),"*",""))</f>
        <v/>
      </c>
      <c r="E810" s="33"/>
      <c r="F810" s="262"/>
      <c r="G810" s="289" t="s">
        <v>571</v>
      </c>
      <c r="H810" s="164" t="s">
        <v>571</v>
      </c>
      <c r="I810" t="s">
        <v>578</v>
      </c>
      <c r="J810" t="b">
        <f>AND(NOT(Compil[[#This Row],[Est ouvrage]]), NOT(ISBLANK(Compil[[#This Row],[ART.
CCTP]])))</f>
        <v>0</v>
      </c>
      <c r="K810" t="b">
        <f>OR(Compil[[#This Row],[Unité]]="U",Compil[[#This Row],[Unité]]="ens",Compil[[#This Row],[Unité]]="ml")</f>
        <v>0</v>
      </c>
      <c r="L810" t="b">
        <f>ISBLANK(Compil[[#This Row],[DESIGNATION]])</f>
        <v>1</v>
      </c>
      <c r="M810" s="358"/>
      <c r="N810" s="358"/>
      <c r="O810" s="358"/>
      <c r="P810" s="358"/>
      <c r="Q810" s="358">
        <f>COUNTIF(Compil[[Ma Désignation ]],Compil[[Ma Désignation ]])</f>
        <v>306</v>
      </c>
    </row>
    <row r="811" spans="1:17" ht="14">
      <c r="A811" s="312">
        <v>806</v>
      </c>
      <c r="B811" s="19"/>
      <c r="C811" s="395" t="s">
        <v>367</v>
      </c>
      <c r="D811" t="str">
        <f xml:space="preserve"> TRIM( SUBSTITUTE(SUBSTITUTE(SUBSTITUTE( Compil[[#This Row],[DESIGNATION]],"-",""),"–",""),"*",""))</f>
        <v>Sous total 3.4</v>
      </c>
      <c r="E811" s="33"/>
      <c r="F811" s="262"/>
      <c r="G811" s="289" t="s">
        <v>571</v>
      </c>
      <c r="H811" s="164" t="s">
        <v>571</v>
      </c>
      <c r="I811" t="s">
        <v>578</v>
      </c>
      <c r="J811" t="b">
        <f>AND(NOT(Compil[[#This Row],[Est ouvrage]]), NOT(ISBLANK(Compil[[#This Row],[ART.
CCTP]])))</f>
        <v>0</v>
      </c>
      <c r="K811" t="b">
        <f>OR(Compil[[#This Row],[Unité]]="U",Compil[[#This Row],[Unité]]="ens",Compil[[#This Row],[Unité]]="ml")</f>
        <v>0</v>
      </c>
      <c r="L811" t="b">
        <f>ISBLANK(Compil[[#This Row],[DESIGNATION]])</f>
        <v>0</v>
      </c>
      <c r="M811" s="359"/>
      <c r="N811" s="358"/>
      <c r="O811" s="358"/>
      <c r="P811" s="358"/>
      <c r="Q811" s="358">
        <f>COUNTIF(Compil[[Ma Désignation ]],Compil[[Ma Désignation ]])</f>
        <v>1</v>
      </c>
    </row>
    <row r="812" spans="1:17" ht="14">
      <c r="A812" s="312">
        <v>807</v>
      </c>
      <c r="B812" s="19"/>
      <c r="C812" s="84"/>
      <c r="D812" s="357" t="str">
        <f xml:space="preserve"> TRIM( SUBSTITUTE(SUBSTITUTE(SUBSTITUTE( Compil[[#This Row],[DESIGNATION]],"-",""),"–",""),"*",""))</f>
        <v/>
      </c>
      <c r="E812" s="33"/>
      <c r="F812" s="262"/>
      <c r="G812" s="289" t="s">
        <v>571</v>
      </c>
      <c r="H812" s="164" t="s">
        <v>571</v>
      </c>
      <c r="I812" t="s">
        <v>578</v>
      </c>
      <c r="J812" t="b">
        <f>AND(NOT(Compil[[#This Row],[Est ouvrage]]), NOT(ISBLANK(Compil[[#This Row],[ART.
CCTP]])))</f>
        <v>0</v>
      </c>
      <c r="K812" t="b">
        <f>OR(Compil[[#This Row],[Unité]]="U",Compil[[#This Row],[Unité]]="ens",Compil[[#This Row],[Unité]]="ml")</f>
        <v>0</v>
      </c>
      <c r="L812" t="b">
        <f>ISBLANK(Compil[[#This Row],[DESIGNATION]])</f>
        <v>1</v>
      </c>
      <c r="M812" s="358"/>
      <c r="N812" s="358"/>
      <c r="O812" s="358"/>
      <c r="P812" s="358"/>
      <c r="Q812" s="358">
        <f>COUNTIF(Compil[[Ma Désignation ]],Compil[[Ma Désignation ]])</f>
        <v>306</v>
      </c>
    </row>
    <row r="813" spans="1:17" ht="14">
      <c r="A813" s="312">
        <v>808</v>
      </c>
      <c r="B813" s="19" t="s">
        <v>403</v>
      </c>
      <c r="C813" s="87" t="s">
        <v>34</v>
      </c>
      <c r="D813" t="str">
        <f xml:space="preserve"> TRIM( SUBSTITUTE(SUBSTITUTE(SUBSTITUTE( Compil[[#This Row],[DESIGNATION]],"-",""),"–",""),"*",""))</f>
        <v>Alimentations diverses des communs</v>
      </c>
      <c r="E813" s="33"/>
      <c r="F813" s="262"/>
      <c r="G813" s="289" t="s">
        <v>571</v>
      </c>
      <c r="H813" s="164" t="s">
        <v>571</v>
      </c>
      <c r="I813" t="s">
        <v>578</v>
      </c>
      <c r="J813" t="b">
        <f>AND(NOT(Compil[[#This Row],[Est ouvrage]]), NOT(ISBLANK(Compil[[#This Row],[ART.
CCTP]])))</f>
        <v>1</v>
      </c>
      <c r="K813" t="b">
        <f>OR(Compil[[#This Row],[Unité]]="U",Compil[[#This Row],[Unité]]="ens",Compil[[#This Row],[Unité]]="ml")</f>
        <v>0</v>
      </c>
      <c r="L813" t="b">
        <f>ISBLANK(Compil[[#This Row],[DESIGNATION]])</f>
        <v>0</v>
      </c>
      <c r="M813" s="359"/>
      <c r="N813" s="358"/>
      <c r="O813" s="358"/>
      <c r="P813" s="358"/>
      <c r="Q813" s="358">
        <f>COUNTIF(Compil[[Ma Désignation ]],Compil[[Ma Désignation ]])</f>
        <v>2</v>
      </c>
    </row>
    <row r="814" spans="1:17" ht="14">
      <c r="A814" s="312">
        <v>809</v>
      </c>
      <c r="B814" s="19"/>
      <c r="C814" s="86"/>
      <c r="D814" t="str">
        <f xml:space="preserve"> TRIM( SUBSTITUTE(SUBSTITUTE(SUBSTITUTE( Compil[[#This Row],[DESIGNATION]],"-",""),"–",""),"*",""))</f>
        <v/>
      </c>
      <c r="E814" s="33"/>
      <c r="F814" s="262"/>
      <c r="G814" s="289" t="s">
        <v>571</v>
      </c>
      <c r="H814" s="164" t="s">
        <v>571</v>
      </c>
      <c r="I814" t="s">
        <v>578</v>
      </c>
      <c r="J814" t="b">
        <f>AND(NOT(Compil[[#This Row],[Est ouvrage]]), NOT(ISBLANK(Compil[[#This Row],[ART.
CCTP]])))</f>
        <v>0</v>
      </c>
      <c r="K814" t="b">
        <f>OR(Compil[[#This Row],[Unité]]="U",Compil[[#This Row],[Unité]]="ens",Compil[[#This Row],[Unité]]="ml")</f>
        <v>0</v>
      </c>
      <c r="L814" t="b">
        <f>ISBLANK(Compil[[#This Row],[DESIGNATION]])</f>
        <v>1</v>
      </c>
      <c r="M814" s="358"/>
      <c r="N814" s="358"/>
      <c r="O814" s="358"/>
      <c r="P814" s="358"/>
      <c r="Q814" s="358">
        <f>COUNTIF(Compil[[Ma Désignation ]],Compil[[Ma Désignation ]])</f>
        <v>306</v>
      </c>
    </row>
    <row r="815" spans="1:17" ht="14">
      <c r="A815" s="303">
        <v>324</v>
      </c>
      <c r="B815" s="2"/>
      <c r="C815" s="224" t="s">
        <v>71</v>
      </c>
      <c r="D815" t="str">
        <f xml:space="preserve"> TRIM( SUBSTITUTE(SUBSTITUTE(SUBSTITUTE( Compil[[#This Row],[DESIGNATION]],"-",""),"–",""),"*",""))</f>
        <v>luminaire type 11</v>
      </c>
      <c r="E815" s="189" t="s">
        <v>13</v>
      </c>
      <c r="F815" s="252">
        <f>QTE!J80+QTE!J81-'BATIMENT SOHO-ELEC 1'!D232</f>
        <v>0</v>
      </c>
      <c r="G815" s="289" t="e">
        <f>IF(F815="","",(((L815*$M$6)+(M815*#REF!*#REF!))*$M$7)/F815)</f>
        <v>#VALUE!</v>
      </c>
      <c r="H815" s="164" t="e">
        <f>IF(F815="","",F815*G815)</f>
        <v>#VALUE!</v>
      </c>
      <c r="I815" t="s">
        <v>580</v>
      </c>
      <c r="J815" t="b">
        <f>AND(NOT(Compil[[#This Row],[Est ouvrage]]), NOT(ISBLANK(Compil[[#This Row],[ART.
CCTP]])))</f>
        <v>0</v>
      </c>
      <c r="K815" t="b">
        <f>OR(Compil[[#This Row],[Unité]]="U",Compil[[#This Row],[Unité]]="ens",Compil[[#This Row],[Unité]]="ml")</f>
        <v>1</v>
      </c>
      <c r="L815" t="b">
        <f>ISBLANK(Compil[[#This Row],[DESIGNATION]])</f>
        <v>0</v>
      </c>
      <c r="M815" s="359"/>
      <c r="N815" s="358"/>
      <c r="O815" s="358"/>
      <c r="P815" s="358"/>
      <c r="Q815" s="358">
        <f>COUNTIF(Compil[[Ma Désignation ]],Compil[[Ma Désignation ]])</f>
        <v>2</v>
      </c>
    </row>
    <row r="816" spans="1:17" ht="14">
      <c r="A816" s="312">
        <v>948</v>
      </c>
      <c r="B816" s="19"/>
      <c r="C816" s="86" t="s">
        <v>71</v>
      </c>
      <c r="D816" t="str">
        <f xml:space="preserve"> TRIM( SUBSTITUTE(SUBSTITUTE(SUBSTITUTE( Compil[[#This Row],[DESIGNATION]],"-",""),"–",""),"*",""))</f>
        <v>luminaire type 11</v>
      </c>
      <c r="E816" s="57" t="s">
        <v>13</v>
      </c>
      <c r="F816" s="262">
        <v>3</v>
      </c>
      <c r="G816" s="289">
        <v>0</v>
      </c>
      <c r="H816" s="164">
        <v>0</v>
      </c>
      <c r="I816" t="s">
        <v>578</v>
      </c>
      <c r="J816" t="b">
        <f>AND(NOT(Compil[[#This Row],[Est ouvrage]]), NOT(ISBLANK(Compil[[#This Row],[ART.
CCTP]])))</f>
        <v>0</v>
      </c>
      <c r="K816" t="b">
        <f>OR(Compil[[#This Row],[Unité]]="U",Compil[[#This Row],[Unité]]="ens",Compil[[#This Row],[Unité]]="ml")</f>
        <v>1</v>
      </c>
      <c r="L816" t="b">
        <f>ISBLANK(Compil[[#This Row],[DESIGNATION]])</f>
        <v>0</v>
      </c>
      <c r="M816" s="359"/>
      <c r="N816" s="358"/>
      <c r="O816" s="358"/>
      <c r="P816" s="358"/>
      <c r="Q816" s="358">
        <f>COUNTIF(Compil[[Ma Désignation ]],Compil[[Ma Désignation ]])</f>
        <v>2</v>
      </c>
    </row>
    <row r="817" spans="1:17" ht="14">
      <c r="A817" s="303">
        <v>325</v>
      </c>
      <c r="B817" s="2"/>
      <c r="C817" s="224" t="s">
        <v>210</v>
      </c>
      <c r="D817" t="str">
        <f xml:space="preserve"> TRIM( SUBSTITUTE(SUBSTITUTE(SUBSTITUTE( Compil[[#This Row],[DESIGNATION]],"-",""),"–",""),"*",""))</f>
        <v>luminaire type 12</v>
      </c>
      <c r="E817" s="189" t="s">
        <v>13</v>
      </c>
      <c r="F817" s="252">
        <f>QTE!J90</f>
        <v>0</v>
      </c>
      <c r="G817" s="289" t="e">
        <f>IF(F817="","",(((L817*$M$6)+(M817*#REF!*#REF!))*$M$7)/F817)</f>
        <v>#VALUE!</v>
      </c>
      <c r="H817" s="164" t="e">
        <f>IF(F817="","",F817*G817)</f>
        <v>#VALUE!</v>
      </c>
      <c r="I817" t="s">
        <v>580</v>
      </c>
      <c r="J817" t="b">
        <f>AND(NOT(Compil[[#This Row],[Est ouvrage]]), NOT(ISBLANK(Compil[[#This Row],[ART.
CCTP]])))</f>
        <v>0</v>
      </c>
      <c r="K817" t="b">
        <f>OR(Compil[[#This Row],[Unité]]="U",Compil[[#This Row],[Unité]]="ens",Compil[[#This Row],[Unité]]="ml")</f>
        <v>1</v>
      </c>
      <c r="L817" t="b">
        <f>ISBLANK(Compil[[#This Row],[DESIGNATION]])</f>
        <v>0</v>
      </c>
      <c r="M817" s="359"/>
      <c r="N817" s="358"/>
      <c r="O817" s="358"/>
      <c r="P817" s="358"/>
      <c r="Q817" s="358">
        <f>COUNTIF(Compil[[Ma Désignation ]],Compil[[Ma Désignation ]])</f>
        <v>2</v>
      </c>
    </row>
    <row r="818" spans="1:17" ht="14">
      <c r="A818" s="312">
        <v>949</v>
      </c>
      <c r="B818" s="19"/>
      <c r="C818" s="86" t="s">
        <v>210</v>
      </c>
      <c r="D818" t="str">
        <f xml:space="preserve"> TRIM( SUBSTITUTE(SUBSTITUTE(SUBSTITUTE( Compil[[#This Row],[DESIGNATION]],"-",""),"–",""),"*",""))</f>
        <v>luminaire type 12</v>
      </c>
      <c r="E818" s="57" t="s">
        <v>13</v>
      </c>
      <c r="F818" s="262"/>
      <c r="G818" s="289" t="s">
        <v>571</v>
      </c>
      <c r="H818" s="164" t="s">
        <v>571</v>
      </c>
      <c r="I818" t="s">
        <v>578</v>
      </c>
      <c r="J818" t="b">
        <f>AND(NOT(Compil[[#This Row],[Est ouvrage]]), NOT(ISBLANK(Compil[[#This Row],[ART.
CCTP]])))</f>
        <v>0</v>
      </c>
      <c r="K818" t="b">
        <f>OR(Compil[[#This Row],[Unité]]="U",Compil[[#This Row],[Unité]]="ens",Compil[[#This Row],[Unité]]="ml")</f>
        <v>1</v>
      </c>
      <c r="L818" t="b">
        <f>ISBLANK(Compil[[#This Row],[DESIGNATION]])</f>
        <v>0</v>
      </c>
      <c r="M818" s="359"/>
      <c r="N818" s="358"/>
      <c r="O818" s="358"/>
      <c r="P818" s="358"/>
      <c r="Q818" s="358">
        <f>COUNTIF(Compil[[Ma Désignation ]],Compil[[Ma Désignation ]])</f>
        <v>2</v>
      </c>
    </row>
    <row r="819" spans="1:17">
      <c r="A819" s="360">
        <v>1075</v>
      </c>
      <c r="B819" s="363"/>
      <c r="C819" s="402" t="s">
        <v>450</v>
      </c>
      <c r="D819" t="str">
        <f xml:space="preserve"> TRIM( SUBSTITUTE(SUBSTITUTE(SUBSTITUTE( Compil[[#This Row],[DESIGNATION]],"-",""),"–",""),"*",""))</f>
        <v>Luminaire type 2</v>
      </c>
      <c r="E819" s="374" t="s">
        <v>13</v>
      </c>
      <c r="F819" s="385"/>
      <c r="G819" s="390" t="s">
        <v>571</v>
      </c>
      <c r="H819" s="391" t="s">
        <v>571</v>
      </c>
      <c r="I819" t="s">
        <v>579</v>
      </c>
      <c r="J819" t="b">
        <f>AND(NOT(Compil[[#This Row],[Est ouvrage]]), NOT(ISBLANK(Compil[[#This Row],[ART.
CCTP]])))</f>
        <v>0</v>
      </c>
      <c r="K819" t="b">
        <f>OR(Compil[[#This Row],[Unité]]="U",Compil[[#This Row],[Unité]]="ens",Compil[[#This Row],[Unité]]="ml")</f>
        <v>1</v>
      </c>
      <c r="L819" t="b">
        <f>ISBLANK(Compil[[#This Row],[DESIGNATION]])</f>
        <v>0</v>
      </c>
      <c r="M819" s="359"/>
      <c r="N819" s="358"/>
      <c r="O819" s="358"/>
      <c r="P819" s="358"/>
      <c r="Q819" s="358">
        <f>COUNTIF(Compil[[Ma Désignation ]],Compil[[Ma Désignation ]])</f>
        <v>2</v>
      </c>
    </row>
    <row r="820" spans="1:17">
      <c r="A820" s="360">
        <v>1111</v>
      </c>
      <c r="B820" s="363"/>
      <c r="C820" s="402" t="s">
        <v>450</v>
      </c>
      <c r="D820" t="str">
        <f xml:space="preserve"> TRIM( SUBSTITUTE(SUBSTITUTE(SUBSTITUTE( Compil[[#This Row],[DESIGNATION]],"-",""),"–",""),"*",""))</f>
        <v>Luminaire type 2</v>
      </c>
      <c r="E820" s="374" t="s">
        <v>13</v>
      </c>
      <c r="F820" s="385"/>
      <c r="G820" s="390" t="s">
        <v>571</v>
      </c>
      <c r="H820" s="391" t="s">
        <v>571</v>
      </c>
      <c r="I820" t="s">
        <v>579</v>
      </c>
      <c r="J820" t="b">
        <f>AND(NOT(Compil[[#This Row],[Est ouvrage]]), NOT(ISBLANK(Compil[[#This Row],[ART.
CCTP]])))</f>
        <v>0</v>
      </c>
      <c r="K820" t="b">
        <f>OR(Compil[[#This Row],[Unité]]="U",Compil[[#This Row],[Unité]]="ens",Compil[[#This Row],[Unité]]="ml")</f>
        <v>1</v>
      </c>
      <c r="L820" t="b">
        <f>ISBLANK(Compil[[#This Row],[DESIGNATION]])</f>
        <v>0</v>
      </c>
      <c r="M820" s="359"/>
      <c r="N820" s="358"/>
      <c r="O820" s="358"/>
      <c r="P820" s="358"/>
      <c r="Q820" s="358">
        <f>COUNTIF(Compil[[Ma Désignation ]],Compil[[Ma Désignation ]])</f>
        <v>2</v>
      </c>
    </row>
    <row r="821" spans="1:17">
      <c r="A821" s="360">
        <v>1076</v>
      </c>
      <c r="B821" s="363"/>
      <c r="C821" s="402" t="s">
        <v>451</v>
      </c>
      <c r="D821" t="str">
        <f xml:space="preserve"> TRIM( SUBSTITUTE(SUBSTITUTE(SUBSTITUTE( Compil[[#This Row],[DESIGNATION]],"-",""),"–",""),"*",""))</f>
        <v>Luminaire type 3</v>
      </c>
      <c r="E821" s="374" t="s">
        <v>13</v>
      </c>
      <c r="F821" s="385"/>
      <c r="G821" s="390" t="s">
        <v>571</v>
      </c>
      <c r="H821" s="391" t="s">
        <v>571</v>
      </c>
      <c r="I821" t="s">
        <v>579</v>
      </c>
      <c r="J821" t="b">
        <f>AND(NOT(Compil[[#This Row],[Est ouvrage]]), NOT(ISBLANK(Compil[[#This Row],[ART.
CCTP]])))</f>
        <v>0</v>
      </c>
      <c r="K821" t="b">
        <f>OR(Compil[[#This Row],[Unité]]="U",Compil[[#This Row],[Unité]]="ens",Compil[[#This Row],[Unité]]="ml")</f>
        <v>1</v>
      </c>
      <c r="L821" t="b">
        <f>ISBLANK(Compil[[#This Row],[DESIGNATION]])</f>
        <v>0</v>
      </c>
      <c r="M821" s="359"/>
      <c r="N821" s="358"/>
      <c r="O821" s="358"/>
      <c r="P821" s="358"/>
      <c r="Q821" s="358">
        <f>COUNTIF(Compil[[Ma Désignation ]],Compil[[Ma Désignation ]])</f>
        <v>2</v>
      </c>
    </row>
    <row r="822" spans="1:17">
      <c r="A822" s="360">
        <v>1112</v>
      </c>
      <c r="B822" s="363"/>
      <c r="C822" s="402" t="s">
        <v>451</v>
      </c>
      <c r="D822" t="str">
        <f xml:space="preserve"> TRIM( SUBSTITUTE(SUBSTITUTE(SUBSTITUTE( Compil[[#This Row],[DESIGNATION]],"-",""),"–",""),"*",""))</f>
        <v>Luminaire type 3</v>
      </c>
      <c r="E822" s="374" t="s">
        <v>13</v>
      </c>
      <c r="F822" s="385"/>
      <c r="G822" s="390" t="s">
        <v>571</v>
      </c>
      <c r="H822" s="391" t="s">
        <v>571</v>
      </c>
      <c r="I822" t="s">
        <v>579</v>
      </c>
      <c r="J822" t="b">
        <f>AND(NOT(Compil[[#This Row],[Est ouvrage]]), NOT(ISBLANK(Compil[[#This Row],[ART.
CCTP]])))</f>
        <v>0</v>
      </c>
      <c r="K822" t="b">
        <f>OR(Compil[[#This Row],[Unité]]="U",Compil[[#This Row],[Unité]]="ens",Compil[[#This Row],[Unité]]="ml")</f>
        <v>1</v>
      </c>
      <c r="L822" t="b">
        <f>ISBLANK(Compil[[#This Row],[DESIGNATION]])</f>
        <v>0</v>
      </c>
      <c r="M822" s="359"/>
      <c r="N822" s="358"/>
      <c r="O822" s="358"/>
      <c r="P822" s="358"/>
      <c r="Q822" s="358">
        <f>COUNTIF(Compil[[Ma Désignation ]],Compil[[Ma Désignation ]])</f>
        <v>2</v>
      </c>
    </row>
    <row r="823" spans="1:17" ht="14">
      <c r="A823" s="312">
        <v>818</v>
      </c>
      <c r="B823" s="19"/>
      <c r="C823" s="90"/>
      <c r="D823" t="str">
        <f xml:space="preserve"> TRIM( SUBSTITUTE(SUBSTITUTE(SUBSTITUTE( Compil[[#This Row],[DESIGNATION]],"-",""),"–",""),"*",""))</f>
        <v/>
      </c>
      <c r="E823" s="33"/>
      <c r="F823" s="262"/>
      <c r="G823" s="289" t="s">
        <v>571</v>
      </c>
      <c r="H823" s="164" t="s">
        <v>571</v>
      </c>
      <c r="I823" t="s">
        <v>578</v>
      </c>
      <c r="J823" t="b">
        <f>AND(NOT(Compil[[#This Row],[Est ouvrage]]), NOT(ISBLANK(Compil[[#This Row],[ART.
CCTP]])))</f>
        <v>0</v>
      </c>
      <c r="K823" t="b">
        <f>OR(Compil[[#This Row],[Unité]]="U",Compil[[#This Row],[Unité]]="ens",Compil[[#This Row],[Unité]]="ml")</f>
        <v>0</v>
      </c>
      <c r="L823" t="b">
        <f>ISBLANK(Compil[[#This Row],[DESIGNATION]])</f>
        <v>1</v>
      </c>
      <c r="M823" s="358"/>
      <c r="N823" s="358"/>
      <c r="O823" s="358"/>
      <c r="P823" s="358"/>
      <c r="Q823" s="358">
        <f>COUNTIF(Compil[[Ma Désignation ]],Compil[[Ma Désignation ]])</f>
        <v>306</v>
      </c>
    </row>
    <row r="824" spans="1:17" ht="14">
      <c r="A824" s="312">
        <v>819</v>
      </c>
      <c r="B824" s="19"/>
      <c r="C824" s="395" t="s">
        <v>404</v>
      </c>
      <c r="D824" t="str">
        <f xml:space="preserve"> TRIM( SUBSTITUTE(SUBSTITUTE(SUBSTITUTE( Compil[[#This Row],[DESIGNATION]],"-",""),"–",""),"*",""))</f>
        <v>Sous total 3.9</v>
      </c>
      <c r="E824" s="33"/>
      <c r="F824" s="262"/>
      <c r="G824" s="289" t="s">
        <v>571</v>
      </c>
      <c r="H824" s="164" t="s">
        <v>571</v>
      </c>
      <c r="I824" t="s">
        <v>578</v>
      </c>
      <c r="J824" t="b">
        <f>AND(NOT(Compil[[#This Row],[Est ouvrage]]), NOT(ISBLANK(Compil[[#This Row],[ART.
CCTP]])))</f>
        <v>0</v>
      </c>
      <c r="K824" t="b">
        <f>OR(Compil[[#This Row],[Unité]]="U",Compil[[#This Row],[Unité]]="ens",Compil[[#This Row],[Unité]]="ml")</f>
        <v>0</v>
      </c>
      <c r="L824" t="b">
        <f>ISBLANK(Compil[[#This Row],[DESIGNATION]])</f>
        <v>0</v>
      </c>
      <c r="M824" s="359"/>
      <c r="N824" s="358"/>
      <c r="O824" s="358"/>
      <c r="P824" s="358"/>
      <c r="Q824" s="358">
        <f>COUNTIF(Compil[[Ma Désignation ]],Compil[[Ma Désignation ]])</f>
        <v>1</v>
      </c>
    </row>
    <row r="825" spans="1:17" ht="14">
      <c r="A825" s="312">
        <v>820</v>
      </c>
      <c r="B825" s="19"/>
      <c r="C825" s="421"/>
      <c r="D825" t="str">
        <f xml:space="preserve"> TRIM( SUBSTITUTE(SUBSTITUTE(SUBSTITUTE( Compil[[#This Row],[DESIGNATION]],"-",""),"–",""),"*",""))</f>
        <v/>
      </c>
      <c r="E825" s="33"/>
      <c r="F825" s="262"/>
      <c r="G825" s="289" t="s">
        <v>571</v>
      </c>
      <c r="H825" s="164" t="s">
        <v>571</v>
      </c>
      <c r="I825" t="s">
        <v>578</v>
      </c>
      <c r="J825" t="b">
        <f>AND(NOT(Compil[[#This Row],[Est ouvrage]]), NOT(ISBLANK(Compil[[#This Row],[ART.
CCTP]])))</f>
        <v>0</v>
      </c>
      <c r="K825" t="b">
        <f>OR(Compil[[#This Row],[Unité]]="U",Compil[[#This Row],[Unité]]="ens",Compil[[#This Row],[Unité]]="ml")</f>
        <v>0</v>
      </c>
      <c r="L825" t="b">
        <f>ISBLANK(Compil[[#This Row],[DESIGNATION]])</f>
        <v>1</v>
      </c>
      <c r="M825" s="358"/>
      <c r="N825" s="358"/>
      <c r="O825" s="358"/>
      <c r="P825" s="358"/>
      <c r="Q825" s="358">
        <f>COUNTIF(Compil[[Ma Désignation ]],Compil[[Ma Désignation ]])</f>
        <v>306</v>
      </c>
    </row>
    <row r="826" spans="1:17" ht="14">
      <c r="A826" s="312">
        <v>821</v>
      </c>
      <c r="B826" s="19" t="s">
        <v>405</v>
      </c>
      <c r="C826" s="85" t="s">
        <v>25</v>
      </c>
      <c r="D826" t="str">
        <f xml:space="preserve"> TRIM( SUBSTITUTE(SUBSTITUTE(SUBSTITUTE( Compil[[#This Row],[DESIGNATION]],"-",""),"–",""),"*",""))</f>
        <v>Alarme technique</v>
      </c>
      <c r="E826" s="33"/>
      <c r="F826" s="262"/>
      <c r="G826" s="289" t="s">
        <v>571</v>
      </c>
      <c r="H826" s="164" t="s">
        <v>571</v>
      </c>
      <c r="I826" t="s">
        <v>578</v>
      </c>
      <c r="J826" t="b">
        <f>AND(NOT(Compil[[#This Row],[Est ouvrage]]), NOT(ISBLANK(Compil[[#This Row],[ART.
CCTP]])))</f>
        <v>1</v>
      </c>
      <c r="K826" t="b">
        <f>OR(Compil[[#This Row],[Unité]]="U",Compil[[#This Row],[Unité]]="ens",Compil[[#This Row],[Unité]]="ml")</f>
        <v>0</v>
      </c>
      <c r="L826" t="b">
        <f>ISBLANK(Compil[[#This Row],[DESIGNATION]])</f>
        <v>0</v>
      </c>
      <c r="M826" s="359"/>
      <c r="N826" s="358"/>
      <c r="O826" s="358"/>
      <c r="P826" s="358"/>
      <c r="Q826" s="358">
        <f>COUNTIF(Compil[[Ma Désignation ]],Compil[[Ma Désignation ]])</f>
        <v>2</v>
      </c>
    </row>
    <row r="827" spans="1:17" ht="14">
      <c r="A827" s="312">
        <v>822</v>
      </c>
      <c r="B827" s="19"/>
      <c r="C827" s="47"/>
      <c r="D827" t="str">
        <f xml:space="preserve"> TRIM( SUBSTITUTE(SUBSTITUTE(SUBSTITUTE( Compil[[#This Row],[DESIGNATION]],"-",""),"–",""),"*",""))</f>
        <v/>
      </c>
      <c r="E827" s="33"/>
      <c r="F827" s="262"/>
      <c r="G827" s="289" t="s">
        <v>571</v>
      </c>
      <c r="H827" s="164" t="s">
        <v>571</v>
      </c>
      <c r="I827" t="s">
        <v>578</v>
      </c>
      <c r="J827" t="b">
        <f>AND(NOT(Compil[[#This Row],[Est ouvrage]]), NOT(ISBLANK(Compil[[#This Row],[ART.
CCTP]])))</f>
        <v>0</v>
      </c>
      <c r="K827" t="b">
        <f>OR(Compil[[#This Row],[Unité]]="U",Compil[[#This Row],[Unité]]="ens",Compil[[#This Row],[Unité]]="ml")</f>
        <v>0</v>
      </c>
      <c r="L827" t="b">
        <f>ISBLANK(Compil[[#This Row],[DESIGNATION]])</f>
        <v>1</v>
      </c>
      <c r="M827" s="358"/>
      <c r="N827" s="358"/>
      <c r="O827" s="358"/>
      <c r="P827" s="358"/>
      <c r="Q827" s="358">
        <f>COUNTIF(Compil[[Ma Désignation ]],Compil[[Ma Désignation ]])</f>
        <v>306</v>
      </c>
    </row>
    <row r="828" spans="1:17">
      <c r="A828" s="360">
        <v>1077</v>
      </c>
      <c r="B828" s="363"/>
      <c r="C828" s="402" t="s">
        <v>388</v>
      </c>
      <c r="D828" t="str">
        <f xml:space="preserve"> TRIM( SUBSTITUTE(SUBSTITUTE(SUBSTITUTE( Compil[[#This Row],[DESIGNATION]],"-",""),"–",""),"*",""))</f>
        <v>Luminaire type 5</v>
      </c>
      <c r="E828" s="374" t="s">
        <v>13</v>
      </c>
      <c r="F828" s="385"/>
      <c r="G828" s="390" t="s">
        <v>571</v>
      </c>
      <c r="H828" s="391" t="s">
        <v>571</v>
      </c>
      <c r="I828" t="s">
        <v>579</v>
      </c>
      <c r="J828" t="b">
        <f>AND(NOT(Compil[[#This Row],[Est ouvrage]]), NOT(ISBLANK(Compil[[#This Row],[ART.
CCTP]])))</f>
        <v>0</v>
      </c>
      <c r="K828" t="b">
        <f>OR(Compil[[#This Row],[Unité]]="U",Compil[[#This Row],[Unité]]="ens",Compil[[#This Row],[Unité]]="ml")</f>
        <v>1</v>
      </c>
      <c r="L828" t="b">
        <f>ISBLANK(Compil[[#This Row],[DESIGNATION]])</f>
        <v>0</v>
      </c>
      <c r="M828" s="359"/>
      <c r="N828" s="358"/>
      <c r="O828" s="358"/>
      <c r="P828" s="358"/>
      <c r="Q828" s="358">
        <f>COUNTIF(Compil[[Ma Désignation ]],Compil[[Ma Désignation ]])</f>
        <v>2</v>
      </c>
    </row>
    <row r="829" spans="1:17">
      <c r="A829" s="360">
        <v>1113</v>
      </c>
      <c r="B829" s="363"/>
      <c r="C829" s="402" t="s">
        <v>388</v>
      </c>
      <c r="D829" t="str">
        <f xml:space="preserve"> TRIM( SUBSTITUTE(SUBSTITUTE(SUBSTITUTE( Compil[[#This Row],[DESIGNATION]],"-",""),"–",""),"*",""))</f>
        <v>Luminaire type 5</v>
      </c>
      <c r="E829" s="374" t="s">
        <v>13</v>
      </c>
      <c r="F829" s="385"/>
      <c r="G829" s="390" t="s">
        <v>571</v>
      </c>
      <c r="H829" s="391" t="s">
        <v>571</v>
      </c>
      <c r="I829" t="s">
        <v>579</v>
      </c>
      <c r="J829" t="b">
        <f>AND(NOT(Compil[[#This Row],[Est ouvrage]]), NOT(ISBLANK(Compil[[#This Row],[ART.
CCTP]])))</f>
        <v>0</v>
      </c>
      <c r="K829" t="b">
        <f>OR(Compil[[#This Row],[Unité]]="U",Compil[[#This Row],[Unité]]="ens",Compil[[#This Row],[Unité]]="ml")</f>
        <v>1</v>
      </c>
      <c r="L829" t="b">
        <f>ISBLANK(Compil[[#This Row],[DESIGNATION]])</f>
        <v>0</v>
      </c>
      <c r="M829" s="359"/>
      <c r="N829" s="358"/>
      <c r="O829" s="358"/>
      <c r="P829" s="358"/>
      <c r="Q829" s="358">
        <f>COUNTIF(Compil[[Ma Désignation ]],Compil[[Ma Désignation ]])</f>
        <v>2</v>
      </c>
    </row>
    <row r="830" spans="1:17" ht="14">
      <c r="A830" s="312">
        <v>825</v>
      </c>
      <c r="B830" s="19"/>
      <c r="C830" s="421"/>
      <c r="D830" t="str">
        <f xml:space="preserve"> TRIM( SUBSTITUTE(SUBSTITUTE(SUBSTITUTE( Compil[[#This Row],[DESIGNATION]],"-",""),"–",""),"*",""))</f>
        <v/>
      </c>
      <c r="E830" s="33"/>
      <c r="F830" s="262"/>
      <c r="G830" s="289" t="s">
        <v>571</v>
      </c>
      <c r="H830" s="164" t="s">
        <v>571</v>
      </c>
      <c r="I830" t="s">
        <v>578</v>
      </c>
      <c r="J830" t="b">
        <f>AND(NOT(Compil[[#This Row],[Est ouvrage]]), NOT(ISBLANK(Compil[[#This Row],[ART.
CCTP]])))</f>
        <v>0</v>
      </c>
      <c r="K830" t="b">
        <f>OR(Compil[[#This Row],[Unité]]="U",Compil[[#This Row],[Unité]]="ens",Compil[[#This Row],[Unité]]="ml")</f>
        <v>0</v>
      </c>
      <c r="L830" t="b">
        <f>ISBLANK(Compil[[#This Row],[DESIGNATION]])</f>
        <v>1</v>
      </c>
      <c r="M830" s="358"/>
      <c r="N830" s="358"/>
      <c r="O830" s="358"/>
      <c r="P830" s="358"/>
      <c r="Q830" s="358">
        <f>COUNTIF(Compil[[Ma Désignation ]],Compil[[Ma Désignation ]])</f>
        <v>306</v>
      </c>
    </row>
    <row r="831" spans="1:17" ht="14">
      <c r="A831" s="312">
        <v>826</v>
      </c>
      <c r="B831" s="19"/>
      <c r="C831" s="395" t="s">
        <v>406</v>
      </c>
      <c r="D831" t="str">
        <f xml:space="preserve"> TRIM( SUBSTITUTE(SUBSTITUTE(SUBSTITUTE( Compil[[#This Row],[DESIGNATION]],"-",""),"–",""),"*",""))</f>
        <v>Sous total 3.10</v>
      </c>
      <c r="E831" s="33"/>
      <c r="F831" s="262"/>
      <c r="G831" s="289" t="s">
        <v>571</v>
      </c>
      <c r="H831" s="164" t="s">
        <v>571</v>
      </c>
      <c r="I831" t="s">
        <v>578</v>
      </c>
      <c r="J831" t="b">
        <f>AND(NOT(Compil[[#This Row],[Est ouvrage]]), NOT(ISBLANK(Compil[[#This Row],[ART.
CCTP]])))</f>
        <v>0</v>
      </c>
      <c r="K831" t="b">
        <f>OR(Compil[[#This Row],[Unité]]="U",Compil[[#This Row],[Unité]]="ens",Compil[[#This Row],[Unité]]="ml")</f>
        <v>0</v>
      </c>
      <c r="L831" t="b">
        <f>ISBLANK(Compil[[#This Row],[DESIGNATION]])</f>
        <v>0</v>
      </c>
      <c r="M831" s="359"/>
      <c r="N831" s="358"/>
      <c r="O831" s="358"/>
      <c r="P831" s="358"/>
      <c r="Q831" s="358">
        <f>COUNTIF(Compil[[Ma Désignation ]],Compil[[Ma Désignation ]])</f>
        <v>1</v>
      </c>
    </row>
    <row r="832" spans="1:17" ht="14">
      <c r="A832" s="312">
        <v>827</v>
      </c>
      <c r="B832" s="19"/>
      <c r="C832" s="86"/>
      <c r="D832" t="str">
        <f xml:space="preserve"> TRIM( SUBSTITUTE(SUBSTITUTE(SUBSTITUTE( Compil[[#This Row],[DESIGNATION]],"-",""),"–",""),"*",""))</f>
        <v/>
      </c>
      <c r="E832" s="33"/>
      <c r="F832" s="262"/>
      <c r="G832" s="289" t="s">
        <v>571</v>
      </c>
      <c r="H832" s="164" t="s">
        <v>571</v>
      </c>
      <c r="I832" t="s">
        <v>578</v>
      </c>
      <c r="J832" t="b">
        <f>AND(NOT(Compil[[#This Row],[Est ouvrage]]), NOT(ISBLANK(Compil[[#This Row],[ART.
CCTP]])))</f>
        <v>0</v>
      </c>
      <c r="K832" t="b">
        <f>OR(Compil[[#This Row],[Unité]]="U",Compil[[#This Row],[Unité]]="ens",Compil[[#This Row],[Unité]]="ml")</f>
        <v>0</v>
      </c>
      <c r="L832" t="b">
        <f>ISBLANK(Compil[[#This Row],[DESIGNATION]])</f>
        <v>1</v>
      </c>
      <c r="M832" s="358"/>
      <c r="N832" s="358"/>
      <c r="O832" s="358"/>
      <c r="P832" s="358"/>
      <c r="Q832" s="358">
        <f>COUNTIF(Compil[[Ma Désignation ]],Compil[[Ma Désignation ]])</f>
        <v>306</v>
      </c>
    </row>
    <row r="833" spans="1:17" ht="14">
      <c r="A833" s="312">
        <v>828</v>
      </c>
      <c r="B833" s="19" t="s">
        <v>407</v>
      </c>
      <c r="C833" s="23" t="s">
        <v>87</v>
      </c>
      <c r="D833" t="str">
        <f xml:space="preserve"> TRIM( SUBSTITUTE(SUBSTITUTE(SUBSTITUTE( Compil[[#This Row],[DESIGNATION]],"-",""),"–",""),"*",""))</f>
        <v>Eclairage de sécurité</v>
      </c>
      <c r="E833" s="57"/>
      <c r="F833" s="262"/>
      <c r="G833" s="289" t="s">
        <v>571</v>
      </c>
      <c r="H833" s="164" t="s">
        <v>571</v>
      </c>
      <c r="I833" t="s">
        <v>578</v>
      </c>
      <c r="J833" t="b">
        <f>AND(NOT(Compil[[#This Row],[Est ouvrage]]), NOT(ISBLANK(Compil[[#This Row],[ART.
CCTP]])))</f>
        <v>1</v>
      </c>
      <c r="K833" t="b">
        <f>OR(Compil[[#This Row],[Unité]]="U",Compil[[#This Row],[Unité]]="ens",Compil[[#This Row],[Unité]]="ml")</f>
        <v>0</v>
      </c>
      <c r="L833" t="b">
        <f>ISBLANK(Compil[[#This Row],[DESIGNATION]])</f>
        <v>0</v>
      </c>
      <c r="M833" s="359"/>
      <c r="N833" s="358"/>
      <c r="O833" s="358"/>
      <c r="P833" s="358"/>
      <c r="Q833" s="358">
        <f>COUNTIF(Compil[[Ma Désignation ]],Compil[[Ma Désignation ]])</f>
        <v>2</v>
      </c>
    </row>
    <row r="834" spans="1:17" ht="14">
      <c r="A834" s="312">
        <v>829</v>
      </c>
      <c r="B834" s="19"/>
      <c r="C834" s="23"/>
      <c r="D834" t="str">
        <f xml:space="preserve"> TRIM( SUBSTITUTE(SUBSTITUTE(SUBSTITUTE( Compil[[#This Row],[DESIGNATION]],"-",""),"–",""),"*",""))</f>
        <v/>
      </c>
      <c r="E834" s="57"/>
      <c r="F834" s="262"/>
      <c r="G834" s="289" t="s">
        <v>571</v>
      </c>
      <c r="H834" s="164" t="s">
        <v>571</v>
      </c>
      <c r="I834" t="s">
        <v>578</v>
      </c>
      <c r="J834" t="b">
        <f>AND(NOT(Compil[[#This Row],[Est ouvrage]]), NOT(ISBLANK(Compil[[#This Row],[ART.
CCTP]])))</f>
        <v>0</v>
      </c>
      <c r="K834" t="b">
        <f>OR(Compil[[#This Row],[Unité]]="U",Compil[[#This Row],[Unité]]="ens",Compil[[#This Row],[Unité]]="ml")</f>
        <v>0</v>
      </c>
      <c r="L834" t="b">
        <f>ISBLANK(Compil[[#This Row],[DESIGNATION]])</f>
        <v>1</v>
      </c>
      <c r="M834" s="358"/>
      <c r="N834" s="358"/>
      <c r="O834" s="358"/>
      <c r="P834" s="358"/>
      <c r="Q834" s="358">
        <f>COUNTIF(Compil[[Ma Désignation ]],Compil[[Ma Désignation ]])</f>
        <v>306</v>
      </c>
    </row>
    <row r="835" spans="1:17">
      <c r="A835" s="360">
        <v>1039</v>
      </c>
      <c r="B835" s="363"/>
      <c r="C835" s="402" t="s">
        <v>442</v>
      </c>
      <c r="D835" t="str">
        <f xml:space="preserve"> TRIM( SUBSTITUTE(SUBSTITUTE(SUBSTITUTE( Compil[[#This Row],[DESIGNATION]],"-",""),"–",""),"*",""))</f>
        <v>Luminaire type 5: Eclairage terrasse patio</v>
      </c>
      <c r="E835" s="374" t="s">
        <v>13</v>
      </c>
      <c r="F835" s="385">
        <v>1.3846153846153846</v>
      </c>
      <c r="G835" s="390">
        <v>0</v>
      </c>
      <c r="H835" s="391">
        <v>0</v>
      </c>
      <c r="I835" t="s">
        <v>579</v>
      </c>
      <c r="J835" t="b">
        <f>AND(NOT(Compil[[#This Row],[Est ouvrage]]), NOT(ISBLANK(Compil[[#This Row],[ART.
CCTP]])))</f>
        <v>0</v>
      </c>
      <c r="K835" t="b">
        <f>OR(Compil[[#This Row],[Unité]]="U",Compil[[#This Row],[Unité]]="ens",Compil[[#This Row],[Unité]]="ml")</f>
        <v>1</v>
      </c>
      <c r="L835" t="b">
        <f>ISBLANK(Compil[[#This Row],[DESIGNATION]])</f>
        <v>0</v>
      </c>
      <c r="M835" s="359"/>
      <c r="N835" s="358"/>
      <c r="O835" s="358"/>
      <c r="P835" s="358"/>
      <c r="Q835" s="358">
        <f>COUNTIF(Compil[[Ma Désignation ]],Compil[[Ma Désignation ]])</f>
        <v>1</v>
      </c>
    </row>
    <row r="836" spans="1:17" ht="14">
      <c r="A836" s="303">
        <v>321</v>
      </c>
      <c r="B836" s="2"/>
      <c r="C836" s="224" t="s">
        <v>100</v>
      </c>
      <c r="D836" t="str">
        <f xml:space="preserve"> TRIM( SUBSTITUTE(SUBSTITUTE(SUBSTITUTE( Compil[[#This Row],[DESIGNATION]],"-",""),"–",""),"*",""))</f>
        <v>luminaire type 6</v>
      </c>
      <c r="E836" s="189" t="s">
        <v>138</v>
      </c>
      <c r="F836" s="252"/>
      <c r="G836" s="289" t="str">
        <f>IF(F836="","",(((L836*$M$6)+(M836*#REF!*#REF!))*$M$7)/F836)</f>
        <v/>
      </c>
      <c r="H836" s="164" t="str">
        <f>IF(F836="","",F836*G836)</f>
        <v/>
      </c>
      <c r="I836" t="s">
        <v>580</v>
      </c>
      <c r="J836" t="b">
        <f>AND(NOT(Compil[[#This Row],[Est ouvrage]]), NOT(ISBLANK(Compil[[#This Row],[ART.
CCTP]])))</f>
        <v>0</v>
      </c>
      <c r="K836" t="b">
        <f>OR(Compil[[#This Row],[Unité]]="U",Compil[[#This Row],[Unité]]="ens",Compil[[#This Row],[Unité]]="ml")</f>
        <v>1</v>
      </c>
      <c r="L836" t="b">
        <f>ISBLANK(Compil[[#This Row],[DESIGNATION]])</f>
        <v>0</v>
      </c>
      <c r="M836" s="359"/>
      <c r="N836" s="358"/>
      <c r="O836" s="358"/>
      <c r="P836" s="358"/>
      <c r="Q836" s="358">
        <f>COUNTIF(Compil[[Ma Désignation ]],Compil[[Ma Désignation ]])</f>
        <v>2</v>
      </c>
    </row>
    <row r="837" spans="1:17" ht="14">
      <c r="A837" s="312">
        <v>945</v>
      </c>
      <c r="B837" s="19"/>
      <c r="C837" s="86" t="s">
        <v>100</v>
      </c>
      <c r="D837" t="str">
        <f xml:space="preserve"> TRIM( SUBSTITUTE(SUBSTITUTE(SUBSTITUTE( Compil[[#This Row],[DESIGNATION]],"-",""),"–",""),"*",""))</f>
        <v>luminaire type 6</v>
      </c>
      <c r="E837" s="57" t="s">
        <v>13</v>
      </c>
      <c r="F837" s="264">
        <v>16</v>
      </c>
      <c r="G837" s="289">
        <v>0</v>
      </c>
      <c r="H837" s="164">
        <v>0</v>
      </c>
      <c r="I837" t="s">
        <v>578</v>
      </c>
      <c r="J837" t="b">
        <f>AND(NOT(Compil[[#This Row],[Est ouvrage]]), NOT(ISBLANK(Compil[[#This Row],[ART.
CCTP]])))</f>
        <v>0</v>
      </c>
      <c r="K837" t="b">
        <f>OR(Compil[[#This Row],[Unité]]="U",Compil[[#This Row],[Unité]]="ens",Compil[[#This Row],[Unité]]="ml")</f>
        <v>1</v>
      </c>
      <c r="L837" t="b">
        <f>ISBLANK(Compil[[#This Row],[DESIGNATION]])</f>
        <v>0</v>
      </c>
      <c r="M837" s="359"/>
      <c r="N837" s="358"/>
      <c r="O837" s="358"/>
      <c r="P837" s="358"/>
      <c r="Q837" s="358">
        <f>COUNTIF(Compil[[Ma Désignation ]],Compil[[Ma Désignation ]])</f>
        <v>2</v>
      </c>
    </row>
    <row r="838" spans="1:17" ht="14">
      <c r="A838" s="303">
        <v>322</v>
      </c>
      <c r="B838" s="2"/>
      <c r="C838" s="224" t="s">
        <v>99</v>
      </c>
      <c r="D838" t="str">
        <f xml:space="preserve"> TRIM( SUBSTITUTE(SUBSTITUTE(SUBSTITUTE( Compil[[#This Row],[DESIGNATION]],"-",""),"–",""),"*",""))</f>
        <v>luminaire type 7</v>
      </c>
      <c r="E838" s="189" t="s">
        <v>13</v>
      </c>
      <c r="F838" s="252">
        <f>QTE!J42</f>
        <v>0</v>
      </c>
      <c r="G838" s="289" t="e">
        <f>IF(F838="","",(((L838*$M$6)+(M838*#REF!*#REF!))*$M$7)/F838)</f>
        <v>#VALUE!</v>
      </c>
      <c r="H838" s="164" t="e">
        <f>IF(F838="","",F838*G838)</f>
        <v>#VALUE!</v>
      </c>
      <c r="I838" t="s">
        <v>580</v>
      </c>
      <c r="J838" t="b">
        <f>AND(NOT(Compil[[#This Row],[Est ouvrage]]), NOT(ISBLANK(Compil[[#This Row],[ART.
CCTP]])))</f>
        <v>0</v>
      </c>
      <c r="K838" t="b">
        <f>OR(Compil[[#This Row],[Unité]]="U",Compil[[#This Row],[Unité]]="ens",Compil[[#This Row],[Unité]]="ml")</f>
        <v>1</v>
      </c>
      <c r="L838" t="b">
        <f>ISBLANK(Compil[[#This Row],[DESIGNATION]])</f>
        <v>0</v>
      </c>
      <c r="M838" s="359"/>
      <c r="N838" s="358"/>
      <c r="O838" s="358"/>
      <c r="P838" s="358"/>
      <c r="Q838" s="358">
        <f>COUNTIF(Compil[[Ma Désignation ]],Compil[[Ma Désignation ]])</f>
        <v>2</v>
      </c>
    </row>
    <row r="839" spans="1:17" ht="14">
      <c r="A839" s="312">
        <v>946</v>
      </c>
      <c r="B839" s="19"/>
      <c r="C839" s="86" t="s">
        <v>99</v>
      </c>
      <c r="D839" t="str">
        <f xml:space="preserve"> TRIM( SUBSTITUTE(SUBSTITUTE(SUBSTITUTE( Compil[[#This Row],[DESIGNATION]],"-",""),"–",""),"*",""))</f>
        <v>luminaire type 7</v>
      </c>
      <c r="E839" s="57" t="s">
        <v>13</v>
      </c>
      <c r="F839" s="262"/>
      <c r="G839" s="289" t="s">
        <v>571</v>
      </c>
      <c r="H839" s="164" t="s">
        <v>571</v>
      </c>
      <c r="I839" t="s">
        <v>578</v>
      </c>
      <c r="J839" t="b">
        <f>AND(NOT(Compil[[#This Row],[Est ouvrage]]), NOT(ISBLANK(Compil[[#This Row],[ART.
CCTP]])))</f>
        <v>0</v>
      </c>
      <c r="K839" t="b">
        <f>OR(Compil[[#This Row],[Unité]]="U",Compil[[#This Row],[Unité]]="ens",Compil[[#This Row],[Unité]]="ml")</f>
        <v>1</v>
      </c>
      <c r="L839" t="b">
        <f>ISBLANK(Compil[[#This Row],[DESIGNATION]])</f>
        <v>0</v>
      </c>
      <c r="M839" s="359"/>
      <c r="N839" s="358"/>
      <c r="O839" s="358"/>
      <c r="P839" s="358"/>
      <c r="Q839" s="358">
        <f>COUNTIF(Compil[[Ma Désignation ]],Compil[[Ma Désignation ]])</f>
        <v>2</v>
      </c>
    </row>
    <row r="840" spans="1:17" ht="14">
      <c r="A840" s="303">
        <v>323</v>
      </c>
      <c r="B840" s="2"/>
      <c r="C840" s="224" t="s">
        <v>70</v>
      </c>
      <c r="D840" t="str">
        <f xml:space="preserve"> TRIM( SUBSTITUTE(SUBSTITUTE(SUBSTITUTE( Compil[[#This Row],[DESIGNATION]],"-",""),"–",""),"*",""))</f>
        <v>luminaire type 8</v>
      </c>
      <c r="E840" s="189" t="s">
        <v>13</v>
      </c>
      <c r="F840" s="252">
        <f>1+2+2</f>
        <v>5</v>
      </c>
      <c r="G840" s="289" t="e">
        <f>IF(F840="","",(((L840*$M$6)+(M840*#REF!*#REF!))*$M$7)/F840)</f>
        <v>#VALUE!</v>
      </c>
      <c r="H840" s="164" t="e">
        <f>IF(F840="","",F840*G840)</f>
        <v>#VALUE!</v>
      </c>
      <c r="I840" t="s">
        <v>580</v>
      </c>
      <c r="J840" t="b">
        <f>AND(NOT(Compil[[#This Row],[Est ouvrage]]), NOT(ISBLANK(Compil[[#This Row],[ART.
CCTP]])))</f>
        <v>0</v>
      </c>
      <c r="K840" t="b">
        <f>OR(Compil[[#This Row],[Unité]]="U",Compil[[#This Row],[Unité]]="ens",Compil[[#This Row],[Unité]]="ml")</f>
        <v>1</v>
      </c>
      <c r="L840" t="b">
        <f>ISBLANK(Compil[[#This Row],[DESIGNATION]])</f>
        <v>0</v>
      </c>
      <c r="M840" s="359"/>
      <c r="N840" s="358"/>
      <c r="O840" s="358"/>
      <c r="P840" s="358"/>
      <c r="Q840" s="358">
        <f>COUNTIF(Compil[[Ma Désignation ]],Compil[[Ma Désignation ]])</f>
        <v>2</v>
      </c>
    </row>
    <row r="841" spans="1:17" ht="14">
      <c r="A841" s="312">
        <v>947</v>
      </c>
      <c r="B841" s="19"/>
      <c r="C841" s="86" t="s">
        <v>70</v>
      </c>
      <c r="D841" t="str">
        <f xml:space="preserve"> TRIM( SUBSTITUTE(SUBSTITUTE(SUBSTITUTE( Compil[[#This Row],[DESIGNATION]],"-",""),"–",""),"*",""))</f>
        <v>luminaire type 8</v>
      </c>
      <c r="E841" s="57" t="s">
        <v>13</v>
      </c>
      <c r="F841" s="262">
        <v>6</v>
      </c>
      <c r="G841" s="289">
        <v>0</v>
      </c>
      <c r="H841" s="164">
        <v>0</v>
      </c>
      <c r="I841" t="s">
        <v>578</v>
      </c>
      <c r="J841" t="b">
        <f>AND(NOT(Compil[[#This Row],[Est ouvrage]]), NOT(ISBLANK(Compil[[#This Row],[ART.
CCTP]])))</f>
        <v>0</v>
      </c>
      <c r="K841" t="b">
        <f>OR(Compil[[#This Row],[Unité]]="U",Compil[[#This Row],[Unité]]="ens",Compil[[#This Row],[Unité]]="ml")</f>
        <v>1</v>
      </c>
      <c r="L841" t="b">
        <f>ISBLANK(Compil[[#This Row],[DESIGNATION]])</f>
        <v>0</v>
      </c>
      <c r="M841" s="359"/>
      <c r="N841" s="358"/>
      <c r="O841" s="358"/>
      <c r="P841" s="358"/>
      <c r="Q841" s="358">
        <f>COUNTIF(Compil[[Ma Désignation ]],Compil[[Ma Désignation ]])</f>
        <v>2</v>
      </c>
    </row>
    <row r="842" spans="1:17" ht="14">
      <c r="A842" s="312">
        <v>837</v>
      </c>
      <c r="B842" s="19"/>
      <c r="C842" s="86"/>
      <c r="D842" t="str">
        <f xml:space="preserve"> TRIM( SUBSTITUTE(SUBSTITUTE(SUBSTITUTE( Compil[[#This Row],[DESIGNATION]],"-",""),"–",""),"*",""))</f>
        <v/>
      </c>
      <c r="E842" s="57"/>
      <c r="F842" s="262"/>
      <c r="G842" s="289" t="s">
        <v>571</v>
      </c>
      <c r="H842" s="164" t="s">
        <v>571</v>
      </c>
      <c r="I842" t="s">
        <v>578</v>
      </c>
      <c r="J842" t="b">
        <f>AND(NOT(Compil[[#This Row],[Est ouvrage]]), NOT(ISBLANK(Compil[[#This Row],[ART.
CCTP]])))</f>
        <v>0</v>
      </c>
      <c r="K842" t="b">
        <f>OR(Compil[[#This Row],[Unité]]="U",Compil[[#This Row],[Unité]]="ens",Compil[[#This Row],[Unité]]="ml")</f>
        <v>0</v>
      </c>
      <c r="L842" t="b">
        <f>ISBLANK(Compil[[#This Row],[DESIGNATION]])</f>
        <v>1</v>
      </c>
      <c r="M842" s="358"/>
      <c r="N842" s="358"/>
      <c r="O842" s="358"/>
      <c r="P842" s="358"/>
      <c r="Q842" s="358">
        <f>COUNTIF(Compil[[Ma Désignation ]],Compil[[Ma Désignation ]])</f>
        <v>306</v>
      </c>
    </row>
    <row r="843" spans="1:17" ht="14">
      <c r="A843" s="312">
        <v>838</v>
      </c>
      <c r="B843" s="19"/>
      <c r="C843" s="396" t="s">
        <v>410</v>
      </c>
      <c r="D843" t="str">
        <f xml:space="preserve"> TRIM( SUBSTITUTE(SUBSTITUTE(SUBSTITUTE( Compil[[#This Row],[DESIGNATION]],"-",""),"–",""),"*",""))</f>
        <v>Sous total 3.11</v>
      </c>
      <c r="E843" s="57"/>
      <c r="F843" s="262"/>
      <c r="G843" s="289" t="s">
        <v>571</v>
      </c>
      <c r="H843" s="164" t="s">
        <v>571</v>
      </c>
      <c r="I843" t="s">
        <v>578</v>
      </c>
      <c r="J843" t="b">
        <f>AND(NOT(Compil[[#This Row],[Est ouvrage]]), NOT(ISBLANK(Compil[[#This Row],[ART.
CCTP]])))</f>
        <v>0</v>
      </c>
      <c r="K843" t="b">
        <f>OR(Compil[[#This Row],[Unité]]="U",Compil[[#This Row],[Unité]]="ens",Compil[[#This Row],[Unité]]="ml")</f>
        <v>0</v>
      </c>
      <c r="L843" t="b">
        <f>ISBLANK(Compil[[#This Row],[DESIGNATION]])</f>
        <v>0</v>
      </c>
      <c r="M843" s="359"/>
      <c r="N843" s="358"/>
      <c r="O843" s="358"/>
      <c r="P843" s="358"/>
      <c r="Q843" s="358">
        <f>COUNTIF(Compil[[Ma Désignation ]],Compil[[Ma Désignation ]])</f>
        <v>1</v>
      </c>
    </row>
    <row r="844" spans="1:17" ht="14">
      <c r="A844" s="312">
        <v>839</v>
      </c>
      <c r="B844" s="19"/>
      <c r="C844" s="86"/>
      <c r="D844" t="str">
        <f xml:space="preserve"> TRIM( SUBSTITUTE(SUBSTITUTE(SUBSTITUTE( Compil[[#This Row],[DESIGNATION]],"-",""),"–",""),"*",""))</f>
        <v/>
      </c>
      <c r="E844" s="33"/>
      <c r="F844" s="262"/>
      <c r="G844" s="289" t="s">
        <v>571</v>
      </c>
      <c r="H844" s="164" t="s">
        <v>571</v>
      </c>
      <c r="I844" t="s">
        <v>578</v>
      </c>
      <c r="J844" t="b">
        <f>AND(NOT(Compil[[#This Row],[Est ouvrage]]), NOT(ISBLANK(Compil[[#This Row],[ART.
CCTP]])))</f>
        <v>0</v>
      </c>
      <c r="K844" t="b">
        <f>OR(Compil[[#This Row],[Unité]]="U",Compil[[#This Row],[Unité]]="ens",Compil[[#This Row],[Unité]]="ml")</f>
        <v>0</v>
      </c>
      <c r="L844" t="b">
        <f>ISBLANK(Compil[[#This Row],[DESIGNATION]])</f>
        <v>1</v>
      </c>
      <c r="M844" s="358"/>
      <c r="N844" s="358"/>
      <c r="O844" s="358"/>
      <c r="P844" s="358"/>
      <c r="Q844" s="358">
        <f>COUNTIF(Compil[[Ma Désignation ]],Compil[[Ma Désignation ]])</f>
        <v>306</v>
      </c>
    </row>
    <row r="845" spans="1:17" ht="14">
      <c r="A845" s="312">
        <v>840</v>
      </c>
      <c r="B845" s="19" t="s">
        <v>411</v>
      </c>
      <c r="C845" s="23" t="s">
        <v>60</v>
      </c>
      <c r="D845" t="str">
        <f xml:space="preserve"> TRIM( SUBSTITUTE(SUBSTITUTE(SUBSTITUTE( Compil[[#This Row],[DESIGNATION]],"-",""),"–",""),"*",""))</f>
        <v>Téléphone / Fibre optique</v>
      </c>
      <c r="E845" s="33"/>
      <c r="F845" s="262"/>
      <c r="G845" s="289" t="s">
        <v>571</v>
      </c>
      <c r="H845" s="164" t="s">
        <v>571</v>
      </c>
      <c r="I845" t="s">
        <v>578</v>
      </c>
      <c r="J845" t="b">
        <f>AND(NOT(Compil[[#This Row],[Est ouvrage]]), NOT(ISBLANK(Compil[[#This Row],[ART.
CCTP]])))</f>
        <v>1</v>
      </c>
      <c r="K845" t="b">
        <f>OR(Compil[[#This Row],[Unité]]="U",Compil[[#This Row],[Unité]]="ens",Compil[[#This Row],[Unité]]="ml")</f>
        <v>0</v>
      </c>
      <c r="L845" t="b">
        <f>ISBLANK(Compil[[#This Row],[DESIGNATION]])</f>
        <v>0</v>
      </c>
      <c r="M845" s="359"/>
      <c r="N845" s="358"/>
      <c r="O845" s="358"/>
      <c r="P845" s="358"/>
      <c r="Q845" s="358">
        <f>COUNTIF(Compil[[Ma Désignation ]],Compil[[Ma Désignation ]])</f>
        <v>4</v>
      </c>
    </row>
    <row r="846" spans="1:17" ht="14">
      <c r="A846" s="312">
        <v>841</v>
      </c>
      <c r="B846" s="19"/>
      <c r="C846" s="88"/>
      <c r="D846" t="str">
        <f xml:space="preserve"> TRIM( SUBSTITUTE(SUBSTITUTE(SUBSTITUTE( Compil[[#This Row],[DESIGNATION]],"-",""),"–",""),"*",""))</f>
        <v/>
      </c>
      <c r="E846" s="33"/>
      <c r="F846" s="262"/>
      <c r="G846" s="289" t="s">
        <v>571</v>
      </c>
      <c r="H846" s="164" t="s">
        <v>571</v>
      </c>
      <c r="I846" t="s">
        <v>578</v>
      </c>
      <c r="J846" t="b">
        <f>AND(NOT(Compil[[#This Row],[Est ouvrage]]), NOT(ISBLANK(Compil[[#This Row],[ART.
CCTP]])))</f>
        <v>0</v>
      </c>
      <c r="K846" t="b">
        <f>OR(Compil[[#This Row],[Unité]]="U",Compil[[#This Row],[Unité]]="ens",Compil[[#This Row],[Unité]]="ml")</f>
        <v>0</v>
      </c>
      <c r="L846" t="b">
        <f>ISBLANK(Compil[[#This Row],[DESIGNATION]])</f>
        <v>1</v>
      </c>
      <c r="M846" s="358"/>
      <c r="N846" s="358"/>
      <c r="O846" s="358"/>
      <c r="P846" s="358"/>
      <c r="Q846" s="358">
        <f>COUNTIF(Compil[[Ma Désignation ]],Compil[[Ma Désignation ]])</f>
        <v>306</v>
      </c>
    </row>
    <row r="847" spans="1:17" ht="14">
      <c r="A847" s="312">
        <v>842</v>
      </c>
      <c r="B847" s="19" t="s">
        <v>412</v>
      </c>
      <c r="C847" s="23" t="s">
        <v>26</v>
      </c>
      <c r="D847" t="str">
        <f xml:space="preserve"> TRIM( SUBSTITUTE(SUBSTITUTE(SUBSTITUTE( Compil[[#This Row],[DESIGNATION]],"-",""),"–",""),"*",""))</f>
        <v>Téléphone</v>
      </c>
      <c r="E847" s="33"/>
      <c r="F847" s="262"/>
      <c r="G847" s="289" t="s">
        <v>571</v>
      </c>
      <c r="H847" s="164" t="s">
        <v>571</v>
      </c>
      <c r="I847" t="s">
        <v>578</v>
      </c>
      <c r="J847" t="b">
        <f>AND(NOT(Compil[[#This Row],[Est ouvrage]]), NOT(ISBLANK(Compil[[#This Row],[ART.
CCTP]])))</f>
        <v>1</v>
      </c>
      <c r="K847" t="b">
        <f>OR(Compil[[#This Row],[Unité]]="U",Compil[[#This Row],[Unité]]="ens",Compil[[#This Row],[Unité]]="ml")</f>
        <v>0</v>
      </c>
      <c r="L847" t="b">
        <f>ISBLANK(Compil[[#This Row],[DESIGNATION]])</f>
        <v>0</v>
      </c>
      <c r="M847" s="359"/>
      <c r="N847" s="358"/>
      <c r="O847" s="358"/>
      <c r="P847" s="358"/>
      <c r="Q847" s="358">
        <f>COUNTIF(Compil[[Ma Désignation ]],Compil[[Ma Désignation ]])</f>
        <v>2</v>
      </c>
    </row>
    <row r="848" spans="1:17" ht="14">
      <c r="A848" s="310">
        <v>407</v>
      </c>
      <c r="B848" s="2"/>
      <c r="C848" s="428" t="s">
        <v>444</v>
      </c>
      <c r="D848" t="str">
        <f xml:space="preserve"> TRIM( SUBSTITUTE(SUBSTITUTE(SUBSTITUTE( Compil[[#This Row],[DESIGNATION]],"-",""),"–",""),"*",""))</f>
        <v>Luminaire type 9 Eclairage terrasse/balcon ext. G1</v>
      </c>
      <c r="E848" s="33" t="s">
        <v>13</v>
      </c>
      <c r="F848" s="262"/>
      <c r="G848" s="289" t="s">
        <v>571</v>
      </c>
      <c r="H848" s="164" t="s">
        <v>571</v>
      </c>
      <c r="I848" t="s">
        <v>570</v>
      </c>
      <c r="J848" t="b">
        <f>AND(NOT(Compil[[#This Row],[Est ouvrage]]), NOT(ISBLANK(Compil[[#This Row],[ART.
CCTP]])))</f>
        <v>0</v>
      </c>
      <c r="K848" t="b">
        <f>OR(Compil[[#This Row],[Unité]]="U",Compil[[#This Row],[Unité]]="ens",Compil[[#This Row],[Unité]]="ml")</f>
        <v>1</v>
      </c>
      <c r="L848" t="b">
        <f>ISBLANK(Compil[[#This Row],[DESIGNATION]])</f>
        <v>0</v>
      </c>
      <c r="M848" s="359"/>
      <c r="N848" s="358"/>
      <c r="O848" s="358"/>
      <c r="P848" s="358"/>
      <c r="Q848" s="358">
        <f>COUNTIF(Compil[[Ma Désignation ]],Compil[[Ma Désignation ]])</f>
        <v>6</v>
      </c>
    </row>
    <row r="849" spans="1:17" ht="14">
      <c r="A849" s="310">
        <v>461</v>
      </c>
      <c r="B849" s="2"/>
      <c r="C849" s="428" t="s">
        <v>444</v>
      </c>
      <c r="D849" t="str">
        <f xml:space="preserve"> TRIM( SUBSTITUTE(SUBSTITUTE(SUBSTITUTE( Compil[[#This Row],[DESIGNATION]],"-",""),"–",""),"*",""))</f>
        <v>Luminaire type 9 Eclairage terrasse/balcon ext. G1</v>
      </c>
      <c r="E849" s="33" t="s">
        <v>13</v>
      </c>
      <c r="F849" s="262"/>
      <c r="G849" s="289" t="s">
        <v>571</v>
      </c>
      <c r="H849" s="164" t="s">
        <v>571</v>
      </c>
      <c r="I849" t="s">
        <v>570</v>
      </c>
      <c r="J849" t="b">
        <f>AND(NOT(Compil[[#This Row],[Est ouvrage]]), NOT(ISBLANK(Compil[[#This Row],[ART.
CCTP]])))</f>
        <v>0</v>
      </c>
      <c r="K849" t="b">
        <f>OR(Compil[[#This Row],[Unité]]="U",Compil[[#This Row],[Unité]]="ens",Compil[[#This Row],[Unité]]="ml")</f>
        <v>1</v>
      </c>
      <c r="L849" t="b">
        <f>ISBLANK(Compil[[#This Row],[DESIGNATION]])</f>
        <v>0</v>
      </c>
      <c r="M849" s="359"/>
      <c r="N849" s="358"/>
      <c r="O849" s="358"/>
      <c r="P849" s="358"/>
      <c r="Q849" s="358">
        <f>COUNTIF(Compil[[Ma Désignation ]],Compil[[Ma Désignation ]])</f>
        <v>6</v>
      </c>
    </row>
    <row r="850" spans="1:17" ht="14">
      <c r="A850" s="310">
        <v>517</v>
      </c>
      <c r="B850" s="2"/>
      <c r="C850" s="428" t="s">
        <v>444</v>
      </c>
      <c r="D850" t="str">
        <f xml:space="preserve"> TRIM( SUBSTITUTE(SUBSTITUTE(SUBSTITUTE( Compil[[#This Row],[DESIGNATION]],"-",""),"–",""),"*",""))</f>
        <v>Luminaire type 9 Eclairage terrasse/balcon ext. G1</v>
      </c>
      <c r="E850" s="33" t="s">
        <v>13</v>
      </c>
      <c r="F850" s="262">
        <v>0.94</v>
      </c>
      <c r="G850" s="289">
        <v>0</v>
      </c>
      <c r="H850" s="164">
        <v>0</v>
      </c>
      <c r="I850" t="s">
        <v>570</v>
      </c>
      <c r="J850" t="b">
        <f>AND(NOT(Compil[[#This Row],[Est ouvrage]]), NOT(ISBLANK(Compil[[#This Row],[ART.
CCTP]])))</f>
        <v>0</v>
      </c>
      <c r="K850" t="b">
        <f>OR(Compil[[#This Row],[Unité]]="U",Compil[[#This Row],[Unité]]="ens",Compil[[#This Row],[Unité]]="ml")</f>
        <v>1</v>
      </c>
      <c r="L850" t="b">
        <f>ISBLANK(Compil[[#This Row],[DESIGNATION]])</f>
        <v>0</v>
      </c>
      <c r="M850" s="359"/>
      <c r="N850" s="358"/>
      <c r="O850" s="358"/>
      <c r="P850" s="358"/>
      <c r="Q850" s="358">
        <f>COUNTIF(Compil[[Ma Désignation ]],Compil[[Ma Désignation ]])</f>
        <v>6</v>
      </c>
    </row>
    <row r="851" spans="1:17" ht="14">
      <c r="A851" s="310">
        <v>573</v>
      </c>
      <c r="B851" s="43"/>
      <c r="C851" s="428" t="s">
        <v>444</v>
      </c>
      <c r="D851" t="str">
        <f xml:space="preserve"> TRIM( SUBSTITUTE(SUBSTITUTE(SUBSTITUTE( Compil[[#This Row],[DESIGNATION]],"-",""),"–",""),"*",""))</f>
        <v>Luminaire type 9 Eclairage terrasse/balcon ext. G1</v>
      </c>
      <c r="E851" s="33" t="s">
        <v>13</v>
      </c>
      <c r="F851" s="262">
        <v>0.94</v>
      </c>
      <c r="G851" s="289">
        <v>0</v>
      </c>
      <c r="H851" s="164">
        <v>0</v>
      </c>
      <c r="I851" t="s">
        <v>570</v>
      </c>
      <c r="J851" t="b">
        <f>AND(NOT(Compil[[#This Row],[Est ouvrage]]), NOT(ISBLANK(Compil[[#This Row],[ART.
CCTP]])))</f>
        <v>0</v>
      </c>
      <c r="K851" t="b">
        <f>OR(Compil[[#This Row],[Unité]]="U",Compil[[#This Row],[Unité]]="ens",Compil[[#This Row],[Unité]]="ml")</f>
        <v>1</v>
      </c>
      <c r="L851" t="b">
        <f>ISBLANK(Compil[[#This Row],[DESIGNATION]])</f>
        <v>0</v>
      </c>
      <c r="M851" s="359"/>
      <c r="N851" s="358"/>
      <c r="O851" s="358"/>
      <c r="P851" s="358"/>
      <c r="Q851" s="358">
        <f>COUNTIF(Compil[[Ma Désignation ]],Compil[[Ma Désignation ]])</f>
        <v>6</v>
      </c>
    </row>
    <row r="852" spans="1:17" ht="14">
      <c r="A852" s="310">
        <v>629</v>
      </c>
      <c r="B852" s="43"/>
      <c r="C852" s="428" t="s">
        <v>444</v>
      </c>
      <c r="D852" t="str">
        <f xml:space="preserve"> TRIM( SUBSTITUTE(SUBSTITUTE(SUBSTITUTE( Compil[[#This Row],[DESIGNATION]],"-",""),"–",""),"*",""))</f>
        <v>Luminaire type 9 Eclairage terrasse/balcon ext. G1</v>
      </c>
      <c r="E852" s="33" t="s">
        <v>13</v>
      </c>
      <c r="F852" s="262"/>
      <c r="G852" s="289" t="s">
        <v>571</v>
      </c>
      <c r="H852" s="164" t="s">
        <v>571</v>
      </c>
      <c r="I852" t="s">
        <v>570</v>
      </c>
      <c r="J852" t="b">
        <f>AND(NOT(Compil[[#This Row],[Est ouvrage]]), NOT(ISBLANK(Compil[[#This Row],[ART.
CCTP]])))</f>
        <v>0</v>
      </c>
      <c r="K852" t="b">
        <f>OR(Compil[[#This Row],[Unité]]="U",Compil[[#This Row],[Unité]]="ens",Compil[[#This Row],[Unité]]="ml")</f>
        <v>1</v>
      </c>
      <c r="L852" t="b">
        <f>ISBLANK(Compil[[#This Row],[DESIGNATION]])</f>
        <v>0</v>
      </c>
      <c r="M852" s="359"/>
      <c r="N852" s="358"/>
      <c r="O852" s="358"/>
      <c r="P852" s="358"/>
      <c r="Q852" s="358">
        <f>COUNTIF(Compil[[Ma Désignation ]],Compil[[Ma Désignation ]])</f>
        <v>6</v>
      </c>
    </row>
    <row r="853" spans="1:17" ht="14">
      <c r="A853" s="310">
        <v>685</v>
      </c>
      <c r="B853" s="43"/>
      <c r="C853" s="428" t="s">
        <v>444</v>
      </c>
      <c r="D853" t="str">
        <f xml:space="preserve"> TRIM( SUBSTITUTE(SUBSTITUTE(SUBSTITUTE( Compil[[#This Row],[DESIGNATION]],"-",""),"–",""),"*",""))</f>
        <v>Luminaire type 9 Eclairage terrasse/balcon ext. G1</v>
      </c>
      <c r="E853" s="33" t="s">
        <v>13</v>
      </c>
      <c r="F853" s="262"/>
      <c r="G853" s="289" t="s">
        <v>571</v>
      </c>
      <c r="H853" s="164" t="s">
        <v>571</v>
      </c>
      <c r="I853" t="s">
        <v>570</v>
      </c>
      <c r="J853" t="b">
        <f>AND(NOT(Compil[[#This Row],[Est ouvrage]]), NOT(ISBLANK(Compil[[#This Row],[ART.
CCTP]])))</f>
        <v>0</v>
      </c>
      <c r="K853" t="b">
        <f>OR(Compil[[#This Row],[Unité]]="U",Compil[[#This Row],[Unité]]="ens",Compil[[#This Row],[Unité]]="ml")</f>
        <v>1</v>
      </c>
      <c r="L853" t="b">
        <f>ISBLANK(Compil[[#This Row],[DESIGNATION]])</f>
        <v>0</v>
      </c>
      <c r="M853" s="359"/>
      <c r="N853" s="358"/>
      <c r="O853" s="358"/>
      <c r="P853" s="358"/>
      <c r="Q853" s="358">
        <f>COUNTIF(Compil[[Ma Désignation ]],Compil[[Ma Désignation ]])</f>
        <v>6</v>
      </c>
    </row>
    <row r="854" spans="1:17" ht="14">
      <c r="A854" s="312">
        <v>849</v>
      </c>
      <c r="B854" s="104"/>
      <c r="C854" s="88" t="s">
        <v>174</v>
      </c>
      <c r="D854" t="str">
        <f xml:space="preserve"> TRIM( SUBSTITUTE(SUBSTITUTE(SUBSTITUTE( Compil[[#This Row],[DESIGNATION]],"-",""),"–",""),"*",""))</f>
        <v>chemin de câble vertical</v>
      </c>
      <c r="E854" s="33" t="s">
        <v>33</v>
      </c>
      <c r="F854" s="262"/>
      <c r="G854" s="289" t="s">
        <v>571</v>
      </c>
      <c r="H854" s="164" t="s">
        <v>571</v>
      </c>
      <c r="I854" t="s">
        <v>578</v>
      </c>
      <c r="J854" t="b">
        <f>AND(NOT(Compil[[#This Row],[Est ouvrage]]), NOT(ISBLANK(Compil[[#This Row],[ART.
CCTP]])))</f>
        <v>0</v>
      </c>
      <c r="K854" t="b">
        <f>OR(Compil[[#This Row],[Unité]]="U",Compil[[#This Row],[Unité]]="ens",Compil[[#This Row],[Unité]]="ml")</f>
        <v>0</v>
      </c>
      <c r="L854" t="b">
        <f>ISBLANK(Compil[[#This Row],[DESIGNATION]])</f>
        <v>0</v>
      </c>
      <c r="M854" s="359"/>
      <c r="N854" s="358"/>
      <c r="O854" s="358"/>
      <c r="P854" s="358"/>
      <c r="Q854" s="358">
        <f>COUNTIF(Compil[[Ma Désignation ]],Compil[[Ma Désignation ]])</f>
        <v>4</v>
      </c>
    </row>
    <row r="855" spans="1:17" ht="14">
      <c r="A855" s="310">
        <v>408</v>
      </c>
      <c r="B855" s="2"/>
      <c r="C855" s="428" t="s">
        <v>445</v>
      </c>
      <c r="D855" t="str">
        <f xml:space="preserve"> TRIM( SUBSTITUTE(SUBSTITUTE(SUBSTITUTE( Compil[[#This Row],[DESIGNATION]],"-",""),"–",""),"*",""))</f>
        <v>Luminaire type 9 Eclairage terrasse/balcon int. G1</v>
      </c>
      <c r="E855" s="33" t="s">
        <v>13</v>
      </c>
      <c r="F855" s="262"/>
      <c r="G855" s="289" t="s">
        <v>571</v>
      </c>
      <c r="H855" s="164" t="s">
        <v>571</v>
      </c>
      <c r="I855" t="s">
        <v>570</v>
      </c>
      <c r="J855" t="b">
        <f>AND(NOT(Compil[[#This Row],[Est ouvrage]]), NOT(ISBLANK(Compil[[#This Row],[ART.
CCTP]])))</f>
        <v>0</v>
      </c>
      <c r="K855" t="b">
        <f>OR(Compil[[#This Row],[Unité]]="U",Compil[[#This Row],[Unité]]="ens",Compil[[#This Row],[Unité]]="ml")</f>
        <v>1</v>
      </c>
      <c r="L855" t="b">
        <f>ISBLANK(Compil[[#This Row],[DESIGNATION]])</f>
        <v>0</v>
      </c>
      <c r="M855" s="359"/>
      <c r="N855" s="358"/>
      <c r="O855" s="358"/>
      <c r="P855" s="358"/>
      <c r="Q855" s="358">
        <f>COUNTIF(Compil[[Ma Désignation ]],Compil[[Ma Désignation ]])</f>
        <v>6</v>
      </c>
    </row>
    <row r="856" spans="1:17" ht="14">
      <c r="A856" s="310">
        <v>462</v>
      </c>
      <c r="B856" s="2"/>
      <c r="C856" s="428" t="s">
        <v>445</v>
      </c>
      <c r="D856" t="str">
        <f xml:space="preserve"> TRIM( SUBSTITUTE(SUBSTITUTE(SUBSTITUTE( Compil[[#This Row],[DESIGNATION]],"-",""),"–",""),"*",""))</f>
        <v>Luminaire type 9 Eclairage terrasse/balcon int. G1</v>
      </c>
      <c r="E856" s="33" t="s">
        <v>13</v>
      </c>
      <c r="F856" s="262"/>
      <c r="G856" s="289" t="s">
        <v>571</v>
      </c>
      <c r="H856" s="164" t="s">
        <v>571</v>
      </c>
      <c r="I856" t="s">
        <v>570</v>
      </c>
      <c r="J856" t="b">
        <f>AND(NOT(Compil[[#This Row],[Est ouvrage]]), NOT(ISBLANK(Compil[[#This Row],[ART.
CCTP]])))</f>
        <v>0</v>
      </c>
      <c r="K856" t="b">
        <f>OR(Compil[[#This Row],[Unité]]="U",Compil[[#This Row],[Unité]]="ens",Compil[[#This Row],[Unité]]="ml")</f>
        <v>1</v>
      </c>
      <c r="L856" t="b">
        <f>ISBLANK(Compil[[#This Row],[DESIGNATION]])</f>
        <v>0</v>
      </c>
      <c r="M856" s="359"/>
      <c r="N856" s="358"/>
      <c r="O856" s="358"/>
      <c r="P856" s="358"/>
      <c r="Q856" s="358">
        <f>COUNTIF(Compil[[Ma Désignation ]],Compil[[Ma Désignation ]])</f>
        <v>6</v>
      </c>
    </row>
    <row r="857" spans="1:17" ht="14">
      <c r="A857" s="310">
        <v>518</v>
      </c>
      <c r="B857" s="2"/>
      <c r="C857" s="428" t="s">
        <v>445</v>
      </c>
      <c r="D857" t="str">
        <f xml:space="preserve"> TRIM( SUBSTITUTE(SUBSTITUTE(SUBSTITUTE( Compil[[#This Row],[DESIGNATION]],"-",""),"–",""),"*",""))</f>
        <v>Luminaire type 9 Eclairage terrasse/balcon int. G1</v>
      </c>
      <c r="E857" s="33" t="s">
        <v>13</v>
      </c>
      <c r="F857" s="262"/>
      <c r="G857" s="289" t="s">
        <v>571</v>
      </c>
      <c r="H857" s="164" t="s">
        <v>571</v>
      </c>
      <c r="I857" t="s">
        <v>570</v>
      </c>
      <c r="J857" t="b">
        <f>AND(NOT(Compil[[#This Row],[Est ouvrage]]), NOT(ISBLANK(Compil[[#This Row],[ART.
CCTP]])))</f>
        <v>0</v>
      </c>
      <c r="K857" t="b">
        <f>OR(Compil[[#This Row],[Unité]]="U",Compil[[#This Row],[Unité]]="ens",Compil[[#This Row],[Unité]]="ml")</f>
        <v>1</v>
      </c>
      <c r="L857" t="b">
        <f>ISBLANK(Compil[[#This Row],[DESIGNATION]])</f>
        <v>0</v>
      </c>
      <c r="M857" s="359"/>
      <c r="N857" s="358"/>
      <c r="O857" s="358"/>
      <c r="P857" s="358"/>
      <c r="Q857" s="358">
        <f>COUNTIF(Compil[[Ma Désignation ]],Compil[[Ma Désignation ]])</f>
        <v>6</v>
      </c>
    </row>
    <row r="858" spans="1:17" ht="14">
      <c r="A858" s="310">
        <v>574</v>
      </c>
      <c r="B858" s="43"/>
      <c r="C858" s="428" t="s">
        <v>445</v>
      </c>
      <c r="D858" t="str">
        <f xml:space="preserve"> TRIM( SUBSTITUTE(SUBSTITUTE(SUBSTITUTE( Compil[[#This Row],[DESIGNATION]],"-",""),"–",""),"*",""))</f>
        <v>Luminaire type 9 Eclairage terrasse/balcon int. G1</v>
      </c>
      <c r="E858" s="33" t="s">
        <v>13</v>
      </c>
      <c r="F858" s="262"/>
      <c r="G858" s="289" t="s">
        <v>571</v>
      </c>
      <c r="H858" s="164" t="s">
        <v>571</v>
      </c>
      <c r="I858" t="s">
        <v>570</v>
      </c>
      <c r="J858" t="b">
        <f>AND(NOT(Compil[[#This Row],[Est ouvrage]]), NOT(ISBLANK(Compil[[#This Row],[ART.
CCTP]])))</f>
        <v>0</v>
      </c>
      <c r="K858" t="b">
        <f>OR(Compil[[#This Row],[Unité]]="U",Compil[[#This Row],[Unité]]="ens",Compil[[#This Row],[Unité]]="ml")</f>
        <v>1</v>
      </c>
      <c r="L858" t="b">
        <f>ISBLANK(Compil[[#This Row],[DESIGNATION]])</f>
        <v>0</v>
      </c>
      <c r="M858" s="359"/>
      <c r="N858" s="358"/>
      <c r="O858" s="358"/>
      <c r="P858" s="358"/>
      <c r="Q858" s="358">
        <f>COUNTIF(Compil[[Ma Désignation ]],Compil[[Ma Désignation ]])</f>
        <v>6</v>
      </c>
    </row>
    <row r="859" spans="1:17" ht="14">
      <c r="A859" s="310">
        <v>630</v>
      </c>
      <c r="B859" s="43"/>
      <c r="C859" s="428" t="s">
        <v>445</v>
      </c>
      <c r="D859" t="str">
        <f xml:space="preserve"> TRIM( SUBSTITUTE(SUBSTITUTE(SUBSTITUTE( Compil[[#This Row],[DESIGNATION]],"-",""),"–",""),"*",""))</f>
        <v>Luminaire type 9 Eclairage terrasse/balcon int. G1</v>
      </c>
      <c r="E859" s="33" t="s">
        <v>13</v>
      </c>
      <c r="F859" s="262"/>
      <c r="G859" s="289" t="s">
        <v>571</v>
      </c>
      <c r="H859" s="164" t="s">
        <v>571</v>
      </c>
      <c r="I859" t="s">
        <v>570</v>
      </c>
      <c r="J859" t="b">
        <f>AND(NOT(Compil[[#This Row],[Est ouvrage]]), NOT(ISBLANK(Compil[[#This Row],[ART.
CCTP]])))</f>
        <v>0</v>
      </c>
      <c r="K859" t="b">
        <f>OR(Compil[[#This Row],[Unité]]="U",Compil[[#This Row],[Unité]]="ens",Compil[[#This Row],[Unité]]="ml")</f>
        <v>1</v>
      </c>
      <c r="L859" t="b">
        <f>ISBLANK(Compil[[#This Row],[DESIGNATION]])</f>
        <v>0</v>
      </c>
      <c r="M859" s="359"/>
      <c r="N859" s="358"/>
      <c r="O859" s="358"/>
      <c r="P859" s="358"/>
      <c r="Q859" s="358">
        <f>COUNTIF(Compil[[Ma Désignation ]],Compil[[Ma Désignation ]])</f>
        <v>6</v>
      </c>
    </row>
    <row r="860" spans="1:17" ht="14">
      <c r="A860" s="310">
        <v>686</v>
      </c>
      <c r="B860" s="43"/>
      <c r="C860" s="428" t="s">
        <v>445</v>
      </c>
      <c r="D860" t="str">
        <f xml:space="preserve"> TRIM( SUBSTITUTE(SUBSTITUTE(SUBSTITUTE( Compil[[#This Row],[DESIGNATION]],"-",""),"–",""),"*",""))</f>
        <v>Luminaire type 9 Eclairage terrasse/balcon int. G1</v>
      </c>
      <c r="E860" s="33" t="s">
        <v>13</v>
      </c>
      <c r="F860" s="262">
        <v>2</v>
      </c>
      <c r="G860" s="289">
        <v>0</v>
      </c>
      <c r="H860" s="164">
        <v>0</v>
      </c>
      <c r="I860" t="s">
        <v>570</v>
      </c>
      <c r="J860" t="b">
        <f>AND(NOT(Compil[[#This Row],[Est ouvrage]]), NOT(ISBLANK(Compil[[#This Row],[ART.
CCTP]])))</f>
        <v>0</v>
      </c>
      <c r="K860" t="b">
        <f>OR(Compil[[#This Row],[Unité]]="U",Compil[[#This Row],[Unité]]="ens",Compil[[#This Row],[Unité]]="ml")</f>
        <v>1</v>
      </c>
      <c r="L860" t="b">
        <f>ISBLANK(Compil[[#This Row],[DESIGNATION]])</f>
        <v>0</v>
      </c>
      <c r="M860" s="359"/>
      <c r="N860" s="358"/>
      <c r="O860" s="358"/>
      <c r="P860" s="358"/>
      <c r="Q860" s="358">
        <f>COUNTIF(Compil[[Ma Désignation ]],Compil[[Ma Désignation ]])</f>
        <v>6</v>
      </c>
    </row>
    <row r="861" spans="1:17" ht="14">
      <c r="A861" s="312">
        <v>856</v>
      </c>
      <c r="B861" s="104"/>
      <c r="C861" s="88"/>
      <c r="D861" t="str">
        <f xml:space="preserve"> TRIM( SUBSTITUTE(SUBSTITUTE(SUBSTITUTE( Compil[[#This Row],[DESIGNATION]],"-",""),"–",""),"*",""))</f>
        <v/>
      </c>
      <c r="E861" s="33"/>
      <c r="F861" s="262"/>
      <c r="G861" s="289" t="s">
        <v>571</v>
      </c>
      <c r="H861" s="164" t="s">
        <v>571</v>
      </c>
      <c r="I861" t="s">
        <v>578</v>
      </c>
      <c r="J861" t="b">
        <f>AND(NOT(Compil[[#This Row],[Est ouvrage]]), NOT(ISBLANK(Compil[[#This Row],[ART.
CCTP]])))</f>
        <v>0</v>
      </c>
      <c r="K861" t="b">
        <f>OR(Compil[[#This Row],[Unité]]="U",Compil[[#This Row],[Unité]]="ens",Compil[[#This Row],[Unité]]="ml")</f>
        <v>0</v>
      </c>
      <c r="L861" t="b">
        <f>ISBLANK(Compil[[#This Row],[DESIGNATION]])</f>
        <v>1</v>
      </c>
      <c r="M861" s="358"/>
      <c r="N861" s="358"/>
      <c r="O861" s="358"/>
      <c r="P861" s="358"/>
      <c r="Q861" s="358">
        <f>COUNTIF(Compil[[Ma Désignation ]],Compil[[Ma Désignation ]])</f>
        <v>306</v>
      </c>
    </row>
    <row r="862" spans="1:17">
      <c r="A862" s="360">
        <v>1116</v>
      </c>
      <c r="B862" s="363"/>
      <c r="C862" s="402" t="s">
        <v>544</v>
      </c>
      <c r="D862" t="str">
        <f xml:space="preserve"> TRIM( SUBSTITUTE(SUBSTITUTE(SUBSTITUTE( Compil[[#This Row],[DESIGNATION]],"-",""),"–",""),"*",""))</f>
        <v>Nombre bureaux sur l'opération</v>
      </c>
      <c r="E862" s="374" t="s">
        <v>12</v>
      </c>
      <c r="F862" s="385">
        <v>14</v>
      </c>
      <c r="G862" s="390">
        <v>0</v>
      </c>
      <c r="H862" s="391">
        <v>0</v>
      </c>
      <c r="I862" t="s">
        <v>579</v>
      </c>
      <c r="J862" t="b">
        <f>AND(NOT(Compil[[#This Row],[Est ouvrage]]), NOT(ISBLANK(Compil[[#This Row],[ART.
CCTP]])))</f>
        <v>0</v>
      </c>
      <c r="K862" t="b">
        <f>OR(Compil[[#This Row],[Unité]]="U",Compil[[#This Row],[Unité]]="ens",Compil[[#This Row],[Unité]]="ml")</f>
        <v>1</v>
      </c>
      <c r="L862" t="b">
        <f>ISBLANK(Compil[[#This Row],[DESIGNATION]])</f>
        <v>0</v>
      </c>
      <c r="M862" s="359"/>
      <c r="N862" s="358"/>
      <c r="O862" s="358"/>
      <c r="P862" s="358"/>
      <c r="Q862" s="358">
        <f>COUNTIF(Compil[[Ma Désignation ]],Compil[[Ma Désignation ]])</f>
        <v>1</v>
      </c>
    </row>
    <row r="863" spans="1:17" ht="14">
      <c r="A863" s="312">
        <v>858</v>
      </c>
      <c r="B863" s="19"/>
      <c r="C863" s="88"/>
      <c r="D863" t="str">
        <f xml:space="preserve"> TRIM( SUBSTITUTE(SUBSTITUTE(SUBSTITUTE( Compil[[#This Row],[DESIGNATION]],"-",""),"–",""),"*",""))</f>
        <v/>
      </c>
      <c r="E863" s="33"/>
      <c r="F863" s="262"/>
      <c r="G863" s="289" t="s">
        <v>571</v>
      </c>
      <c r="H863" s="164" t="s">
        <v>571</v>
      </c>
      <c r="I863" t="s">
        <v>578</v>
      </c>
      <c r="J863" t="b">
        <f>AND(NOT(Compil[[#This Row],[Est ouvrage]]), NOT(ISBLANK(Compil[[#This Row],[ART.
CCTP]])))</f>
        <v>0</v>
      </c>
      <c r="K863" t="b">
        <f>OR(Compil[[#This Row],[Unité]]="U",Compil[[#This Row],[Unité]]="ens",Compil[[#This Row],[Unité]]="ml")</f>
        <v>0</v>
      </c>
      <c r="L863" t="b">
        <f>ISBLANK(Compil[[#This Row],[DESIGNATION]])</f>
        <v>1</v>
      </c>
      <c r="M863" s="358"/>
      <c r="N863" s="358"/>
      <c r="O863" s="358"/>
      <c r="P863" s="358"/>
      <c r="Q863" s="358">
        <f>COUNTIF(Compil[[Ma Désignation ]],Compil[[Ma Désignation ]])</f>
        <v>306</v>
      </c>
    </row>
    <row r="864" spans="1:17" ht="14">
      <c r="A864" s="312">
        <v>859</v>
      </c>
      <c r="B864" s="19" t="s">
        <v>413</v>
      </c>
      <c r="C864" s="23" t="s">
        <v>63</v>
      </c>
      <c r="D864" t="str">
        <f xml:space="preserve"> TRIM( SUBSTITUTE(SUBSTITUTE(SUBSTITUTE( Compil[[#This Row],[DESIGNATION]],"-",""),"–",""),"*",""))</f>
        <v>Fibre optique</v>
      </c>
      <c r="E864" s="33"/>
      <c r="F864" s="262"/>
      <c r="G864" s="289" t="s">
        <v>571</v>
      </c>
      <c r="H864" s="164" t="s">
        <v>571</v>
      </c>
      <c r="I864" t="s">
        <v>578</v>
      </c>
      <c r="J864" t="b">
        <f>AND(NOT(Compil[[#This Row],[Est ouvrage]]), NOT(ISBLANK(Compil[[#This Row],[ART.
CCTP]])))</f>
        <v>1</v>
      </c>
      <c r="K864" t="b">
        <f>OR(Compil[[#This Row],[Unité]]="U",Compil[[#This Row],[Unité]]="ens",Compil[[#This Row],[Unité]]="ml")</f>
        <v>0</v>
      </c>
      <c r="L864" t="b">
        <f>ISBLANK(Compil[[#This Row],[DESIGNATION]])</f>
        <v>0</v>
      </c>
      <c r="M864" s="359"/>
      <c r="N864" s="358"/>
      <c r="O864" s="358"/>
      <c r="P864" s="358"/>
      <c r="Q864" s="358">
        <f>COUNTIF(Compil[[Ma Désignation ]],Compil[[Ma Désignation ]])</f>
        <v>2</v>
      </c>
    </row>
    <row r="865" spans="1:17" ht="14">
      <c r="A865" s="312">
        <v>860</v>
      </c>
      <c r="B865" s="19"/>
      <c r="C865" s="85"/>
      <c r="D865" t="str">
        <f xml:space="preserve"> TRIM( SUBSTITUTE(SUBSTITUTE(SUBSTITUTE( Compil[[#This Row],[DESIGNATION]],"-",""),"–",""),"*",""))</f>
        <v/>
      </c>
      <c r="E865" s="57"/>
      <c r="F865" s="262"/>
      <c r="G865" s="289" t="s">
        <v>571</v>
      </c>
      <c r="H865" s="164" t="s">
        <v>571</v>
      </c>
      <c r="I865" t="s">
        <v>578</v>
      </c>
      <c r="J865" t="b">
        <f>AND(NOT(Compil[[#This Row],[Est ouvrage]]), NOT(ISBLANK(Compil[[#This Row],[ART.
CCTP]])))</f>
        <v>0</v>
      </c>
      <c r="K865" t="b">
        <f>OR(Compil[[#This Row],[Unité]]="U",Compil[[#This Row],[Unité]]="ens",Compil[[#This Row],[Unité]]="ml")</f>
        <v>0</v>
      </c>
      <c r="L865" t="b">
        <f>ISBLANK(Compil[[#This Row],[DESIGNATION]])</f>
        <v>1</v>
      </c>
      <c r="M865" s="358"/>
      <c r="N865" s="358"/>
      <c r="O865" s="358"/>
      <c r="P865" s="358"/>
      <c r="Q865" s="358">
        <f>COUNTIF(Compil[[Ma Désignation ]],Compil[[Ma Désignation ]])</f>
        <v>306</v>
      </c>
    </row>
    <row r="866" spans="1:17" ht="14">
      <c r="A866" s="310">
        <v>416</v>
      </c>
      <c r="B866" s="2"/>
      <c r="C866" s="413" t="s">
        <v>234</v>
      </c>
      <c r="D866" t="str">
        <f xml:space="preserve"> TRIM( SUBSTITUTE(SUBSTITUTE(SUBSTITUTE( Compil[[#This Row],[DESIGNATION]],"-",""),"–",""),"*",""))</f>
        <v>Nombre d'appartement T1 sur l'opération</v>
      </c>
      <c r="E866" s="383" t="s">
        <v>12</v>
      </c>
      <c r="F866" s="262">
        <v>25</v>
      </c>
      <c r="G866" s="289">
        <v>0</v>
      </c>
      <c r="H866" s="164">
        <v>0</v>
      </c>
      <c r="I866" t="s">
        <v>570</v>
      </c>
      <c r="J866" t="b">
        <f>AND(NOT(Compil[[#This Row],[Est ouvrage]]), NOT(ISBLANK(Compil[[#This Row],[ART.
CCTP]])))</f>
        <v>0</v>
      </c>
      <c r="K866" t="b">
        <f>OR(Compil[[#This Row],[Unité]]="U",Compil[[#This Row],[Unité]]="ens",Compil[[#This Row],[Unité]]="ml")</f>
        <v>1</v>
      </c>
      <c r="L866" t="b">
        <f>ISBLANK(Compil[[#This Row],[DESIGNATION]])</f>
        <v>0</v>
      </c>
      <c r="M866" s="359"/>
      <c r="N866" s="358"/>
      <c r="O866" s="358"/>
      <c r="P866" s="358"/>
      <c r="Q866" s="358">
        <f>COUNTIF(Compil[[Ma Désignation ]],Compil[[Ma Désignation ]])</f>
        <v>2</v>
      </c>
    </row>
    <row r="867" spans="1:17">
      <c r="A867" s="360">
        <v>1046</v>
      </c>
      <c r="B867" s="363"/>
      <c r="C867" s="402" t="s">
        <v>234</v>
      </c>
      <c r="D867" t="str">
        <f xml:space="preserve"> TRIM( SUBSTITUTE(SUBSTITUTE(SUBSTITUTE( Compil[[#This Row],[DESIGNATION]],"-",""),"–",""),"*",""))</f>
        <v>Nombre d'appartement T1 sur l'opération</v>
      </c>
      <c r="E867" s="374" t="s">
        <v>12</v>
      </c>
      <c r="F867" s="385">
        <v>13</v>
      </c>
      <c r="G867" s="390">
        <v>0</v>
      </c>
      <c r="H867" s="391">
        <v>0</v>
      </c>
      <c r="I867" t="s">
        <v>579</v>
      </c>
      <c r="J867" t="b">
        <f>AND(NOT(Compil[[#This Row],[Est ouvrage]]), NOT(ISBLANK(Compil[[#This Row],[ART.
CCTP]])))</f>
        <v>0</v>
      </c>
      <c r="K867" t="b">
        <f>OR(Compil[[#This Row],[Unité]]="U",Compil[[#This Row],[Unité]]="ens",Compil[[#This Row],[Unité]]="ml")</f>
        <v>1</v>
      </c>
      <c r="L867" t="b">
        <f>ISBLANK(Compil[[#This Row],[DESIGNATION]])</f>
        <v>0</v>
      </c>
      <c r="M867" s="359"/>
      <c r="N867" s="358"/>
      <c r="O867" s="358"/>
      <c r="P867" s="358"/>
      <c r="Q867" s="358">
        <f>COUNTIF(Compil[[Ma Désignation ]],Compil[[Ma Désignation ]])</f>
        <v>2</v>
      </c>
    </row>
    <row r="868" spans="1:17" ht="14">
      <c r="A868" s="312">
        <v>863</v>
      </c>
      <c r="B868" s="19"/>
      <c r="C868" s="88"/>
      <c r="D868" t="str">
        <f xml:space="preserve"> TRIM( SUBSTITUTE(SUBSTITUTE(SUBSTITUTE( Compil[[#This Row],[DESIGNATION]],"-",""),"–",""),"*",""))</f>
        <v/>
      </c>
      <c r="E868" s="57"/>
      <c r="F868" s="262"/>
      <c r="G868" s="289" t="s">
        <v>571</v>
      </c>
      <c r="H868" s="164" t="s">
        <v>571</v>
      </c>
      <c r="I868" t="s">
        <v>578</v>
      </c>
      <c r="J868" t="b">
        <f>AND(NOT(Compil[[#This Row],[Est ouvrage]]), NOT(ISBLANK(Compil[[#This Row],[ART.
CCTP]])))</f>
        <v>0</v>
      </c>
      <c r="K868" t="b">
        <f>OR(Compil[[#This Row],[Unité]]="U",Compil[[#This Row],[Unité]]="ens",Compil[[#This Row],[Unité]]="ml")</f>
        <v>0</v>
      </c>
      <c r="L868" t="b">
        <f>ISBLANK(Compil[[#This Row],[DESIGNATION]])</f>
        <v>1</v>
      </c>
      <c r="M868" s="358"/>
      <c r="N868" s="358"/>
      <c r="O868" s="358"/>
      <c r="P868" s="358"/>
      <c r="Q868" s="358">
        <f>COUNTIF(Compil[[Ma Désignation ]],Compil[[Ma Désignation ]])</f>
        <v>306</v>
      </c>
    </row>
    <row r="869" spans="1:17" ht="14">
      <c r="A869" s="312">
        <v>864</v>
      </c>
      <c r="B869" s="19"/>
      <c r="C869" s="88" t="s">
        <v>174</v>
      </c>
      <c r="D869" t="str">
        <f xml:space="preserve"> TRIM( SUBSTITUTE(SUBSTITUTE(SUBSTITUTE( Compil[[#This Row],[DESIGNATION]],"-",""),"–",""),"*",""))</f>
        <v>chemin de câble vertical</v>
      </c>
      <c r="E869" s="57" t="s">
        <v>33</v>
      </c>
      <c r="F869" s="262"/>
      <c r="G869" s="289" t="s">
        <v>571</v>
      </c>
      <c r="H869" s="164" t="s">
        <v>571</v>
      </c>
      <c r="I869" t="s">
        <v>578</v>
      </c>
      <c r="J869" t="b">
        <f>AND(NOT(Compil[[#This Row],[Est ouvrage]]), NOT(ISBLANK(Compil[[#This Row],[ART.
CCTP]])))</f>
        <v>0</v>
      </c>
      <c r="K869" t="b">
        <f>OR(Compil[[#This Row],[Unité]]="U",Compil[[#This Row],[Unité]]="ens",Compil[[#This Row],[Unité]]="ml")</f>
        <v>0</v>
      </c>
      <c r="L869" t="b">
        <f>ISBLANK(Compil[[#This Row],[DESIGNATION]])</f>
        <v>0</v>
      </c>
      <c r="M869" s="359"/>
      <c r="N869" s="358"/>
      <c r="O869" s="358"/>
      <c r="P869" s="358"/>
      <c r="Q869" s="358">
        <f>COUNTIF(Compil[[Ma Désignation ]],Compil[[Ma Désignation ]])</f>
        <v>4</v>
      </c>
    </row>
    <row r="870" spans="1:17" ht="14">
      <c r="A870" s="310">
        <v>470</v>
      </c>
      <c r="B870" s="2"/>
      <c r="C870" s="413" t="s">
        <v>165</v>
      </c>
      <c r="D870" t="str">
        <f xml:space="preserve"> TRIM( SUBSTITUTE(SUBSTITUTE(SUBSTITUTE( Compil[[#This Row],[DESIGNATION]],"-",""),"–",""),"*",""))</f>
        <v>Nombre d'appartement T2 sur l'opération</v>
      </c>
      <c r="E870" s="383" t="s">
        <v>12</v>
      </c>
      <c r="F870" s="262">
        <v>14</v>
      </c>
      <c r="G870" s="289">
        <v>0</v>
      </c>
      <c r="H870" s="164">
        <v>0</v>
      </c>
      <c r="I870" t="s">
        <v>570</v>
      </c>
      <c r="J870" t="b">
        <f>AND(NOT(Compil[[#This Row],[Est ouvrage]]), NOT(ISBLANK(Compil[[#This Row],[ART.
CCTP]])))</f>
        <v>0</v>
      </c>
      <c r="K870" t="b">
        <f>OR(Compil[[#This Row],[Unité]]="U",Compil[[#This Row],[Unité]]="ens",Compil[[#This Row],[Unité]]="ml")</f>
        <v>1</v>
      </c>
      <c r="L870" t="b">
        <f>ISBLANK(Compil[[#This Row],[DESIGNATION]])</f>
        <v>0</v>
      </c>
      <c r="M870" s="359"/>
      <c r="N870" s="358"/>
      <c r="O870" s="358"/>
      <c r="P870" s="358"/>
      <c r="Q870" s="358">
        <f>COUNTIF(Compil[[Ma Désignation ]],Compil[[Ma Désignation ]])</f>
        <v>1</v>
      </c>
    </row>
    <row r="871" spans="1:17" ht="14">
      <c r="A871" s="310">
        <v>526</v>
      </c>
      <c r="B871" s="2"/>
      <c r="C871" s="413" t="s">
        <v>237</v>
      </c>
      <c r="D871" t="str">
        <f xml:space="preserve"> TRIM( SUBSTITUTE(SUBSTITUTE(SUBSTITUTE( Compil[[#This Row],[DESIGNATION]],"-",""),"–",""),"*",""))</f>
        <v>Nombre d'appartement T3 sur l'opération</v>
      </c>
      <c r="E871" s="383" t="s">
        <v>12</v>
      </c>
      <c r="F871" s="262">
        <v>29</v>
      </c>
      <c r="G871" s="289">
        <v>0</v>
      </c>
      <c r="H871" s="164">
        <v>0</v>
      </c>
      <c r="I871" t="s">
        <v>570</v>
      </c>
      <c r="J871" t="b">
        <f>AND(NOT(Compil[[#This Row],[Est ouvrage]]), NOT(ISBLANK(Compil[[#This Row],[ART.
CCTP]])))</f>
        <v>0</v>
      </c>
      <c r="K871" t="b">
        <f>OR(Compil[[#This Row],[Unité]]="U",Compil[[#This Row],[Unité]]="ens",Compil[[#This Row],[Unité]]="ml")</f>
        <v>1</v>
      </c>
      <c r="L871" t="b">
        <f>ISBLANK(Compil[[#This Row],[DESIGNATION]])</f>
        <v>0</v>
      </c>
      <c r="M871" s="359"/>
      <c r="N871" s="358"/>
      <c r="O871" s="358"/>
      <c r="P871" s="358"/>
      <c r="Q871" s="358">
        <f>COUNTIF(Compil[[Ma Désignation ]],Compil[[Ma Désignation ]])</f>
        <v>2</v>
      </c>
    </row>
    <row r="872" spans="1:17">
      <c r="A872" s="360">
        <v>1080</v>
      </c>
      <c r="B872" s="363"/>
      <c r="C872" s="402" t="s">
        <v>237</v>
      </c>
      <c r="D872" t="str">
        <f xml:space="preserve"> TRIM( SUBSTITUTE(SUBSTITUTE(SUBSTITUTE( Compil[[#This Row],[DESIGNATION]],"-",""),"–",""),"*",""))</f>
        <v>Nombre d'appartement T3 sur l'opération</v>
      </c>
      <c r="E872" s="374" t="s">
        <v>12</v>
      </c>
      <c r="F872" s="385">
        <v>3</v>
      </c>
      <c r="G872" s="390">
        <v>0</v>
      </c>
      <c r="H872" s="391">
        <v>0</v>
      </c>
      <c r="I872" t="s">
        <v>579</v>
      </c>
      <c r="J872" t="b">
        <f>AND(NOT(Compil[[#This Row],[Est ouvrage]]), NOT(ISBLANK(Compil[[#This Row],[ART.
CCTP]])))</f>
        <v>0</v>
      </c>
      <c r="K872" t="b">
        <f>OR(Compil[[#This Row],[Unité]]="U",Compil[[#This Row],[Unité]]="ens",Compil[[#This Row],[Unité]]="ml")</f>
        <v>1</v>
      </c>
      <c r="L872" t="b">
        <f>ISBLANK(Compil[[#This Row],[DESIGNATION]])</f>
        <v>0</v>
      </c>
      <c r="M872" s="359"/>
      <c r="N872" s="358"/>
      <c r="O872" s="358"/>
      <c r="P872" s="358"/>
      <c r="Q872" s="358">
        <f>COUNTIF(Compil[[Ma Désignation ]],Compil[[Ma Désignation ]])</f>
        <v>2</v>
      </c>
    </row>
    <row r="873" spans="1:17" ht="14">
      <c r="A873" s="312">
        <v>868</v>
      </c>
      <c r="B873" s="19"/>
      <c r="C873" s="88"/>
      <c r="D873" t="str">
        <f xml:space="preserve"> TRIM( SUBSTITUTE(SUBSTITUTE(SUBSTITUTE( Compil[[#This Row],[DESIGNATION]],"-",""),"–",""),"*",""))</f>
        <v/>
      </c>
      <c r="E873" s="57"/>
      <c r="F873" s="262"/>
      <c r="G873" s="289" t="s">
        <v>571</v>
      </c>
      <c r="H873" s="164" t="s">
        <v>571</v>
      </c>
      <c r="I873" t="s">
        <v>578</v>
      </c>
      <c r="J873" t="b">
        <f>AND(NOT(Compil[[#This Row],[Est ouvrage]]), NOT(ISBLANK(Compil[[#This Row],[ART.
CCTP]])))</f>
        <v>0</v>
      </c>
      <c r="K873" t="b">
        <f>OR(Compil[[#This Row],[Unité]]="U",Compil[[#This Row],[Unité]]="ens",Compil[[#This Row],[Unité]]="ml")</f>
        <v>0</v>
      </c>
      <c r="L873" t="b">
        <f>ISBLANK(Compil[[#This Row],[DESIGNATION]])</f>
        <v>1</v>
      </c>
      <c r="M873" s="358"/>
      <c r="N873" s="358"/>
      <c r="O873" s="358"/>
      <c r="P873" s="358"/>
      <c r="Q873" s="358">
        <f>COUNTIF(Compil[[Ma Désignation ]],Compil[[Ma Désignation ]])</f>
        <v>306</v>
      </c>
    </row>
    <row r="874" spans="1:17" ht="14">
      <c r="A874" s="310">
        <v>582</v>
      </c>
      <c r="B874" s="43"/>
      <c r="C874" s="413" t="s">
        <v>240</v>
      </c>
      <c r="D874" t="str">
        <f xml:space="preserve"> TRIM( SUBSTITUTE(SUBSTITUTE(SUBSTITUTE( Compil[[#This Row],[DESIGNATION]],"-",""),"–",""),"*",""))</f>
        <v>Nombre d'appartement T4 sur l'opération</v>
      </c>
      <c r="E874" s="383" t="s">
        <v>12</v>
      </c>
      <c r="F874" s="262">
        <v>21</v>
      </c>
      <c r="G874" s="289">
        <v>0</v>
      </c>
      <c r="H874" s="164">
        <v>0</v>
      </c>
      <c r="I874" t="s">
        <v>570</v>
      </c>
      <c r="J874" t="b">
        <f>AND(NOT(Compil[[#This Row],[Est ouvrage]]), NOT(ISBLANK(Compil[[#This Row],[ART.
CCTP]])))</f>
        <v>0</v>
      </c>
      <c r="K874" t="b">
        <f>OR(Compil[[#This Row],[Unité]]="U",Compil[[#This Row],[Unité]]="ens",Compil[[#This Row],[Unité]]="ml")</f>
        <v>1</v>
      </c>
      <c r="L874" t="b">
        <f>ISBLANK(Compil[[#This Row],[DESIGNATION]])</f>
        <v>0</v>
      </c>
      <c r="M874" s="359"/>
      <c r="N874" s="358"/>
      <c r="O874" s="358"/>
      <c r="P874" s="358"/>
      <c r="Q874" s="358">
        <f>COUNTIF(Compil[[Ma Désignation ]],Compil[[Ma Désignation ]])</f>
        <v>1</v>
      </c>
    </row>
    <row r="875" spans="1:17" ht="14">
      <c r="A875" s="312">
        <v>870</v>
      </c>
      <c r="B875" s="19"/>
      <c r="C875" s="88"/>
      <c r="D875" t="str">
        <f xml:space="preserve"> TRIM( SUBSTITUTE(SUBSTITUTE(SUBSTITUTE( Compil[[#This Row],[DESIGNATION]],"-",""),"–",""),"*",""))</f>
        <v/>
      </c>
      <c r="E875" s="57"/>
      <c r="F875" s="262"/>
      <c r="G875" s="289" t="s">
        <v>571</v>
      </c>
      <c r="H875" s="164" t="s">
        <v>571</v>
      </c>
      <c r="I875" t="s">
        <v>578</v>
      </c>
      <c r="J875" t="b">
        <f>AND(NOT(Compil[[#This Row],[Est ouvrage]]), NOT(ISBLANK(Compil[[#This Row],[ART.
CCTP]])))</f>
        <v>0</v>
      </c>
      <c r="K875" t="b">
        <f>OR(Compil[[#This Row],[Unité]]="U",Compil[[#This Row],[Unité]]="ens",Compil[[#This Row],[Unité]]="ml")</f>
        <v>0</v>
      </c>
      <c r="L875" t="b">
        <f>ISBLANK(Compil[[#This Row],[DESIGNATION]])</f>
        <v>1</v>
      </c>
      <c r="M875" s="358"/>
      <c r="N875" s="358"/>
      <c r="O875" s="358"/>
      <c r="P875" s="358"/>
      <c r="Q875" s="358">
        <f>COUNTIF(Compil[[Ma Désignation ]],Compil[[Ma Désignation ]])</f>
        <v>306</v>
      </c>
    </row>
    <row r="876" spans="1:17" ht="14">
      <c r="A876" s="310">
        <v>638</v>
      </c>
      <c r="B876" s="43"/>
      <c r="C876" s="413" t="s">
        <v>281</v>
      </c>
      <c r="D876" t="str">
        <f xml:space="preserve"> TRIM( SUBSTITUTE(SUBSTITUTE(SUBSTITUTE( Compil[[#This Row],[DESIGNATION]],"-",""),"–",""),"*",""))</f>
        <v>Nombre d'appartement T5 sur l'opération</v>
      </c>
      <c r="E876" s="383" t="s">
        <v>12</v>
      </c>
      <c r="F876" s="262">
        <v>10</v>
      </c>
      <c r="G876" s="289"/>
      <c r="H876" s="164">
        <v>0</v>
      </c>
      <c r="I876" t="s">
        <v>570</v>
      </c>
      <c r="J876" t="b">
        <f>AND(NOT(Compil[[#This Row],[Est ouvrage]]), NOT(ISBLANK(Compil[[#This Row],[ART.
CCTP]])))</f>
        <v>0</v>
      </c>
      <c r="K876" t="b">
        <f>OR(Compil[[#This Row],[Unité]]="U",Compil[[#This Row],[Unité]]="ens",Compil[[#This Row],[Unité]]="ml")</f>
        <v>1</v>
      </c>
      <c r="L876" t="b">
        <f>ISBLANK(Compil[[#This Row],[DESIGNATION]])</f>
        <v>0</v>
      </c>
      <c r="M876" s="359"/>
      <c r="N876" s="358"/>
      <c r="O876" s="358"/>
      <c r="P876" s="358"/>
      <c r="Q876" s="358">
        <f>COUNTIF(Compil[[Ma Désignation ]],Compil[[Ma Désignation ]])</f>
        <v>2</v>
      </c>
    </row>
    <row r="877" spans="1:17" ht="14">
      <c r="A877" s="312">
        <v>872</v>
      </c>
      <c r="B877" s="19"/>
      <c r="C877" s="88"/>
      <c r="D877" t="str">
        <f xml:space="preserve"> TRIM( SUBSTITUTE(SUBSTITUTE(SUBSTITUTE( Compil[[#This Row],[DESIGNATION]],"-",""),"–",""),"*",""))</f>
        <v/>
      </c>
      <c r="E877" s="57"/>
      <c r="F877" s="262"/>
      <c r="G877" s="289" t="s">
        <v>571</v>
      </c>
      <c r="H877" s="164" t="s">
        <v>571</v>
      </c>
      <c r="I877" t="s">
        <v>578</v>
      </c>
      <c r="J877" t="b">
        <f>AND(NOT(Compil[[#This Row],[Est ouvrage]]), NOT(ISBLANK(Compil[[#This Row],[ART.
CCTP]])))</f>
        <v>0</v>
      </c>
      <c r="K877" t="b">
        <f>OR(Compil[[#This Row],[Unité]]="U",Compil[[#This Row],[Unité]]="ens",Compil[[#This Row],[Unité]]="ml")</f>
        <v>0</v>
      </c>
      <c r="L877" t="b">
        <f>ISBLANK(Compil[[#This Row],[DESIGNATION]])</f>
        <v>1</v>
      </c>
      <c r="M877" s="358"/>
      <c r="N877" s="358"/>
      <c r="O877" s="358"/>
      <c r="P877" s="358"/>
      <c r="Q877" s="358">
        <f>COUNTIF(Compil[[Ma Désignation ]],Compil[[Ma Désignation ]])</f>
        <v>306</v>
      </c>
    </row>
    <row r="878" spans="1:17" ht="14">
      <c r="A878" s="310">
        <v>694</v>
      </c>
      <c r="B878" s="43"/>
      <c r="C878" s="413" t="s">
        <v>281</v>
      </c>
      <c r="D878" t="str">
        <f xml:space="preserve"> TRIM( SUBSTITUTE(SUBSTITUTE(SUBSTITUTE( Compil[[#This Row],[DESIGNATION]],"-",""),"–",""),"*",""))</f>
        <v>Nombre d'appartement T5 sur l'opération</v>
      </c>
      <c r="E878" s="383" t="s">
        <v>12</v>
      </c>
      <c r="F878" s="262">
        <v>6</v>
      </c>
      <c r="G878" s="289">
        <v>0</v>
      </c>
      <c r="H878" s="164">
        <v>0</v>
      </c>
      <c r="I878" t="s">
        <v>570</v>
      </c>
      <c r="J878" t="b">
        <f>AND(NOT(Compil[[#This Row],[Est ouvrage]]), NOT(ISBLANK(Compil[[#This Row],[ART.
CCTP]])))</f>
        <v>0</v>
      </c>
      <c r="K878" t="b">
        <f>OR(Compil[[#This Row],[Unité]]="U",Compil[[#This Row],[Unité]]="ens",Compil[[#This Row],[Unité]]="ml")</f>
        <v>1</v>
      </c>
      <c r="L878" t="b">
        <f>ISBLANK(Compil[[#This Row],[DESIGNATION]])</f>
        <v>0</v>
      </c>
      <c r="M878" s="359"/>
      <c r="N878" s="358"/>
      <c r="O878" s="358"/>
      <c r="P878" s="358"/>
      <c r="Q878" s="358">
        <f>COUNTIF(Compil[[Ma Désignation ]],Compil[[Ma Désignation ]])</f>
        <v>2</v>
      </c>
    </row>
    <row r="879" spans="1:17" ht="14">
      <c r="A879" s="303">
        <v>294</v>
      </c>
      <c r="B879" s="2"/>
      <c r="C879" s="206" t="s">
        <v>207</v>
      </c>
      <c r="D879" t="str">
        <f xml:space="preserve"> TRIM( SUBSTITUTE(SUBSTITUTE(SUBSTITUTE( Compil[[#This Row],[DESIGNATION]],"-",""),"–",""),"*",""))</f>
        <v>PC 2P+T 10/16A étanche +câblage</v>
      </c>
      <c r="E879" s="189" t="s">
        <v>13</v>
      </c>
      <c r="F879" s="252">
        <f>QTE!J143</f>
        <v>0</v>
      </c>
      <c r="G879" s="289" t="e">
        <f>IF(F879="","",(((L879*$M$6)+(M879*#REF!*#REF!))*$M$7)/F879)</f>
        <v>#VALUE!</v>
      </c>
      <c r="H879" s="164" t="e">
        <f>IF(F879="","",F879*G879)</f>
        <v>#VALUE!</v>
      </c>
      <c r="I879" t="s">
        <v>580</v>
      </c>
      <c r="J879" t="b">
        <f>AND(NOT(Compil[[#This Row],[Est ouvrage]]), NOT(ISBLANK(Compil[[#This Row],[ART.
CCTP]])))</f>
        <v>0</v>
      </c>
      <c r="K879" t="b">
        <f>OR(Compil[[#This Row],[Unité]]="U",Compil[[#This Row],[Unité]]="ens",Compil[[#This Row],[Unité]]="ml")</f>
        <v>1</v>
      </c>
      <c r="L879" t="b">
        <f>ISBLANK(Compil[[#This Row],[DESIGNATION]])</f>
        <v>0</v>
      </c>
      <c r="M879" s="359"/>
      <c r="N879" s="358"/>
      <c r="O879" s="358"/>
      <c r="P879" s="358"/>
      <c r="Q879" s="358">
        <f>COUNTIF(Compil[[Ma Désignation ]],Compil[[Ma Désignation ]])</f>
        <v>3</v>
      </c>
    </row>
    <row r="880" spans="1:17" ht="14">
      <c r="A880" s="303">
        <v>304</v>
      </c>
      <c r="B880" s="2"/>
      <c r="C880" s="206" t="s">
        <v>207</v>
      </c>
      <c r="D880" t="str">
        <f xml:space="preserve"> TRIM( SUBSTITUTE(SUBSTITUTE(SUBSTITUTE( Compil[[#This Row],[DESIGNATION]],"-",""),"–",""),"*",""))</f>
        <v>PC 2P+T 10/16A étanche +câblage</v>
      </c>
      <c r="E880" s="189" t="s">
        <v>13</v>
      </c>
      <c r="F880" s="252"/>
      <c r="G880" s="289" t="str">
        <f>IF(F880="","",(((L880*$M$6)+(M880*#REF!*#REF!))*$M$7)/F880)</f>
        <v/>
      </c>
      <c r="H880" s="164" t="str">
        <f>IF(F880="","",F880*G880)</f>
        <v/>
      </c>
      <c r="I880" t="s">
        <v>580</v>
      </c>
      <c r="J880" t="b">
        <f>AND(NOT(Compil[[#This Row],[Est ouvrage]]), NOT(ISBLANK(Compil[[#This Row],[ART.
CCTP]])))</f>
        <v>0</v>
      </c>
      <c r="K880" t="b">
        <f>OR(Compil[[#This Row],[Unité]]="U",Compil[[#This Row],[Unité]]="ens",Compil[[#This Row],[Unité]]="ml")</f>
        <v>1</v>
      </c>
      <c r="L880" t="b">
        <f>ISBLANK(Compil[[#This Row],[DESIGNATION]])</f>
        <v>0</v>
      </c>
      <c r="M880" s="359"/>
      <c r="N880" s="358"/>
      <c r="O880" s="358"/>
      <c r="P880" s="358"/>
      <c r="Q880" s="358">
        <f>COUNTIF(Compil[[Ma Désignation ]],Compil[[Ma Désignation ]])</f>
        <v>3</v>
      </c>
    </row>
    <row r="881" spans="1:17" ht="14">
      <c r="A881" s="312">
        <v>876</v>
      </c>
      <c r="B881" s="19"/>
      <c r="C881" s="88"/>
      <c r="D881" t="str">
        <f xml:space="preserve"> TRIM( SUBSTITUTE(SUBSTITUTE(SUBSTITUTE( Compil[[#This Row],[DESIGNATION]],"-",""),"–",""),"*",""))</f>
        <v/>
      </c>
      <c r="E881" s="57"/>
      <c r="F881" s="262"/>
      <c r="G881" s="289" t="s">
        <v>571</v>
      </c>
      <c r="H881" s="164" t="s">
        <v>571</v>
      </c>
      <c r="I881" t="s">
        <v>578</v>
      </c>
      <c r="J881" t="b">
        <f>AND(NOT(Compil[[#This Row],[Est ouvrage]]), NOT(ISBLANK(Compil[[#This Row],[ART.
CCTP]])))</f>
        <v>0</v>
      </c>
      <c r="K881" t="b">
        <f>OR(Compil[[#This Row],[Unité]]="U",Compil[[#This Row],[Unité]]="ens",Compil[[#This Row],[Unité]]="ml")</f>
        <v>0</v>
      </c>
      <c r="L881" t="b">
        <f>ISBLANK(Compil[[#This Row],[DESIGNATION]])</f>
        <v>1</v>
      </c>
      <c r="M881" s="358"/>
      <c r="N881" s="358"/>
      <c r="O881" s="358"/>
      <c r="P881" s="358"/>
      <c r="Q881" s="358">
        <f>COUNTIF(Compil[[Ma Désignation ]],Compil[[Ma Désignation ]])</f>
        <v>306</v>
      </c>
    </row>
    <row r="882" spans="1:17" ht="14">
      <c r="A882" s="312">
        <v>937</v>
      </c>
      <c r="B882" s="19"/>
      <c r="C882" s="88" t="s">
        <v>207</v>
      </c>
      <c r="D882" t="str">
        <f xml:space="preserve"> TRIM( SUBSTITUTE(SUBSTITUTE(SUBSTITUTE( Compil[[#This Row],[DESIGNATION]],"-",""),"–",""),"*",""))</f>
        <v>PC 2P+T 10/16A étanche +câblage</v>
      </c>
      <c r="E882" s="57" t="s">
        <v>13</v>
      </c>
      <c r="F882" s="262"/>
      <c r="G882" s="289" t="s">
        <v>571</v>
      </c>
      <c r="H882" s="164" t="s">
        <v>571</v>
      </c>
      <c r="I882" t="s">
        <v>578</v>
      </c>
      <c r="J882" t="b">
        <f>AND(NOT(Compil[[#This Row],[Est ouvrage]]), NOT(ISBLANK(Compil[[#This Row],[ART.
CCTP]])))</f>
        <v>0</v>
      </c>
      <c r="K882" t="b">
        <f>OR(Compil[[#This Row],[Unité]]="U",Compil[[#This Row],[Unité]]="ens",Compil[[#This Row],[Unité]]="ml")</f>
        <v>1</v>
      </c>
      <c r="L882" t="b">
        <f>ISBLANK(Compil[[#This Row],[DESIGNATION]])</f>
        <v>0</v>
      </c>
      <c r="M882" s="359"/>
      <c r="N882" s="358"/>
      <c r="O882" s="358"/>
      <c r="P882" s="358"/>
      <c r="Q882" s="358">
        <f>COUNTIF(Compil[[Ma Désignation ]],Compil[[Ma Désignation ]])</f>
        <v>3</v>
      </c>
    </row>
    <row r="883" spans="1:17" ht="14">
      <c r="A883" s="303">
        <v>293</v>
      </c>
      <c r="B883" s="2"/>
      <c r="C883" s="206" t="s">
        <v>206</v>
      </c>
      <c r="D883" t="str">
        <f xml:space="preserve"> TRIM( SUBSTITUTE(SUBSTITUTE(SUBSTITUTE( Compil[[#This Row],[DESIGNATION]],"-",""),"–",""),"*",""))</f>
        <v>PC 2P+T 10/16A réseau normal +câblage</v>
      </c>
      <c r="E883" s="189" t="s">
        <v>13</v>
      </c>
      <c r="F883" s="252"/>
      <c r="G883" s="289" t="str">
        <f>IF(F883="","",(((L883*$M$6)+(M883*#REF!*#REF!))*$M$7)/F883)</f>
        <v/>
      </c>
      <c r="H883" s="164" t="str">
        <f>IF(F883="","",F883*G883)</f>
        <v/>
      </c>
      <c r="I883" t="s">
        <v>580</v>
      </c>
      <c r="J883" t="b">
        <f>AND(NOT(Compil[[#This Row],[Est ouvrage]]), NOT(ISBLANK(Compil[[#This Row],[ART.
CCTP]])))</f>
        <v>0</v>
      </c>
      <c r="K883" t="b">
        <f>OR(Compil[[#This Row],[Unité]]="U",Compil[[#This Row],[Unité]]="ens",Compil[[#This Row],[Unité]]="ml")</f>
        <v>1</v>
      </c>
      <c r="L883" t="b">
        <f>ISBLANK(Compil[[#This Row],[DESIGNATION]])</f>
        <v>0</v>
      </c>
      <c r="M883" s="359"/>
      <c r="N883" s="358"/>
      <c r="O883" s="358"/>
      <c r="P883" s="358"/>
      <c r="Q883" s="358">
        <f>COUNTIF(Compil[[Ma Désignation ]],Compil[[Ma Désignation ]])</f>
        <v>3</v>
      </c>
    </row>
    <row r="884" spans="1:17" ht="14">
      <c r="A884" s="312">
        <v>879</v>
      </c>
      <c r="B884" s="19"/>
      <c r="C884" s="89"/>
      <c r="D884" t="str">
        <f xml:space="preserve"> TRIM( SUBSTITUTE(SUBSTITUTE(SUBSTITUTE( Compil[[#This Row],[DESIGNATION]],"-",""),"–",""),"*",""))</f>
        <v/>
      </c>
      <c r="E884" s="57"/>
      <c r="F884" s="262"/>
      <c r="G884" s="289" t="s">
        <v>571</v>
      </c>
      <c r="H884" s="164" t="s">
        <v>571</v>
      </c>
      <c r="I884" t="s">
        <v>578</v>
      </c>
      <c r="J884" t="b">
        <f>AND(NOT(Compil[[#This Row],[Est ouvrage]]), NOT(ISBLANK(Compil[[#This Row],[ART.
CCTP]])))</f>
        <v>0</v>
      </c>
      <c r="K884" t="b">
        <f>OR(Compil[[#This Row],[Unité]]="U",Compil[[#This Row],[Unité]]="ens",Compil[[#This Row],[Unité]]="ml")</f>
        <v>0</v>
      </c>
      <c r="L884" t="b">
        <f>ISBLANK(Compil[[#This Row],[DESIGNATION]])</f>
        <v>1</v>
      </c>
      <c r="M884" s="358"/>
      <c r="N884" s="358"/>
      <c r="O884" s="358"/>
      <c r="P884" s="358"/>
      <c r="Q884" s="358">
        <f>COUNTIF(Compil[[Ma Désignation ]],Compil[[Ma Désignation ]])</f>
        <v>306</v>
      </c>
    </row>
    <row r="885" spans="1:17" ht="14">
      <c r="A885" s="312">
        <v>880</v>
      </c>
      <c r="B885" s="19"/>
      <c r="C885" s="395" t="s">
        <v>415</v>
      </c>
      <c r="D885" t="str">
        <f xml:space="preserve"> TRIM( SUBSTITUTE(SUBSTITUTE(SUBSTITUTE( Compil[[#This Row],[DESIGNATION]],"-",""),"–",""),"*",""))</f>
        <v>Sous total 3.12</v>
      </c>
      <c r="E885" s="33"/>
      <c r="F885" s="262"/>
      <c r="G885" s="289" t="s">
        <v>571</v>
      </c>
      <c r="H885" s="164" t="s">
        <v>571</v>
      </c>
      <c r="I885" t="s">
        <v>578</v>
      </c>
      <c r="J885" t="b">
        <f>AND(NOT(Compil[[#This Row],[Est ouvrage]]), NOT(ISBLANK(Compil[[#This Row],[ART.
CCTP]])))</f>
        <v>0</v>
      </c>
      <c r="K885" t="b">
        <f>OR(Compil[[#This Row],[Unité]]="U",Compil[[#This Row],[Unité]]="ens",Compil[[#This Row],[Unité]]="ml")</f>
        <v>0</v>
      </c>
      <c r="L885" t="b">
        <f>ISBLANK(Compil[[#This Row],[DESIGNATION]])</f>
        <v>0</v>
      </c>
      <c r="M885" s="359"/>
      <c r="N885" s="358"/>
      <c r="O885" s="358"/>
      <c r="P885" s="358"/>
      <c r="Q885" s="358">
        <f>COUNTIF(Compil[[Ma Désignation ]],Compil[[Ma Désignation ]])</f>
        <v>2</v>
      </c>
    </row>
    <row r="886" spans="1:17" ht="14">
      <c r="A886" s="312">
        <v>881</v>
      </c>
      <c r="B886" s="19"/>
      <c r="C886" s="86"/>
      <c r="D886" t="str">
        <f xml:space="preserve"> TRIM( SUBSTITUTE(SUBSTITUTE(SUBSTITUTE( Compil[[#This Row],[DESIGNATION]],"-",""),"–",""),"*",""))</f>
        <v/>
      </c>
      <c r="E886" s="33"/>
      <c r="F886" s="262"/>
      <c r="G886" s="289" t="s">
        <v>571</v>
      </c>
      <c r="H886" s="164" t="s">
        <v>571</v>
      </c>
      <c r="I886" t="s">
        <v>578</v>
      </c>
      <c r="J886" t="b">
        <f>AND(NOT(Compil[[#This Row],[Est ouvrage]]), NOT(ISBLANK(Compil[[#This Row],[ART.
CCTP]])))</f>
        <v>0</v>
      </c>
      <c r="K886" t="b">
        <f>OR(Compil[[#This Row],[Unité]]="U",Compil[[#This Row],[Unité]]="ens",Compil[[#This Row],[Unité]]="ml")</f>
        <v>0</v>
      </c>
      <c r="L886" t="b">
        <f>ISBLANK(Compil[[#This Row],[DESIGNATION]])</f>
        <v>1</v>
      </c>
      <c r="M886" s="358"/>
      <c r="N886" s="358"/>
      <c r="O886" s="358"/>
      <c r="P886" s="358"/>
      <c r="Q886" s="358">
        <f>COUNTIF(Compil[[Ma Désignation ]],Compil[[Ma Désignation ]])</f>
        <v>306</v>
      </c>
    </row>
    <row r="887" spans="1:17" ht="14">
      <c r="A887" s="312">
        <v>882</v>
      </c>
      <c r="B887" s="19" t="s">
        <v>417</v>
      </c>
      <c r="C887" s="87" t="s">
        <v>27</v>
      </c>
      <c r="D887" t="str">
        <f xml:space="preserve"> TRIM( SUBSTITUTE(SUBSTITUTE(SUBSTITUTE( Compil[[#This Row],[DESIGNATION]],"-",""),"–",""),"*",""))</f>
        <v>Télévision</v>
      </c>
      <c r="E887" s="33"/>
      <c r="F887" s="262"/>
      <c r="G887" s="289" t="s">
        <v>571</v>
      </c>
      <c r="H887" s="164" t="s">
        <v>571</v>
      </c>
      <c r="I887" t="s">
        <v>578</v>
      </c>
      <c r="J887" t="b">
        <f>AND(NOT(Compil[[#This Row],[Est ouvrage]]), NOT(ISBLANK(Compil[[#This Row],[ART.
CCTP]])))</f>
        <v>1</v>
      </c>
      <c r="K887" t="b">
        <f>OR(Compil[[#This Row],[Unité]]="U",Compil[[#This Row],[Unité]]="ens",Compil[[#This Row],[Unité]]="ml")</f>
        <v>0</v>
      </c>
      <c r="L887" t="b">
        <f>ISBLANK(Compil[[#This Row],[DESIGNATION]])</f>
        <v>0</v>
      </c>
      <c r="M887" s="359"/>
      <c r="N887" s="358"/>
      <c r="O887" s="358"/>
      <c r="P887" s="358"/>
      <c r="Q887" s="358">
        <f>COUNTIF(Compil[[Ma Désignation ]],Compil[[Ma Désignation ]])</f>
        <v>2</v>
      </c>
    </row>
    <row r="888" spans="1:17" ht="14">
      <c r="A888" s="312">
        <v>883</v>
      </c>
      <c r="B888" s="19"/>
      <c r="C888" s="86"/>
      <c r="D888" t="str">
        <f xml:space="preserve"> TRIM( SUBSTITUTE(SUBSTITUTE(SUBSTITUTE( Compil[[#This Row],[DESIGNATION]],"-",""),"–",""),"*",""))</f>
        <v/>
      </c>
      <c r="E888" s="33"/>
      <c r="F888" s="262"/>
      <c r="G888" s="289" t="s">
        <v>571</v>
      </c>
      <c r="H888" s="164" t="s">
        <v>571</v>
      </c>
      <c r="I888" t="s">
        <v>578</v>
      </c>
      <c r="J888" t="b">
        <f>AND(NOT(Compil[[#This Row],[Est ouvrage]]), NOT(ISBLANK(Compil[[#This Row],[ART.
CCTP]])))</f>
        <v>0</v>
      </c>
      <c r="K888" t="b">
        <f>OR(Compil[[#This Row],[Unité]]="U",Compil[[#This Row],[Unité]]="ens",Compil[[#This Row],[Unité]]="ml")</f>
        <v>0</v>
      </c>
      <c r="L888" t="b">
        <f>ISBLANK(Compil[[#This Row],[DESIGNATION]])</f>
        <v>1</v>
      </c>
      <c r="M888" s="358"/>
      <c r="N888" s="358"/>
      <c r="O888" s="358"/>
      <c r="P888" s="358"/>
      <c r="Q888" s="358">
        <f>COUNTIF(Compil[[Ma Désignation ]],Compil[[Ma Désignation ]])</f>
        <v>306</v>
      </c>
    </row>
    <row r="889" spans="1:17" ht="14">
      <c r="A889" s="312">
        <v>884</v>
      </c>
      <c r="B889" s="19"/>
      <c r="C889" s="86" t="s">
        <v>38</v>
      </c>
      <c r="D889" t="str">
        <f xml:space="preserve"> TRIM( SUBSTITUTE(SUBSTITUTE(SUBSTITUTE( Compil[[#This Row],[DESIGNATION]],"-",""),"–",""),"*",""))</f>
        <v>crosse en toiture</v>
      </c>
      <c r="E889" s="33" t="s">
        <v>33</v>
      </c>
      <c r="F889" s="262"/>
      <c r="G889" s="289" t="s">
        <v>571</v>
      </c>
      <c r="H889" s="164" t="s">
        <v>571</v>
      </c>
      <c r="I889" t="s">
        <v>578</v>
      </c>
      <c r="J889" t="b">
        <f>AND(NOT(Compil[[#This Row],[Est ouvrage]]), NOT(ISBLANK(Compil[[#This Row],[ART.
CCTP]])))</f>
        <v>0</v>
      </c>
      <c r="K889" t="b">
        <f>OR(Compil[[#This Row],[Unité]]="U",Compil[[#This Row],[Unité]]="ens",Compil[[#This Row],[Unité]]="ml")</f>
        <v>0</v>
      </c>
      <c r="L889" t="b">
        <f>ISBLANK(Compil[[#This Row],[DESIGNATION]])</f>
        <v>0</v>
      </c>
      <c r="M889" s="359"/>
      <c r="N889" s="358"/>
      <c r="O889" s="358"/>
      <c r="P889" s="358"/>
      <c r="Q889" s="358">
        <f>COUNTIF(Compil[[Ma Désignation ]],Compil[[Ma Désignation ]])</f>
        <v>4</v>
      </c>
    </row>
    <row r="890" spans="1:17" ht="14">
      <c r="A890" s="303">
        <v>303</v>
      </c>
      <c r="B890" s="2"/>
      <c r="C890" s="206" t="s">
        <v>206</v>
      </c>
      <c r="D890" t="str">
        <f xml:space="preserve"> TRIM( SUBSTITUTE(SUBSTITUTE(SUBSTITUTE( Compil[[#This Row],[DESIGNATION]],"-",""),"–",""),"*",""))</f>
        <v>PC 2P+T 10/16A réseau normal +câblage</v>
      </c>
      <c r="E890" s="189" t="s">
        <v>13</v>
      </c>
      <c r="F890" s="252"/>
      <c r="G890" s="289" t="str">
        <f>IF(F890="","",(((L890*$M$6)+(M890*#REF!*#REF!))*$M$7)/F890)</f>
        <v/>
      </c>
      <c r="H890" s="164" t="str">
        <f>IF(F890="","",F890*G890)</f>
        <v/>
      </c>
      <c r="I890" t="s">
        <v>580</v>
      </c>
      <c r="J890" t="b">
        <f>AND(NOT(Compil[[#This Row],[Est ouvrage]]), NOT(ISBLANK(Compil[[#This Row],[ART.
CCTP]])))</f>
        <v>0</v>
      </c>
      <c r="K890" t="b">
        <f>OR(Compil[[#This Row],[Unité]]="U",Compil[[#This Row],[Unité]]="ens",Compil[[#This Row],[Unité]]="ml")</f>
        <v>1</v>
      </c>
      <c r="L890" t="b">
        <f>ISBLANK(Compil[[#This Row],[DESIGNATION]])</f>
        <v>0</v>
      </c>
      <c r="M890" s="359"/>
      <c r="N890" s="358"/>
      <c r="O890" s="358"/>
      <c r="P890" s="358"/>
      <c r="Q890" s="358">
        <f>COUNTIF(Compil[[Ma Désignation ]],Compil[[Ma Désignation ]])</f>
        <v>3</v>
      </c>
    </row>
    <row r="891" spans="1:17" ht="14">
      <c r="A891" s="312">
        <v>936</v>
      </c>
      <c r="B891" s="19"/>
      <c r="C891" s="88" t="s">
        <v>206</v>
      </c>
      <c r="D891" t="str">
        <f xml:space="preserve"> TRIM( SUBSTITUTE(SUBSTITUTE(SUBSTITUTE( Compil[[#This Row],[DESIGNATION]],"-",""),"–",""),"*",""))</f>
        <v>PC 2P+T 10/16A réseau normal +câblage</v>
      </c>
      <c r="E891" s="57" t="s">
        <v>13</v>
      </c>
      <c r="F891" s="262"/>
      <c r="G891" s="289" t="s">
        <v>571</v>
      </c>
      <c r="H891" s="164" t="s">
        <v>571</v>
      </c>
      <c r="I891" t="s">
        <v>578</v>
      </c>
      <c r="J891" t="b">
        <f>AND(NOT(Compil[[#This Row],[Est ouvrage]]), NOT(ISBLANK(Compil[[#This Row],[ART.
CCTP]])))</f>
        <v>0</v>
      </c>
      <c r="K891" t="b">
        <f>OR(Compil[[#This Row],[Unité]]="U",Compil[[#This Row],[Unité]]="ens",Compil[[#This Row],[Unité]]="ml")</f>
        <v>1</v>
      </c>
      <c r="L891" t="b">
        <f>ISBLANK(Compil[[#This Row],[DESIGNATION]])</f>
        <v>0</v>
      </c>
      <c r="M891" s="359"/>
      <c r="N891" s="358"/>
      <c r="O891" s="358"/>
      <c r="P891" s="358"/>
      <c r="Q891" s="358">
        <f>COUNTIF(Compil[[Ma Désignation ]],Compil[[Ma Désignation ]])</f>
        <v>3</v>
      </c>
    </row>
    <row r="892" spans="1:17" ht="25">
      <c r="A892" s="303">
        <v>38</v>
      </c>
      <c r="B892" s="202"/>
      <c r="C892" s="206" t="s">
        <v>143</v>
      </c>
      <c r="D892" t="str">
        <f xml:space="preserve"> TRIM( SUBSTITUTE(SUBSTITUTE(SUBSTITUTE( Compil[[#This Row],[DESIGNATION]],"-",""),"–",""),"*",""))</f>
        <v>PC 2P+T 10/16A réseau normal en gaine palière suivant plans</v>
      </c>
      <c r="E892" s="189" t="s">
        <v>13</v>
      </c>
      <c r="F892" s="252">
        <v>8</v>
      </c>
      <c r="G892" s="289" t="e">
        <f>IF(F892="","",(((L892*$M$6)+(M892*#REF!*#REF!))*$M$7)/F892)</f>
        <v>#VALUE!</v>
      </c>
      <c r="H892" s="164" t="e">
        <f>IF(F892="","",F892*G892)</f>
        <v>#VALUE!</v>
      </c>
      <c r="I892" t="s">
        <v>580</v>
      </c>
      <c r="J892" t="b">
        <f>AND(NOT(Compil[[#This Row],[Est ouvrage]]), NOT(ISBLANK(Compil[[#This Row],[ART.
CCTP]])))</f>
        <v>0</v>
      </c>
      <c r="K892" t="b">
        <f>OR(Compil[[#This Row],[Unité]]="U",Compil[[#This Row],[Unité]]="ens",Compil[[#This Row],[Unité]]="ml")</f>
        <v>1</v>
      </c>
      <c r="L892" t="b">
        <f>ISBLANK(Compil[[#This Row],[DESIGNATION]])</f>
        <v>0</v>
      </c>
      <c r="M892" s="359"/>
      <c r="N892" s="358"/>
      <c r="O892" s="358"/>
      <c r="P892" s="358"/>
      <c r="Q892" s="358">
        <f>COUNTIF(Compil[[Ma Désignation ]],Compil[[Ma Désignation ]])</f>
        <v>3</v>
      </c>
    </row>
    <row r="893" spans="1:17" ht="14">
      <c r="A893" s="312">
        <v>888</v>
      </c>
      <c r="B893" s="19"/>
      <c r="C893" s="86"/>
      <c r="D893" t="str">
        <f xml:space="preserve"> TRIM( SUBSTITUTE(SUBSTITUTE(SUBSTITUTE( Compil[[#This Row],[DESIGNATION]],"-",""),"–",""),"*",""))</f>
        <v/>
      </c>
      <c r="E893" s="33"/>
      <c r="F893" s="262"/>
      <c r="G893" s="289" t="s">
        <v>571</v>
      </c>
      <c r="H893" s="164" t="s">
        <v>571</v>
      </c>
      <c r="I893" t="s">
        <v>578</v>
      </c>
      <c r="J893" t="b">
        <f>AND(NOT(Compil[[#This Row],[Est ouvrage]]), NOT(ISBLANK(Compil[[#This Row],[ART.
CCTP]])))</f>
        <v>0</v>
      </c>
      <c r="K893" t="b">
        <f>OR(Compil[[#This Row],[Unité]]="U",Compil[[#This Row],[Unité]]="ens",Compil[[#This Row],[Unité]]="ml")</f>
        <v>0</v>
      </c>
      <c r="L893" t="b">
        <f>ISBLANK(Compil[[#This Row],[DESIGNATION]])</f>
        <v>1</v>
      </c>
      <c r="M893" s="358"/>
      <c r="N893" s="358"/>
      <c r="O893" s="358"/>
      <c r="P893" s="358"/>
      <c r="Q893" s="358">
        <f>COUNTIF(Compil[[Ma Désignation ]],Compil[[Ma Désignation ]])</f>
        <v>306</v>
      </c>
    </row>
    <row r="894" spans="1:17" ht="25">
      <c r="A894" s="303">
        <v>42</v>
      </c>
      <c r="B894" s="202"/>
      <c r="C894" s="206" t="s">
        <v>143</v>
      </c>
      <c r="D894" t="str">
        <f xml:space="preserve"> TRIM( SUBSTITUTE(SUBSTITUTE(SUBSTITUTE( Compil[[#This Row],[DESIGNATION]],"-",""),"–",""),"*",""))</f>
        <v>PC 2P+T 10/16A réseau normal en gaine palière suivant plans</v>
      </c>
      <c r="E894" s="189" t="s">
        <v>13</v>
      </c>
      <c r="F894" s="252">
        <v>11</v>
      </c>
      <c r="G894" s="289" t="e">
        <f>IF(F894="","",(((L894*$M$6)+(M894*#REF!*#REF!))*$M$7)/F894)</f>
        <v>#VALUE!</v>
      </c>
      <c r="H894" s="164" t="e">
        <f>IF(F894="","",F894*G894)</f>
        <v>#VALUE!</v>
      </c>
      <c r="I894" t="s">
        <v>580</v>
      </c>
      <c r="J894" t="b">
        <f>AND(NOT(Compil[[#This Row],[Est ouvrage]]), NOT(ISBLANK(Compil[[#This Row],[ART.
CCTP]])))</f>
        <v>0</v>
      </c>
      <c r="K894" t="b">
        <f>OR(Compil[[#This Row],[Unité]]="U",Compil[[#This Row],[Unité]]="ens",Compil[[#This Row],[Unité]]="ml")</f>
        <v>1</v>
      </c>
      <c r="L894" t="b">
        <f>ISBLANK(Compil[[#This Row],[DESIGNATION]])</f>
        <v>0</v>
      </c>
      <c r="M894" s="359"/>
      <c r="N894" s="358"/>
      <c r="O894" s="358"/>
      <c r="P894" s="358"/>
      <c r="Q894" s="358">
        <f>COUNTIF(Compil[[Ma Désignation ]],Compil[[Ma Désignation ]])</f>
        <v>3</v>
      </c>
    </row>
    <row r="895" spans="1:17" ht="25">
      <c r="A895" s="312">
        <v>739</v>
      </c>
      <c r="B895" s="110"/>
      <c r="C895" s="88" t="s">
        <v>143</v>
      </c>
      <c r="D895" t="str">
        <f xml:space="preserve"> TRIM( SUBSTITUTE(SUBSTITUTE(SUBSTITUTE( Compil[[#This Row],[DESIGNATION]],"-",""),"–",""),"*",""))</f>
        <v>PC 2P+T 10/16A réseau normal en gaine palière suivant plans</v>
      </c>
      <c r="E895" s="54" t="s">
        <v>13</v>
      </c>
      <c r="F895" s="262">
        <v>3</v>
      </c>
      <c r="G895" s="289">
        <v>0</v>
      </c>
      <c r="H895" s="164">
        <v>0</v>
      </c>
      <c r="I895" t="s">
        <v>578</v>
      </c>
      <c r="J895" t="b">
        <f>AND(NOT(Compil[[#This Row],[Est ouvrage]]), NOT(ISBLANK(Compil[[#This Row],[ART.
CCTP]])))</f>
        <v>0</v>
      </c>
      <c r="K895" t="b">
        <f>OR(Compil[[#This Row],[Unité]]="U",Compil[[#This Row],[Unité]]="ens",Compil[[#This Row],[Unité]]="ml")</f>
        <v>1</v>
      </c>
      <c r="L895" t="b">
        <f>ISBLANK(Compil[[#This Row],[DESIGNATION]])</f>
        <v>0</v>
      </c>
      <c r="M895" s="359"/>
      <c r="N895" s="358"/>
      <c r="O895" s="358"/>
      <c r="P895" s="358"/>
      <c r="Q895" s="358">
        <f>COUNTIF(Compil[[Ma Désignation ]],Compil[[Ma Désignation ]])</f>
        <v>3</v>
      </c>
    </row>
    <row r="896" spans="1:17" ht="14">
      <c r="A896" s="312">
        <v>891</v>
      </c>
      <c r="B896" s="19"/>
      <c r="C896" s="86"/>
      <c r="D896" t="str">
        <f xml:space="preserve"> TRIM( SUBSTITUTE(SUBSTITUTE(SUBSTITUTE( Compil[[#This Row],[DESIGNATION]],"-",""),"–",""),"*",""))</f>
        <v/>
      </c>
      <c r="E896" s="33"/>
      <c r="F896" s="262"/>
      <c r="G896" s="289" t="s">
        <v>571</v>
      </c>
      <c r="H896" s="164" t="s">
        <v>571</v>
      </c>
      <c r="I896" t="s">
        <v>578</v>
      </c>
      <c r="J896" t="b">
        <f>AND(NOT(Compil[[#This Row],[Est ouvrage]]), NOT(ISBLANK(Compil[[#This Row],[ART.
CCTP]])))</f>
        <v>0</v>
      </c>
      <c r="K896" t="b">
        <f>OR(Compil[[#This Row],[Unité]]="U",Compil[[#This Row],[Unité]]="ens",Compil[[#This Row],[Unité]]="ml")</f>
        <v>0</v>
      </c>
      <c r="L896" t="b">
        <f>ISBLANK(Compil[[#This Row],[DESIGNATION]])</f>
        <v>1</v>
      </c>
      <c r="M896" s="358"/>
      <c r="N896" s="358"/>
      <c r="O896" s="358"/>
      <c r="P896" s="358"/>
      <c r="Q896" s="358">
        <f>COUNTIF(Compil[[Ma Désignation ]],Compil[[Ma Désignation ]])</f>
        <v>306</v>
      </c>
    </row>
    <row r="897" spans="1:17" ht="14">
      <c r="A897" s="312">
        <v>892</v>
      </c>
      <c r="B897" s="19"/>
      <c r="C897" s="395" t="s">
        <v>418</v>
      </c>
      <c r="D897" t="str">
        <f xml:space="preserve"> TRIM( SUBSTITUTE(SUBSTITUTE(SUBSTITUTE( Compil[[#This Row],[DESIGNATION]],"-",""),"–",""),"*",""))</f>
        <v>Sous total 3.14</v>
      </c>
      <c r="E897" s="33"/>
      <c r="F897" s="262"/>
      <c r="G897" s="289" t="s">
        <v>571</v>
      </c>
      <c r="H897" s="164" t="s">
        <v>571</v>
      </c>
      <c r="I897" t="s">
        <v>578</v>
      </c>
      <c r="J897" t="b">
        <f>AND(NOT(Compil[[#This Row],[Est ouvrage]]), NOT(ISBLANK(Compil[[#This Row],[ART.
CCTP]])))</f>
        <v>0</v>
      </c>
      <c r="K897" t="b">
        <f>OR(Compil[[#This Row],[Unité]]="U",Compil[[#This Row],[Unité]]="ens",Compil[[#This Row],[Unité]]="ml")</f>
        <v>0</v>
      </c>
      <c r="L897" t="b">
        <f>ISBLANK(Compil[[#This Row],[DESIGNATION]])</f>
        <v>0</v>
      </c>
      <c r="M897" s="359"/>
      <c r="N897" s="358"/>
      <c r="O897" s="358"/>
      <c r="P897" s="358"/>
      <c r="Q897" s="358">
        <f>COUNTIF(Compil[[Ma Désignation ]],Compil[[Ma Désignation ]])</f>
        <v>1</v>
      </c>
    </row>
    <row r="898" spans="1:17" ht="14">
      <c r="A898" s="312">
        <v>893</v>
      </c>
      <c r="B898" s="19"/>
      <c r="C898" s="86"/>
      <c r="D898" t="str">
        <f xml:space="preserve"> TRIM( SUBSTITUTE(SUBSTITUTE(SUBSTITUTE( Compil[[#This Row],[DESIGNATION]],"-",""),"–",""),"*",""))</f>
        <v/>
      </c>
      <c r="E898" s="33"/>
      <c r="F898" s="262"/>
      <c r="G898" s="289" t="s">
        <v>571</v>
      </c>
      <c r="H898" s="164" t="s">
        <v>571</v>
      </c>
      <c r="I898" t="s">
        <v>578</v>
      </c>
      <c r="J898" t="b">
        <f>AND(NOT(Compil[[#This Row],[Est ouvrage]]), NOT(ISBLANK(Compil[[#This Row],[ART.
CCTP]])))</f>
        <v>0</v>
      </c>
      <c r="K898" t="b">
        <f>OR(Compil[[#This Row],[Unité]]="U",Compil[[#This Row],[Unité]]="ens",Compil[[#This Row],[Unité]]="ml")</f>
        <v>0</v>
      </c>
      <c r="L898" t="b">
        <f>ISBLANK(Compil[[#This Row],[DESIGNATION]])</f>
        <v>1</v>
      </c>
      <c r="M898" s="358"/>
      <c r="N898" s="358"/>
      <c r="O898" s="358"/>
      <c r="P898" s="358"/>
      <c r="Q898" s="358">
        <f>COUNTIF(Compil[[Ma Désignation ]],Compil[[Ma Désignation ]])</f>
        <v>306</v>
      </c>
    </row>
    <row r="899" spans="1:17" ht="14">
      <c r="A899" s="312">
        <v>894</v>
      </c>
      <c r="B899" s="19" t="s">
        <v>419</v>
      </c>
      <c r="C899" s="87" t="s">
        <v>192</v>
      </c>
      <c r="D899" t="str">
        <f xml:space="preserve"> TRIM( SUBSTITUTE(SUBSTITUTE(SUBSTITUTE( Compil[[#This Row],[DESIGNATION]],"-",""),"–",""),"*",""))</f>
        <v>Portier d'immeuble vidéophone</v>
      </c>
      <c r="E899" s="33"/>
      <c r="F899" s="262"/>
      <c r="G899" s="289" t="s">
        <v>571</v>
      </c>
      <c r="H899" s="164" t="s">
        <v>571</v>
      </c>
      <c r="I899" t="s">
        <v>578</v>
      </c>
      <c r="J899" t="b">
        <f>AND(NOT(Compil[[#This Row],[Est ouvrage]]), NOT(ISBLANK(Compil[[#This Row],[ART.
CCTP]])))</f>
        <v>1</v>
      </c>
      <c r="K899" t="b">
        <f>OR(Compil[[#This Row],[Unité]]="U",Compil[[#This Row],[Unité]]="ens",Compil[[#This Row],[Unité]]="ml")</f>
        <v>0</v>
      </c>
      <c r="L899" t="b">
        <f>ISBLANK(Compil[[#This Row],[DESIGNATION]])</f>
        <v>0</v>
      </c>
      <c r="M899" s="359"/>
      <c r="N899" s="358"/>
      <c r="O899" s="358"/>
      <c r="P899" s="358"/>
      <c r="Q899" s="358">
        <f>COUNTIF(Compil[[Ma Désignation ]],Compil[[Ma Désignation ]])</f>
        <v>2</v>
      </c>
    </row>
    <row r="900" spans="1:17" ht="14">
      <c r="A900" s="312">
        <v>895</v>
      </c>
      <c r="B900" s="17"/>
      <c r="C900" s="86"/>
      <c r="D900" t="str">
        <f xml:space="preserve"> TRIM( SUBSTITUTE(SUBSTITUTE(SUBSTITUTE( Compil[[#This Row],[DESIGNATION]],"-",""),"–",""),"*",""))</f>
        <v/>
      </c>
      <c r="E900" s="33"/>
      <c r="F900" s="262"/>
      <c r="G900" s="289" t="s">
        <v>571</v>
      </c>
      <c r="H900" s="164" t="s">
        <v>571</v>
      </c>
      <c r="I900" t="s">
        <v>578</v>
      </c>
      <c r="J900" t="b">
        <f>AND(NOT(Compil[[#This Row],[Est ouvrage]]), NOT(ISBLANK(Compil[[#This Row],[ART.
CCTP]])))</f>
        <v>0</v>
      </c>
      <c r="K900" t="b">
        <f>OR(Compil[[#This Row],[Unité]]="U",Compil[[#This Row],[Unité]]="ens",Compil[[#This Row],[Unité]]="ml")</f>
        <v>0</v>
      </c>
      <c r="L900" t="b">
        <f>ISBLANK(Compil[[#This Row],[DESIGNATION]])</f>
        <v>1</v>
      </c>
      <c r="M900" s="358"/>
      <c r="N900" s="358"/>
      <c r="O900" s="358"/>
      <c r="P900" s="358"/>
      <c r="Q900" s="358">
        <f>COUNTIF(Compil[[Ma Désignation ]],Compil[[Ma Désignation ]])</f>
        <v>306</v>
      </c>
    </row>
    <row r="901" spans="1:17" ht="14">
      <c r="A901" s="303">
        <v>292</v>
      </c>
      <c r="B901" s="2"/>
      <c r="C901" s="236" t="s">
        <v>205</v>
      </c>
      <c r="D901" t="str">
        <f xml:space="preserve"> TRIM( SUBSTITUTE(SUBSTITUTE(SUBSTITUTE( Compil[[#This Row],[DESIGNATION]],"-",""),"–",""),"*",""))</f>
        <v>PC 2P+T 10/16A réseau service +câblage</v>
      </c>
      <c r="E901" s="189" t="s">
        <v>13</v>
      </c>
      <c r="F901" s="252">
        <f>QTE!J137-F911</f>
        <v>1</v>
      </c>
      <c r="G901" s="289" t="e">
        <f>IF(F901="","",(((L901*$M$6)+(M901*#REF!*#REF!))*$M$7)/F901)</f>
        <v>#VALUE!</v>
      </c>
      <c r="H901" s="164" t="e">
        <f>IF(F901="","",F901*G901)</f>
        <v>#VALUE!</v>
      </c>
      <c r="I901" t="s">
        <v>580</v>
      </c>
      <c r="J901" t="b">
        <f>AND(NOT(Compil[[#This Row],[Est ouvrage]]), NOT(ISBLANK(Compil[[#This Row],[ART.
CCTP]])))</f>
        <v>0</v>
      </c>
      <c r="K901" t="b">
        <f>OR(Compil[[#This Row],[Unité]]="U",Compil[[#This Row],[Unité]]="ens",Compil[[#This Row],[Unité]]="ml")</f>
        <v>1</v>
      </c>
      <c r="L901" t="b">
        <f>ISBLANK(Compil[[#This Row],[DESIGNATION]])</f>
        <v>0</v>
      </c>
      <c r="M901" s="359"/>
      <c r="N901" s="358"/>
      <c r="O901" s="358"/>
      <c r="P901" s="358"/>
      <c r="Q901" s="358">
        <f>COUNTIF(Compil[[Ma Désignation ]],Compil[[Ma Désignation ]])</f>
        <v>3</v>
      </c>
    </row>
    <row r="902" spans="1:17" ht="14">
      <c r="A902" s="312">
        <v>897</v>
      </c>
      <c r="B902" s="17"/>
      <c r="C902" s="91" t="s">
        <v>193</v>
      </c>
      <c r="D902" t="str">
        <f xml:space="preserve"> TRIM( SUBSTITUTE(SUBSTITUTE(SUBSTITUTE( Compil[[#This Row],[DESIGNATION]],"-",""),"–",""),"*",""))</f>
        <v>platine de rue suivant CCTP, alimentation centrale</v>
      </c>
      <c r="E902" s="33"/>
      <c r="F902" s="262"/>
      <c r="G902" s="289" t="s">
        <v>571</v>
      </c>
      <c r="H902" s="164" t="s">
        <v>571</v>
      </c>
      <c r="I902" t="s">
        <v>578</v>
      </c>
      <c r="J902" t="b">
        <f>AND(NOT(Compil[[#This Row],[Est ouvrage]]), NOT(ISBLANK(Compil[[#This Row],[ART.
CCTP]])))</f>
        <v>0</v>
      </c>
      <c r="K902" t="b">
        <f>OR(Compil[[#This Row],[Unité]]="U",Compil[[#This Row],[Unité]]="ens",Compil[[#This Row],[Unité]]="ml")</f>
        <v>0</v>
      </c>
      <c r="L902" t="b">
        <f>ISBLANK(Compil[[#This Row],[DESIGNATION]])</f>
        <v>0</v>
      </c>
      <c r="M902" s="359"/>
      <c r="N902" s="358"/>
      <c r="O902" s="358"/>
      <c r="P902" s="358"/>
      <c r="Q902" s="358">
        <f>COUNTIF(Compil[[Ma Désignation ]],Compil[[Ma Désignation ]])</f>
        <v>2</v>
      </c>
    </row>
    <row r="903" spans="1:17" ht="14">
      <c r="A903" s="312">
        <v>898</v>
      </c>
      <c r="B903" s="17"/>
      <c r="C903" s="91" t="s">
        <v>194</v>
      </c>
      <c r="D903" t="str">
        <f xml:space="preserve"> TRIM( SUBSTITUTE(SUBSTITUTE(SUBSTITUTE( Compil[[#This Row],[DESIGNATION]],"-",""),"–",""),"*",""))</f>
        <v>centrale de contrôle d'accès VIGIK</v>
      </c>
      <c r="E903" s="33"/>
      <c r="F903" s="262"/>
      <c r="G903" s="289" t="s">
        <v>571</v>
      </c>
      <c r="H903" s="164" t="s">
        <v>571</v>
      </c>
      <c r="I903" t="s">
        <v>578</v>
      </c>
      <c r="J903" t="b">
        <f>AND(NOT(Compil[[#This Row],[Est ouvrage]]), NOT(ISBLANK(Compil[[#This Row],[ART.
CCTP]])))</f>
        <v>0</v>
      </c>
      <c r="K903" t="b">
        <f>OR(Compil[[#This Row],[Unité]]="U",Compil[[#This Row],[Unité]]="ens",Compil[[#This Row],[Unité]]="ml")</f>
        <v>0</v>
      </c>
      <c r="L903" t="b">
        <f>ISBLANK(Compil[[#This Row],[DESIGNATION]])</f>
        <v>0</v>
      </c>
      <c r="M903" s="359"/>
      <c r="N903" s="358"/>
      <c r="O903" s="358"/>
      <c r="P903" s="358"/>
      <c r="Q903" s="358">
        <f>COUNTIF(Compil[[Ma Désignation ]],Compil[[Ma Désignation ]])</f>
        <v>2</v>
      </c>
    </row>
    <row r="904" spans="1:17" ht="14">
      <c r="A904" s="312">
        <v>899</v>
      </c>
      <c r="B904" s="17"/>
      <c r="C904" s="91" t="s">
        <v>384</v>
      </c>
      <c r="D904" t="str">
        <f xml:space="preserve"> TRIM( SUBSTITUTE(SUBSTITUTE(SUBSTITUTE( Compil[[#This Row],[DESIGNATION]],"-",""),"–",""),"*",""))</f>
        <v>bloc GSM gestion en temps réel</v>
      </c>
      <c r="E904" s="33"/>
      <c r="F904" s="262"/>
      <c r="G904" s="289" t="s">
        <v>571</v>
      </c>
      <c r="H904" s="164" t="s">
        <v>571</v>
      </c>
      <c r="I904" t="s">
        <v>578</v>
      </c>
      <c r="J904" t="b">
        <f>AND(NOT(Compil[[#This Row],[Est ouvrage]]), NOT(ISBLANK(Compil[[#This Row],[ART.
CCTP]])))</f>
        <v>0</v>
      </c>
      <c r="K904" t="b">
        <f>OR(Compil[[#This Row],[Unité]]="U",Compil[[#This Row],[Unité]]="ens",Compil[[#This Row],[Unité]]="ml")</f>
        <v>0</v>
      </c>
      <c r="L904" t="b">
        <f>ISBLANK(Compil[[#This Row],[DESIGNATION]])</f>
        <v>0</v>
      </c>
      <c r="M904" s="359"/>
      <c r="N904" s="358"/>
      <c r="O904" s="358"/>
      <c r="P904" s="358"/>
      <c r="Q904" s="358">
        <f>COUNTIF(Compil[[Ma Désignation ]],Compil[[Ma Désignation ]])</f>
        <v>2</v>
      </c>
    </row>
    <row r="905" spans="1:17" ht="14">
      <c r="A905" s="312">
        <v>900</v>
      </c>
      <c r="B905" s="17"/>
      <c r="C905" s="91" t="s">
        <v>195</v>
      </c>
      <c r="D905" t="str">
        <f xml:space="preserve"> TRIM( SUBSTITUTE(SUBSTITUTE(SUBSTITUTE( Compil[[#This Row],[DESIGNATION]],"-",""),"–",""),"*",""))</f>
        <v>ventouse</v>
      </c>
      <c r="E905" s="33"/>
      <c r="F905" s="262"/>
      <c r="G905" s="289" t="s">
        <v>571</v>
      </c>
      <c r="H905" s="164" t="s">
        <v>571</v>
      </c>
      <c r="I905" t="s">
        <v>578</v>
      </c>
      <c r="J905" t="b">
        <f>AND(NOT(Compil[[#This Row],[Est ouvrage]]), NOT(ISBLANK(Compil[[#This Row],[ART.
CCTP]])))</f>
        <v>0</v>
      </c>
      <c r="K905" t="b">
        <f>OR(Compil[[#This Row],[Unité]]="U",Compil[[#This Row],[Unité]]="ens",Compil[[#This Row],[Unité]]="ml")</f>
        <v>0</v>
      </c>
      <c r="L905" t="b">
        <f>ISBLANK(Compil[[#This Row],[DESIGNATION]])</f>
        <v>0</v>
      </c>
      <c r="M905" s="359"/>
      <c r="N905" s="358"/>
      <c r="O905" s="358"/>
      <c r="P905" s="358"/>
      <c r="Q905" s="358">
        <f>COUNTIF(Compil[[Ma Désignation ]],Compil[[Ma Désignation ]])</f>
        <v>2</v>
      </c>
    </row>
    <row r="906" spans="1:17" ht="14">
      <c r="A906" s="312">
        <v>901</v>
      </c>
      <c r="B906" s="17"/>
      <c r="C906" s="91" t="s">
        <v>196</v>
      </c>
      <c r="D906" t="str">
        <f xml:space="preserve"> TRIM( SUBSTITUTE(SUBSTITUTE(SUBSTITUTE( Compil[[#This Row],[DESIGNATION]],"-",""),"–",""),"*",""))</f>
        <v>BP sonore et visuel décondamnation</v>
      </c>
      <c r="E906" s="33"/>
      <c r="F906" s="262"/>
      <c r="G906" s="289" t="s">
        <v>571</v>
      </c>
      <c r="H906" s="164" t="s">
        <v>571</v>
      </c>
      <c r="I906" t="s">
        <v>578</v>
      </c>
      <c r="J906" t="b">
        <f>AND(NOT(Compil[[#This Row],[Est ouvrage]]), NOT(ISBLANK(Compil[[#This Row],[ART.
CCTP]])))</f>
        <v>0</v>
      </c>
      <c r="K906" t="b">
        <f>OR(Compil[[#This Row],[Unité]]="U",Compil[[#This Row],[Unité]]="ens",Compil[[#This Row],[Unité]]="ml")</f>
        <v>0</v>
      </c>
      <c r="L906" t="b">
        <f>ISBLANK(Compil[[#This Row],[DESIGNATION]])</f>
        <v>0</v>
      </c>
      <c r="M906" s="359"/>
      <c r="N906" s="358"/>
      <c r="O906" s="358"/>
      <c r="P906" s="358"/>
      <c r="Q906" s="358">
        <f>COUNTIF(Compil[[Ma Désignation ]],Compil[[Ma Désignation ]])</f>
        <v>2</v>
      </c>
    </row>
    <row r="907" spans="1:17" ht="14">
      <c r="A907" s="312">
        <v>902</v>
      </c>
      <c r="B907" s="17"/>
      <c r="C907" s="90"/>
      <c r="D907" t="str">
        <f xml:space="preserve"> TRIM( SUBSTITUTE(SUBSTITUTE(SUBSTITUTE( Compil[[#This Row],[DESIGNATION]],"-",""),"–",""),"*",""))</f>
        <v/>
      </c>
      <c r="E907" s="33"/>
      <c r="F907" s="262"/>
      <c r="G907" s="289" t="s">
        <v>571</v>
      </c>
      <c r="H907" s="164" t="s">
        <v>571</v>
      </c>
      <c r="I907" t="s">
        <v>578</v>
      </c>
      <c r="J907" t="b">
        <f>AND(NOT(Compil[[#This Row],[Est ouvrage]]), NOT(ISBLANK(Compil[[#This Row],[ART.
CCTP]])))</f>
        <v>0</v>
      </c>
      <c r="K907" t="b">
        <f>OR(Compil[[#This Row],[Unité]]="U",Compil[[#This Row],[Unité]]="ens",Compil[[#This Row],[Unité]]="ml")</f>
        <v>0</v>
      </c>
      <c r="L907" t="b">
        <f>ISBLANK(Compil[[#This Row],[DESIGNATION]])</f>
        <v>1</v>
      </c>
      <c r="M907" s="358"/>
      <c r="N907" s="358"/>
      <c r="O907" s="358"/>
      <c r="P907" s="358"/>
      <c r="Q907" s="358">
        <f>COUNTIF(Compil[[Ma Désignation ]],Compil[[Ma Désignation ]])</f>
        <v>306</v>
      </c>
    </row>
    <row r="908" spans="1:17" ht="14">
      <c r="A908" s="303">
        <v>302</v>
      </c>
      <c r="B908" s="2"/>
      <c r="C908" s="236" t="s">
        <v>205</v>
      </c>
      <c r="D908" t="str">
        <f xml:space="preserve"> TRIM( SUBSTITUTE(SUBSTITUTE(SUBSTITUTE( Compil[[#This Row],[DESIGNATION]],"-",""),"–",""),"*",""))</f>
        <v>PC 2P+T 10/16A réseau service +câblage</v>
      </c>
      <c r="E908" s="189" t="s">
        <v>13</v>
      </c>
      <c r="F908" s="252">
        <f>2</f>
        <v>2</v>
      </c>
      <c r="G908" s="289" t="e">
        <f>IF(F908="","",(((L908*$M$6)+(M908*#REF!*#REF!))*$M$7)/F908)</f>
        <v>#VALUE!</v>
      </c>
      <c r="H908" s="164" t="e">
        <f>IF(F908="","",F908*G908)</f>
        <v>#VALUE!</v>
      </c>
      <c r="I908" t="s">
        <v>580</v>
      </c>
      <c r="J908" t="b">
        <f>AND(NOT(Compil[[#This Row],[Est ouvrage]]), NOT(ISBLANK(Compil[[#This Row],[ART.
CCTP]])))</f>
        <v>0</v>
      </c>
      <c r="K908" t="b">
        <f>OR(Compil[[#This Row],[Unité]]="U",Compil[[#This Row],[Unité]]="ens",Compil[[#This Row],[Unité]]="ml")</f>
        <v>1</v>
      </c>
      <c r="L908" t="b">
        <f>ISBLANK(Compil[[#This Row],[DESIGNATION]])</f>
        <v>0</v>
      </c>
      <c r="M908" s="359"/>
      <c r="N908" s="358"/>
      <c r="O908" s="358"/>
      <c r="P908" s="358"/>
      <c r="Q908" s="358">
        <f>COUNTIF(Compil[[Ma Désignation ]],Compil[[Ma Désignation ]])</f>
        <v>3</v>
      </c>
    </row>
    <row r="909" spans="1:17" ht="14">
      <c r="A909" s="312">
        <v>935</v>
      </c>
      <c r="B909" s="19"/>
      <c r="C909" s="92" t="s">
        <v>205</v>
      </c>
      <c r="D909" t="str">
        <f xml:space="preserve"> TRIM( SUBSTITUTE(SUBSTITUTE(SUBSTITUTE( Compil[[#This Row],[DESIGNATION]],"-",""),"–",""),"*",""))</f>
        <v>PC 2P+T 10/16A réseau service +câblage</v>
      </c>
      <c r="E909" s="57" t="s">
        <v>13</v>
      </c>
      <c r="F909" s="262"/>
      <c r="G909" s="289" t="s">
        <v>571</v>
      </c>
      <c r="H909" s="164" t="s">
        <v>571</v>
      </c>
      <c r="I909" t="s">
        <v>578</v>
      </c>
      <c r="J909" t="b">
        <f>AND(NOT(Compil[[#This Row],[Est ouvrage]]), NOT(ISBLANK(Compil[[#This Row],[ART.
CCTP]])))</f>
        <v>0</v>
      </c>
      <c r="K909" t="b">
        <f>OR(Compil[[#This Row],[Unité]]="U",Compil[[#This Row],[Unité]]="ens",Compil[[#This Row],[Unité]]="ml")</f>
        <v>1</v>
      </c>
      <c r="L909" t="b">
        <f>ISBLANK(Compil[[#This Row],[DESIGNATION]])</f>
        <v>0</v>
      </c>
      <c r="M909" s="359"/>
      <c r="N909" s="358"/>
      <c r="O909" s="358"/>
      <c r="P909" s="358"/>
      <c r="Q909" s="358">
        <f>COUNTIF(Compil[[Ma Désignation ]],Compil[[Ma Désignation ]])</f>
        <v>3</v>
      </c>
    </row>
    <row r="910" spans="1:17" ht="14">
      <c r="A910" s="312">
        <v>938</v>
      </c>
      <c r="B910" s="19"/>
      <c r="C910" s="92" t="s">
        <v>208</v>
      </c>
      <c r="D910" t="str">
        <f xml:space="preserve"> TRIM( SUBSTITUTE(SUBSTITUTE(SUBSTITUTE( Compil[[#This Row],[DESIGNATION]],"-",""),"–",""),"*",""))</f>
        <v>PC 3P+N+T 32A étanche laverie +câblage</v>
      </c>
      <c r="E910" s="57" t="s">
        <v>13</v>
      </c>
      <c r="F910" s="262"/>
      <c r="G910" s="289" t="s">
        <v>571</v>
      </c>
      <c r="H910" s="164" t="s">
        <v>571</v>
      </c>
      <c r="I910" t="s">
        <v>578</v>
      </c>
      <c r="J910" t="b">
        <f>AND(NOT(Compil[[#This Row],[Est ouvrage]]), NOT(ISBLANK(Compil[[#This Row],[ART.
CCTP]])))</f>
        <v>0</v>
      </c>
      <c r="K910" t="b">
        <f>OR(Compil[[#This Row],[Unité]]="U",Compil[[#This Row],[Unité]]="ens",Compil[[#This Row],[Unité]]="ml")</f>
        <v>1</v>
      </c>
      <c r="L910" t="b">
        <f>ISBLANK(Compil[[#This Row],[DESIGNATION]])</f>
        <v>0</v>
      </c>
      <c r="M910" s="359"/>
      <c r="N910" s="358"/>
      <c r="O910" s="358"/>
      <c r="P910" s="358"/>
      <c r="Q910" s="358">
        <f>COUNTIF(Compil[[Ma Désignation ]],Compil[[Ma Désignation ]])</f>
        <v>1</v>
      </c>
    </row>
    <row r="911" spans="1:17" ht="14">
      <c r="A911" s="312">
        <v>906</v>
      </c>
      <c r="B911" s="17"/>
      <c r="C911" s="90"/>
      <c r="D911" t="str">
        <f xml:space="preserve"> TRIM( SUBSTITUTE(SUBSTITUTE(SUBSTITUTE( Compil[[#This Row],[DESIGNATION]],"-",""),"–",""),"*",""))</f>
        <v/>
      </c>
      <c r="E911" s="33"/>
      <c r="F911" s="262"/>
      <c r="G911" s="289" t="s">
        <v>571</v>
      </c>
      <c r="H911" s="164" t="s">
        <v>571</v>
      </c>
      <c r="I911" t="s">
        <v>578</v>
      </c>
      <c r="J911" t="b">
        <f>AND(NOT(Compil[[#This Row],[Est ouvrage]]), NOT(ISBLANK(Compil[[#This Row],[ART.
CCTP]])))</f>
        <v>0</v>
      </c>
      <c r="K911" t="b">
        <f>OR(Compil[[#This Row],[Unité]]="U",Compil[[#This Row],[Unité]]="ens",Compil[[#This Row],[Unité]]="ml")</f>
        <v>0</v>
      </c>
      <c r="L911" t="b">
        <f>ISBLANK(Compil[[#This Row],[DESIGNATION]])</f>
        <v>1</v>
      </c>
      <c r="M911" s="358"/>
      <c r="N911" s="358"/>
      <c r="O911" s="358"/>
      <c r="P911" s="358"/>
      <c r="Q911" s="358">
        <f>COUNTIF(Compil[[Ma Désignation ]],Compil[[Ma Désignation ]])</f>
        <v>306</v>
      </c>
    </row>
    <row r="912" spans="1:17" ht="14">
      <c r="A912" s="303">
        <v>341</v>
      </c>
      <c r="B912" s="179"/>
      <c r="C912" s="225" t="s">
        <v>48</v>
      </c>
      <c r="D912" t="str">
        <f xml:space="preserve"> TRIM( SUBSTITUTE(SUBSTITUTE(SUBSTITUTE( Compil[[#This Row],[DESIGNATION]],"-",""),"–",""),"*",""))</f>
        <v>plans d'exécution</v>
      </c>
      <c r="E912" s="216" t="s">
        <v>12</v>
      </c>
      <c r="F912" s="252">
        <v>1</v>
      </c>
      <c r="G912" s="289" t="e">
        <f>IF(F912="","",(((L912*$M$6)+(M912*#REF!*#REF!))*$M$7)/F912)</f>
        <v>#VALUE!</v>
      </c>
      <c r="H912" s="164" t="e">
        <f>IF(F912="","",F912*G912)</f>
        <v>#VALUE!</v>
      </c>
      <c r="I912" t="s">
        <v>580</v>
      </c>
      <c r="J912" t="b">
        <f>AND(NOT(Compil[[#This Row],[Est ouvrage]]), NOT(ISBLANK(Compil[[#This Row],[ART.
CCTP]])))</f>
        <v>0</v>
      </c>
      <c r="K912" t="b">
        <f>OR(Compil[[#This Row],[Unité]]="U",Compil[[#This Row],[Unité]]="ens",Compil[[#This Row],[Unité]]="ml")</f>
        <v>1</v>
      </c>
      <c r="L912" t="b">
        <f>ISBLANK(Compil[[#This Row],[DESIGNATION]])</f>
        <v>0</v>
      </c>
      <c r="M912" s="359"/>
      <c r="N912" s="358"/>
      <c r="O912" s="358"/>
      <c r="P912" s="358"/>
      <c r="Q912" s="358">
        <f>COUNTIF(Compil[[Ma Désignation ]],Compil[[Ma Désignation ]])</f>
        <v>2</v>
      </c>
    </row>
    <row r="913" spans="1:17" ht="14">
      <c r="A913" s="312">
        <v>979</v>
      </c>
      <c r="B913" s="17"/>
      <c r="C913" s="90" t="s">
        <v>48</v>
      </c>
      <c r="D913" t="str">
        <f xml:space="preserve"> TRIM( SUBSTITUTE(SUBSTITUTE(SUBSTITUTE( Compil[[#This Row],[DESIGNATION]],"-",""),"–",""),"*",""))</f>
        <v>plans d'exécution</v>
      </c>
      <c r="E913" s="33" t="s">
        <v>12</v>
      </c>
      <c r="F913" s="262">
        <v>1</v>
      </c>
      <c r="G913" s="289">
        <v>0</v>
      </c>
      <c r="H913" s="164">
        <v>0</v>
      </c>
      <c r="I913" t="s">
        <v>578</v>
      </c>
      <c r="J913" t="b">
        <f>AND(NOT(Compil[[#This Row],[Est ouvrage]]), NOT(ISBLANK(Compil[[#This Row],[ART.
CCTP]])))</f>
        <v>0</v>
      </c>
      <c r="K913" t="b">
        <f>OR(Compil[[#This Row],[Unité]]="U",Compil[[#This Row],[Unité]]="ens",Compil[[#This Row],[Unité]]="ml")</f>
        <v>1</v>
      </c>
      <c r="L913" t="b">
        <f>ISBLANK(Compil[[#This Row],[DESIGNATION]])</f>
        <v>0</v>
      </c>
      <c r="M913" s="359"/>
      <c r="N913" s="358"/>
      <c r="O913" s="358"/>
      <c r="P913" s="358"/>
      <c r="Q913" s="358">
        <f>COUNTIF(Compil[[Ma Désignation ]],Compil[[Ma Désignation ]])</f>
        <v>2</v>
      </c>
    </row>
    <row r="914" spans="1:17" ht="14">
      <c r="A914" s="303">
        <v>229</v>
      </c>
      <c r="B914" s="2"/>
      <c r="C914" s="236" t="s">
        <v>177</v>
      </c>
      <c r="D914" t="str">
        <f xml:space="preserve"> TRIM( SUBSTITUTE(SUBSTITUTE(SUBSTITUTE( Compil[[#This Row],[DESIGNATION]],"-",""),"–",""),"*",""))</f>
        <v>points de branchement optique (PBO)</v>
      </c>
      <c r="E914" s="189" t="s">
        <v>12</v>
      </c>
      <c r="F914" s="255"/>
      <c r="G914" s="289" t="str">
        <f>IF(F914="","",(((L914*$M$6)+(M914*#REF!*#REF!))*$M$7)/F914)</f>
        <v/>
      </c>
      <c r="H914" s="164" t="str">
        <f>IF(F914="","",F914*G914)</f>
        <v/>
      </c>
      <c r="I914" t="s">
        <v>580</v>
      </c>
      <c r="J914" t="b">
        <f>AND(NOT(Compil[[#This Row],[Est ouvrage]]), NOT(ISBLANK(Compil[[#This Row],[ART.
CCTP]])))</f>
        <v>0</v>
      </c>
      <c r="K914" t="b">
        <f>OR(Compil[[#This Row],[Unité]]="U",Compil[[#This Row],[Unité]]="ens",Compil[[#This Row],[Unité]]="ml")</f>
        <v>1</v>
      </c>
      <c r="L914" t="b">
        <f>ISBLANK(Compil[[#This Row],[DESIGNATION]])</f>
        <v>0</v>
      </c>
      <c r="M914" s="359"/>
      <c r="N914" s="358"/>
      <c r="O914" s="358"/>
      <c r="P914" s="358"/>
      <c r="Q914" s="358">
        <f>COUNTIF(Compil[[Ma Désignation ]],Compil[[Ma Désignation ]])</f>
        <v>2</v>
      </c>
    </row>
    <row r="915" spans="1:17" ht="14">
      <c r="A915" s="312">
        <v>867</v>
      </c>
      <c r="B915" s="19"/>
      <c r="C915" s="92" t="s">
        <v>177</v>
      </c>
      <c r="D915" t="str">
        <f xml:space="preserve"> TRIM( SUBSTITUTE(SUBSTITUTE(SUBSTITUTE( Compil[[#This Row],[DESIGNATION]],"-",""),"–",""),"*",""))</f>
        <v>points de branchement optique (PBO)</v>
      </c>
      <c r="E915" s="57" t="s">
        <v>12</v>
      </c>
      <c r="F915" s="262">
        <v>1</v>
      </c>
      <c r="G915" s="289">
        <v>0</v>
      </c>
      <c r="H915" s="164">
        <v>0</v>
      </c>
      <c r="I915" t="s">
        <v>578</v>
      </c>
      <c r="J915" t="b">
        <f>AND(NOT(Compil[[#This Row],[Est ouvrage]]), NOT(ISBLANK(Compil[[#This Row],[ART.
CCTP]])))</f>
        <v>0</v>
      </c>
      <c r="K915" t="b">
        <f>OR(Compil[[#This Row],[Unité]]="U",Compil[[#This Row],[Unité]]="ens",Compil[[#This Row],[Unité]]="ml")</f>
        <v>1</v>
      </c>
      <c r="L915" t="b">
        <f>ISBLANK(Compil[[#This Row],[DESIGNATION]])</f>
        <v>0</v>
      </c>
      <c r="M915" s="359"/>
      <c r="N915" s="358"/>
      <c r="O915" s="358"/>
      <c r="P915" s="358"/>
      <c r="Q915" s="358">
        <f>COUNTIF(Compil[[Ma Désignation ]],Compil[[Ma Désignation ]])</f>
        <v>2</v>
      </c>
    </row>
    <row r="916" spans="1:17" ht="14">
      <c r="A916" s="303">
        <v>227</v>
      </c>
      <c r="B916" s="2"/>
      <c r="C916" s="236" t="s">
        <v>175</v>
      </c>
      <c r="D916" t="str">
        <f xml:space="preserve"> TRIM( SUBSTITUTE(SUBSTITUTE(SUBSTITUTE( Compil[[#This Row],[DESIGNATION]],"-",""),"–",""),"*",""))</f>
        <v>points de mutualisation (PM)</v>
      </c>
      <c r="E916" s="189" t="s">
        <v>13</v>
      </c>
      <c r="F916" s="252">
        <v>1</v>
      </c>
      <c r="G916" s="289" t="e">
        <f>IF(F916="","",(((L916*$M$6)+(M916*#REF!*#REF!))*$M$7)/F916)</f>
        <v>#VALUE!</v>
      </c>
      <c r="H916" s="164" t="e">
        <f>IF(F916="","",F916*G916)</f>
        <v>#VALUE!</v>
      </c>
      <c r="I916" t="s">
        <v>580</v>
      </c>
      <c r="J916" t="b">
        <f>AND(NOT(Compil[[#This Row],[Est ouvrage]]), NOT(ISBLANK(Compil[[#This Row],[ART.
CCTP]])))</f>
        <v>0</v>
      </c>
      <c r="K916" t="b">
        <f>OR(Compil[[#This Row],[Unité]]="U",Compil[[#This Row],[Unité]]="ens",Compil[[#This Row],[Unité]]="ml")</f>
        <v>1</v>
      </c>
      <c r="L916" t="b">
        <f>ISBLANK(Compil[[#This Row],[DESIGNATION]])</f>
        <v>0</v>
      </c>
      <c r="M916" s="359"/>
      <c r="N916" s="358"/>
      <c r="O916" s="358"/>
      <c r="P916" s="358"/>
      <c r="Q916" s="358">
        <f>COUNTIF(Compil[[Ma Désignation ]],Compil[[Ma Désignation ]])</f>
        <v>2</v>
      </c>
    </row>
    <row r="917" spans="1:17" ht="14">
      <c r="A917" s="312">
        <v>912</v>
      </c>
      <c r="B917" s="17"/>
      <c r="C917" s="90"/>
      <c r="D917" t="str">
        <f xml:space="preserve"> TRIM( SUBSTITUTE(SUBSTITUTE(SUBSTITUTE( Compil[[#This Row],[DESIGNATION]],"-",""),"–",""),"*",""))</f>
        <v/>
      </c>
      <c r="E917" s="33"/>
      <c r="F917" s="262"/>
      <c r="G917" s="289" t="s">
        <v>571</v>
      </c>
      <c r="H917" s="164" t="s">
        <v>571</v>
      </c>
      <c r="I917" t="s">
        <v>578</v>
      </c>
      <c r="J917" t="b">
        <f>AND(NOT(Compil[[#This Row],[Est ouvrage]]), NOT(ISBLANK(Compil[[#This Row],[ART.
CCTP]])))</f>
        <v>0</v>
      </c>
      <c r="K917" t="b">
        <f>OR(Compil[[#This Row],[Unité]]="U",Compil[[#This Row],[Unité]]="ens",Compil[[#This Row],[Unité]]="ml")</f>
        <v>0</v>
      </c>
      <c r="L917" t="b">
        <f>ISBLANK(Compil[[#This Row],[DESIGNATION]])</f>
        <v>1</v>
      </c>
      <c r="M917" s="358"/>
      <c r="N917" s="358"/>
      <c r="O917" s="358"/>
      <c r="P917" s="358"/>
      <c r="Q917" s="358">
        <f>COUNTIF(Compil[[Ma Désignation ]],Compil[[Ma Désignation ]])</f>
        <v>306</v>
      </c>
    </row>
    <row r="918" spans="1:17" ht="14">
      <c r="A918" s="312">
        <v>865</v>
      </c>
      <c r="B918" s="19"/>
      <c r="C918" s="92" t="s">
        <v>175</v>
      </c>
      <c r="D918" t="str">
        <f xml:space="preserve"> TRIM( SUBSTITUTE(SUBSTITUTE(SUBSTITUTE( Compil[[#This Row],[DESIGNATION]],"-",""),"–",""),"*",""))</f>
        <v>points de mutualisation (PM)</v>
      </c>
      <c r="E918" s="57" t="s">
        <v>13</v>
      </c>
      <c r="F918" s="262">
        <v>2</v>
      </c>
      <c r="G918" s="289">
        <v>0</v>
      </c>
      <c r="H918" s="164">
        <v>0</v>
      </c>
      <c r="I918" t="s">
        <v>578</v>
      </c>
      <c r="J918" t="b">
        <f>AND(NOT(Compil[[#This Row],[Est ouvrage]]), NOT(ISBLANK(Compil[[#This Row],[ART.
CCTP]])))</f>
        <v>0</v>
      </c>
      <c r="K918" t="b">
        <f>OR(Compil[[#This Row],[Unité]]="U",Compil[[#This Row],[Unité]]="ens",Compil[[#This Row],[Unité]]="ml")</f>
        <v>1</v>
      </c>
      <c r="L918" t="b">
        <f>ISBLANK(Compil[[#This Row],[DESIGNATION]])</f>
        <v>0</v>
      </c>
      <c r="M918" s="359"/>
      <c r="N918" s="358"/>
      <c r="O918" s="358"/>
      <c r="P918" s="358"/>
      <c r="Q918" s="358">
        <f>COUNTIF(Compil[[Ma Désignation ]],Compil[[Ma Désignation ]])</f>
        <v>2</v>
      </c>
    </row>
    <row r="919" spans="1:17" ht="14">
      <c r="A919" s="312">
        <v>914</v>
      </c>
      <c r="B919" s="17"/>
      <c r="C919" s="90"/>
      <c r="D919" t="str">
        <f xml:space="preserve"> TRIM( SUBSTITUTE(SUBSTITUTE(SUBSTITUTE( Compil[[#This Row],[DESIGNATION]],"-",""),"–",""),"*",""))</f>
        <v/>
      </c>
      <c r="E919" s="33"/>
      <c r="F919" s="262"/>
      <c r="G919" s="289" t="s">
        <v>571</v>
      </c>
      <c r="H919" s="164" t="s">
        <v>571</v>
      </c>
      <c r="I919" t="s">
        <v>578</v>
      </c>
      <c r="J919" t="b">
        <f>AND(NOT(Compil[[#This Row],[Est ouvrage]]), NOT(ISBLANK(Compil[[#This Row],[ART.
CCTP]])))</f>
        <v>0</v>
      </c>
      <c r="K919" t="b">
        <f>OR(Compil[[#This Row],[Unité]]="U",Compil[[#This Row],[Unité]]="ens",Compil[[#This Row],[Unité]]="ml")</f>
        <v>0</v>
      </c>
      <c r="L919" t="b">
        <f>ISBLANK(Compil[[#This Row],[DESIGNATION]])</f>
        <v>1</v>
      </c>
      <c r="M919" s="358"/>
      <c r="N919" s="358"/>
      <c r="O919" s="358"/>
      <c r="P919" s="358"/>
      <c r="Q919" s="358">
        <f>COUNTIF(Compil[[Ma Désignation ]],Compil[[Ma Désignation ]])</f>
        <v>306</v>
      </c>
    </row>
    <row r="920" spans="1:17" ht="14">
      <c r="A920" s="303">
        <v>50</v>
      </c>
      <c r="B920" s="2"/>
      <c r="C920" s="398" t="s">
        <v>253</v>
      </c>
      <c r="D920" s="357" t="str">
        <f xml:space="preserve"> TRIM( SUBSTITUTE(SUBSTITUTE(SUBSTITUTE( Compil[[#This Row],[DESIGNATION]],"-",""),"–",""),"*",""))</f>
        <v>pose et raccordement des comptages EDF tarif jaune</v>
      </c>
      <c r="E920" s="197" t="s">
        <v>12</v>
      </c>
      <c r="F920" s="252">
        <v>2</v>
      </c>
      <c r="G920" s="289" t="e">
        <f>IF(F920="","",(((L920*$M$6)+(M920*#REF!*#REF!))*$M$7)/F920)</f>
        <v>#VALUE!</v>
      </c>
      <c r="H920" s="164" t="e">
        <f>IF(F920="","",F920*G920)</f>
        <v>#VALUE!</v>
      </c>
      <c r="I920" t="s">
        <v>580</v>
      </c>
      <c r="J920" t="b">
        <f>AND(NOT(Compil[[#This Row],[Est ouvrage]]), NOT(ISBLANK(Compil[[#This Row],[ART.
CCTP]])))</f>
        <v>0</v>
      </c>
      <c r="K920" t="b">
        <f>OR(Compil[[#This Row],[Unité]]="U",Compil[[#This Row],[Unité]]="ens",Compil[[#This Row],[Unité]]="ml")</f>
        <v>1</v>
      </c>
      <c r="L920" t="b">
        <f>ISBLANK(Compil[[#This Row],[DESIGNATION]])</f>
        <v>0</v>
      </c>
      <c r="M920" s="359"/>
      <c r="N920" s="358"/>
      <c r="O920" s="358"/>
      <c r="P920" s="358"/>
      <c r="Q920" s="358">
        <f>COUNTIF(Compil[[Ma Désignation ]],Compil[[Ma Désignation ]])</f>
        <v>1</v>
      </c>
    </row>
    <row r="921" spans="1:17" ht="25">
      <c r="A921" s="303">
        <v>23</v>
      </c>
      <c r="B921" s="202"/>
      <c r="C921" s="398" t="s">
        <v>244</v>
      </c>
      <c r="D921" s="357" t="str">
        <f xml:space="preserve"> TRIM( SUBSTITUTE(SUBSTITUTE(SUBSTITUTE( Compil[[#This Row],[DESIGNATION]],"-",""),"–",""),"*",""))</f>
        <v>pose et raccordement des comptages EDF tarif jaune des parkings</v>
      </c>
      <c r="E921" s="197" t="s">
        <v>12</v>
      </c>
      <c r="F921" s="252">
        <v>1</v>
      </c>
      <c r="G921" s="289" t="e">
        <f>IF(F921="","",(((L921*$M$6)+(M921*#REF!*#REF!))*$M$7)/F921)</f>
        <v>#VALUE!</v>
      </c>
      <c r="H921" s="164" t="e">
        <f>IF(F921="","",F921*G921)</f>
        <v>#VALUE!</v>
      </c>
      <c r="I921" t="s">
        <v>580</v>
      </c>
      <c r="J921" t="b">
        <f>AND(NOT(Compil[[#This Row],[Est ouvrage]]), NOT(ISBLANK(Compil[[#This Row],[ART.
CCTP]])))</f>
        <v>0</v>
      </c>
      <c r="K921" t="b">
        <f>OR(Compil[[#This Row],[Unité]]="U",Compil[[#This Row],[Unité]]="ens",Compil[[#This Row],[Unité]]="ml")</f>
        <v>1</v>
      </c>
      <c r="L921" t="b">
        <f>ISBLANK(Compil[[#This Row],[DESIGNATION]])</f>
        <v>0</v>
      </c>
      <c r="M921" s="359"/>
      <c r="N921" s="358"/>
      <c r="O921" s="358"/>
      <c r="P921" s="358"/>
      <c r="Q921" s="358">
        <f>COUNTIF(Compil[[Ma Désignation ]],Compil[[Ma Désignation ]])</f>
        <v>1</v>
      </c>
    </row>
    <row r="922" spans="1:17" ht="14">
      <c r="A922" s="312">
        <v>917</v>
      </c>
      <c r="B922" s="19"/>
      <c r="C922" s="421"/>
      <c r="D922" t="str">
        <f xml:space="preserve"> TRIM( SUBSTITUTE(SUBSTITUTE(SUBSTITUTE( Compil[[#This Row],[DESIGNATION]],"-",""),"–",""),"*",""))</f>
        <v/>
      </c>
      <c r="E922" s="33"/>
      <c r="F922" s="262"/>
      <c r="G922" s="289" t="s">
        <v>571</v>
      </c>
      <c r="H922" s="164" t="s">
        <v>571</v>
      </c>
      <c r="I922" t="s">
        <v>578</v>
      </c>
      <c r="J922" t="b">
        <f>AND(NOT(Compil[[#This Row],[Est ouvrage]]), NOT(ISBLANK(Compil[[#This Row],[ART.
CCTP]])))</f>
        <v>0</v>
      </c>
      <c r="K922" t="b">
        <f>OR(Compil[[#This Row],[Unité]]="U",Compil[[#This Row],[Unité]]="ens",Compil[[#This Row],[Unité]]="ml")</f>
        <v>0</v>
      </c>
      <c r="L922" t="b">
        <f>ISBLANK(Compil[[#This Row],[DESIGNATION]])</f>
        <v>1</v>
      </c>
      <c r="M922" s="358"/>
      <c r="N922" s="358"/>
      <c r="O922" s="358"/>
      <c r="P922" s="358"/>
      <c r="Q922" s="358">
        <f>COUNTIF(Compil[[Ma Désignation ]],Compil[[Ma Désignation ]])</f>
        <v>306</v>
      </c>
    </row>
    <row r="923" spans="1:17" ht="14">
      <c r="A923" s="312">
        <v>918</v>
      </c>
      <c r="B923" s="19"/>
      <c r="C923" s="395" t="s">
        <v>421</v>
      </c>
      <c r="D923" t="str">
        <f xml:space="preserve"> TRIM( SUBSTITUTE(SUBSTITUTE(SUBSTITUTE( Compil[[#This Row],[DESIGNATION]],"-",""),"–",""),"*",""))</f>
        <v>Sous total 3,.15</v>
      </c>
      <c r="E923" s="33"/>
      <c r="F923" s="262"/>
      <c r="G923" s="289" t="s">
        <v>571</v>
      </c>
      <c r="H923" s="164" t="s">
        <v>571</v>
      </c>
      <c r="I923" t="s">
        <v>578</v>
      </c>
      <c r="J923" t="b">
        <f>AND(NOT(Compil[[#This Row],[Est ouvrage]]), NOT(ISBLANK(Compil[[#This Row],[ART.
CCTP]])))</f>
        <v>0</v>
      </c>
      <c r="K923" t="b">
        <f>OR(Compil[[#This Row],[Unité]]="U",Compil[[#This Row],[Unité]]="ens",Compil[[#This Row],[Unité]]="ml")</f>
        <v>0</v>
      </c>
      <c r="L923" t="b">
        <f>ISBLANK(Compil[[#This Row],[DESIGNATION]])</f>
        <v>0</v>
      </c>
      <c r="M923" s="359"/>
      <c r="N923" s="358"/>
      <c r="O923" s="358"/>
      <c r="P923" s="358"/>
      <c r="Q923" s="358">
        <f>COUNTIF(Compil[[Ma Désignation ]],Compil[[Ma Désignation ]])</f>
        <v>1</v>
      </c>
    </row>
    <row r="924" spans="1:17" ht="14">
      <c r="A924" s="312">
        <v>919</v>
      </c>
      <c r="B924" s="19"/>
      <c r="C924" s="395"/>
      <c r="D924" t="str">
        <f xml:space="preserve"> TRIM( SUBSTITUTE(SUBSTITUTE(SUBSTITUTE( Compil[[#This Row],[DESIGNATION]],"-",""),"–",""),"*",""))</f>
        <v/>
      </c>
      <c r="E924" s="33"/>
      <c r="F924" s="262"/>
      <c r="G924" s="289" t="s">
        <v>571</v>
      </c>
      <c r="H924" s="164" t="s">
        <v>571</v>
      </c>
      <c r="I924" t="s">
        <v>578</v>
      </c>
      <c r="J924" t="b">
        <f>AND(NOT(Compil[[#This Row],[Est ouvrage]]), NOT(ISBLANK(Compil[[#This Row],[ART.
CCTP]])))</f>
        <v>0</v>
      </c>
      <c r="K924" t="b">
        <f>OR(Compil[[#This Row],[Unité]]="U",Compil[[#This Row],[Unité]]="ens",Compil[[#This Row],[Unité]]="ml")</f>
        <v>0</v>
      </c>
      <c r="L924" t="b">
        <f>ISBLANK(Compil[[#This Row],[DESIGNATION]])</f>
        <v>1</v>
      </c>
      <c r="M924" s="358"/>
      <c r="N924" s="358"/>
      <c r="O924" s="358"/>
      <c r="P924" s="358"/>
      <c r="Q924" s="358">
        <f>COUNTIF(Compil[[Ma Désignation ]],Compil[[Ma Désignation ]])</f>
        <v>306</v>
      </c>
    </row>
    <row r="925" spans="1:17" ht="14">
      <c r="A925" s="312">
        <v>920</v>
      </c>
      <c r="B925" s="19" t="s">
        <v>422</v>
      </c>
      <c r="C925" s="23" t="s">
        <v>69</v>
      </c>
      <c r="D925" t="str">
        <f xml:space="preserve"> TRIM( SUBSTITUTE(SUBSTITUTE(SUBSTITUTE( Compil[[#This Row],[DESIGNATION]],"-",""),"–",""),"*",""))</f>
        <v>Equipement des locaux communs</v>
      </c>
      <c r="E925" s="57"/>
      <c r="F925" s="262"/>
      <c r="G925" s="289" t="s">
        <v>571</v>
      </c>
      <c r="H925" s="164" t="s">
        <v>571</v>
      </c>
      <c r="I925" t="s">
        <v>578</v>
      </c>
      <c r="J925" t="b">
        <f>AND(NOT(Compil[[#This Row],[Est ouvrage]]), NOT(ISBLANK(Compil[[#This Row],[ART.
CCTP]])))</f>
        <v>1</v>
      </c>
      <c r="K925" t="b">
        <f>OR(Compil[[#This Row],[Unité]]="U",Compil[[#This Row],[Unité]]="ens",Compil[[#This Row],[Unité]]="ml")</f>
        <v>0</v>
      </c>
      <c r="L925" t="b">
        <f>ISBLANK(Compil[[#This Row],[DESIGNATION]])</f>
        <v>0</v>
      </c>
      <c r="M925" s="359"/>
      <c r="N925" s="358"/>
      <c r="O925" s="358"/>
      <c r="P925" s="358"/>
      <c r="Q925" s="358">
        <f>COUNTIF(Compil[[Ma Désignation ]],Compil[[Ma Désignation ]])</f>
        <v>1</v>
      </c>
    </row>
    <row r="926" spans="1:17" ht="14">
      <c r="A926" s="312">
        <v>921</v>
      </c>
      <c r="B926" s="19"/>
      <c r="C926" s="88"/>
      <c r="D926" t="str">
        <f xml:space="preserve"> TRIM( SUBSTITUTE(SUBSTITUTE(SUBSTITUTE( Compil[[#This Row],[DESIGNATION]],"-",""),"–",""),"*",""))</f>
        <v/>
      </c>
      <c r="E926" s="57"/>
      <c r="F926" s="262"/>
      <c r="G926" s="289" t="s">
        <v>571</v>
      </c>
      <c r="H926" s="164" t="s">
        <v>571</v>
      </c>
      <c r="I926" t="s">
        <v>578</v>
      </c>
      <c r="J926" t="b">
        <f>AND(NOT(Compil[[#This Row],[Est ouvrage]]), NOT(ISBLANK(Compil[[#This Row],[ART.
CCTP]])))</f>
        <v>0</v>
      </c>
      <c r="K926" t="b">
        <f>OR(Compil[[#This Row],[Unité]]="U",Compil[[#This Row],[Unité]]="ens",Compil[[#This Row],[Unité]]="ml")</f>
        <v>0</v>
      </c>
      <c r="L926" t="b">
        <f>ISBLANK(Compil[[#This Row],[DESIGNATION]])</f>
        <v>1</v>
      </c>
      <c r="M926" s="358"/>
      <c r="N926" s="358"/>
      <c r="O926" s="358"/>
      <c r="P926" s="358"/>
      <c r="Q926" s="358">
        <f>COUNTIF(Compil[[Ma Désignation ]],Compil[[Ma Désignation ]])</f>
        <v>306</v>
      </c>
    </row>
    <row r="927" spans="1:17" ht="25">
      <c r="A927" s="303">
        <v>21</v>
      </c>
      <c r="B927" s="202"/>
      <c r="C927" s="200" t="s">
        <v>245</v>
      </c>
      <c r="D927" s="357" t="str">
        <f xml:space="preserve"> TRIM( SUBSTITUTE(SUBSTITUTE(SUBSTITUTE( Compil[[#This Row],[DESIGNATION]],"-",""),"–",""),"*",""))</f>
        <v>pose et raccordement des comptages EDF tarif jaune des services généraux du bâtiment G2</v>
      </c>
      <c r="E927" s="197" t="s">
        <v>12</v>
      </c>
      <c r="F927" s="252">
        <v>1</v>
      </c>
      <c r="G927" s="289" t="e">
        <f>IF(F927="","",(((L927*$M$6)+(M927*#REF!*#REF!))*$M$7)/F927)</f>
        <v>#VALUE!</v>
      </c>
      <c r="H927" s="164" t="e">
        <f>IF(F927="","",F927*G927)</f>
        <v>#VALUE!</v>
      </c>
      <c r="I927" t="s">
        <v>580</v>
      </c>
      <c r="J927" t="b">
        <f>AND(NOT(Compil[[#This Row],[Est ouvrage]]), NOT(ISBLANK(Compil[[#This Row],[ART.
CCTP]])))</f>
        <v>0</v>
      </c>
      <c r="K927" t="b">
        <f>OR(Compil[[#This Row],[Unité]]="U",Compil[[#This Row],[Unité]]="ens",Compil[[#This Row],[Unité]]="ml")</f>
        <v>1</v>
      </c>
      <c r="L927" t="b">
        <f>ISBLANK(Compil[[#This Row],[DESIGNATION]])</f>
        <v>0</v>
      </c>
      <c r="M927" s="359"/>
      <c r="N927" s="358"/>
      <c r="O927" s="358"/>
      <c r="P927" s="358"/>
      <c r="Q927" s="358">
        <f>COUNTIF(Compil[[Ma Désignation ]],Compil[[Ma Désignation ]])</f>
        <v>1</v>
      </c>
    </row>
    <row r="928" spans="1:17" ht="37.5">
      <c r="A928" s="303">
        <v>17</v>
      </c>
      <c r="B928" s="2"/>
      <c r="C928" s="200" t="s">
        <v>218</v>
      </c>
      <c r="D928" s="357" t="str">
        <f xml:space="preserve"> TRIM( SUBSTITUTE(SUBSTITUTE(SUBSTITUTE( Compil[[#This Row],[DESIGNATION]],"-",""),"–",""),"*",""))</f>
        <v>pose et raccordement des panneaux de comptage tarif bleu EDF et des disjoncteurs de brabchement à l'interieur des commerces</v>
      </c>
      <c r="E928" s="197" t="s">
        <v>12</v>
      </c>
      <c r="F928" s="252">
        <v>2</v>
      </c>
      <c r="G928" s="289" t="e">
        <f>IF(F928="","",(((L928*$M$6)+(M928*#REF!*#REF!))*$M$7)/F928)</f>
        <v>#VALUE!</v>
      </c>
      <c r="H928" s="164" t="e">
        <f>IF(F928="","",F928*G928)</f>
        <v>#VALUE!</v>
      </c>
      <c r="I928" t="s">
        <v>580</v>
      </c>
      <c r="J928" t="b">
        <f>AND(NOT(Compil[[#This Row],[Est ouvrage]]), NOT(ISBLANK(Compil[[#This Row],[ART.
CCTP]])))</f>
        <v>0</v>
      </c>
      <c r="K928" t="b">
        <f>OR(Compil[[#This Row],[Unité]]="U",Compil[[#This Row],[Unité]]="ens",Compil[[#This Row],[Unité]]="ml")</f>
        <v>1</v>
      </c>
      <c r="L928" t="b">
        <f>ISBLANK(Compil[[#This Row],[DESIGNATION]])</f>
        <v>0</v>
      </c>
      <c r="M928" s="359"/>
      <c r="N928" s="358"/>
      <c r="O928" s="358"/>
      <c r="P928" s="358"/>
      <c r="Q928" s="358">
        <f>COUNTIF(Compil[[Ma Désignation ]],Compil[[Ma Désignation ]])</f>
        <v>1</v>
      </c>
    </row>
    <row r="929" spans="1:17" ht="37.5">
      <c r="A929" s="303">
        <v>15</v>
      </c>
      <c r="B929" s="2"/>
      <c r="C929" s="200" t="s">
        <v>219</v>
      </c>
      <c r="D929" s="357" t="str">
        <f xml:space="preserve"> TRIM( SUBSTITUTE(SUBSTITUTE(SUBSTITUTE( Compil[[#This Row],[DESIGNATION]],"-",""),"–",""),"*",""))</f>
        <v>pose et raccordement des panneaux de comptage tarif bleu EDF et des disjoncteurs de brabchement à l'interieur des logements</v>
      </c>
      <c r="E929" s="197" t="s">
        <v>12</v>
      </c>
      <c r="F929" s="254" t="str">
        <f>QTE!C257</f>
        <v>TT</v>
      </c>
      <c r="G929" s="289" t="e">
        <f>IF(F929="","",(((L929*$M$6)+(M929*#REF!*#REF!))*$M$7)/F929)</f>
        <v>#VALUE!</v>
      </c>
      <c r="H929" s="164" t="e">
        <f>IF(F929="","",F929*G929)</f>
        <v>#VALUE!</v>
      </c>
      <c r="I929" t="s">
        <v>580</v>
      </c>
      <c r="J929" t="b">
        <f>AND(NOT(Compil[[#This Row],[Est ouvrage]]), NOT(ISBLANK(Compil[[#This Row],[ART.
CCTP]])))</f>
        <v>0</v>
      </c>
      <c r="K929" t="b">
        <f>OR(Compil[[#This Row],[Unité]]="U",Compil[[#This Row],[Unité]]="ens",Compil[[#This Row],[Unité]]="ml")</f>
        <v>1</v>
      </c>
      <c r="L929" t="b">
        <f>ISBLANK(Compil[[#This Row],[DESIGNATION]])</f>
        <v>0</v>
      </c>
      <c r="M929" s="359"/>
      <c r="N929" s="358"/>
      <c r="O929" s="358"/>
      <c r="P929" s="358"/>
      <c r="Q929" s="358">
        <f>COUNTIF(Compil[[Ma Désignation ]],Compil[[Ma Désignation ]])</f>
        <v>1</v>
      </c>
    </row>
    <row r="930" spans="1:17" ht="37.5">
      <c r="A930" s="312">
        <v>732</v>
      </c>
      <c r="B930" s="19"/>
      <c r="C930" s="82" t="s">
        <v>324</v>
      </c>
      <c r="D930" s="357" t="str">
        <f xml:space="preserve"> TRIM( SUBSTITUTE(SUBSTITUTE(SUBSTITUTE( Compil[[#This Row],[DESIGNATION]],"-",""),"–",""),"*",""))</f>
        <v>pose et raccordement des panneaux de comptage tarif bleu EDF et des disjoncteurs de brabchement à l'interieur des logements et des bureaux</v>
      </c>
      <c r="E930" s="46" t="s">
        <v>12</v>
      </c>
      <c r="F930" s="262">
        <v>73</v>
      </c>
      <c r="G930" s="289">
        <v>0</v>
      </c>
      <c r="H930" s="164">
        <v>0</v>
      </c>
      <c r="I930" t="s">
        <v>578</v>
      </c>
      <c r="J930" t="b">
        <f>AND(NOT(Compil[[#This Row],[Est ouvrage]]), NOT(ISBLANK(Compil[[#This Row],[ART.
CCTP]])))</f>
        <v>0</v>
      </c>
      <c r="K930" t="b">
        <f>OR(Compil[[#This Row],[Unité]]="U",Compil[[#This Row],[Unité]]="ens",Compil[[#This Row],[Unité]]="ml")</f>
        <v>1</v>
      </c>
      <c r="L930" t="b">
        <f>ISBLANK(Compil[[#This Row],[DESIGNATION]])</f>
        <v>0</v>
      </c>
      <c r="M930" s="359"/>
      <c r="N930" s="358"/>
      <c r="O930" s="358"/>
      <c r="P930" s="358"/>
      <c r="Q930" s="358">
        <f>COUNTIF(Compil[[Ma Désignation ]],Compil[[Ma Désignation ]])</f>
        <v>1</v>
      </c>
    </row>
    <row r="931" spans="1:17" ht="14">
      <c r="A931" s="312">
        <v>926</v>
      </c>
      <c r="B931" s="19"/>
      <c r="C931" s="88"/>
      <c r="D931" t="str">
        <f xml:space="preserve"> TRIM( SUBSTITUTE(SUBSTITUTE(SUBSTITUTE( Compil[[#This Row],[DESIGNATION]],"-",""),"–",""),"*",""))</f>
        <v/>
      </c>
      <c r="E931" s="57"/>
      <c r="F931" s="262"/>
      <c r="G931" s="289" t="s">
        <v>571</v>
      </c>
      <c r="H931" s="164" t="s">
        <v>571</v>
      </c>
      <c r="I931" t="s">
        <v>578</v>
      </c>
      <c r="J931" t="b">
        <f>AND(NOT(Compil[[#This Row],[Est ouvrage]]), NOT(ISBLANK(Compil[[#This Row],[ART.
CCTP]])))</f>
        <v>0</v>
      </c>
      <c r="K931" t="b">
        <f>OR(Compil[[#This Row],[Unité]]="U",Compil[[#This Row],[Unité]]="ens",Compil[[#This Row],[Unité]]="ml")</f>
        <v>0</v>
      </c>
      <c r="L931" t="b">
        <f>ISBLANK(Compil[[#This Row],[DESIGNATION]])</f>
        <v>1</v>
      </c>
      <c r="M931" s="358"/>
      <c r="N931" s="358"/>
      <c r="O931" s="358"/>
      <c r="P931" s="358"/>
      <c r="Q931" s="358">
        <f>COUNTIF(Compil[[Ma Désignation ]],Compil[[Ma Désignation ]])</f>
        <v>306</v>
      </c>
    </row>
    <row r="932" spans="1:17" ht="25">
      <c r="A932" s="303">
        <v>19</v>
      </c>
      <c r="B932" s="2"/>
      <c r="C932" s="200" t="s">
        <v>243</v>
      </c>
      <c r="D932" s="357" t="str">
        <f xml:space="preserve"> TRIM( SUBSTITUTE(SUBSTITUTE(SUBSTITUTE( Compil[[#This Row],[DESIGNATION]],"-",""),"–",""),"*",""))</f>
        <v>pose et raccordement du panneau de comptage tarif bleu EDF et du disjoncteur de brabchement des SG bâtiment G1</v>
      </c>
      <c r="E932" s="197" t="s">
        <v>12</v>
      </c>
      <c r="F932" s="252">
        <v>1</v>
      </c>
      <c r="G932" s="289" t="e">
        <f>IF(F932="","",(((L932*$M$6)+(M932*#REF!*#REF!))*$M$7)/F932)</f>
        <v>#VALUE!</v>
      </c>
      <c r="H932" s="164" t="e">
        <f>IF(F932="","",F932*G932)</f>
        <v>#VALUE!</v>
      </c>
      <c r="I932" t="s">
        <v>580</v>
      </c>
      <c r="J932" t="b">
        <f>AND(NOT(Compil[[#This Row],[Est ouvrage]]), NOT(ISBLANK(Compil[[#This Row],[ART.
CCTP]])))</f>
        <v>0</v>
      </c>
      <c r="K932" t="b">
        <f>OR(Compil[[#This Row],[Unité]]="U",Compil[[#This Row],[Unité]]="ens",Compil[[#This Row],[Unité]]="ml")</f>
        <v>1</v>
      </c>
      <c r="L932" t="b">
        <f>ISBLANK(Compil[[#This Row],[DESIGNATION]])</f>
        <v>0</v>
      </c>
      <c r="M932" s="359"/>
      <c r="N932" s="358"/>
      <c r="O932" s="358"/>
      <c r="P932" s="358"/>
      <c r="Q932" s="358">
        <f>COUNTIF(Compil[[Ma Désignation ]],Compil[[Ma Désignation ]])</f>
        <v>1</v>
      </c>
    </row>
    <row r="933" spans="1:17" ht="25">
      <c r="A933" s="312">
        <v>734</v>
      </c>
      <c r="B933" s="19"/>
      <c r="C933" s="82" t="s">
        <v>246</v>
      </c>
      <c r="D933" s="357" t="str">
        <f xml:space="preserve"> TRIM( SUBSTITUTE(SUBSTITUTE(SUBSTITUTE( Compil[[#This Row],[DESIGNATION]],"-",""),"–",""),"*",""))</f>
        <v>pose et raccordement du panneau de comptage tarif bleu EDF et du disjoncteur de brabchement des SG bâtiment SOHO</v>
      </c>
      <c r="E933" s="46" t="s">
        <v>12</v>
      </c>
      <c r="F933" s="262">
        <v>1</v>
      </c>
      <c r="G933" s="289">
        <v>0</v>
      </c>
      <c r="H933" s="164">
        <v>0</v>
      </c>
      <c r="I933" t="s">
        <v>578</v>
      </c>
      <c r="J933" t="b">
        <f>AND(NOT(Compil[[#This Row],[Est ouvrage]]), NOT(ISBLANK(Compil[[#This Row],[ART.
CCTP]])))</f>
        <v>0</v>
      </c>
      <c r="K933" t="b">
        <f>OR(Compil[[#This Row],[Unité]]="U",Compil[[#This Row],[Unité]]="ens",Compil[[#This Row],[Unité]]="ml")</f>
        <v>1</v>
      </c>
      <c r="L933" t="b">
        <f>ISBLANK(Compil[[#This Row],[DESIGNATION]])</f>
        <v>0</v>
      </c>
      <c r="M933" s="359"/>
      <c r="N933" s="358"/>
      <c r="O933" s="358"/>
      <c r="P933" s="358"/>
      <c r="Q933" s="358">
        <f>COUNTIF(Compil[[Ma Désignation ]],Compil[[Ma Désignation ]])</f>
        <v>1</v>
      </c>
    </row>
    <row r="934" spans="1:17" ht="14">
      <c r="A934" s="310">
        <v>378</v>
      </c>
      <c r="B934" s="43"/>
      <c r="C934" s="416" t="s">
        <v>54</v>
      </c>
      <c r="D934" t="str">
        <f xml:space="preserve"> TRIM( SUBSTITUTE(SUBSTITUTE(SUBSTITUTE( Compil[[#This Row],[DESIGNATION]],"-",""),"–",""),"*",""))</f>
        <v>Prise de courant 2P+T10/16A</v>
      </c>
      <c r="E934" s="33" t="s">
        <v>13</v>
      </c>
      <c r="F934" s="262">
        <v>11</v>
      </c>
      <c r="G934" s="289">
        <v>0</v>
      </c>
      <c r="H934" s="164">
        <v>0</v>
      </c>
      <c r="I934" t="s">
        <v>570</v>
      </c>
      <c r="J934" t="b">
        <f>AND(NOT(Compil[[#This Row],[Est ouvrage]]), NOT(ISBLANK(Compil[[#This Row],[ART.
CCTP]])))</f>
        <v>0</v>
      </c>
      <c r="K934" t="b">
        <f>OR(Compil[[#This Row],[Unité]]="U",Compil[[#This Row],[Unité]]="ens",Compil[[#This Row],[Unité]]="ml")</f>
        <v>1</v>
      </c>
      <c r="L934" t="b">
        <f>ISBLANK(Compil[[#This Row],[DESIGNATION]])</f>
        <v>0</v>
      </c>
      <c r="M934" s="359"/>
      <c r="N934" s="358"/>
      <c r="O934" s="358"/>
      <c r="P934" s="358"/>
      <c r="Q934" s="358">
        <f>COUNTIF(Compil[[Ma Désignation ]],Compil[[Ma Désignation ]])</f>
        <v>18</v>
      </c>
    </row>
    <row r="935" spans="1:17" ht="14">
      <c r="A935" s="310">
        <v>395</v>
      </c>
      <c r="B935" s="43"/>
      <c r="C935" s="416" t="s">
        <v>54</v>
      </c>
      <c r="D935" t="str">
        <f xml:space="preserve"> TRIM( SUBSTITUTE(SUBSTITUTE(SUBSTITUTE( Compil[[#This Row],[DESIGNATION]],"-",""),"–",""),"*",""))</f>
        <v>Prise de courant 2P+T10/16A</v>
      </c>
      <c r="E935" s="33" t="s">
        <v>13</v>
      </c>
      <c r="F935" s="262"/>
      <c r="G935" s="289" t="s">
        <v>571</v>
      </c>
      <c r="H935" s="164" t="s">
        <v>571</v>
      </c>
      <c r="I935" t="s">
        <v>570</v>
      </c>
      <c r="J935" t="b">
        <f>AND(NOT(Compil[[#This Row],[Est ouvrage]]), NOT(ISBLANK(Compil[[#This Row],[ART.
CCTP]])))</f>
        <v>0</v>
      </c>
      <c r="K935" t="b">
        <f>OR(Compil[[#This Row],[Unité]]="U",Compil[[#This Row],[Unité]]="ens",Compil[[#This Row],[Unité]]="ml")</f>
        <v>1</v>
      </c>
      <c r="L935" t="b">
        <f>ISBLANK(Compil[[#This Row],[DESIGNATION]])</f>
        <v>0</v>
      </c>
      <c r="M935" s="359"/>
      <c r="N935" s="358"/>
      <c r="O935" s="358"/>
      <c r="P935" s="358"/>
      <c r="Q935" s="358">
        <f>COUNTIF(Compil[[Ma Désignation ]],Compil[[Ma Désignation ]])</f>
        <v>18</v>
      </c>
    </row>
    <row r="936" spans="1:17" ht="14">
      <c r="A936" s="312">
        <v>931</v>
      </c>
      <c r="B936" s="19"/>
      <c r="C936" s="88"/>
      <c r="D936" t="str">
        <f xml:space="preserve"> TRIM( SUBSTITUTE(SUBSTITUTE(SUBSTITUTE( Compil[[#This Row],[DESIGNATION]],"-",""),"–",""),"*",""))</f>
        <v/>
      </c>
      <c r="E936" s="57" t="s">
        <v>13</v>
      </c>
      <c r="F936" s="262"/>
      <c r="G936" s="289" t="s">
        <v>571</v>
      </c>
      <c r="H936" s="164" t="s">
        <v>571</v>
      </c>
      <c r="I936" t="s">
        <v>578</v>
      </c>
      <c r="J936" t="b">
        <f>AND(NOT(Compil[[#This Row],[Est ouvrage]]), NOT(ISBLANK(Compil[[#This Row],[ART.
CCTP]])))</f>
        <v>0</v>
      </c>
      <c r="K936" t="b">
        <f>OR(Compil[[#This Row],[Unité]]="U",Compil[[#This Row],[Unité]]="ens",Compil[[#This Row],[Unité]]="ml")</f>
        <v>1</v>
      </c>
      <c r="L936" t="b">
        <f>ISBLANK(Compil[[#This Row],[DESIGNATION]])</f>
        <v>1</v>
      </c>
      <c r="M936" s="358"/>
      <c r="N936" s="358"/>
      <c r="O936" s="358"/>
      <c r="P936" s="358"/>
      <c r="Q936" s="358">
        <f>COUNTIF(Compil[[Ma Désignation ]],Compil[[Ma Désignation ]])</f>
        <v>306</v>
      </c>
    </row>
    <row r="937" spans="1:17" ht="14">
      <c r="A937" s="310">
        <v>429</v>
      </c>
      <c r="B937" s="43"/>
      <c r="C937" s="416" t="s">
        <v>54</v>
      </c>
      <c r="D937" t="str">
        <f xml:space="preserve"> TRIM( SUBSTITUTE(SUBSTITUTE(SUBSTITUTE( Compil[[#This Row],[DESIGNATION]],"-",""),"–",""),"*",""))</f>
        <v>Prise de courant 2P+T10/16A</v>
      </c>
      <c r="E937" s="33" t="s">
        <v>13</v>
      </c>
      <c r="F937" s="262">
        <v>14</v>
      </c>
      <c r="G937" s="289">
        <v>0</v>
      </c>
      <c r="H937" s="164">
        <v>0</v>
      </c>
      <c r="I937" t="s">
        <v>570</v>
      </c>
      <c r="J937" t="b">
        <f>AND(NOT(Compil[[#This Row],[Est ouvrage]]), NOT(ISBLANK(Compil[[#This Row],[ART.
CCTP]])))</f>
        <v>0</v>
      </c>
      <c r="K937" t="b">
        <f>OR(Compil[[#This Row],[Unité]]="U",Compil[[#This Row],[Unité]]="ens",Compil[[#This Row],[Unité]]="ml")</f>
        <v>1</v>
      </c>
      <c r="L937" t="b">
        <f>ISBLANK(Compil[[#This Row],[DESIGNATION]])</f>
        <v>0</v>
      </c>
      <c r="M937" s="359"/>
      <c r="N937" s="358"/>
      <c r="O937" s="358"/>
      <c r="P937" s="358"/>
      <c r="Q937" s="358">
        <f>COUNTIF(Compil[[Ma Désignation ]],Compil[[Ma Désignation ]])</f>
        <v>18</v>
      </c>
    </row>
    <row r="938" spans="1:17" ht="14">
      <c r="A938" s="310">
        <v>447</v>
      </c>
      <c r="B938" s="43"/>
      <c r="C938" s="416" t="s">
        <v>54</v>
      </c>
      <c r="D938" t="str">
        <f xml:space="preserve"> TRIM( SUBSTITUTE(SUBSTITUTE(SUBSTITUTE( Compil[[#This Row],[DESIGNATION]],"-",""),"–",""),"*",""))</f>
        <v>Prise de courant 2P+T10/16A</v>
      </c>
      <c r="E938" s="33" t="s">
        <v>13</v>
      </c>
      <c r="F938" s="262"/>
      <c r="G938" s="289" t="s">
        <v>571</v>
      </c>
      <c r="H938" s="164" t="s">
        <v>571</v>
      </c>
      <c r="I938" t="s">
        <v>570</v>
      </c>
      <c r="J938" t="b">
        <f>AND(NOT(Compil[[#This Row],[Est ouvrage]]), NOT(ISBLANK(Compil[[#This Row],[ART.
CCTP]])))</f>
        <v>0</v>
      </c>
      <c r="K938" t="b">
        <f>OR(Compil[[#This Row],[Unité]]="U",Compil[[#This Row],[Unité]]="ens",Compil[[#This Row],[Unité]]="ml")</f>
        <v>1</v>
      </c>
      <c r="L938" t="b">
        <f>ISBLANK(Compil[[#This Row],[DESIGNATION]])</f>
        <v>0</v>
      </c>
      <c r="M938" s="359"/>
      <c r="N938" s="358"/>
      <c r="O938" s="358"/>
      <c r="P938" s="358"/>
      <c r="Q938" s="358">
        <f>COUNTIF(Compil[[Ma Désignation ]],Compil[[Ma Désignation ]])</f>
        <v>18</v>
      </c>
    </row>
    <row r="939" spans="1:17" ht="14">
      <c r="A939" s="312">
        <v>934</v>
      </c>
      <c r="B939" s="19"/>
      <c r="C939" s="88"/>
      <c r="D939" t="str">
        <f xml:space="preserve"> TRIM( SUBSTITUTE(SUBSTITUTE(SUBSTITUTE( Compil[[#This Row],[DESIGNATION]],"-",""),"–",""),"*",""))</f>
        <v/>
      </c>
      <c r="E939" s="57"/>
      <c r="F939" s="262"/>
      <c r="G939" s="289" t="s">
        <v>571</v>
      </c>
      <c r="H939" s="164" t="s">
        <v>571</v>
      </c>
      <c r="I939" t="s">
        <v>578</v>
      </c>
      <c r="J939" t="b">
        <f>AND(NOT(Compil[[#This Row],[Est ouvrage]]), NOT(ISBLANK(Compil[[#This Row],[ART.
CCTP]])))</f>
        <v>0</v>
      </c>
      <c r="K939" t="b">
        <f>OR(Compil[[#This Row],[Unité]]="U",Compil[[#This Row],[Unité]]="ens",Compil[[#This Row],[Unité]]="ml")</f>
        <v>0</v>
      </c>
      <c r="L939" t="b">
        <f>ISBLANK(Compil[[#This Row],[DESIGNATION]])</f>
        <v>1</v>
      </c>
      <c r="M939" s="358"/>
      <c r="N939" s="358"/>
      <c r="O939" s="358"/>
      <c r="P939" s="358"/>
      <c r="Q939" s="358">
        <f>COUNTIF(Compil[[Ma Désignation ]],Compil[[Ma Désignation ]])</f>
        <v>306</v>
      </c>
    </row>
    <row r="940" spans="1:17" ht="14">
      <c r="A940" s="310">
        <v>484</v>
      </c>
      <c r="B940" s="43"/>
      <c r="C940" s="416" t="s">
        <v>54</v>
      </c>
      <c r="D940" t="str">
        <f xml:space="preserve"> TRIM( SUBSTITUTE(SUBSTITUTE(SUBSTITUTE( Compil[[#This Row],[DESIGNATION]],"-",""),"–",""),"*",""))</f>
        <v>Prise de courant 2P+T10/16A</v>
      </c>
      <c r="E940" s="33" t="s">
        <v>13</v>
      </c>
      <c r="F940" s="262">
        <v>16</v>
      </c>
      <c r="G940" s="289">
        <v>0</v>
      </c>
      <c r="H940" s="164">
        <v>0</v>
      </c>
      <c r="I940" t="s">
        <v>570</v>
      </c>
      <c r="J940" t="b">
        <f>AND(NOT(Compil[[#This Row],[Est ouvrage]]), NOT(ISBLANK(Compil[[#This Row],[ART.
CCTP]])))</f>
        <v>0</v>
      </c>
      <c r="K940" t="b">
        <f>OR(Compil[[#This Row],[Unité]]="U",Compil[[#This Row],[Unité]]="ens",Compil[[#This Row],[Unité]]="ml")</f>
        <v>1</v>
      </c>
      <c r="L940" t="b">
        <f>ISBLANK(Compil[[#This Row],[DESIGNATION]])</f>
        <v>0</v>
      </c>
      <c r="M940" s="359"/>
      <c r="N940" s="358"/>
      <c r="O940" s="358"/>
      <c r="P940" s="358"/>
      <c r="Q940" s="358">
        <f>COUNTIF(Compil[[Ma Désignation ]],Compil[[Ma Désignation ]])</f>
        <v>18</v>
      </c>
    </row>
    <row r="941" spans="1:17" ht="14">
      <c r="A941" s="310">
        <v>503</v>
      </c>
      <c r="B941" s="43"/>
      <c r="C941" s="416" t="s">
        <v>54</v>
      </c>
      <c r="D941" t="str">
        <f xml:space="preserve"> TRIM( SUBSTITUTE(SUBSTITUTE(SUBSTITUTE( Compil[[#This Row],[DESIGNATION]],"-",""),"–",""),"*",""))</f>
        <v>Prise de courant 2P+T10/16A</v>
      </c>
      <c r="E941" s="33" t="s">
        <v>13</v>
      </c>
      <c r="F941" s="262"/>
      <c r="G941" s="289" t="s">
        <v>571</v>
      </c>
      <c r="H941" s="164" t="s">
        <v>571</v>
      </c>
      <c r="I941" t="s">
        <v>570</v>
      </c>
      <c r="J941" t="b">
        <f>AND(NOT(Compil[[#This Row],[Est ouvrage]]), NOT(ISBLANK(Compil[[#This Row],[ART.
CCTP]])))</f>
        <v>0</v>
      </c>
      <c r="K941" t="b">
        <f>OR(Compil[[#This Row],[Unité]]="U",Compil[[#This Row],[Unité]]="ens",Compil[[#This Row],[Unité]]="ml")</f>
        <v>1</v>
      </c>
      <c r="L941" t="b">
        <f>ISBLANK(Compil[[#This Row],[DESIGNATION]])</f>
        <v>0</v>
      </c>
      <c r="M941" s="359"/>
      <c r="N941" s="358"/>
      <c r="O941" s="358"/>
      <c r="P941" s="358"/>
      <c r="Q941" s="358">
        <f>COUNTIF(Compil[[Ma Désignation ]],Compil[[Ma Désignation ]])</f>
        <v>18</v>
      </c>
    </row>
    <row r="942" spans="1:17" ht="14">
      <c r="A942" s="310">
        <v>540</v>
      </c>
      <c r="B942" s="43"/>
      <c r="C942" s="416" t="s">
        <v>54</v>
      </c>
      <c r="D942" t="str">
        <f xml:space="preserve"> TRIM( SUBSTITUTE(SUBSTITUTE(SUBSTITUTE( Compil[[#This Row],[DESIGNATION]],"-",""),"–",""),"*",""))</f>
        <v>Prise de courant 2P+T10/16A</v>
      </c>
      <c r="E942" s="33" t="s">
        <v>13</v>
      </c>
      <c r="F942" s="262">
        <v>19</v>
      </c>
      <c r="G942" s="289">
        <v>0</v>
      </c>
      <c r="H942" s="164">
        <v>0</v>
      </c>
      <c r="I942" t="s">
        <v>570</v>
      </c>
      <c r="J942" t="b">
        <f>AND(NOT(Compil[[#This Row],[Est ouvrage]]), NOT(ISBLANK(Compil[[#This Row],[ART.
CCTP]])))</f>
        <v>0</v>
      </c>
      <c r="K942" t="b">
        <f>OR(Compil[[#This Row],[Unité]]="U",Compil[[#This Row],[Unité]]="ens",Compil[[#This Row],[Unité]]="ml")</f>
        <v>1</v>
      </c>
      <c r="L942" t="b">
        <f>ISBLANK(Compil[[#This Row],[DESIGNATION]])</f>
        <v>0</v>
      </c>
      <c r="M942" s="359"/>
      <c r="N942" s="358"/>
      <c r="O942" s="358"/>
      <c r="P942" s="358"/>
      <c r="Q942" s="358">
        <f>COUNTIF(Compil[[Ma Désignation ]],Compil[[Ma Désignation ]])</f>
        <v>18</v>
      </c>
    </row>
    <row r="943" spans="1:17" ht="14">
      <c r="A943" s="310">
        <v>559</v>
      </c>
      <c r="B943" s="43"/>
      <c r="C943" s="416" t="s">
        <v>54</v>
      </c>
      <c r="D943" t="str">
        <f xml:space="preserve"> TRIM( SUBSTITUTE(SUBSTITUTE(SUBSTITUTE( Compil[[#This Row],[DESIGNATION]],"-",""),"–",""),"*",""))</f>
        <v>Prise de courant 2P+T10/16A</v>
      </c>
      <c r="E943" s="33" t="s">
        <v>13</v>
      </c>
      <c r="F943" s="262"/>
      <c r="G943" s="289" t="s">
        <v>571</v>
      </c>
      <c r="H943" s="164" t="s">
        <v>571</v>
      </c>
      <c r="I943" t="s">
        <v>570</v>
      </c>
      <c r="J943" t="b">
        <f>AND(NOT(Compil[[#This Row],[Est ouvrage]]), NOT(ISBLANK(Compil[[#This Row],[ART.
CCTP]])))</f>
        <v>0</v>
      </c>
      <c r="K943" t="b">
        <f>OR(Compil[[#This Row],[Unité]]="U",Compil[[#This Row],[Unité]]="ens",Compil[[#This Row],[Unité]]="ml")</f>
        <v>1</v>
      </c>
      <c r="L943" t="b">
        <f>ISBLANK(Compil[[#This Row],[DESIGNATION]])</f>
        <v>0</v>
      </c>
      <c r="M943" s="359"/>
      <c r="N943" s="358"/>
      <c r="O943" s="358"/>
      <c r="P943" s="358"/>
      <c r="Q943" s="358">
        <f>COUNTIF(Compil[[Ma Désignation ]],Compil[[Ma Désignation ]])</f>
        <v>18</v>
      </c>
    </row>
    <row r="944" spans="1:17" ht="14">
      <c r="A944" s="310">
        <v>596</v>
      </c>
      <c r="B944" s="43"/>
      <c r="C944" s="416" t="s">
        <v>54</v>
      </c>
      <c r="D944" t="str">
        <f xml:space="preserve"> TRIM( SUBSTITUTE(SUBSTITUTE(SUBSTITUTE( Compil[[#This Row],[DESIGNATION]],"-",""),"–",""),"*",""))</f>
        <v>Prise de courant 2P+T10/16A</v>
      </c>
      <c r="E944" s="33" t="s">
        <v>13</v>
      </c>
      <c r="F944" s="262">
        <v>22</v>
      </c>
      <c r="G944" s="289">
        <v>0</v>
      </c>
      <c r="H944" s="164">
        <v>0</v>
      </c>
      <c r="I944" t="s">
        <v>570</v>
      </c>
      <c r="J944" t="b">
        <f>AND(NOT(Compil[[#This Row],[Est ouvrage]]), NOT(ISBLANK(Compil[[#This Row],[ART.
CCTP]])))</f>
        <v>0</v>
      </c>
      <c r="K944" t="b">
        <f>OR(Compil[[#This Row],[Unité]]="U",Compil[[#This Row],[Unité]]="ens",Compil[[#This Row],[Unité]]="ml")</f>
        <v>1</v>
      </c>
      <c r="L944" t="b">
        <f>ISBLANK(Compil[[#This Row],[DESIGNATION]])</f>
        <v>0</v>
      </c>
      <c r="M944" s="359"/>
      <c r="N944" s="358"/>
      <c r="O944" s="358"/>
      <c r="P944" s="358"/>
      <c r="Q944" s="358">
        <f>COUNTIF(Compil[[Ma Désignation ]],Compil[[Ma Désignation ]])</f>
        <v>18</v>
      </c>
    </row>
    <row r="945" spans="1:17" ht="14">
      <c r="A945" s="312">
        <v>940</v>
      </c>
      <c r="B945" s="19"/>
      <c r="C945" s="421"/>
      <c r="D945" t="str">
        <f xml:space="preserve"> TRIM( SUBSTITUTE(SUBSTITUTE(SUBSTITUTE( Compil[[#This Row],[DESIGNATION]],"-",""),"–",""),"*",""))</f>
        <v/>
      </c>
      <c r="E945" s="33"/>
      <c r="F945" s="262"/>
      <c r="G945" s="289" t="s">
        <v>571</v>
      </c>
      <c r="H945" s="164" t="s">
        <v>571</v>
      </c>
      <c r="I945" t="s">
        <v>578</v>
      </c>
      <c r="J945" t="b">
        <f>AND(NOT(Compil[[#This Row],[Est ouvrage]]), NOT(ISBLANK(Compil[[#This Row],[ART.
CCTP]])))</f>
        <v>0</v>
      </c>
      <c r="K945" t="b">
        <f>OR(Compil[[#This Row],[Unité]]="U",Compil[[#This Row],[Unité]]="ens",Compil[[#This Row],[Unité]]="ml")</f>
        <v>0</v>
      </c>
      <c r="L945" t="b">
        <f>ISBLANK(Compil[[#This Row],[DESIGNATION]])</f>
        <v>1</v>
      </c>
      <c r="M945" s="358"/>
      <c r="N945" s="358"/>
      <c r="O945" s="358"/>
      <c r="P945" s="358"/>
      <c r="Q945" s="358">
        <f>COUNTIF(Compil[[Ma Désignation ]],Compil[[Ma Désignation ]])</f>
        <v>306</v>
      </c>
    </row>
    <row r="946" spans="1:17" ht="14">
      <c r="A946" s="312">
        <v>941</v>
      </c>
      <c r="B946" s="19"/>
      <c r="C946" s="395" t="s">
        <v>423</v>
      </c>
      <c r="D946" t="str">
        <f xml:space="preserve"> TRIM( SUBSTITUTE(SUBSTITUTE(SUBSTITUTE( Compil[[#This Row],[DESIGNATION]],"-",""),"–",""),"*",""))</f>
        <v>Sous total 3.16</v>
      </c>
      <c r="E946" s="33"/>
      <c r="F946" s="262"/>
      <c r="G946" s="289" t="s">
        <v>571</v>
      </c>
      <c r="H946" s="164" t="s">
        <v>571</v>
      </c>
      <c r="I946" t="s">
        <v>578</v>
      </c>
      <c r="J946" t="b">
        <f>AND(NOT(Compil[[#This Row],[Est ouvrage]]), NOT(ISBLANK(Compil[[#This Row],[ART.
CCTP]])))</f>
        <v>0</v>
      </c>
      <c r="K946" t="b">
        <f>OR(Compil[[#This Row],[Unité]]="U",Compil[[#This Row],[Unité]]="ens",Compil[[#This Row],[Unité]]="ml")</f>
        <v>0</v>
      </c>
      <c r="L946" t="b">
        <f>ISBLANK(Compil[[#This Row],[DESIGNATION]])</f>
        <v>0</v>
      </c>
      <c r="M946" s="359"/>
      <c r="N946" s="358"/>
      <c r="O946" s="358"/>
      <c r="P946" s="358"/>
      <c r="Q946" s="358">
        <f>COUNTIF(Compil[[Ma Désignation ]],Compil[[Ma Désignation ]])</f>
        <v>1</v>
      </c>
    </row>
    <row r="947" spans="1:17" ht="14">
      <c r="A947" s="312">
        <v>942</v>
      </c>
      <c r="B947" s="19"/>
      <c r="C947" s="86"/>
      <c r="D947" t="str">
        <f xml:space="preserve"> TRIM( SUBSTITUTE(SUBSTITUTE(SUBSTITUTE( Compil[[#This Row],[DESIGNATION]],"-",""),"–",""),"*",""))</f>
        <v/>
      </c>
      <c r="E947" s="33"/>
      <c r="F947" s="262"/>
      <c r="G947" s="289" t="s">
        <v>571</v>
      </c>
      <c r="H947" s="164" t="s">
        <v>571</v>
      </c>
      <c r="I947" t="s">
        <v>578</v>
      </c>
      <c r="J947" t="b">
        <f>AND(NOT(Compil[[#This Row],[Est ouvrage]]), NOT(ISBLANK(Compil[[#This Row],[ART.
CCTP]])))</f>
        <v>0</v>
      </c>
      <c r="K947" t="b">
        <f>OR(Compil[[#This Row],[Unité]]="U",Compil[[#This Row],[Unité]]="ens",Compil[[#This Row],[Unité]]="ml")</f>
        <v>0</v>
      </c>
      <c r="L947" t="b">
        <f>ISBLANK(Compil[[#This Row],[DESIGNATION]])</f>
        <v>1</v>
      </c>
      <c r="M947" s="358"/>
      <c r="N947" s="358"/>
      <c r="O947" s="358"/>
      <c r="P947" s="358"/>
      <c r="Q947" s="358">
        <f>COUNTIF(Compil[[Ma Désignation ]],Compil[[Ma Désignation ]])</f>
        <v>306</v>
      </c>
    </row>
    <row r="948" spans="1:17" ht="14">
      <c r="A948" s="312">
        <v>943</v>
      </c>
      <c r="B948" s="19" t="s">
        <v>424</v>
      </c>
      <c r="C948" s="87" t="s">
        <v>35</v>
      </c>
      <c r="D948" t="str">
        <f xml:space="preserve"> TRIM( SUBSTITUTE(SUBSTITUTE(SUBSTITUTE( Compil[[#This Row],[DESIGNATION]],"-",""),"–",""),"*",""))</f>
        <v>Eclairage normal des communs</v>
      </c>
      <c r="E948" s="57"/>
      <c r="F948" s="262"/>
      <c r="G948" s="289" t="s">
        <v>571</v>
      </c>
      <c r="H948" s="164" t="s">
        <v>571</v>
      </c>
      <c r="I948" t="s">
        <v>578</v>
      </c>
      <c r="J948" t="b">
        <f>AND(NOT(Compil[[#This Row],[Est ouvrage]]), NOT(ISBLANK(Compil[[#This Row],[ART.
CCTP]])))</f>
        <v>1</v>
      </c>
      <c r="K948" t="b">
        <f>OR(Compil[[#This Row],[Unité]]="U",Compil[[#This Row],[Unité]]="ens",Compil[[#This Row],[Unité]]="ml")</f>
        <v>0</v>
      </c>
      <c r="L948" t="b">
        <f>ISBLANK(Compil[[#This Row],[DESIGNATION]])</f>
        <v>0</v>
      </c>
      <c r="M948" s="359"/>
      <c r="N948" s="358"/>
      <c r="O948" s="358"/>
      <c r="P948" s="358"/>
      <c r="Q948" s="358">
        <f>COUNTIF(Compil[[Ma Désignation ]],Compil[[Ma Désignation ]])</f>
        <v>1</v>
      </c>
    </row>
    <row r="949" spans="1:17" ht="14">
      <c r="A949" s="312">
        <v>944</v>
      </c>
      <c r="B949" s="19"/>
      <c r="C949" s="86"/>
      <c r="D949" t="str">
        <f xml:space="preserve"> TRIM( SUBSTITUTE(SUBSTITUTE(SUBSTITUTE( Compil[[#This Row],[DESIGNATION]],"-",""),"–",""),"*",""))</f>
        <v/>
      </c>
      <c r="E949" s="57"/>
      <c r="F949" s="262"/>
      <c r="G949" s="289" t="s">
        <v>571</v>
      </c>
      <c r="H949" s="164" t="s">
        <v>571</v>
      </c>
      <c r="I949" t="s">
        <v>578</v>
      </c>
      <c r="J949" t="b">
        <f>AND(NOT(Compil[[#This Row],[Est ouvrage]]), NOT(ISBLANK(Compil[[#This Row],[ART.
CCTP]])))</f>
        <v>0</v>
      </c>
      <c r="K949" t="b">
        <f>OR(Compil[[#This Row],[Unité]]="U",Compil[[#This Row],[Unité]]="ens",Compil[[#This Row],[Unité]]="ml")</f>
        <v>0</v>
      </c>
      <c r="L949" t="b">
        <f>ISBLANK(Compil[[#This Row],[DESIGNATION]])</f>
        <v>1</v>
      </c>
      <c r="M949" s="358"/>
      <c r="N949" s="358"/>
      <c r="O949" s="358"/>
      <c r="P949" s="358"/>
      <c r="Q949" s="358">
        <f>COUNTIF(Compil[[Ma Désignation ]],Compil[[Ma Désignation ]])</f>
        <v>306</v>
      </c>
    </row>
    <row r="950" spans="1:17" ht="14">
      <c r="A950" s="310">
        <v>615</v>
      </c>
      <c r="B950" s="43"/>
      <c r="C950" s="416" t="s">
        <v>54</v>
      </c>
      <c r="D950" t="str">
        <f xml:space="preserve"> TRIM( SUBSTITUTE(SUBSTITUTE(SUBSTITUTE( Compil[[#This Row],[DESIGNATION]],"-",""),"–",""),"*",""))</f>
        <v>Prise de courant 2P+T10/16A</v>
      </c>
      <c r="E950" s="33" t="s">
        <v>13</v>
      </c>
      <c r="F950" s="262"/>
      <c r="G950" s="289" t="s">
        <v>571</v>
      </c>
      <c r="H950" s="164" t="s">
        <v>571</v>
      </c>
      <c r="I950" t="s">
        <v>570</v>
      </c>
      <c r="J950" t="b">
        <f>AND(NOT(Compil[[#This Row],[Est ouvrage]]), NOT(ISBLANK(Compil[[#This Row],[ART.
CCTP]])))</f>
        <v>0</v>
      </c>
      <c r="K950" t="b">
        <f>OR(Compil[[#This Row],[Unité]]="U",Compil[[#This Row],[Unité]]="ens",Compil[[#This Row],[Unité]]="ml")</f>
        <v>1</v>
      </c>
      <c r="L950" t="b">
        <f>ISBLANK(Compil[[#This Row],[DESIGNATION]])</f>
        <v>0</v>
      </c>
      <c r="M950" s="359"/>
      <c r="N950" s="358"/>
      <c r="O950" s="358"/>
      <c r="P950" s="358"/>
      <c r="Q950" s="358">
        <f>COUNTIF(Compil[[Ma Désignation ]],Compil[[Ma Désignation ]])</f>
        <v>18</v>
      </c>
    </row>
    <row r="951" spans="1:17" ht="14">
      <c r="A951" s="310">
        <v>652</v>
      </c>
      <c r="B951" s="43"/>
      <c r="C951" s="416" t="s">
        <v>54</v>
      </c>
      <c r="D951" t="str">
        <f xml:space="preserve"> TRIM( SUBSTITUTE(SUBSTITUTE(SUBSTITUTE( Compil[[#This Row],[DESIGNATION]],"-",""),"–",""),"*",""))</f>
        <v>Prise de courant 2P+T10/16A</v>
      </c>
      <c r="E951" s="33" t="s">
        <v>13</v>
      </c>
      <c r="F951" s="262">
        <v>24</v>
      </c>
      <c r="G951" s="289">
        <v>0</v>
      </c>
      <c r="H951" s="164">
        <v>0</v>
      </c>
      <c r="I951" t="s">
        <v>570</v>
      </c>
      <c r="J951" t="b">
        <f>AND(NOT(Compil[[#This Row],[Est ouvrage]]), NOT(ISBLANK(Compil[[#This Row],[ART.
CCTP]])))</f>
        <v>0</v>
      </c>
      <c r="K951" t="b">
        <f>OR(Compil[[#This Row],[Unité]]="U",Compil[[#This Row],[Unité]]="ens",Compil[[#This Row],[Unité]]="ml")</f>
        <v>1</v>
      </c>
      <c r="L951" t="b">
        <f>ISBLANK(Compil[[#This Row],[DESIGNATION]])</f>
        <v>0</v>
      </c>
      <c r="M951" s="359"/>
      <c r="N951" s="358"/>
      <c r="O951" s="358"/>
      <c r="P951" s="358"/>
      <c r="Q951" s="358">
        <f>COUNTIF(Compil[[Ma Désignation ]],Compil[[Ma Désignation ]])</f>
        <v>18</v>
      </c>
    </row>
    <row r="952" spans="1:17" ht="14">
      <c r="A952" s="310">
        <v>671</v>
      </c>
      <c r="B952" s="43"/>
      <c r="C952" s="416" t="s">
        <v>54</v>
      </c>
      <c r="D952" t="str">
        <f xml:space="preserve"> TRIM( SUBSTITUTE(SUBSTITUTE(SUBSTITUTE( Compil[[#This Row],[DESIGNATION]],"-",""),"–",""),"*",""))</f>
        <v>Prise de courant 2P+T10/16A</v>
      </c>
      <c r="E952" s="33" t="s">
        <v>13</v>
      </c>
      <c r="F952" s="262"/>
      <c r="G952" s="289" t="s">
        <v>571</v>
      </c>
      <c r="H952" s="164" t="s">
        <v>571</v>
      </c>
      <c r="I952" t="s">
        <v>570</v>
      </c>
      <c r="J952" t="b">
        <f>AND(NOT(Compil[[#This Row],[Est ouvrage]]), NOT(ISBLANK(Compil[[#This Row],[ART.
CCTP]])))</f>
        <v>0</v>
      </c>
      <c r="K952" t="b">
        <f>OR(Compil[[#This Row],[Unité]]="U",Compil[[#This Row],[Unité]]="ens",Compil[[#This Row],[Unité]]="ml")</f>
        <v>1</v>
      </c>
      <c r="L952" t="b">
        <f>ISBLANK(Compil[[#This Row],[DESIGNATION]])</f>
        <v>0</v>
      </c>
      <c r="M952" s="359"/>
      <c r="N952" s="358"/>
      <c r="O952" s="358"/>
      <c r="P952" s="358"/>
      <c r="Q952" s="358">
        <f>COUNTIF(Compil[[Ma Désignation ]],Compil[[Ma Désignation ]])</f>
        <v>18</v>
      </c>
    </row>
    <row r="953" spans="1:17">
      <c r="A953" s="360">
        <v>1012</v>
      </c>
      <c r="B953" s="363"/>
      <c r="C953" s="402" t="s">
        <v>54</v>
      </c>
      <c r="D953" t="str">
        <f xml:space="preserve"> TRIM( SUBSTITUTE(SUBSTITUTE(SUBSTITUTE( Compil[[#This Row],[DESIGNATION]],"-",""),"–",""),"*",""))</f>
        <v>Prise de courant 2P+T10/16A</v>
      </c>
      <c r="E953" s="374" t="s">
        <v>13</v>
      </c>
      <c r="F953" s="385">
        <v>12</v>
      </c>
      <c r="G953" s="390">
        <v>0</v>
      </c>
      <c r="H953" s="391">
        <v>0</v>
      </c>
      <c r="I953" t="s">
        <v>579</v>
      </c>
      <c r="J953" t="b">
        <f>AND(NOT(Compil[[#This Row],[Est ouvrage]]), NOT(ISBLANK(Compil[[#This Row],[ART.
CCTP]])))</f>
        <v>0</v>
      </c>
      <c r="K953" t="b">
        <f>OR(Compil[[#This Row],[Unité]]="U",Compil[[#This Row],[Unité]]="ens",Compil[[#This Row],[Unité]]="ml")</f>
        <v>1</v>
      </c>
      <c r="L953" t="b">
        <f>ISBLANK(Compil[[#This Row],[DESIGNATION]])</f>
        <v>0</v>
      </c>
      <c r="M953" s="359"/>
      <c r="N953" s="358"/>
      <c r="O953" s="358"/>
      <c r="P953" s="358"/>
      <c r="Q953" s="358">
        <f>COUNTIF(Compil[[Ma Désignation ]],Compil[[Ma Désignation ]])</f>
        <v>18</v>
      </c>
    </row>
    <row r="954" spans="1:17">
      <c r="A954" s="360">
        <v>1028</v>
      </c>
      <c r="B954" s="363"/>
      <c r="C954" s="402" t="s">
        <v>54</v>
      </c>
      <c r="D954" t="str">
        <f xml:space="preserve"> TRIM( SUBSTITUTE(SUBSTITUTE(SUBSTITUTE( Compil[[#This Row],[DESIGNATION]],"-",""),"–",""),"*",""))</f>
        <v>Prise de courant 2P+T10/16A</v>
      </c>
      <c r="E954" s="374" t="s">
        <v>13</v>
      </c>
      <c r="F954" s="385"/>
      <c r="G954" s="390" t="s">
        <v>571</v>
      </c>
      <c r="H954" s="391" t="s">
        <v>571</v>
      </c>
      <c r="I954" t="s">
        <v>579</v>
      </c>
      <c r="J954" t="b">
        <f>AND(NOT(Compil[[#This Row],[Est ouvrage]]), NOT(ISBLANK(Compil[[#This Row],[ART.
CCTP]])))</f>
        <v>0</v>
      </c>
      <c r="K954" t="b">
        <f>OR(Compil[[#This Row],[Unité]]="U",Compil[[#This Row],[Unité]]="ens",Compil[[#This Row],[Unité]]="ml")</f>
        <v>1</v>
      </c>
      <c r="L954" t="b">
        <f>ISBLANK(Compil[[#This Row],[DESIGNATION]])</f>
        <v>0</v>
      </c>
      <c r="M954" s="359"/>
      <c r="N954" s="358"/>
      <c r="O954" s="358"/>
      <c r="P954" s="358"/>
      <c r="Q954" s="358">
        <f>COUNTIF(Compil[[Ma Désignation ]],Compil[[Ma Désignation ]])</f>
        <v>18</v>
      </c>
    </row>
    <row r="955" spans="1:17" ht="14">
      <c r="A955" s="312">
        <v>950</v>
      </c>
      <c r="B955" s="19"/>
      <c r="C955" s="86"/>
      <c r="D955" t="str">
        <f xml:space="preserve"> TRIM( SUBSTITUTE(SUBSTITUTE(SUBSTITUTE( Compil[[#This Row],[DESIGNATION]],"-",""),"–",""),"*",""))</f>
        <v/>
      </c>
      <c r="E955" s="57"/>
      <c r="F955" s="262"/>
      <c r="G955" s="289" t="s">
        <v>571</v>
      </c>
      <c r="H955" s="164" t="s">
        <v>571</v>
      </c>
      <c r="I955" t="s">
        <v>578</v>
      </c>
      <c r="J955" t="b">
        <f>AND(NOT(Compil[[#This Row],[Est ouvrage]]), NOT(ISBLANK(Compil[[#This Row],[ART.
CCTP]])))</f>
        <v>0</v>
      </c>
      <c r="K955" t="b">
        <f>OR(Compil[[#This Row],[Unité]]="U",Compil[[#This Row],[Unité]]="ens",Compil[[#This Row],[Unité]]="ml")</f>
        <v>0</v>
      </c>
      <c r="L955" t="b">
        <f>ISBLANK(Compil[[#This Row],[DESIGNATION]])</f>
        <v>1</v>
      </c>
      <c r="M955" s="358"/>
      <c r="N955" s="358"/>
      <c r="O955" s="358"/>
      <c r="P955" s="358"/>
      <c r="Q955" s="358">
        <f>COUNTIF(Compil[[Ma Désignation ]],Compil[[Ma Désignation ]])</f>
        <v>306</v>
      </c>
    </row>
    <row r="956" spans="1:17">
      <c r="A956" s="360">
        <v>1059</v>
      </c>
      <c r="B956" s="363"/>
      <c r="C956" s="402" t="s">
        <v>54</v>
      </c>
      <c r="D956" t="str">
        <f xml:space="preserve"> TRIM( SUBSTITUTE(SUBSTITUTE(SUBSTITUTE( Compil[[#This Row],[DESIGNATION]],"-",""),"–",""),"*",""))</f>
        <v>Prise de courant 2P+T10/16A</v>
      </c>
      <c r="E956" s="374" t="s">
        <v>13</v>
      </c>
      <c r="F956" s="385">
        <v>17</v>
      </c>
      <c r="G956" s="390">
        <v>0</v>
      </c>
      <c r="H956" s="391">
        <v>0</v>
      </c>
      <c r="I956" t="s">
        <v>579</v>
      </c>
      <c r="J956" t="b">
        <f>AND(NOT(Compil[[#This Row],[Est ouvrage]]), NOT(ISBLANK(Compil[[#This Row],[ART.
CCTP]])))</f>
        <v>0</v>
      </c>
      <c r="K956" t="b">
        <f>OR(Compil[[#This Row],[Unité]]="U",Compil[[#This Row],[Unité]]="ens",Compil[[#This Row],[Unité]]="ml")</f>
        <v>1</v>
      </c>
      <c r="L956" t="b">
        <f>ISBLANK(Compil[[#This Row],[DESIGNATION]])</f>
        <v>0</v>
      </c>
      <c r="M956" s="359"/>
      <c r="N956" s="358"/>
      <c r="O956" s="358"/>
      <c r="P956" s="358"/>
      <c r="Q956" s="358">
        <f>COUNTIF(Compil[[Ma Désignation ]],Compil[[Ma Désignation ]])</f>
        <v>18</v>
      </c>
    </row>
    <row r="957" spans="1:17">
      <c r="A957" s="360">
        <v>1069</v>
      </c>
      <c r="B957" s="363"/>
      <c r="C957" s="402" t="s">
        <v>54</v>
      </c>
      <c r="D957" t="str">
        <f xml:space="preserve"> TRIM( SUBSTITUTE(SUBSTITUTE(SUBSTITUTE( Compil[[#This Row],[DESIGNATION]],"-",""),"–",""),"*",""))</f>
        <v>Prise de courant 2P+T10/16A</v>
      </c>
      <c r="E957" s="374" t="s">
        <v>13</v>
      </c>
      <c r="F957" s="385"/>
      <c r="G957" s="390" t="s">
        <v>571</v>
      </c>
      <c r="H957" s="391" t="s">
        <v>571</v>
      </c>
      <c r="I957" t="s">
        <v>579</v>
      </c>
      <c r="J957" t="b">
        <f>AND(NOT(Compil[[#This Row],[Est ouvrage]]), NOT(ISBLANK(Compil[[#This Row],[ART.
CCTP]])))</f>
        <v>0</v>
      </c>
      <c r="K957" t="b">
        <f>OR(Compil[[#This Row],[Unité]]="U",Compil[[#This Row],[Unité]]="ens",Compil[[#This Row],[Unité]]="ml")</f>
        <v>1</v>
      </c>
      <c r="L957" t="b">
        <f>ISBLANK(Compil[[#This Row],[DESIGNATION]])</f>
        <v>0</v>
      </c>
      <c r="M957" s="359"/>
      <c r="N957" s="358"/>
      <c r="O957" s="358"/>
      <c r="P957" s="358"/>
      <c r="Q957" s="358">
        <f>COUNTIF(Compil[[Ma Désignation ]],Compil[[Ma Désignation ]])</f>
        <v>18</v>
      </c>
    </row>
    <row r="958" spans="1:17">
      <c r="A958" s="360">
        <v>1095</v>
      </c>
      <c r="B958" s="363"/>
      <c r="C958" s="402" t="s">
        <v>54</v>
      </c>
      <c r="D958" t="str">
        <f xml:space="preserve"> TRIM( SUBSTITUTE(SUBSTITUTE(SUBSTITUTE( Compil[[#This Row],[DESIGNATION]],"-",""),"–",""),"*",""))</f>
        <v>Prise de courant 2P+T10/16A</v>
      </c>
      <c r="E958" s="374" t="s">
        <v>13</v>
      </c>
      <c r="F958" s="385"/>
      <c r="G958" s="390" t="s">
        <v>571</v>
      </c>
      <c r="H958" s="391" t="s">
        <v>571</v>
      </c>
      <c r="I958" t="s">
        <v>579</v>
      </c>
      <c r="J958" t="b">
        <f>AND(NOT(Compil[[#This Row],[Est ouvrage]]), NOT(ISBLANK(Compil[[#This Row],[ART.
CCTP]])))</f>
        <v>0</v>
      </c>
      <c r="K958" t="b">
        <f>OR(Compil[[#This Row],[Unité]]="U",Compil[[#This Row],[Unité]]="ens",Compil[[#This Row],[Unité]]="ml")</f>
        <v>1</v>
      </c>
      <c r="L958" t="b">
        <f>ISBLANK(Compil[[#This Row],[DESIGNATION]])</f>
        <v>0</v>
      </c>
      <c r="M958" s="359"/>
      <c r="N958" s="358"/>
      <c r="O958" s="358"/>
      <c r="P958" s="358"/>
      <c r="Q958" s="358">
        <f>COUNTIF(Compil[[Ma Désignation ]],Compil[[Ma Désignation ]])</f>
        <v>18</v>
      </c>
    </row>
    <row r="959" spans="1:17" ht="14">
      <c r="A959" s="312">
        <v>954</v>
      </c>
      <c r="B959" s="19"/>
      <c r="C959" s="421"/>
      <c r="D959" t="str">
        <f xml:space="preserve"> TRIM( SUBSTITUTE(SUBSTITUTE(SUBSTITUTE( Compil[[#This Row],[DESIGNATION]],"-",""),"–",""),"*",""))</f>
        <v/>
      </c>
      <c r="E959" s="33"/>
      <c r="F959" s="262"/>
      <c r="G959" s="289" t="s">
        <v>571</v>
      </c>
      <c r="H959" s="164" t="s">
        <v>571</v>
      </c>
      <c r="I959" t="s">
        <v>578</v>
      </c>
      <c r="J959" t="b">
        <f>AND(NOT(Compil[[#This Row],[Est ouvrage]]), NOT(ISBLANK(Compil[[#This Row],[ART.
CCTP]])))</f>
        <v>0</v>
      </c>
      <c r="K959" t="b">
        <f>OR(Compil[[#This Row],[Unité]]="U",Compil[[#This Row],[Unité]]="ens",Compil[[#This Row],[Unité]]="ml")</f>
        <v>0</v>
      </c>
      <c r="L959" t="b">
        <f>ISBLANK(Compil[[#This Row],[DESIGNATION]])</f>
        <v>1</v>
      </c>
      <c r="M959" s="358"/>
      <c r="N959" s="358"/>
      <c r="O959" s="358"/>
      <c r="P959" s="358"/>
      <c r="Q959" s="358">
        <f>COUNTIF(Compil[[Ma Désignation ]],Compil[[Ma Désignation ]])</f>
        <v>306</v>
      </c>
    </row>
    <row r="960" spans="1:17" ht="14">
      <c r="A960" s="312">
        <v>955</v>
      </c>
      <c r="B960" s="19"/>
      <c r="C960" s="395" t="s">
        <v>425</v>
      </c>
      <c r="D960" t="str">
        <f xml:space="preserve"> TRIM( SUBSTITUTE(SUBSTITUTE(SUBSTITUTE( Compil[[#This Row],[DESIGNATION]],"-",""),"–",""),"*",""))</f>
        <v>Sous total 3.17</v>
      </c>
      <c r="E960" s="33"/>
      <c r="F960" s="262"/>
      <c r="G960" s="289" t="s">
        <v>571</v>
      </c>
      <c r="H960" s="164" t="s">
        <v>571</v>
      </c>
      <c r="I960" t="s">
        <v>578</v>
      </c>
      <c r="J960" t="b">
        <f>AND(NOT(Compil[[#This Row],[Est ouvrage]]), NOT(ISBLANK(Compil[[#This Row],[ART.
CCTP]])))</f>
        <v>0</v>
      </c>
      <c r="K960" t="b">
        <f>OR(Compil[[#This Row],[Unité]]="U",Compil[[#This Row],[Unité]]="ens",Compil[[#This Row],[Unité]]="ml")</f>
        <v>0</v>
      </c>
      <c r="L960" t="b">
        <f>ISBLANK(Compil[[#This Row],[DESIGNATION]])</f>
        <v>0</v>
      </c>
      <c r="M960" s="359"/>
      <c r="N960" s="358"/>
      <c r="O960" s="358"/>
      <c r="P960" s="358"/>
      <c r="Q960" s="358">
        <f>COUNTIF(Compil[[Ma Désignation ]],Compil[[Ma Désignation ]])</f>
        <v>1</v>
      </c>
    </row>
    <row r="961" spans="1:17" ht="14">
      <c r="A961" s="312">
        <v>956</v>
      </c>
      <c r="B961" s="19"/>
      <c r="C961" s="421"/>
      <c r="D961" t="str">
        <f xml:space="preserve"> TRIM( SUBSTITUTE(SUBSTITUTE(SUBSTITUTE( Compil[[#This Row],[DESIGNATION]],"-",""),"–",""),"*",""))</f>
        <v/>
      </c>
      <c r="E961" s="33"/>
      <c r="F961" s="262"/>
      <c r="G961" s="289" t="s">
        <v>571</v>
      </c>
      <c r="H961" s="164" t="s">
        <v>571</v>
      </c>
      <c r="I961" t="s">
        <v>578</v>
      </c>
      <c r="J961" t="b">
        <f>AND(NOT(Compil[[#This Row],[Est ouvrage]]), NOT(ISBLANK(Compil[[#This Row],[ART.
CCTP]])))</f>
        <v>0</v>
      </c>
      <c r="K961" t="b">
        <f>OR(Compil[[#This Row],[Unité]]="U",Compil[[#This Row],[Unité]]="ens",Compil[[#This Row],[Unité]]="ml")</f>
        <v>0</v>
      </c>
      <c r="L961" t="b">
        <f>ISBLANK(Compil[[#This Row],[DESIGNATION]])</f>
        <v>1</v>
      </c>
      <c r="M961" s="358"/>
      <c r="N961" s="358"/>
      <c r="O961" s="358"/>
      <c r="P961" s="358"/>
      <c r="Q961" s="358">
        <f>COUNTIF(Compil[[Ma Désignation ]],Compil[[Ma Désignation ]])</f>
        <v>306</v>
      </c>
    </row>
    <row r="962" spans="1:17" ht="14">
      <c r="A962" s="312">
        <v>957</v>
      </c>
      <c r="B962" s="19" t="s">
        <v>427</v>
      </c>
      <c r="C962" s="87" t="s">
        <v>426</v>
      </c>
      <c r="D962" t="str">
        <f xml:space="preserve"> TRIM( SUBSTITUTE(SUBSTITUTE(SUBSTITUTE( Compil[[#This Row],[DESIGNATION]],"-",""),"–",""),"*",""))</f>
        <v>Alarme incendie</v>
      </c>
      <c r="E962" s="33"/>
      <c r="F962" s="262"/>
      <c r="G962" s="289" t="s">
        <v>571</v>
      </c>
      <c r="H962" s="164" t="s">
        <v>571</v>
      </c>
      <c r="I962" t="s">
        <v>578</v>
      </c>
      <c r="J962" t="b">
        <f>AND(NOT(Compil[[#This Row],[Est ouvrage]]), NOT(ISBLANK(Compil[[#This Row],[ART.
CCTP]])))</f>
        <v>1</v>
      </c>
      <c r="K962" t="b">
        <f>OR(Compil[[#This Row],[Unité]]="U",Compil[[#This Row],[Unité]]="ens",Compil[[#This Row],[Unité]]="ml")</f>
        <v>0</v>
      </c>
      <c r="L962" t="b">
        <f>ISBLANK(Compil[[#This Row],[DESIGNATION]])</f>
        <v>0</v>
      </c>
      <c r="M962" s="359"/>
      <c r="N962" s="358"/>
      <c r="O962" s="358"/>
      <c r="P962" s="358"/>
      <c r="Q962" s="358">
        <f>COUNTIF(Compil[[Ma Désignation ]],Compil[[Ma Désignation ]])</f>
        <v>2</v>
      </c>
    </row>
    <row r="963" spans="1:17" ht="14">
      <c r="A963" s="312">
        <v>958</v>
      </c>
      <c r="B963" s="19"/>
      <c r="C963" s="421"/>
      <c r="D963" t="str">
        <f xml:space="preserve"> TRIM( SUBSTITUTE(SUBSTITUTE(SUBSTITUTE( Compil[[#This Row],[DESIGNATION]],"-",""),"–",""),"*",""))</f>
        <v/>
      </c>
      <c r="E963" s="33"/>
      <c r="F963" s="262"/>
      <c r="G963" s="289" t="s">
        <v>571</v>
      </c>
      <c r="H963" s="164" t="s">
        <v>571</v>
      </c>
      <c r="I963" t="s">
        <v>578</v>
      </c>
      <c r="J963" t="b">
        <f>AND(NOT(Compil[[#This Row],[Est ouvrage]]), NOT(ISBLANK(Compil[[#This Row],[ART.
CCTP]])))</f>
        <v>0</v>
      </c>
      <c r="K963" t="b">
        <f>OR(Compil[[#This Row],[Unité]]="U",Compil[[#This Row],[Unité]]="ens",Compil[[#This Row],[Unité]]="ml")</f>
        <v>0</v>
      </c>
      <c r="L963" t="b">
        <f>ISBLANK(Compil[[#This Row],[DESIGNATION]])</f>
        <v>1</v>
      </c>
      <c r="M963" s="358"/>
      <c r="N963" s="358"/>
      <c r="O963" s="358"/>
      <c r="P963" s="358"/>
      <c r="Q963" s="358">
        <f>COUNTIF(Compil[[Ma Désignation ]],Compil[[Ma Désignation ]])</f>
        <v>306</v>
      </c>
    </row>
    <row r="964" spans="1:17">
      <c r="A964" s="360">
        <v>1105</v>
      </c>
      <c r="B964" s="363"/>
      <c r="C964" s="403" t="s">
        <v>54</v>
      </c>
      <c r="D964" t="str">
        <f xml:space="preserve"> TRIM( SUBSTITUTE(SUBSTITUTE(SUBSTITUTE( Compil[[#This Row],[DESIGNATION]],"-",""),"–",""),"*",""))</f>
        <v>Prise de courant 2P+T10/16A</v>
      </c>
      <c r="E964" s="374" t="s">
        <v>13</v>
      </c>
      <c r="F964" s="385"/>
      <c r="G964" s="390" t="s">
        <v>571</v>
      </c>
      <c r="H964" s="391" t="s">
        <v>571</v>
      </c>
      <c r="I964" t="s">
        <v>579</v>
      </c>
      <c r="J964" t="b">
        <f>AND(NOT(Compil[[#This Row],[Est ouvrage]]), NOT(ISBLANK(Compil[[#This Row],[ART.
CCTP]])))</f>
        <v>0</v>
      </c>
      <c r="K964" t="b">
        <f>OR(Compil[[#This Row],[Unité]]="U",Compil[[#This Row],[Unité]]="ens",Compil[[#This Row],[Unité]]="ml")</f>
        <v>1</v>
      </c>
      <c r="L964" t="b">
        <f>ISBLANK(Compil[[#This Row],[DESIGNATION]])</f>
        <v>0</v>
      </c>
      <c r="M964" s="359"/>
      <c r="N964" s="358"/>
      <c r="O964" s="358"/>
      <c r="P964" s="358"/>
      <c r="Q964" s="358">
        <f>COUNTIF(Compil[[Ma Désignation ]],Compil[[Ma Désignation ]])</f>
        <v>18</v>
      </c>
    </row>
    <row r="965" spans="1:17" ht="14">
      <c r="A965" s="310">
        <v>379</v>
      </c>
      <c r="B965" s="43"/>
      <c r="C965" s="415" t="s">
        <v>55</v>
      </c>
      <c r="D965" t="str">
        <f xml:space="preserve"> TRIM( SUBSTITUTE(SUBSTITUTE(SUBSTITUTE( Compil[[#This Row],[DESIGNATION]],"-",""),"–",""),"*",""))</f>
        <v>Prise de courant 2P+T10/16A handicapée</v>
      </c>
      <c r="E965" s="33" t="s">
        <v>13</v>
      </c>
      <c r="F965" s="262">
        <v>3</v>
      </c>
      <c r="G965" s="289">
        <v>0</v>
      </c>
      <c r="H965" s="164">
        <v>0</v>
      </c>
      <c r="I965" t="s">
        <v>570</v>
      </c>
      <c r="J965" t="b">
        <f>AND(NOT(Compil[[#This Row],[Est ouvrage]]), NOT(ISBLANK(Compil[[#This Row],[ART.
CCTP]])))</f>
        <v>0</v>
      </c>
      <c r="K965" t="b">
        <f>OR(Compil[[#This Row],[Unité]]="U",Compil[[#This Row],[Unité]]="ens",Compil[[#This Row],[Unité]]="ml")</f>
        <v>1</v>
      </c>
      <c r="L965" t="b">
        <f>ISBLANK(Compil[[#This Row],[DESIGNATION]])</f>
        <v>0</v>
      </c>
      <c r="M965" s="359"/>
      <c r="N965" s="358"/>
      <c r="O965" s="358"/>
      <c r="P965" s="358"/>
      <c r="Q965" s="358">
        <f>COUNTIF(Compil[[Ma Désignation ]],Compil[[Ma Désignation ]])</f>
        <v>14</v>
      </c>
    </row>
    <row r="966" spans="1:17" ht="14">
      <c r="A966" s="310">
        <v>396</v>
      </c>
      <c r="B966" s="43"/>
      <c r="C966" s="415" t="s">
        <v>55</v>
      </c>
      <c r="D966" t="str">
        <f xml:space="preserve"> TRIM( SUBSTITUTE(SUBSTITUTE(SUBSTITUTE( Compil[[#This Row],[DESIGNATION]],"-",""),"–",""),"*",""))</f>
        <v>Prise de courant 2P+T10/16A handicapée</v>
      </c>
      <c r="E966" s="33" t="s">
        <v>13</v>
      </c>
      <c r="F966" s="262"/>
      <c r="G966" s="289" t="s">
        <v>571</v>
      </c>
      <c r="H966" s="164" t="s">
        <v>571</v>
      </c>
      <c r="I966" t="s">
        <v>570</v>
      </c>
      <c r="J966" t="b">
        <f>AND(NOT(Compil[[#This Row],[Est ouvrage]]), NOT(ISBLANK(Compil[[#This Row],[ART.
CCTP]])))</f>
        <v>0</v>
      </c>
      <c r="K966" t="b">
        <f>OR(Compil[[#This Row],[Unité]]="U",Compil[[#This Row],[Unité]]="ens",Compil[[#This Row],[Unité]]="ml")</f>
        <v>1</v>
      </c>
      <c r="L966" t="b">
        <f>ISBLANK(Compil[[#This Row],[DESIGNATION]])</f>
        <v>0</v>
      </c>
      <c r="M966" s="359"/>
      <c r="N966" s="358"/>
      <c r="O966" s="358"/>
      <c r="P966" s="358"/>
      <c r="Q966" s="358">
        <f>COUNTIF(Compil[[Ma Désignation ]],Compil[[Ma Désignation ]])</f>
        <v>14</v>
      </c>
    </row>
    <row r="967" spans="1:17" ht="14">
      <c r="A967" s="310">
        <v>430</v>
      </c>
      <c r="B967" s="43"/>
      <c r="C967" s="415" t="s">
        <v>55</v>
      </c>
      <c r="D967" t="str">
        <f xml:space="preserve"> TRIM( SUBSTITUTE(SUBSTITUTE(SUBSTITUTE( Compil[[#This Row],[DESIGNATION]],"-",""),"–",""),"*",""))</f>
        <v>Prise de courant 2P+T10/16A handicapée</v>
      </c>
      <c r="E967" s="33" t="s">
        <v>13</v>
      </c>
      <c r="F967" s="262">
        <v>4</v>
      </c>
      <c r="G967" s="289">
        <v>0</v>
      </c>
      <c r="H967" s="164">
        <v>0</v>
      </c>
      <c r="I967" t="s">
        <v>570</v>
      </c>
      <c r="J967" t="b">
        <f>AND(NOT(Compil[[#This Row],[Est ouvrage]]), NOT(ISBLANK(Compil[[#This Row],[ART.
CCTP]])))</f>
        <v>0</v>
      </c>
      <c r="K967" t="b">
        <f>OR(Compil[[#This Row],[Unité]]="U",Compil[[#This Row],[Unité]]="ens",Compil[[#This Row],[Unité]]="ml")</f>
        <v>1</v>
      </c>
      <c r="L967" t="b">
        <f>ISBLANK(Compil[[#This Row],[DESIGNATION]])</f>
        <v>0</v>
      </c>
      <c r="M967" s="359"/>
      <c r="N967" s="358"/>
      <c r="O967" s="358"/>
      <c r="P967" s="358"/>
      <c r="Q967" s="358">
        <f>COUNTIF(Compil[[Ma Désignation ]],Compil[[Ma Désignation ]])</f>
        <v>14</v>
      </c>
    </row>
    <row r="968" spans="1:17" ht="14">
      <c r="A968" s="310">
        <v>448</v>
      </c>
      <c r="B968" s="43"/>
      <c r="C968" s="415" t="s">
        <v>55</v>
      </c>
      <c r="D968" t="str">
        <f xml:space="preserve"> TRIM( SUBSTITUTE(SUBSTITUTE(SUBSTITUTE( Compil[[#This Row],[DESIGNATION]],"-",""),"–",""),"*",""))</f>
        <v>Prise de courant 2P+T10/16A handicapée</v>
      </c>
      <c r="E968" s="33" t="s">
        <v>13</v>
      </c>
      <c r="F968" s="262"/>
      <c r="G968" s="289" t="s">
        <v>571</v>
      </c>
      <c r="H968" s="164" t="s">
        <v>571</v>
      </c>
      <c r="I968" t="s">
        <v>570</v>
      </c>
      <c r="J968" t="b">
        <f>AND(NOT(Compil[[#This Row],[Est ouvrage]]), NOT(ISBLANK(Compil[[#This Row],[ART.
CCTP]])))</f>
        <v>0</v>
      </c>
      <c r="K968" t="b">
        <f>OR(Compil[[#This Row],[Unité]]="U",Compil[[#This Row],[Unité]]="ens",Compil[[#This Row],[Unité]]="ml")</f>
        <v>1</v>
      </c>
      <c r="L968" t="b">
        <f>ISBLANK(Compil[[#This Row],[DESIGNATION]])</f>
        <v>0</v>
      </c>
      <c r="M968" s="359"/>
      <c r="N968" s="358"/>
      <c r="O968" s="358"/>
      <c r="P968" s="358"/>
      <c r="Q968" s="358">
        <f>COUNTIF(Compil[[Ma Désignation ]],Compil[[Ma Désignation ]])</f>
        <v>14</v>
      </c>
    </row>
    <row r="969" spans="1:17" ht="14">
      <c r="A969" s="310">
        <v>485</v>
      </c>
      <c r="B969" s="43"/>
      <c r="C969" s="415" t="s">
        <v>55</v>
      </c>
      <c r="D969" t="str">
        <f xml:space="preserve"> TRIM( SUBSTITUTE(SUBSTITUTE(SUBSTITUTE( Compil[[#This Row],[DESIGNATION]],"-",""),"–",""),"*",""))</f>
        <v>Prise de courant 2P+T10/16A handicapée</v>
      </c>
      <c r="E969" s="33" t="s">
        <v>13</v>
      </c>
      <c r="F969" s="262">
        <v>6</v>
      </c>
      <c r="G969" s="289">
        <v>0</v>
      </c>
      <c r="H969" s="164">
        <v>0</v>
      </c>
      <c r="I969" t="s">
        <v>570</v>
      </c>
      <c r="J969" t="b">
        <f>AND(NOT(Compil[[#This Row],[Est ouvrage]]), NOT(ISBLANK(Compil[[#This Row],[ART.
CCTP]])))</f>
        <v>0</v>
      </c>
      <c r="K969" t="b">
        <f>OR(Compil[[#This Row],[Unité]]="U",Compil[[#This Row],[Unité]]="ens",Compil[[#This Row],[Unité]]="ml")</f>
        <v>1</v>
      </c>
      <c r="L969" t="b">
        <f>ISBLANK(Compil[[#This Row],[DESIGNATION]])</f>
        <v>0</v>
      </c>
      <c r="M969" s="359"/>
      <c r="N969" s="358"/>
      <c r="O969" s="358"/>
      <c r="P969" s="358"/>
      <c r="Q969" s="358">
        <f>COUNTIF(Compil[[Ma Désignation ]],Compil[[Ma Désignation ]])</f>
        <v>14</v>
      </c>
    </row>
    <row r="970" spans="1:17" ht="14">
      <c r="A970" s="310">
        <v>504</v>
      </c>
      <c r="B970" s="43"/>
      <c r="C970" s="415" t="s">
        <v>55</v>
      </c>
      <c r="D970" t="str">
        <f xml:space="preserve"> TRIM( SUBSTITUTE(SUBSTITUTE(SUBSTITUTE( Compil[[#This Row],[DESIGNATION]],"-",""),"–",""),"*",""))</f>
        <v>Prise de courant 2P+T10/16A handicapée</v>
      </c>
      <c r="E970" s="33" t="s">
        <v>13</v>
      </c>
      <c r="F970" s="262"/>
      <c r="G970" s="289" t="s">
        <v>571</v>
      </c>
      <c r="H970" s="164" t="s">
        <v>571</v>
      </c>
      <c r="I970" t="s">
        <v>570</v>
      </c>
      <c r="J970" t="b">
        <f>AND(NOT(Compil[[#This Row],[Est ouvrage]]), NOT(ISBLANK(Compil[[#This Row],[ART.
CCTP]])))</f>
        <v>0</v>
      </c>
      <c r="K970" t="b">
        <f>OR(Compil[[#This Row],[Unité]]="U",Compil[[#This Row],[Unité]]="ens",Compil[[#This Row],[Unité]]="ml")</f>
        <v>1</v>
      </c>
      <c r="L970" t="b">
        <f>ISBLANK(Compil[[#This Row],[DESIGNATION]])</f>
        <v>0</v>
      </c>
      <c r="M970" s="359"/>
      <c r="N970" s="358"/>
      <c r="O970" s="358"/>
      <c r="P970" s="358"/>
      <c r="Q970" s="358">
        <f>COUNTIF(Compil[[Ma Désignation ]],Compil[[Ma Désignation ]])</f>
        <v>14</v>
      </c>
    </row>
    <row r="971" spans="1:17" ht="14">
      <c r="A971" s="310">
        <v>541</v>
      </c>
      <c r="B971" s="43"/>
      <c r="C971" s="415" t="s">
        <v>55</v>
      </c>
      <c r="D971" t="str">
        <f xml:space="preserve"> TRIM( SUBSTITUTE(SUBSTITUTE(SUBSTITUTE( Compil[[#This Row],[DESIGNATION]],"-",""),"–",""),"*",""))</f>
        <v>Prise de courant 2P+T10/16A handicapée</v>
      </c>
      <c r="E971" s="33" t="s">
        <v>13</v>
      </c>
      <c r="F971" s="262">
        <v>6</v>
      </c>
      <c r="G971" s="289">
        <v>0</v>
      </c>
      <c r="H971" s="164">
        <v>0</v>
      </c>
      <c r="I971" t="s">
        <v>570</v>
      </c>
      <c r="J971" t="b">
        <f>AND(NOT(Compil[[#This Row],[Est ouvrage]]), NOT(ISBLANK(Compil[[#This Row],[ART.
CCTP]])))</f>
        <v>0</v>
      </c>
      <c r="K971" t="b">
        <f>OR(Compil[[#This Row],[Unité]]="U",Compil[[#This Row],[Unité]]="ens",Compil[[#This Row],[Unité]]="ml")</f>
        <v>1</v>
      </c>
      <c r="L971" t="b">
        <f>ISBLANK(Compil[[#This Row],[DESIGNATION]])</f>
        <v>0</v>
      </c>
      <c r="M971" s="359"/>
      <c r="N971" s="358"/>
      <c r="O971" s="358"/>
      <c r="P971" s="358"/>
      <c r="Q971" s="358">
        <f>COUNTIF(Compil[[Ma Désignation ]],Compil[[Ma Désignation ]])</f>
        <v>14</v>
      </c>
    </row>
    <row r="972" spans="1:17" ht="14">
      <c r="A972" s="310">
        <v>560</v>
      </c>
      <c r="B972" s="43"/>
      <c r="C972" s="415" t="s">
        <v>55</v>
      </c>
      <c r="D972" t="str">
        <f xml:space="preserve"> TRIM( SUBSTITUTE(SUBSTITUTE(SUBSTITUTE( Compil[[#This Row],[DESIGNATION]],"-",""),"–",""),"*",""))</f>
        <v>Prise de courant 2P+T10/16A handicapée</v>
      </c>
      <c r="E972" s="33" t="s">
        <v>13</v>
      </c>
      <c r="F972" s="262"/>
      <c r="G972" s="289" t="s">
        <v>571</v>
      </c>
      <c r="H972" s="164" t="s">
        <v>571</v>
      </c>
      <c r="I972" t="s">
        <v>570</v>
      </c>
      <c r="J972" t="b">
        <f>AND(NOT(Compil[[#This Row],[Est ouvrage]]), NOT(ISBLANK(Compil[[#This Row],[ART.
CCTP]])))</f>
        <v>0</v>
      </c>
      <c r="K972" t="b">
        <f>OR(Compil[[#This Row],[Unité]]="U",Compil[[#This Row],[Unité]]="ens",Compil[[#This Row],[Unité]]="ml")</f>
        <v>1</v>
      </c>
      <c r="L972" t="b">
        <f>ISBLANK(Compil[[#This Row],[DESIGNATION]])</f>
        <v>0</v>
      </c>
      <c r="M972" s="359"/>
      <c r="N972" s="358"/>
      <c r="O972" s="358"/>
      <c r="P972" s="358"/>
      <c r="Q972" s="358">
        <f>COUNTIF(Compil[[Ma Désignation ]],Compil[[Ma Désignation ]])</f>
        <v>14</v>
      </c>
    </row>
    <row r="973" spans="1:17" ht="14">
      <c r="A973" s="312">
        <v>968</v>
      </c>
      <c r="B973" s="19"/>
      <c r="C973" s="422"/>
      <c r="D973" t="str">
        <f xml:space="preserve"> TRIM( SUBSTITUTE(SUBSTITUTE(SUBSTITUTE( Compil[[#This Row],[DESIGNATION]],"-",""),"–",""),"*",""))</f>
        <v/>
      </c>
      <c r="E973" s="33"/>
      <c r="F973" s="262"/>
      <c r="G973" s="289" t="s">
        <v>571</v>
      </c>
      <c r="H973" s="164" t="s">
        <v>571</v>
      </c>
      <c r="I973" t="s">
        <v>578</v>
      </c>
      <c r="J973" t="b">
        <f>AND(NOT(Compil[[#This Row],[Est ouvrage]]), NOT(ISBLANK(Compil[[#This Row],[ART.
CCTP]])))</f>
        <v>0</v>
      </c>
      <c r="K973" t="b">
        <f>OR(Compil[[#This Row],[Unité]]="U",Compil[[#This Row],[Unité]]="ens",Compil[[#This Row],[Unité]]="ml")</f>
        <v>0</v>
      </c>
      <c r="L973" t="b">
        <f>ISBLANK(Compil[[#This Row],[DESIGNATION]])</f>
        <v>1</v>
      </c>
      <c r="M973" s="358"/>
      <c r="N973" s="358"/>
      <c r="O973" s="358"/>
      <c r="P973" s="358"/>
      <c r="Q973" s="358">
        <f>COUNTIF(Compil[[Ma Désignation ]],Compil[[Ma Désignation ]])</f>
        <v>306</v>
      </c>
    </row>
    <row r="974" spans="1:17" ht="14">
      <c r="A974" s="312">
        <v>969</v>
      </c>
      <c r="B974" s="19"/>
      <c r="C974" s="395" t="s">
        <v>428</v>
      </c>
      <c r="D974" t="str">
        <f xml:space="preserve"> TRIM( SUBSTITUTE(SUBSTITUTE(SUBSTITUTE( Compil[[#This Row],[DESIGNATION]],"-",""),"–",""),"*",""))</f>
        <v>Sous total 3.18</v>
      </c>
      <c r="E974" s="33"/>
      <c r="F974" s="262"/>
      <c r="G974" s="289" t="s">
        <v>571</v>
      </c>
      <c r="H974" s="164" t="s">
        <v>571</v>
      </c>
      <c r="I974" t="s">
        <v>578</v>
      </c>
      <c r="J974" t="b">
        <f>AND(NOT(Compil[[#This Row],[Est ouvrage]]), NOT(ISBLANK(Compil[[#This Row],[ART.
CCTP]])))</f>
        <v>0</v>
      </c>
      <c r="K974" t="b">
        <f>OR(Compil[[#This Row],[Unité]]="U",Compil[[#This Row],[Unité]]="ens",Compil[[#This Row],[Unité]]="ml")</f>
        <v>0</v>
      </c>
      <c r="L974" t="b">
        <f>ISBLANK(Compil[[#This Row],[DESIGNATION]])</f>
        <v>0</v>
      </c>
      <c r="M974" s="359"/>
      <c r="N974" s="358"/>
      <c r="O974" s="358"/>
      <c r="P974" s="358"/>
      <c r="Q974" s="358">
        <f>COUNTIF(Compil[[Ma Désignation ]],Compil[[Ma Désignation ]])</f>
        <v>2</v>
      </c>
    </row>
    <row r="975" spans="1:17" ht="14">
      <c r="A975" s="312">
        <v>970</v>
      </c>
      <c r="B975" s="19"/>
      <c r="C975" s="421"/>
      <c r="D975" t="str">
        <f xml:space="preserve"> TRIM( SUBSTITUTE(SUBSTITUTE(SUBSTITUTE( Compil[[#This Row],[DESIGNATION]],"-",""),"–",""),"*",""))</f>
        <v/>
      </c>
      <c r="E975" s="33"/>
      <c r="F975" s="262"/>
      <c r="G975" s="289" t="s">
        <v>571</v>
      </c>
      <c r="H975" s="164" t="s">
        <v>571</v>
      </c>
      <c r="I975" t="s">
        <v>578</v>
      </c>
      <c r="J975" t="b">
        <f>AND(NOT(Compil[[#This Row],[Est ouvrage]]), NOT(ISBLANK(Compil[[#This Row],[ART.
CCTP]])))</f>
        <v>0</v>
      </c>
      <c r="K975" t="b">
        <f>OR(Compil[[#This Row],[Unité]]="U",Compil[[#This Row],[Unité]]="ens",Compil[[#This Row],[Unité]]="ml")</f>
        <v>0</v>
      </c>
      <c r="L975" t="b">
        <f>ISBLANK(Compil[[#This Row],[DESIGNATION]])</f>
        <v>1</v>
      </c>
      <c r="M975" s="358"/>
      <c r="N975" s="358"/>
      <c r="O975" s="358"/>
      <c r="P975" s="358"/>
      <c r="Q975" s="358">
        <f>COUNTIF(Compil[[Ma Désignation ]],Compil[[Ma Désignation ]])</f>
        <v>306</v>
      </c>
    </row>
    <row r="976" spans="1:17" ht="14">
      <c r="A976" s="312">
        <v>971</v>
      </c>
      <c r="B976" s="19" t="s">
        <v>429</v>
      </c>
      <c r="C976" s="87" t="s">
        <v>211</v>
      </c>
      <c r="D976" t="str">
        <f xml:space="preserve"> TRIM( SUBSTITUTE(SUBSTITUTE(SUBSTITUTE( Compil[[#This Row],[DESIGNATION]],"-",""),"–",""),"*",""))</f>
        <v>Installations de chantier</v>
      </c>
      <c r="E976" s="33"/>
      <c r="F976" s="262"/>
      <c r="G976" s="289" t="s">
        <v>571</v>
      </c>
      <c r="H976" s="164" t="s">
        <v>571</v>
      </c>
      <c r="I976" t="s">
        <v>578</v>
      </c>
      <c r="J976" t="b">
        <f>AND(NOT(Compil[[#This Row],[Est ouvrage]]), NOT(ISBLANK(Compil[[#This Row],[ART.
CCTP]])))</f>
        <v>1</v>
      </c>
      <c r="K976" t="b">
        <f>OR(Compil[[#This Row],[Unité]]="U",Compil[[#This Row],[Unité]]="ens",Compil[[#This Row],[Unité]]="ml")</f>
        <v>0</v>
      </c>
      <c r="L976" t="b">
        <f>ISBLANK(Compil[[#This Row],[DESIGNATION]])</f>
        <v>0</v>
      </c>
      <c r="M976" s="359"/>
      <c r="N976" s="358"/>
      <c r="O976" s="358"/>
      <c r="P976" s="358"/>
      <c r="Q976" s="358">
        <f>COUNTIF(Compil[[Ma Désignation ]],Compil[[Ma Désignation ]])</f>
        <v>4</v>
      </c>
    </row>
    <row r="977" spans="1:17" ht="14">
      <c r="A977" s="312">
        <v>972</v>
      </c>
      <c r="B977" s="17"/>
      <c r="C977" s="90"/>
      <c r="D977" t="str">
        <f xml:space="preserve"> TRIM( SUBSTITUTE(SUBSTITUTE(SUBSTITUTE( Compil[[#This Row],[DESIGNATION]],"-",""),"–",""),"*",""))</f>
        <v/>
      </c>
      <c r="E977" s="33"/>
      <c r="F977" s="262"/>
      <c r="G977" s="289" t="s">
        <v>571</v>
      </c>
      <c r="H977" s="164" t="s">
        <v>571</v>
      </c>
      <c r="I977" t="s">
        <v>578</v>
      </c>
      <c r="J977" t="b">
        <f>AND(NOT(Compil[[#This Row],[Est ouvrage]]), NOT(ISBLANK(Compil[[#This Row],[ART.
CCTP]])))</f>
        <v>0</v>
      </c>
      <c r="K977" t="b">
        <f>OR(Compil[[#This Row],[Unité]]="U",Compil[[#This Row],[Unité]]="ens",Compil[[#This Row],[Unité]]="ml")</f>
        <v>0</v>
      </c>
      <c r="L977" t="b">
        <f>ISBLANK(Compil[[#This Row],[DESIGNATION]])</f>
        <v>1</v>
      </c>
      <c r="M977" s="358"/>
      <c r="N977" s="358"/>
      <c r="O977" s="358"/>
      <c r="P977" s="358"/>
      <c r="Q977" s="358">
        <f>COUNTIF(Compil[[Ma Désignation ]],Compil[[Ma Désignation ]])</f>
        <v>306</v>
      </c>
    </row>
    <row r="978" spans="1:17" ht="14">
      <c r="A978" s="310">
        <v>597</v>
      </c>
      <c r="B978" s="43"/>
      <c r="C978" s="415" t="s">
        <v>55</v>
      </c>
      <c r="D978" t="str">
        <f xml:space="preserve"> TRIM( SUBSTITUTE(SUBSTITUTE(SUBSTITUTE( Compil[[#This Row],[DESIGNATION]],"-",""),"–",""),"*",""))</f>
        <v>Prise de courant 2P+T10/16A handicapée</v>
      </c>
      <c r="E978" s="33" t="s">
        <v>13</v>
      </c>
      <c r="F978" s="262">
        <v>7</v>
      </c>
      <c r="G978" s="289">
        <v>0</v>
      </c>
      <c r="H978" s="164">
        <v>0</v>
      </c>
      <c r="I978" t="s">
        <v>570</v>
      </c>
      <c r="J978" t="b">
        <f>AND(NOT(Compil[[#This Row],[Est ouvrage]]), NOT(ISBLANK(Compil[[#This Row],[ART.
CCTP]])))</f>
        <v>0</v>
      </c>
      <c r="K978" t="b">
        <f>OR(Compil[[#This Row],[Unité]]="U",Compil[[#This Row],[Unité]]="ens",Compil[[#This Row],[Unité]]="ml")</f>
        <v>1</v>
      </c>
      <c r="L978" t="b">
        <f>ISBLANK(Compil[[#This Row],[DESIGNATION]])</f>
        <v>0</v>
      </c>
      <c r="M978" s="359"/>
      <c r="N978" s="358"/>
      <c r="O978" s="358"/>
      <c r="P978" s="358"/>
      <c r="Q978" s="358">
        <f>COUNTIF(Compil[[Ma Désignation ]],Compil[[Ma Désignation ]])</f>
        <v>14</v>
      </c>
    </row>
    <row r="979" spans="1:17" ht="14">
      <c r="A979" s="312">
        <v>974</v>
      </c>
      <c r="B979" s="17"/>
      <c r="C979" s="90"/>
      <c r="D979" t="str">
        <f xml:space="preserve"> TRIM( SUBSTITUTE(SUBSTITUTE(SUBSTITUTE( Compil[[#This Row],[DESIGNATION]],"-",""),"–",""),"*",""))</f>
        <v/>
      </c>
      <c r="E979" s="33"/>
      <c r="F979" s="262"/>
      <c r="G979" s="289" t="s">
        <v>571</v>
      </c>
      <c r="H979" s="164" t="s">
        <v>571</v>
      </c>
      <c r="I979" t="s">
        <v>578</v>
      </c>
      <c r="J979" t="b">
        <f>AND(NOT(Compil[[#This Row],[Est ouvrage]]), NOT(ISBLANK(Compil[[#This Row],[ART.
CCTP]])))</f>
        <v>0</v>
      </c>
      <c r="K979" t="b">
        <f>OR(Compil[[#This Row],[Unité]]="U",Compil[[#This Row],[Unité]]="ens",Compil[[#This Row],[Unité]]="ml")</f>
        <v>0</v>
      </c>
      <c r="L979" t="b">
        <f>ISBLANK(Compil[[#This Row],[DESIGNATION]])</f>
        <v>1</v>
      </c>
      <c r="M979" s="358"/>
      <c r="N979" s="358"/>
      <c r="O979" s="358"/>
      <c r="P979" s="358"/>
      <c r="Q979" s="358">
        <f>COUNTIF(Compil[[Ma Désignation ]],Compil[[Ma Désignation ]])</f>
        <v>306</v>
      </c>
    </row>
    <row r="980" spans="1:17" ht="14">
      <c r="A980" s="312">
        <v>975</v>
      </c>
      <c r="B980" s="19"/>
      <c r="C980" s="395" t="s">
        <v>430</v>
      </c>
      <c r="D980" t="str">
        <f xml:space="preserve"> TRIM( SUBSTITUTE(SUBSTITUTE(SUBSTITUTE( Compil[[#This Row],[DESIGNATION]],"-",""),"–",""),"*",""))</f>
        <v>Sous total 3.19</v>
      </c>
      <c r="E980" s="33"/>
      <c r="F980" s="262"/>
      <c r="G980" s="289" t="s">
        <v>571</v>
      </c>
      <c r="H980" s="164" t="s">
        <v>571</v>
      </c>
      <c r="I980" t="s">
        <v>578</v>
      </c>
      <c r="J980" t="b">
        <f>AND(NOT(Compil[[#This Row],[Est ouvrage]]), NOT(ISBLANK(Compil[[#This Row],[ART.
CCTP]])))</f>
        <v>0</v>
      </c>
      <c r="K980" t="b">
        <f>OR(Compil[[#This Row],[Unité]]="U",Compil[[#This Row],[Unité]]="ens",Compil[[#This Row],[Unité]]="ml")</f>
        <v>0</v>
      </c>
      <c r="L980" t="b">
        <f>ISBLANK(Compil[[#This Row],[DESIGNATION]])</f>
        <v>0</v>
      </c>
      <c r="M980" s="359"/>
      <c r="N980" s="358"/>
      <c r="O980" s="358"/>
      <c r="P980" s="358"/>
      <c r="Q980" s="358">
        <f>COUNTIF(Compil[[Ma Désignation ]],Compil[[Ma Désignation ]])</f>
        <v>1</v>
      </c>
    </row>
    <row r="981" spans="1:17" ht="14">
      <c r="A981" s="312">
        <v>976</v>
      </c>
      <c r="B981" s="19"/>
      <c r="C981" s="86"/>
      <c r="D981" t="str">
        <f xml:space="preserve"> TRIM( SUBSTITUTE(SUBSTITUTE(SUBSTITUTE( Compil[[#This Row],[DESIGNATION]],"-",""),"–",""),"*",""))</f>
        <v/>
      </c>
      <c r="E981" s="33"/>
      <c r="F981" s="262"/>
      <c r="G981" s="289" t="s">
        <v>571</v>
      </c>
      <c r="H981" s="164" t="s">
        <v>571</v>
      </c>
      <c r="I981" t="s">
        <v>578</v>
      </c>
      <c r="J981" t="b">
        <f>AND(NOT(Compil[[#This Row],[Est ouvrage]]), NOT(ISBLANK(Compil[[#This Row],[ART.
CCTP]])))</f>
        <v>0</v>
      </c>
      <c r="K981" t="b">
        <f>OR(Compil[[#This Row],[Unité]]="U",Compil[[#This Row],[Unité]]="ens",Compil[[#This Row],[Unité]]="ml")</f>
        <v>0</v>
      </c>
      <c r="L981" t="b">
        <f>ISBLANK(Compil[[#This Row],[DESIGNATION]])</f>
        <v>1</v>
      </c>
      <c r="M981" s="358"/>
      <c r="N981" s="358"/>
      <c r="O981" s="358"/>
      <c r="P981" s="358"/>
      <c r="Q981" s="358">
        <f>COUNTIF(Compil[[Ma Désignation ]],Compil[[Ma Désignation ]])</f>
        <v>306</v>
      </c>
    </row>
    <row r="982" spans="1:17" ht="14">
      <c r="A982" s="312">
        <v>977</v>
      </c>
      <c r="B982" s="19" t="s">
        <v>431</v>
      </c>
      <c r="C982" s="87" t="s">
        <v>58</v>
      </c>
      <c r="D982" t="str">
        <f xml:space="preserve"> TRIM( SUBSTITUTE(SUBSTITUTE(SUBSTITUTE( Compil[[#This Row],[DESIGNATION]],"-",""),"–",""),"*",""))</f>
        <v>Divers</v>
      </c>
      <c r="E982" s="33"/>
      <c r="F982" s="262"/>
      <c r="G982" s="289" t="s">
        <v>571</v>
      </c>
      <c r="H982" s="164" t="s">
        <v>571</v>
      </c>
      <c r="I982" t="s">
        <v>578</v>
      </c>
      <c r="J982" t="b">
        <f>AND(NOT(Compil[[#This Row],[Est ouvrage]]), NOT(ISBLANK(Compil[[#This Row],[ART.
CCTP]])))</f>
        <v>1</v>
      </c>
      <c r="K982" t="b">
        <f>OR(Compil[[#This Row],[Unité]]="U",Compil[[#This Row],[Unité]]="ens",Compil[[#This Row],[Unité]]="ml")</f>
        <v>0</v>
      </c>
      <c r="L982" t="b">
        <f>ISBLANK(Compil[[#This Row],[DESIGNATION]])</f>
        <v>0</v>
      </c>
      <c r="M982" s="359"/>
      <c r="N982" s="358"/>
      <c r="O982" s="358"/>
      <c r="P982" s="358"/>
      <c r="Q982" s="358">
        <f>COUNTIF(Compil[[Ma Désignation ]],Compil[[Ma Désignation ]])</f>
        <v>2</v>
      </c>
    </row>
    <row r="983" spans="1:17" ht="14">
      <c r="A983" s="312">
        <v>978</v>
      </c>
      <c r="B983" s="19"/>
      <c r="C983" s="86"/>
      <c r="D983" t="str">
        <f xml:space="preserve"> TRIM( SUBSTITUTE(SUBSTITUTE(SUBSTITUTE( Compil[[#This Row],[DESIGNATION]],"-",""),"–",""),"*",""))</f>
        <v/>
      </c>
      <c r="E983" s="33"/>
      <c r="F983" s="262"/>
      <c r="G983" s="289" t="s">
        <v>571</v>
      </c>
      <c r="H983" s="164" t="s">
        <v>571</v>
      </c>
      <c r="I983" t="s">
        <v>578</v>
      </c>
      <c r="J983" t="b">
        <f>AND(NOT(Compil[[#This Row],[Est ouvrage]]), NOT(ISBLANK(Compil[[#This Row],[ART.
CCTP]])))</f>
        <v>0</v>
      </c>
      <c r="K983" t="b">
        <f>OR(Compil[[#This Row],[Unité]]="U",Compil[[#This Row],[Unité]]="ens",Compil[[#This Row],[Unité]]="ml")</f>
        <v>0</v>
      </c>
      <c r="L983" t="b">
        <f>ISBLANK(Compil[[#This Row],[DESIGNATION]])</f>
        <v>1</v>
      </c>
      <c r="M983" s="358"/>
      <c r="N983" s="358"/>
      <c r="O983" s="358"/>
      <c r="P983" s="358"/>
      <c r="Q983" s="358">
        <f>COUNTIF(Compil[[Ma Désignation ]],Compil[[Ma Désignation ]])</f>
        <v>306</v>
      </c>
    </row>
    <row r="984" spans="1:17" ht="14">
      <c r="A984" s="310">
        <v>616</v>
      </c>
      <c r="B984" s="43"/>
      <c r="C984" s="415" t="s">
        <v>55</v>
      </c>
      <c r="D984" t="str">
        <f xml:space="preserve"> TRIM( SUBSTITUTE(SUBSTITUTE(SUBSTITUTE( Compil[[#This Row],[DESIGNATION]],"-",""),"–",""),"*",""))</f>
        <v>Prise de courant 2P+T10/16A handicapée</v>
      </c>
      <c r="E984" s="33" t="s">
        <v>13</v>
      </c>
      <c r="F984" s="262"/>
      <c r="G984" s="289" t="s">
        <v>571</v>
      </c>
      <c r="H984" s="164" t="s">
        <v>571</v>
      </c>
      <c r="I984" t="s">
        <v>570</v>
      </c>
      <c r="J984" t="b">
        <f>AND(NOT(Compil[[#This Row],[Est ouvrage]]), NOT(ISBLANK(Compil[[#This Row],[ART.
CCTP]])))</f>
        <v>0</v>
      </c>
      <c r="K984" t="b">
        <f>OR(Compil[[#This Row],[Unité]]="U",Compil[[#This Row],[Unité]]="ens",Compil[[#This Row],[Unité]]="ml")</f>
        <v>1</v>
      </c>
      <c r="L984" t="b">
        <f>ISBLANK(Compil[[#This Row],[DESIGNATION]])</f>
        <v>0</v>
      </c>
      <c r="M984" s="359"/>
      <c r="N984" s="358"/>
      <c r="O984" s="358"/>
      <c r="P984" s="358"/>
      <c r="Q984" s="358">
        <f>COUNTIF(Compil[[Ma Désignation ]],Compil[[Ma Désignation ]])</f>
        <v>14</v>
      </c>
    </row>
    <row r="985" spans="1:17" ht="14">
      <c r="A985" s="310">
        <v>653</v>
      </c>
      <c r="B985" s="43"/>
      <c r="C985" s="415" t="s">
        <v>55</v>
      </c>
      <c r="D985" t="str">
        <f xml:space="preserve"> TRIM( SUBSTITUTE(SUBSTITUTE(SUBSTITUTE( Compil[[#This Row],[DESIGNATION]],"-",""),"–",""),"*",""))</f>
        <v>Prise de courant 2P+T10/16A handicapée</v>
      </c>
      <c r="E985" s="33" t="s">
        <v>13</v>
      </c>
      <c r="F985" s="262">
        <v>9</v>
      </c>
      <c r="G985" s="289">
        <v>0</v>
      </c>
      <c r="H985" s="164">
        <v>0</v>
      </c>
      <c r="I985" t="s">
        <v>570</v>
      </c>
      <c r="J985" t="b">
        <f>AND(NOT(Compil[[#This Row],[Est ouvrage]]), NOT(ISBLANK(Compil[[#This Row],[ART.
CCTP]])))</f>
        <v>0</v>
      </c>
      <c r="K985" t="b">
        <f>OR(Compil[[#This Row],[Unité]]="U",Compil[[#This Row],[Unité]]="ens",Compil[[#This Row],[Unité]]="ml")</f>
        <v>1</v>
      </c>
      <c r="L985" t="b">
        <f>ISBLANK(Compil[[#This Row],[DESIGNATION]])</f>
        <v>0</v>
      </c>
      <c r="M985" s="359"/>
      <c r="N985" s="358"/>
      <c r="O985" s="358"/>
      <c r="P985" s="358"/>
      <c r="Q985" s="358">
        <f>COUNTIF(Compil[[Ma Désignation ]],Compil[[Ma Désignation ]])</f>
        <v>14</v>
      </c>
    </row>
    <row r="986" spans="1:17" ht="14.5" thickBot="1">
      <c r="A986" s="312">
        <v>981</v>
      </c>
      <c r="B986" s="19"/>
      <c r="C986" s="421"/>
      <c r="D986" t="str">
        <f xml:space="preserve"> TRIM( SUBSTITUTE(SUBSTITUTE(SUBSTITUTE( Compil[[#This Row],[DESIGNATION]],"-",""),"–",""),"*",""))</f>
        <v/>
      </c>
      <c r="E986" s="33"/>
      <c r="F986" s="262"/>
      <c r="G986" s="289" t="s">
        <v>571</v>
      </c>
      <c r="H986" s="164" t="s">
        <v>571</v>
      </c>
      <c r="I986" t="s">
        <v>578</v>
      </c>
      <c r="J986" t="b">
        <f>AND(NOT(Compil[[#This Row],[Est ouvrage]]), NOT(ISBLANK(Compil[[#This Row],[ART.
CCTP]])))</f>
        <v>0</v>
      </c>
      <c r="K986" t="b">
        <f>OR(Compil[[#This Row],[Unité]]="U",Compil[[#This Row],[Unité]]="ens",Compil[[#This Row],[Unité]]="ml")</f>
        <v>0</v>
      </c>
      <c r="L986" t="b">
        <f>ISBLANK(Compil[[#This Row],[DESIGNATION]])</f>
        <v>1</v>
      </c>
      <c r="M986" s="358"/>
      <c r="N986" s="358"/>
      <c r="O986" s="358"/>
      <c r="P986" s="358"/>
      <c r="Q986" s="358">
        <f>COUNTIF(Compil[[Ma Désignation ]],Compil[[Ma Désignation ]])</f>
        <v>306</v>
      </c>
    </row>
    <row r="987" spans="1:17" ht="13.5" thickBot="1">
      <c r="A987" s="312">
        <v>982</v>
      </c>
      <c r="B987" s="106"/>
      <c r="C987" s="439" t="s">
        <v>432</v>
      </c>
      <c r="D987" t="str">
        <f xml:space="preserve"> TRIM( SUBSTITUTE(SUBSTITUTE(SUBSTITUTE( Compil[[#This Row],[DESIGNATION]],"-",""),"–",""),"*",""))</f>
        <v>Sous total 3.20</v>
      </c>
      <c r="E987" s="67"/>
      <c r="F987" s="265"/>
      <c r="G987" s="68"/>
      <c r="H987" s="112"/>
      <c r="I987" t="s">
        <v>578</v>
      </c>
      <c r="J987" t="b">
        <f>AND(NOT(Compil[[#This Row],[Est ouvrage]]), NOT(ISBLANK(Compil[[#This Row],[ART.
CCTP]])))</f>
        <v>0</v>
      </c>
      <c r="K987" t="b">
        <f>OR(Compil[[#This Row],[Unité]]="U",Compil[[#This Row],[Unité]]="ens",Compil[[#This Row],[Unité]]="ml")</f>
        <v>0</v>
      </c>
      <c r="L987" t="b">
        <f>ISBLANK(Compil[[#This Row],[DESIGNATION]])</f>
        <v>0</v>
      </c>
      <c r="M987" s="359"/>
      <c r="N987" s="358"/>
      <c r="O987" s="358"/>
      <c r="P987" s="358"/>
      <c r="Q987" s="358">
        <f>COUNTIF(Compil[[Ma Désignation ]],Compil[[Ma Désignation ]])</f>
        <v>1</v>
      </c>
    </row>
    <row r="988" spans="1:17">
      <c r="A988" s="170">
        <v>983</v>
      </c>
      <c r="B988" s="435"/>
      <c r="C988" s="443" t="s">
        <v>2</v>
      </c>
      <c r="D988" t="str">
        <f xml:space="preserve"> TRIM( SUBSTITUTE(SUBSTITUTE(SUBSTITUTE( Compil[[#This Row],[DESIGNATION]],"-",""),"–",""),"*",""))</f>
        <v>SOLUTION DE BASE</v>
      </c>
      <c r="E988" s="446"/>
      <c r="F988" s="447"/>
      <c r="G988" s="446"/>
      <c r="H988" s="446"/>
      <c r="I988" t="s">
        <v>579</v>
      </c>
      <c r="J988" t="b">
        <f>AND(NOT(Compil[[#This Row],[Est ouvrage]]), NOT(ISBLANK(Compil[[#This Row],[ART.
CCTP]])))</f>
        <v>0</v>
      </c>
      <c r="K988" t="b">
        <f>OR(Compil[[#This Row],[Unité]]="U",Compil[[#This Row],[Unité]]="ens",Compil[[#This Row],[Unité]]="ml")</f>
        <v>0</v>
      </c>
      <c r="L988" t="b">
        <f>ISBLANK(Compil[[#This Row],[DESIGNATION]])</f>
        <v>0</v>
      </c>
      <c r="M988" s="359" t="s">
        <v>587</v>
      </c>
      <c r="N988" s="358"/>
      <c r="O988" s="358"/>
      <c r="P988" s="358"/>
      <c r="Q988" s="358">
        <f>COUNTIF(Compil[[Ma Désignation ]],Compil[[Ma Désignation ]])</f>
        <v>4</v>
      </c>
    </row>
    <row r="989" spans="1:17">
      <c r="A989">
        <v>984</v>
      </c>
      <c r="B989" s="313"/>
      <c r="D989" t="str">
        <f xml:space="preserve"> TRIM( SUBSTITUTE(SUBSTITUTE(SUBSTITUTE( Compil[[#This Row],[DESIGNATION]],"-",""),"–",""),"*",""))</f>
        <v/>
      </c>
      <c r="E989" s="314"/>
      <c r="F989" s="275"/>
      <c r="G989" s="314"/>
      <c r="H989" s="314"/>
      <c r="I989" t="s">
        <v>579</v>
      </c>
      <c r="J989" t="b">
        <f>AND(NOT(Compil[[#This Row],[Est ouvrage]]), NOT(ISBLANK(Compil[[#This Row],[ART.
CCTP]])))</f>
        <v>0</v>
      </c>
      <c r="K989" t="b">
        <f>OR(Compil[[#This Row],[Unité]]="U",Compil[[#This Row],[Unité]]="ens",Compil[[#This Row],[Unité]]="ml")</f>
        <v>0</v>
      </c>
      <c r="L989" t="b">
        <f>ISBLANK(Compil[[#This Row],[DESIGNATION]])</f>
        <v>1</v>
      </c>
      <c r="M989" s="358"/>
      <c r="N989" s="358"/>
      <c r="O989" s="358"/>
      <c r="P989" s="358"/>
      <c r="Q989" s="358">
        <f>COUNTIF(Compil[[Ma Désignation ]],Compil[[Ma Désignation ]])</f>
        <v>306</v>
      </c>
    </row>
    <row r="990" spans="1:17">
      <c r="A990" s="170">
        <v>985</v>
      </c>
      <c r="B990" s="170"/>
      <c r="C990" s="443" t="s">
        <v>321</v>
      </c>
      <c r="D990" t="str">
        <f xml:space="preserve"> TRIM( SUBSTITUTE(SUBSTITUTE(SUBSTITUTE( Compil[[#This Row],[DESIGNATION]],"-",""),"–",""),"*",""))</f>
        <v>BÂTIMENT SOHO</v>
      </c>
      <c r="E990" s="446"/>
      <c r="F990" s="447"/>
      <c r="G990" s="314"/>
      <c r="H990" s="446"/>
      <c r="I990" t="s">
        <v>579</v>
      </c>
      <c r="J990" t="b">
        <f>AND(NOT(Compil[[#This Row],[Est ouvrage]]), NOT(ISBLANK(Compil[[#This Row],[ART.
CCTP]])))</f>
        <v>0</v>
      </c>
      <c r="K990" t="b">
        <f>OR(Compil[[#This Row],[Unité]]="U",Compil[[#This Row],[Unité]]="ens",Compil[[#This Row],[Unité]]="ml")</f>
        <v>0</v>
      </c>
      <c r="L990" t="b">
        <f>ISBLANK(Compil[[#This Row],[DESIGNATION]])</f>
        <v>0</v>
      </c>
      <c r="M990" s="359"/>
      <c r="N990" s="358"/>
      <c r="O990" s="358"/>
      <c r="P990" s="358"/>
      <c r="Q990" s="358">
        <f>COUNTIF(Compil[[Ma Désignation ]],Compil[[Ma Désignation ]])</f>
        <v>2</v>
      </c>
    </row>
    <row r="991" spans="1:17">
      <c r="A991">
        <v>986</v>
      </c>
      <c r="D991" t="str">
        <f xml:space="preserve"> TRIM( SUBSTITUTE(SUBSTITUTE(SUBSTITUTE( Compil[[#This Row],[DESIGNATION]],"-",""),"–",""),"*",""))</f>
        <v/>
      </c>
      <c r="E991" s="314"/>
      <c r="F991" s="275"/>
      <c r="G991" s="314"/>
      <c r="H991" s="314"/>
      <c r="I991" t="s">
        <v>579</v>
      </c>
      <c r="J991" t="b">
        <f>AND(NOT(Compil[[#This Row],[Est ouvrage]]), NOT(ISBLANK(Compil[[#This Row],[ART.
CCTP]])))</f>
        <v>0</v>
      </c>
      <c r="K991" t="b">
        <f>OR(Compil[[#This Row],[Unité]]="U",Compil[[#This Row],[Unité]]="ens",Compil[[#This Row],[Unité]]="ml")</f>
        <v>0</v>
      </c>
      <c r="L991" t="b">
        <f>ISBLANK(Compil[[#This Row],[DESIGNATION]])</f>
        <v>1</v>
      </c>
      <c r="M991" s="358"/>
      <c r="N991" s="358"/>
      <c r="O991" s="358"/>
      <c r="P991" s="358"/>
      <c r="Q991" s="358">
        <f>COUNTIF(Compil[[Ma Désignation ]],Compil[[Ma Désignation ]])</f>
        <v>306</v>
      </c>
    </row>
    <row r="992" spans="1:17">
      <c r="A992" s="170">
        <v>987</v>
      </c>
      <c r="B992" s="170">
        <v>3</v>
      </c>
      <c r="C992" s="437" t="s">
        <v>59</v>
      </c>
      <c r="D992" t="str">
        <f xml:space="preserve"> TRIM( SUBSTITUTE(SUBSTITUTE(SUBSTITUTE( Compil[[#This Row],[DESIGNATION]],"-",""),"–",""),"*",""))</f>
        <v>EQUIPEMENTS DES LOGEMENTS</v>
      </c>
      <c r="E992" s="435"/>
      <c r="F992" s="447"/>
      <c r="G992" s="435"/>
      <c r="H992" s="435"/>
      <c r="I992" t="s">
        <v>579</v>
      </c>
      <c r="J992" t="b">
        <f>AND(NOT(Compil[[#This Row],[Est ouvrage]]), NOT(ISBLANK(Compil[[#This Row],[ART.
CCTP]])))</f>
        <v>1</v>
      </c>
      <c r="K992" t="b">
        <f>OR(Compil[[#This Row],[Unité]]="U",Compil[[#This Row],[Unité]]="ens",Compil[[#This Row],[Unité]]="ml")</f>
        <v>0</v>
      </c>
      <c r="L992" t="b">
        <f>ISBLANK(Compil[[#This Row],[DESIGNATION]])</f>
        <v>0</v>
      </c>
      <c r="M992" s="359"/>
      <c r="N992" s="358"/>
      <c r="O992" s="358"/>
      <c r="P992" s="358"/>
      <c r="Q992" s="358">
        <f>COUNTIF(Compil[[Ma Désignation ]],Compil[[Ma Désignation ]])</f>
        <v>4</v>
      </c>
    </row>
    <row r="993" spans="1:17">
      <c r="A993">
        <v>988</v>
      </c>
      <c r="C993" s="426"/>
      <c r="D993" t="str">
        <f xml:space="preserve"> TRIM( SUBSTITUTE(SUBSTITUTE(SUBSTITUTE( Compil[[#This Row],[DESIGNATION]],"-",""),"–",""),"*",""))</f>
        <v/>
      </c>
      <c r="E993" s="313"/>
      <c r="F993" s="275"/>
      <c r="G993" s="313"/>
      <c r="H993" s="313"/>
      <c r="I993" t="s">
        <v>579</v>
      </c>
      <c r="J993" t="b">
        <f>AND(NOT(Compil[[#This Row],[Est ouvrage]]), NOT(ISBLANK(Compil[[#This Row],[ART.
CCTP]])))</f>
        <v>0</v>
      </c>
      <c r="K993" t="b">
        <f>OR(Compil[[#This Row],[Unité]]="U",Compil[[#This Row],[Unité]]="ens",Compil[[#This Row],[Unité]]="ml")</f>
        <v>0</v>
      </c>
      <c r="L993" t="b">
        <f>ISBLANK(Compil[[#This Row],[DESIGNATION]])</f>
        <v>1</v>
      </c>
      <c r="M993" s="358"/>
      <c r="N993" s="358"/>
      <c r="O993" s="358"/>
      <c r="P993" s="358"/>
      <c r="Q993" s="358">
        <f>COUNTIF(Compil[[Ma Désignation ]],Compil[[Ma Désignation ]])</f>
        <v>306</v>
      </c>
    </row>
    <row r="994" spans="1:17">
      <c r="A994" s="170">
        <v>989</v>
      </c>
      <c r="B994" s="170" t="s">
        <v>370</v>
      </c>
      <c r="C994" s="437" t="s">
        <v>50</v>
      </c>
      <c r="D994" t="str">
        <f xml:space="preserve"> TRIM( SUBSTITUTE(SUBSTITUTE(SUBSTITUTE( Compil[[#This Row],[DESIGNATION]],"-",""),"–",""),"*",""))</f>
        <v>Tableau des logements</v>
      </c>
      <c r="E994" s="435"/>
      <c r="F994" s="447"/>
      <c r="G994" s="435"/>
      <c r="H994" s="435"/>
      <c r="I994" t="s">
        <v>579</v>
      </c>
      <c r="J994" t="b">
        <f>AND(NOT(Compil[[#This Row],[Est ouvrage]]), NOT(ISBLANK(Compil[[#This Row],[ART.
CCTP]])))</f>
        <v>1</v>
      </c>
      <c r="K994" t="b">
        <f>OR(Compil[[#This Row],[Unité]]="U",Compil[[#This Row],[Unité]]="ens",Compil[[#This Row],[Unité]]="ml")</f>
        <v>0</v>
      </c>
      <c r="L994" t="b">
        <f>ISBLANK(Compil[[#This Row],[DESIGNATION]])</f>
        <v>0</v>
      </c>
      <c r="M994" s="359"/>
      <c r="N994" s="358"/>
      <c r="O994" s="358"/>
      <c r="P994" s="358"/>
      <c r="Q994" s="358">
        <f>COUNTIF(Compil[[Ma Désignation ]],Compil[[Ma Désignation ]])</f>
        <v>2</v>
      </c>
    </row>
    <row r="995" spans="1:17">
      <c r="A995">
        <v>990</v>
      </c>
      <c r="C995" s="426"/>
      <c r="D995" t="str">
        <f xml:space="preserve"> TRIM( SUBSTITUTE(SUBSTITUTE(SUBSTITUTE( Compil[[#This Row],[DESIGNATION]],"-",""),"–",""),"*",""))</f>
        <v/>
      </c>
      <c r="E995" s="313"/>
      <c r="F995" s="275"/>
      <c r="G995" s="313"/>
      <c r="H995" s="313"/>
      <c r="I995" t="s">
        <v>579</v>
      </c>
      <c r="J995" t="b">
        <f>AND(NOT(Compil[[#This Row],[Est ouvrage]]), NOT(ISBLANK(Compil[[#This Row],[ART.
CCTP]])))</f>
        <v>0</v>
      </c>
      <c r="K995" t="b">
        <f>OR(Compil[[#This Row],[Unité]]="U",Compil[[#This Row],[Unité]]="ens",Compil[[#This Row],[Unité]]="ml")</f>
        <v>0</v>
      </c>
      <c r="L995" t="b">
        <f>ISBLANK(Compil[[#This Row],[DESIGNATION]])</f>
        <v>1</v>
      </c>
      <c r="M995" s="358"/>
      <c r="N995" s="358"/>
      <c r="O995" s="358"/>
      <c r="P995" s="358"/>
      <c r="Q995" s="358">
        <f>COUNTIF(Compil[[Ma Désignation ]],Compil[[Ma Désignation ]])</f>
        <v>306</v>
      </c>
    </row>
    <row r="996" spans="1:17" ht="14">
      <c r="A996" s="362">
        <v>672</v>
      </c>
      <c r="B996" s="364"/>
      <c r="C996" s="423" t="s">
        <v>55</v>
      </c>
      <c r="D996" t="str">
        <f xml:space="preserve"> TRIM( SUBSTITUTE(SUBSTITUTE(SUBSTITUTE( Compil[[#This Row],[DESIGNATION]],"-",""),"–",""),"*",""))</f>
        <v>Prise de courant 2P+T10/16A handicapée</v>
      </c>
      <c r="E996" s="55" t="s">
        <v>13</v>
      </c>
      <c r="F996" s="386"/>
      <c r="G996" s="389" t="s">
        <v>571</v>
      </c>
      <c r="H996" s="302" t="s">
        <v>571</v>
      </c>
      <c r="I996" t="s">
        <v>570</v>
      </c>
      <c r="J996" t="b">
        <f>AND(NOT(Compil[[#This Row],[Est ouvrage]]), NOT(ISBLANK(Compil[[#This Row],[ART.
CCTP]])))</f>
        <v>0</v>
      </c>
      <c r="K996" t="b">
        <f>OR(Compil[[#This Row],[Unité]]="U",Compil[[#This Row],[Unité]]="ens",Compil[[#This Row],[Unité]]="ml")</f>
        <v>1</v>
      </c>
      <c r="L996" t="b">
        <f>ISBLANK(Compil[[#This Row],[DESIGNATION]])</f>
        <v>0</v>
      </c>
      <c r="M996" s="359"/>
      <c r="N996" s="358"/>
      <c r="O996" s="358"/>
      <c r="P996" s="358"/>
      <c r="Q996" s="358">
        <f>COUNTIF(Compil[[Ma Désignation ]],Compil[[Ma Désignation ]])</f>
        <v>14</v>
      </c>
    </row>
    <row r="997" spans="1:17">
      <c r="A997" s="170">
        <v>1013</v>
      </c>
      <c r="B997" s="170"/>
      <c r="C997" s="437" t="s">
        <v>55</v>
      </c>
      <c r="D997" t="str">
        <f xml:space="preserve"> TRIM( SUBSTITUTE(SUBSTITUTE(SUBSTITUTE( Compil[[#This Row],[DESIGNATION]],"-",""),"–",""),"*",""))</f>
        <v>Prise de courant 2P+T10/16A handicapée</v>
      </c>
      <c r="E997" s="435" t="s">
        <v>13</v>
      </c>
      <c r="F997" s="447">
        <v>3</v>
      </c>
      <c r="G997" s="448">
        <v>0</v>
      </c>
      <c r="H997" s="449">
        <v>0</v>
      </c>
      <c r="I997" t="s">
        <v>579</v>
      </c>
      <c r="J997" t="b">
        <f>AND(NOT(Compil[[#This Row],[Est ouvrage]]), NOT(ISBLANK(Compil[[#This Row],[ART.
CCTP]])))</f>
        <v>0</v>
      </c>
      <c r="K997" t="b">
        <f>OR(Compil[[#This Row],[Unité]]="U",Compil[[#This Row],[Unité]]="ens",Compil[[#This Row],[Unité]]="ml")</f>
        <v>1</v>
      </c>
      <c r="L997" t="b">
        <f>ISBLANK(Compil[[#This Row],[DESIGNATION]])</f>
        <v>0</v>
      </c>
      <c r="M997" s="359"/>
      <c r="N997" s="358"/>
      <c r="O997" s="358"/>
      <c r="P997" s="358"/>
      <c r="Q997" s="358">
        <f>COUNTIF(Compil[[Ma Désignation ]],Compil[[Ma Désignation ]])</f>
        <v>14</v>
      </c>
    </row>
    <row r="998" spans="1:17">
      <c r="A998">
        <v>993</v>
      </c>
      <c r="C998" s="426"/>
      <c r="D998" t="str">
        <f xml:space="preserve"> TRIM( SUBSTITUTE(SUBSTITUTE(SUBSTITUTE( Compil[[#This Row],[DESIGNATION]],"-",""),"–",""),"*",""))</f>
        <v/>
      </c>
      <c r="E998" s="313"/>
      <c r="F998" s="275"/>
      <c r="G998" s="315" t="s">
        <v>571</v>
      </c>
      <c r="H998" s="316" t="s">
        <v>571</v>
      </c>
      <c r="I998" t="s">
        <v>579</v>
      </c>
      <c r="J998" t="b">
        <f>AND(NOT(Compil[[#This Row],[Est ouvrage]]), NOT(ISBLANK(Compil[[#This Row],[ART.
CCTP]])))</f>
        <v>0</v>
      </c>
      <c r="K998" t="b">
        <f>OR(Compil[[#This Row],[Unité]]="U",Compil[[#This Row],[Unité]]="ens",Compil[[#This Row],[Unité]]="ml")</f>
        <v>0</v>
      </c>
      <c r="L998" t="b">
        <f>ISBLANK(Compil[[#This Row],[DESIGNATION]])</f>
        <v>1</v>
      </c>
      <c r="M998" s="358"/>
      <c r="N998" s="358"/>
      <c r="O998" s="358"/>
      <c r="P998" s="358"/>
      <c r="Q998" s="358">
        <f>COUNTIF(Compil[[Ma Désignation ]],Compil[[Ma Désignation ]])</f>
        <v>306</v>
      </c>
    </row>
    <row r="999" spans="1:17">
      <c r="A999" s="170">
        <v>994</v>
      </c>
      <c r="B999" s="170"/>
      <c r="C999" s="437" t="s">
        <v>371</v>
      </c>
      <c r="D999" t="str">
        <f xml:space="preserve"> TRIM( SUBSTITUTE(SUBSTITUTE(SUBSTITUTE( Compil[[#This Row],[DESIGNATION]],"-",""),"–",""),"*",""))</f>
        <v>Sous total 3.5</v>
      </c>
      <c r="E999" s="435"/>
      <c r="F999" s="447"/>
      <c r="G999" s="448" t="s">
        <v>571</v>
      </c>
      <c r="H999" s="449" t="s">
        <v>571</v>
      </c>
      <c r="I999" t="s">
        <v>579</v>
      </c>
      <c r="J999" t="b">
        <f>AND(NOT(Compil[[#This Row],[Est ouvrage]]), NOT(ISBLANK(Compil[[#This Row],[ART.
CCTP]])))</f>
        <v>0</v>
      </c>
      <c r="K999" t="b">
        <f>OR(Compil[[#This Row],[Unité]]="U",Compil[[#This Row],[Unité]]="ens",Compil[[#This Row],[Unité]]="ml")</f>
        <v>0</v>
      </c>
      <c r="L999" t="b">
        <f>ISBLANK(Compil[[#This Row],[DESIGNATION]])</f>
        <v>0</v>
      </c>
      <c r="M999" s="359"/>
      <c r="N999" s="358"/>
      <c r="O999" s="358"/>
      <c r="P999" s="358"/>
      <c r="Q999" s="358">
        <f>COUNTIF(Compil[[Ma Désignation ]],Compil[[Ma Désignation ]])</f>
        <v>1</v>
      </c>
    </row>
    <row r="1000" spans="1:17">
      <c r="A1000">
        <v>995</v>
      </c>
      <c r="C1000" s="426"/>
      <c r="D1000" t="str">
        <f xml:space="preserve"> TRIM( SUBSTITUTE(SUBSTITUTE(SUBSTITUTE( Compil[[#This Row],[DESIGNATION]],"-",""),"–",""),"*",""))</f>
        <v/>
      </c>
      <c r="E1000" s="313"/>
      <c r="F1000" s="275"/>
      <c r="G1000" s="315" t="s">
        <v>571</v>
      </c>
      <c r="H1000" s="316" t="s">
        <v>571</v>
      </c>
      <c r="I1000" t="s">
        <v>579</v>
      </c>
      <c r="J1000" t="b">
        <f>AND(NOT(Compil[[#This Row],[Est ouvrage]]), NOT(ISBLANK(Compil[[#This Row],[ART.
CCTP]])))</f>
        <v>0</v>
      </c>
      <c r="K1000" t="b">
        <f>OR(Compil[[#This Row],[Unité]]="U",Compil[[#This Row],[Unité]]="ens",Compil[[#This Row],[Unité]]="ml")</f>
        <v>0</v>
      </c>
      <c r="L1000" t="b">
        <f>ISBLANK(Compil[[#This Row],[DESIGNATION]])</f>
        <v>1</v>
      </c>
      <c r="M1000" s="358"/>
      <c r="N1000" s="358"/>
      <c r="O1000" s="358"/>
      <c r="P1000" s="358"/>
      <c r="Q1000" s="358">
        <f>COUNTIF(Compil[[Ma Désignation ]],Compil[[Ma Désignation ]])</f>
        <v>306</v>
      </c>
    </row>
    <row r="1001" spans="1:17">
      <c r="A1001" s="170">
        <v>996</v>
      </c>
      <c r="B1001" s="170" t="s">
        <v>369</v>
      </c>
      <c r="C1001" s="437" t="s">
        <v>379</v>
      </c>
      <c r="D1001" t="str">
        <f xml:space="preserve"> TRIM( SUBSTITUTE(SUBSTITUTE(SUBSTITUTE( Compil[[#This Row],[DESIGNATION]],"-",""),"–",""),"*",""))</f>
        <v>Tableau des bureaux</v>
      </c>
      <c r="E1001" s="435"/>
      <c r="F1001" s="447"/>
      <c r="G1001" s="448" t="s">
        <v>571</v>
      </c>
      <c r="H1001" s="449" t="s">
        <v>571</v>
      </c>
      <c r="I1001" t="s">
        <v>579</v>
      </c>
      <c r="J1001" t="b">
        <f>AND(NOT(Compil[[#This Row],[Est ouvrage]]), NOT(ISBLANK(Compil[[#This Row],[ART.
CCTP]])))</f>
        <v>1</v>
      </c>
      <c r="K1001" t="b">
        <f>OR(Compil[[#This Row],[Unité]]="U",Compil[[#This Row],[Unité]]="ens",Compil[[#This Row],[Unité]]="ml")</f>
        <v>0</v>
      </c>
      <c r="L1001" t="b">
        <f>ISBLANK(Compil[[#This Row],[DESIGNATION]])</f>
        <v>0</v>
      </c>
      <c r="M1001" s="359"/>
      <c r="N1001" s="358"/>
      <c r="O1001" s="358"/>
      <c r="P1001" s="358"/>
      <c r="Q1001" s="358">
        <f>COUNTIF(Compil[[Ma Désignation ]],Compil[[Ma Désignation ]])</f>
        <v>1</v>
      </c>
    </row>
    <row r="1002" spans="1:17">
      <c r="A1002">
        <v>997</v>
      </c>
      <c r="C1002" s="426"/>
      <c r="D1002" t="str">
        <f xml:space="preserve"> TRIM( SUBSTITUTE(SUBSTITUTE(SUBSTITUTE( Compil[[#This Row],[DESIGNATION]],"-",""),"–",""),"*",""))</f>
        <v/>
      </c>
      <c r="E1002" s="313"/>
      <c r="F1002" s="275"/>
      <c r="G1002" s="315" t="s">
        <v>571</v>
      </c>
      <c r="H1002" s="316" t="s">
        <v>571</v>
      </c>
      <c r="I1002" t="s">
        <v>579</v>
      </c>
      <c r="J1002" t="b">
        <f>AND(NOT(Compil[[#This Row],[Est ouvrage]]), NOT(ISBLANK(Compil[[#This Row],[ART.
CCTP]])))</f>
        <v>0</v>
      </c>
      <c r="K1002" t="b">
        <f>OR(Compil[[#This Row],[Unité]]="U",Compil[[#This Row],[Unité]]="ens",Compil[[#This Row],[Unité]]="ml")</f>
        <v>0</v>
      </c>
      <c r="L1002" t="b">
        <f>ISBLANK(Compil[[#This Row],[DESIGNATION]])</f>
        <v>1</v>
      </c>
      <c r="M1002" s="358"/>
      <c r="N1002" s="358"/>
      <c r="O1002" s="358"/>
      <c r="P1002" s="358"/>
      <c r="Q1002" s="358">
        <f>COUNTIF(Compil[[Ma Désignation ]],Compil[[Ma Désignation ]])</f>
        <v>306</v>
      </c>
    </row>
    <row r="1003" spans="1:17">
      <c r="A1003" s="170">
        <v>1029</v>
      </c>
      <c r="B1003" s="170"/>
      <c r="C1003" s="437" t="s">
        <v>55</v>
      </c>
      <c r="D1003" t="str">
        <f xml:space="preserve"> TRIM( SUBSTITUTE(SUBSTITUTE(SUBSTITUTE( Compil[[#This Row],[DESIGNATION]],"-",""),"–",""),"*",""))</f>
        <v>Prise de courant 2P+T10/16A handicapée</v>
      </c>
      <c r="E1003" s="435" t="s">
        <v>13</v>
      </c>
      <c r="F1003" s="447"/>
      <c r="G1003" s="448" t="s">
        <v>571</v>
      </c>
      <c r="H1003" s="449" t="s">
        <v>571</v>
      </c>
      <c r="I1003" t="s">
        <v>579</v>
      </c>
      <c r="J1003" t="b">
        <f>AND(NOT(Compil[[#This Row],[Est ouvrage]]), NOT(ISBLANK(Compil[[#This Row],[ART.
CCTP]])))</f>
        <v>0</v>
      </c>
      <c r="K1003" t="b">
        <f>OR(Compil[[#This Row],[Unité]]="U",Compil[[#This Row],[Unité]]="ens",Compil[[#This Row],[Unité]]="ml")</f>
        <v>1</v>
      </c>
      <c r="L1003" t="b">
        <f>ISBLANK(Compil[[#This Row],[DESIGNATION]])</f>
        <v>0</v>
      </c>
      <c r="M1003" s="359"/>
      <c r="N1003" s="358"/>
      <c r="O1003" s="358"/>
      <c r="P1003" s="358"/>
      <c r="Q1003" s="358">
        <f>COUNTIF(Compil[[Ma Désignation ]],Compil[[Ma Désignation ]])</f>
        <v>14</v>
      </c>
    </row>
    <row r="1004" spans="1:17">
      <c r="A1004">
        <v>999</v>
      </c>
      <c r="C1004" s="426"/>
      <c r="D1004" t="str">
        <f xml:space="preserve"> TRIM( SUBSTITUTE(SUBSTITUTE(SUBSTITUTE( Compil[[#This Row],[DESIGNATION]],"-",""),"–",""),"*",""))</f>
        <v/>
      </c>
      <c r="E1004" s="313"/>
      <c r="F1004" s="275"/>
      <c r="G1004" s="315" t="s">
        <v>571</v>
      </c>
      <c r="H1004" s="316" t="s">
        <v>571</v>
      </c>
      <c r="I1004" t="s">
        <v>579</v>
      </c>
      <c r="J1004" t="b">
        <f>AND(NOT(Compil[[#This Row],[Est ouvrage]]), NOT(ISBLANK(Compil[[#This Row],[ART.
CCTP]])))</f>
        <v>0</v>
      </c>
      <c r="K1004" t="b">
        <f>OR(Compil[[#This Row],[Unité]]="U",Compil[[#This Row],[Unité]]="ens",Compil[[#This Row],[Unité]]="ml")</f>
        <v>0</v>
      </c>
      <c r="L1004" t="b">
        <f>ISBLANK(Compil[[#This Row],[DESIGNATION]])</f>
        <v>1</v>
      </c>
      <c r="M1004" s="358"/>
      <c r="N1004" s="358"/>
      <c r="O1004" s="358"/>
      <c r="P1004" s="358"/>
      <c r="Q1004" s="358">
        <f>COUNTIF(Compil[[Ma Désignation ]],Compil[[Ma Désignation ]])</f>
        <v>306</v>
      </c>
    </row>
    <row r="1005" spans="1:17">
      <c r="A1005" s="170">
        <v>1000</v>
      </c>
      <c r="B1005" s="170"/>
      <c r="C1005" s="437" t="s">
        <v>372</v>
      </c>
      <c r="D1005" t="str">
        <f xml:space="preserve"> TRIM( SUBSTITUTE(SUBSTITUTE(SUBSTITUTE( Compil[[#This Row],[DESIGNATION]],"-",""),"–",""),"*",""))</f>
        <v>Sous total 3.6</v>
      </c>
      <c r="E1005" s="435"/>
      <c r="F1005" s="447"/>
      <c r="G1005" s="448" t="s">
        <v>571</v>
      </c>
      <c r="H1005" s="449" t="s">
        <v>571</v>
      </c>
      <c r="I1005" t="s">
        <v>579</v>
      </c>
      <c r="J1005" t="b">
        <f>AND(NOT(Compil[[#This Row],[Est ouvrage]]), NOT(ISBLANK(Compil[[#This Row],[ART.
CCTP]])))</f>
        <v>0</v>
      </c>
      <c r="K1005" t="b">
        <f>OR(Compil[[#This Row],[Unité]]="U",Compil[[#This Row],[Unité]]="ens",Compil[[#This Row],[Unité]]="ml")</f>
        <v>0</v>
      </c>
      <c r="L1005" t="b">
        <f>ISBLANK(Compil[[#This Row],[DESIGNATION]])</f>
        <v>0</v>
      </c>
      <c r="M1005" s="359"/>
      <c r="N1005" s="358"/>
      <c r="O1005" s="358"/>
      <c r="P1005" s="358"/>
      <c r="Q1005" s="358">
        <f>COUNTIF(Compil[[Ma Désignation ]],Compil[[Ma Désignation ]])</f>
        <v>1</v>
      </c>
    </row>
    <row r="1006" spans="1:17">
      <c r="A1006">
        <v>1001</v>
      </c>
      <c r="C1006" s="426"/>
      <c r="D1006" t="str">
        <f xml:space="preserve"> TRIM( SUBSTITUTE(SUBSTITUTE(SUBSTITUTE( Compil[[#This Row],[DESIGNATION]],"-",""),"–",""),"*",""))</f>
        <v/>
      </c>
      <c r="E1006" s="313"/>
      <c r="F1006" s="275"/>
      <c r="G1006" s="315" t="s">
        <v>571</v>
      </c>
      <c r="H1006" s="316" t="s">
        <v>571</v>
      </c>
      <c r="I1006" t="s">
        <v>579</v>
      </c>
      <c r="J1006" t="b">
        <f>AND(NOT(Compil[[#This Row],[Est ouvrage]]), NOT(ISBLANK(Compil[[#This Row],[ART.
CCTP]])))</f>
        <v>0</v>
      </c>
      <c r="K1006" t="b">
        <f>OR(Compil[[#This Row],[Unité]]="U",Compil[[#This Row],[Unité]]="ens",Compil[[#This Row],[Unité]]="ml")</f>
        <v>0</v>
      </c>
      <c r="L1006" t="b">
        <f>ISBLANK(Compil[[#This Row],[DESIGNATION]])</f>
        <v>1</v>
      </c>
      <c r="M1006" s="358"/>
      <c r="N1006" s="358"/>
      <c r="O1006" s="358"/>
      <c r="P1006" s="358"/>
      <c r="Q1006" s="358">
        <f>COUNTIF(Compil[[Ma Désignation ]],Compil[[Ma Désignation ]])</f>
        <v>306</v>
      </c>
    </row>
    <row r="1007" spans="1:17">
      <c r="A1007" s="170">
        <v>1002</v>
      </c>
      <c r="B1007" s="170" t="s">
        <v>373</v>
      </c>
      <c r="C1007" s="437" t="s">
        <v>51</v>
      </c>
      <c r="D1007" t="str">
        <f xml:space="preserve"> TRIM( SUBSTITUTE(SUBSTITUTE(SUBSTITUTE( Compil[[#This Row],[DESIGNATION]],"-",""),"–",""),"*",""))</f>
        <v>Equipements des logements</v>
      </c>
      <c r="E1007" s="435"/>
      <c r="F1007" s="447"/>
      <c r="G1007" s="448" t="s">
        <v>571</v>
      </c>
      <c r="H1007" s="449" t="s">
        <v>571</v>
      </c>
      <c r="I1007" t="s">
        <v>579</v>
      </c>
      <c r="J1007" t="b">
        <f>AND(NOT(Compil[[#This Row],[Est ouvrage]]), NOT(ISBLANK(Compil[[#This Row],[ART.
CCTP]])))</f>
        <v>1</v>
      </c>
      <c r="K1007" t="b">
        <f>OR(Compil[[#This Row],[Unité]]="U",Compil[[#This Row],[Unité]]="ens",Compil[[#This Row],[Unité]]="ml")</f>
        <v>0</v>
      </c>
      <c r="L1007" t="b">
        <f>ISBLANK(Compil[[#This Row],[DESIGNATION]])</f>
        <v>0</v>
      </c>
      <c r="M1007" s="359"/>
      <c r="N1007" s="358"/>
      <c r="O1007" s="358"/>
      <c r="P1007" s="358"/>
      <c r="Q1007" s="358">
        <f>COUNTIF(Compil[[Ma Désignation ]],Compil[[Ma Désignation ]])</f>
        <v>4</v>
      </c>
    </row>
    <row r="1008" spans="1:17">
      <c r="A1008">
        <v>1003</v>
      </c>
      <c r="C1008" s="426"/>
      <c r="D1008" t="str">
        <f xml:space="preserve"> TRIM( SUBSTITUTE(SUBSTITUTE(SUBSTITUTE( Compil[[#This Row],[DESIGNATION]],"-",""),"–",""),"*",""))</f>
        <v/>
      </c>
      <c r="E1008" s="313"/>
      <c r="F1008" s="275"/>
      <c r="G1008" s="315" t="s">
        <v>571</v>
      </c>
      <c r="H1008" s="316" t="s">
        <v>571</v>
      </c>
      <c r="I1008" t="s">
        <v>579</v>
      </c>
      <c r="J1008" t="b">
        <f>AND(NOT(Compil[[#This Row],[Est ouvrage]]), NOT(ISBLANK(Compil[[#This Row],[ART.
CCTP]])))</f>
        <v>0</v>
      </c>
      <c r="K1008" t="b">
        <f>OR(Compil[[#This Row],[Unité]]="U",Compil[[#This Row],[Unité]]="ens",Compil[[#This Row],[Unité]]="ml")</f>
        <v>0</v>
      </c>
      <c r="L1008" t="b">
        <f>ISBLANK(Compil[[#This Row],[DESIGNATION]])</f>
        <v>1</v>
      </c>
      <c r="M1008" s="358"/>
      <c r="N1008" s="358"/>
      <c r="O1008" s="358"/>
      <c r="P1008" s="358"/>
      <c r="Q1008" s="358">
        <f>COUNTIF(Compil[[Ma Désignation ]],Compil[[Ma Désignation ]])</f>
        <v>306</v>
      </c>
    </row>
    <row r="1009" spans="1:17">
      <c r="A1009" s="170">
        <v>1004</v>
      </c>
      <c r="B1009" s="170" t="s">
        <v>374</v>
      </c>
      <c r="C1009" s="437" t="s">
        <v>232</v>
      </c>
      <c r="D1009" t="str">
        <f xml:space="preserve"> TRIM( SUBSTITUTE(SUBSTITUTE(SUBSTITUTE( Compil[[#This Row],[DESIGNATION]],"-",""),"–",""),"*",""))</f>
        <v>Appartement de type T1</v>
      </c>
      <c r="E1009" s="435"/>
      <c r="F1009" s="447"/>
      <c r="G1009" s="448" t="s">
        <v>571</v>
      </c>
      <c r="H1009" s="449" t="s">
        <v>571</v>
      </c>
      <c r="I1009" t="s">
        <v>579</v>
      </c>
      <c r="J1009" t="b">
        <f>AND(NOT(Compil[[#This Row],[Est ouvrage]]), NOT(ISBLANK(Compil[[#This Row],[ART.
CCTP]])))</f>
        <v>1</v>
      </c>
      <c r="K1009" t="b">
        <f>OR(Compil[[#This Row],[Unité]]="U",Compil[[#This Row],[Unité]]="ens",Compil[[#This Row],[Unité]]="ml")</f>
        <v>0</v>
      </c>
      <c r="L1009" t="b">
        <f>ISBLANK(Compil[[#This Row],[DESIGNATION]])</f>
        <v>0</v>
      </c>
      <c r="M1009" s="359"/>
      <c r="N1009" s="358"/>
      <c r="O1009" s="358"/>
      <c r="P1009" s="358"/>
      <c r="Q1009" s="358">
        <f>COUNTIF(Compil[[Ma Désignation ]],Compil[[Ma Désignation ]])</f>
        <v>2</v>
      </c>
    </row>
    <row r="1010" spans="1:17">
      <c r="A1010">
        <v>1005</v>
      </c>
      <c r="C1010" s="426"/>
      <c r="D1010" t="str">
        <f xml:space="preserve"> TRIM( SUBSTITUTE(SUBSTITUTE(SUBSTITUTE( Compil[[#This Row],[DESIGNATION]],"-",""),"–",""),"*",""))</f>
        <v/>
      </c>
      <c r="E1010" s="313"/>
      <c r="F1010" s="275"/>
      <c r="G1010" s="315" t="s">
        <v>571</v>
      </c>
      <c r="H1010" s="316" t="s">
        <v>571</v>
      </c>
      <c r="I1010" t="s">
        <v>579</v>
      </c>
      <c r="J1010" t="b">
        <f>AND(NOT(Compil[[#This Row],[Est ouvrage]]), NOT(ISBLANK(Compil[[#This Row],[ART.
CCTP]])))</f>
        <v>0</v>
      </c>
      <c r="K1010" t="b">
        <f>OR(Compil[[#This Row],[Unité]]="U",Compil[[#This Row],[Unité]]="ens",Compil[[#This Row],[Unité]]="ml")</f>
        <v>0</v>
      </c>
      <c r="L1010" t="b">
        <f>ISBLANK(Compil[[#This Row],[DESIGNATION]])</f>
        <v>1</v>
      </c>
      <c r="M1010" s="358"/>
      <c r="N1010" s="358"/>
      <c r="O1010" s="358"/>
      <c r="P1010" s="358"/>
      <c r="Q1010" s="358">
        <f>COUNTIF(Compil[[Ma Désignation ]],Compil[[Ma Désignation ]])</f>
        <v>306</v>
      </c>
    </row>
    <row r="1011" spans="1:17">
      <c r="A1011" s="170">
        <v>1006</v>
      </c>
      <c r="B1011" s="170"/>
      <c r="C1011" s="437" t="s">
        <v>572</v>
      </c>
      <c r="D1011" t="str">
        <f xml:space="preserve"> TRIM( SUBSTITUTE(SUBSTITUTE(SUBSTITUTE( Compil[[#This Row],[DESIGNATION]],"-",""),"–",""),"*",""))</f>
        <v>Appareillages de finition blanche</v>
      </c>
      <c r="E1011" s="435"/>
      <c r="F1011" s="447"/>
      <c r="G1011" s="448" t="s">
        <v>571</v>
      </c>
      <c r="H1011" s="449" t="s">
        <v>571</v>
      </c>
      <c r="I1011" t="s">
        <v>579</v>
      </c>
      <c r="J1011" t="b">
        <f>AND(NOT(Compil[[#This Row],[Est ouvrage]]), NOT(ISBLANK(Compil[[#This Row],[ART.
CCTP]])))</f>
        <v>0</v>
      </c>
      <c r="K1011" t="b">
        <f>OR(Compil[[#This Row],[Unité]]="U",Compil[[#This Row],[Unité]]="ens",Compil[[#This Row],[Unité]]="ml")</f>
        <v>0</v>
      </c>
      <c r="L1011" t="b">
        <f>ISBLANK(Compil[[#This Row],[DESIGNATION]])</f>
        <v>0</v>
      </c>
      <c r="M1011" s="359"/>
      <c r="N1011" s="358"/>
      <c r="O1011" s="358"/>
      <c r="P1011" s="358"/>
      <c r="Q1011" s="358">
        <f>COUNTIF(Compil[[Ma Désignation ]],Compil[[Ma Désignation ]])</f>
        <v>9</v>
      </c>
    </row>
    <row r="1012" spans="1:17" ht="14">
      <c r="A1012" s="362">
        <v>380</v>
      </c>
      <c r="B1012" s="364"/>
      <c r="C1012" s="423" t="s">
        <v>268</v>
      </c>
      <c r="D1012" t="str">
        <f xml:space="preserve"> TRIM( SUBSTITUTE(SUBSTITUTE(SUBSTITUTE( Compil[[#This Row],[DESIGNATION]],"-",""),"–",""),"*",""))</f>
        <v>Prise de courant 2P+T10/16A LaveLinge</v>
      </c>
      <c r="E1012" s="55" t="s">
        <v>13</v>
      </c>
      <c r="F1012" s="386">
        <v>1</v>
      </c>
      <c r="G1012" s="389">
        <v>0</v>
      </c>
      <c r="H1012" s="302">
        <v>0</v>
      </c>
      <c r="I1012" t="s">
        <v>570</v>
      </c>
      <c r="J1012" t="b">
        <f>AND(NOT(Compil[[#This Row],[Est ouvrage]]), NOT(ISBLANK(Compil[[#This Row],[ART.
CCTP]])))</f>
        <v>0</v>
      </c>
      <c r="K1012" t="b">
        <f>OR(Compil[[#This Row],[Unité]]="U",Compil[[#This Row],[Unité]]="ens",Compil[[#This Row],[Unité]]="ml")</f>
        <v>1</v>
      </c>
      <c r="L1012" t="b">
        <f>ISBLANK(Compil[[#This Row],[DESIGNATION]])</f>
        <v>0</v>
      </c>
      <c r="M1012" s="359"/>
      <c r="N1012" s="358"/>
      <c r="O1012" s="358"/>
      <c r="P1012" s="358"/>
      <c r="Q1012" s="358">
        <f>COUNTIF(Compil[[Ma Désignation ]],Compil[[Ma Désignation ]])</f>
        <v>14</v>
      </c>
    </row>
    <row r="1013" spans="1:17" ht="14">
      <c r="A1013" s="362">
        <v>397</v>
      </c>
      <c r="B1013" s="364"/>
      <c r="C1013" s="423" t="s">
        <v>268</v>
      </c>
      <c r="D1013" t="str">
        <f xml:space="preserve"> TRIM( SUBSTITUTE(SUBSTITUTE(SUBSTITUTE( Compil[[#This Row],[DESIGNATION]],"-",""),"–",""),"*",""))</f>
        <v>Prise de courant 2P+T10/16A LaveLinge</v>
      </c>
      <c r="E1013" s="55" t="s">
        <v>13</v>
      </c>
      <c r="F1013" s="386"/>
      <c r="G1013" s="389" t="s">
        <v>571</v>
      </c>
      <c r="H1013" s="302" t="s">
        <v>571</v>
      </c>
      <c r="I1013" t="s">
        <v>570</v>
      </c>
      <c r="J1013" t="b">
        <f>AND(NOT(Compil[[#This Row],[Est ouvrage]]), NOT(ISBLANK(Compil[[#This Row],[ART.
CCTP]])))</f>
        <v>0</v>
      </c>
      <c r="K1013" t="b">
        <f>OR(Compil[[#This Row],[Unité]]="U",Compil[[#This Row],[Unité]]="ens",Compil[[#This Row],[Unité]]="ml")</f>
        <v>1</v>
      </c>
      <c r="L1013" t="b">
        <f>ISBLANK(Compil[[#This Row],[DESIGNATION]])</f>
        <v>0</v>
      </c>
      <c r="M1013" s="359"/>
      <c r="N1013" s="358"/>
      <c r="O1013" s="358"/>
      <c r="P1013" s="358"/>
      <c r="Q1013" s="358">
        <f>COUNTIF(Compil[[Ma Désignation ]],Compil[[Ma Désignation ]])</f>
        <v>14</v>
      </c>
    </row>
    <row r="1014" spans="1:17" ht="14">
      <c r="A1014" s="362">
        <v>431</v>
      </c>
      <c r="B1014" s="364"/>
      <c r="C1014" s="423" t="s">
        <v>268</v>
      </c>
      <c r="D1014" t="str">
        <f xml:space="preserve"> TRIM( SUBSTITUTE(SUBSTITUTE(SUBSTITUTE( Compil[[#This Row],[DESIGNATION]],"-",""),"–",""),"*",""))</f>
        <v>Prise de courant 2P+T10/16A LaveLinge</v>
      </c>
      <c r="E1014" s="55" t="s">
        <v>13</v>
      </c>
      <c r="F1014" s="386">
        <v>1</v>
      </c>
      <c r="G1014" s="389">
        <v>0</v>
      </c>
      <c r="H1014" s="302">
        <v>0</v>
      </c>
      <c r="I1014" t="s">
        <v>570</v>
      </c>
      <c r="J1014" t="b">
        <f>AND(NOT(Compil[[#This Row],[Est ouvrage]]), NOT(ISBLANK(Compil[[#This Row],[ART.
CCTP]])))</f>
        <v>0</v>
      </c>
      <c r="K1014" t="b">
        <f>OR(Compil[[#This Row],[Unité]]="U",Compil[[#This Row],[Unité]]="ens",Compil[[#This Row],[Unité]]="ml")</f>
        <v>1</v>
      </c>
      <c r="L1014" t="b">
        <f>ISBLANK(Compil[[#This Row],[DESIGNATION]])</f>
        <v>0</v>
      </c>
      <c r="M1014" s="359"/>
      <c r="N1014" s="358"/>
      <c r="O1014" s="358"/>
      <c r="P1014" s="358"/>
      <c r="Q1014" s="358">
        <f>COUNTIF(Compil[[Ma Désignation ]],Compil[[Ma Désignation ]])</f>
        <v>14</v>
      </c>
    </row>
    <row r="1015" spans="1:17" ht="14">
      <c r="A1015" s="362">
        <v>449</v>
      </c>
      <c r="B1015" s="364"/>
      <c r="C1015" s="423" t="s">
        <v>268</v>
      </c>
      <c r="D1015" t="str">
        <f xml:space="preserve"> TRIM( SUBSTITUTE(SUBSTITUTE(SUBSTITUTE( Compil[[#This Row],[DESIGNATION]],"-",""),"–",""),"*",""))</f>
        <v>Prise de courant 2P+T10/16A LaveLinge</v>
      </c>
      <c r="E1015" s="55" t="s">
        <v>13</v>
      </c>
      <c r="F1015" s="386"/>
      <c r="G1015" s="389" t="s">
        <v>571</v>
      </c>
      <c r="H1015" s="302" t="s">
        <v>571</v>
      </c>
      <c r="I1015" t="s">
        <v>570</v>
      </c>
      <c r="J1015" t="b">
        <f>AND(NOT(Compil[[#This Row],[Est ouvrage]]), NOT(ISBLANK(Compil[[#This Row],[ART.
CCTP]])))</f>
        <v>0</v>
      </c>
      <c r="K1015" t="b">
        <f>OR(Compil[[#This Row],[Unité]]="U",Compil[[#This Row],[Unité]]="ens",Compil[[#This Row],[Unité]]="ml")</f>
        <v>1</v>
      </c>
      <c r="L1015" t="b">
        <f>ISBLANK(Compil[[#This Row],[DESIGNATION]])</f>
        <v>0</v>
      </c>
      <c r="M1015" s="359"/>
      <c r="N1015" s="358"/>
      <c r="O1015" s="358"/>
      <c r="P1015" s="358"/>
      <c r="Q1015" s="358">
        <f>COUNTIF(Compil[[Ma Désignation ]],Compil[[Ma Désignation ]])</f>
        <v>14</v>
      </c>
    </row>
    <row r="1016" spans="1:17">
      <c r="A1016">
        <v>1011</v>
      </c>
      <c r="C1016" s="426"/>
      <c r="D1016" t="str">
        <f xml:space="preserve"> TRIM( SUBSTITUTE(SUBSTITUTE(SUBSTITUTE( Compil[[#This Row],[DESIGNATION]],"-",""),"–",""),"*",""))</f>
        <v/>
      </c>
      <c r="E1016" s="313"/>
      <c r="F1016" s="275"/>
      <c r="G1016" s="315" t="s">
        <v>571</v>
      </c>
      <c r="H1016" s="316" t="s">
        <v>571</v>
      </c>
      <c r="I1016" t="s">
        <v>579</v>
      </c>
      <c r="J1016" t="b">
        <f>AND(NOT(Compil[[#This Row],[Est ouvrage]]), NOT(ISBLANK(Compil[[#This Row],[ART.
CCTP]])))</f>
        <v>0</v>
      </c>
      <c r="K1016" t="b">
        <f>OR(Compil[[#This Row],[Unité]]="U",Compil[[#This Row],[Unité]]="ens",Compil[[#This Row],[Unité]]="ml")</f>
        <v>0</v>
      </c>
      <c r="L1016" t="b">
        <f>ISBLANK(Compil[[#This Row],[DESIGNATION]])</f>
        <v>1</v>
      </c>
      <c r="M1016" s="358"/>
      <c r="N1016" s="358"/>
      <c r="O1016" s="358"/>
      <c r="P1016" s="358"/>
      <c r="Q1016" s="358">
        <f>COUNTIF(Compil[[Ma Désignation ]],Compil[[Ma Désignation ]])</f>
        <v>306</v>
      </c>
    </row>
    <row r="1017" spans="1:17" ht="14">
      <c r="A1017" s="362">
        <v>486</v>
      </c>
      <c r="B1017" s="364"/>
      <c r="C1017" s="423" t="s">
        <v>268</v>
      </c>
      <c r="D1017" t="str">
        <f xml:space="preserve"> TRIM( SUBSTITUTE(SUBSTITUTE(SUBSTITUTE( Compil[[#This Row],[DESIGNATION]],"-",""),"–",""),"*",""))</f>
        <v>Prise de courant 2P+T10/16A LaveLinge</v>
      </c>
      <c r="E1017" s="55" t="s">
        <v>13</v>
      </c>
      <c r="F1017" s="386">
        <v>1</v>
      </c>
      <c r="G1017" s="389">
        <v>0</v>
      </c>
      <c r="H1017" s="302">
        <v>0</v>
      </c>
      <c r="I1017" t="s">
        <v>570</v>
      </c>
      <c r="J1017" t="b">
        <f>AND(NOT(Compil[[#This Row],[Est ouvrage]]), NOT(ISBLANK(Compil[[#This Row],[ART.
CCTP]])))</f>
        <v>0</v>
      </c>
      <c r="K1017" t="b">
        <f>OR(Compil[[#This Row],[Unité]]="U",Compil[[#This Row],[Unité]]="ens",Compil[[#This Row],[Unité]]="ml")</f>
        <v>1</v>
      </c>
      <c r="L1017" t="b">
        <f>ISBLANK(Compil[[#This Row],[DESIGNATION]])</f>
        <v>0</v>
      </c>
      <c r="M1017" s="359"/>
      <c r="N1017" s="358"/>
      <c r="O1017" s="358"/>
      <c r="P1017" s="358"/>
      <c r="Q1017" s="358">
        <f>COUNTIF(Compil[[Ma Désignation ]],Compil[[Ma Désignation ]])</f>
        <v>14</v>
      </c>
    </row>
    <row r="1018" spans="1:17" ht="14">
      <c r="A1018" s="362">
        <v>505</v>
      </c>
      <c r="B1018" s="364"/>
      <c r="C1018" s="423" t="s">
        <v>268</v>
      </c>
      <c r="D1018" t="str">
        <f xml:space="preserve"> TRIM( SUBSTITUTE(SUBSTITUTE(SUBSTITUTE( Compil[[#This Row],[DESIGNATION]],"-",""),"–",""),"*",""))</f>
        <v>Prise de courant 2P+T10/16A LaveLinge</v>
      </c>
      <c r="E1018" s="55" t="s">
        <v>13</v>
      </c>
      <c r="F1018" s="386"/>
      <c r="G1018" s="389" t="s">
        <v>571</v>
      </c>
      <c r="H1018" s="302" t="s">
        <v>571</v>
      </c>
      <c r="I1018" t="s">
        <v>570</v>
      </c>
      <c r="J1018" t="b">
        <f>AND(NOT(Compil[[#This Row],[Est ouvrage]]), NOT(ISBLANK(Compil[[#This Row],[ART.
CCTP]])))</f>
        <v>0</v>
      </c>
      <c r="K1018" t="b">
        <f>OR(Compil[[#This Row],[Unité]]="U",Compil[[#This Row],[Unité]]="ens",Compil[[#This Row],[Unité]]="ml")</f>
        <v>1</v>
      </c>
      <c r="L1018" t="b">
        <f>ISBLANK(Compil[[#This Row],[DESIGNATION]])</f>
        <v>0</v>
      </c>
      <c r="M1018" s="359"/>
      <c r="N1018" s="358"/>
      <c r="O1018" s="358"/>
      <c r="P1018" s="358"/>
      <c r="Q1018" s="358">
        <f>COUNTIF(Compil[[Ma Désignation ]],Compil[[Ma Désignation ]])</f>
        <v>14</v>
      </c>
    </row>
    <row r="1019" spans="1:17" ht="14">
      <c r="A1019" s="362">
        <v>542</v>
      </c>
      <c r="B1019" s="364"/>
      <c r="C1019" s="423" t="s">
        <v>268</v>
      </c>
      <c r="D1019" t="str">
        <f xml:space="preserve"> TRIM( SUBSTITUTE(SUBSTITUTE(SUBSTITUTE( Compil[[#This Row],[DESIGNATION]],"-",""),"–",""),"*",""))</f>
        <v>Prise de courant 2P+T10/16A LaveLinge</v>
      </c>
      <c r="E1019" s="55" t="s">
        <v>13</v>
      </c>
      <c r="F1019" s="386">
        <v>1</v>
      </c>
      <c r="G1019" s="389">
        <v>0</v>
      </c>
      <c r="H1019" s="302">
        <v>0</v>
      </c>
      <c r="I1019" t="s">
        <v>570</v>
      </c>
      <c r="J1019" t="b">
        <f>AND(NOT(Compil[[#This Row],[Est ouvrage]]), NOT(ISBLANK(Compil[[#This Row],[ART.
CCTP]])))</f>
        <v>0</v>
      </c>
      <c r="K1019" t="b">
        <f>OR(Compil[[#This Row],[Unité]]="U",Compil[[#This Row],[Unité]]="ens",Compil[[#This Row],[Unité]]="ml")</f>
        <v>1</v>
      </c>
      <c r="L1019" t="b">
        <f>ISBLANK(Compil[[#This Row],[DESIGNATION]])</f>
        <v>0</v>
      </c>
      <c r="M1019" s="359"/>
      <c r="N1019" s="358"/>
      <c r="O1019" s="358"/>
      <c r="P1019" s="358"/>
      <c r="Q1019" s="358">
        <f>COUNTIF(Compil[[Ma Désignation ]],Compil[[Ma Désignation ]])</f>
        <v>14</v>
      </c>
    </row>
    <row r="1020" spans="1:17" ht="14">
      <c r="A1020" s="362">
        <v>561</v>
      </c>
      <c r="B1020" s="364"/>
      <c r="C1020" s="423" t="s">
        <v>268</v>
      </c>
      <c r="D1020" t="str">
        <f xml:space="preserve"> TRIM( SUBSTITUTE(SUBSTITUTE(SUBSTITUTE( Compil[[#This Row],[DESIGNATION]],"-",""),"–",""),"*",""))</f>
        <v>Prise de courant 2P+T10/16A LaveLinge</v>
      </c>
      <c r="E1020" s="55" t="s">
        <v>13</v>
      </c>
      <c r="F1020" s="386"/>
      <c r="G1020" s="389" t="s">
        <v>571</v>
      </c>
      <c r="H1020" s="302" t="s">
        <v>571</v>
      </c>
      <c r="I1020" t="s">
        <v>570</v>
      </c>
      <c r="J1020" t="b">
        <f>AND(NOT(Compil[[#This Row],[Est ouvrage]]), NOT(ISBLANK(Compil[[#This Row],[ART.
CCTP]])))</f>
        <v>0</v>
      </c>
      <c r="K1020" t="b">
        <f>OR(Compil[[#This Row],[Unité]]="U",Compil[[#This Row],[Unité]]="ens",Compil[[#This Row],[Unité]]="ml")</f>
        <v>1</v>
      </c>
      <c r="L1020" t="b">
        <f>ISBLANK(Compil[[#This Row],[DESIGNATION]])</f>
        <v>0</v>
      </c>
      <c r="M1020" s="359"/>
      <c r="N1020" s="358"/>
      <c r="O1020" s="358"/>
      <c r="P1020" s="358"/>
      <c r="Q1020" s="358">
        <f>COUNTIF(Compil[[Ma Désignation ]],Compil[[Ma Désignation ]])</f>
        <v>14</v>
      </c>
    </row>
    <row r="1021" spans="1:17" ht="14">
      <c r="A1021" s="362">
        <v>598</v>
      </c>
      <c r="B1021" s="364"/>
      <c r="C1021" s="423" t="s">
        <v>268</v>
      </c>
      <c r="D1021" t="str">
        <f xml:space="preserve"> TRIM( SUBSTITUTE(SUBSTITUTE(SUBSTITUTE( Compil[[#This Row],[DESIGNATION]],"-",""),"–",""),"*",""))</f>
        <v>Prise de courant 2P+T10/16A LaveLinge</v>
      </c>
      <c r="E1021" s="55" t="s">
        <v>13</v>
      </c>
      <c r="F1021" s="386">
        <v>1</v>
      </c>
      <c r="G1021" s="389">
        <v>0</v>
      </c>
      <c r="H1021" s="302">
        <v>0</v>
      </c>
      <c r="I1021" t="s">
        <v>570</v>
      </c>
      <c r="J1021" t="b">
        <f>AND(NOT(Compil[[#This Row],[Est ouvrage]]), NOT(ISBLANK(Compil[[#This Row],[ART.
CCTP]])))</f>
        <v>0</v>
      </c>
      <c r="K1021" t="b">
        <f>OR(Compil[[#This Row],[Unité]]="U",Compil[[#This Row],[Unité]]="ens",Compil[[#This Row],[Unité]]="ml")</f>
        <v>1</v>
      </c>
      <c r="L1021" t="b">
        <f>ISBLANK(Compil[[#This Row],[DESIGNATION]])</f>
        <v>0</v>
      </c>
      <c r="M1021" s="359"/>
      <c r="N1021" s="358"/>
      <c r="O1021" s="358"/>
      <c r="P1021" s="358"/>
      <c r="Q1021" s="358">
        <f>COUNTIF(Compil[[Ma Désignation ]],Compil[[Ma Désignation ]])</f>
        <v>14</v>
      </c>
    </row>
    <row r="1022" spans="1:17" ht="14">
      <c r="A1022" s="362">
        <v>617</v>
      </c>
      <c r="B1022" s="364"/>
      <c r="C1022" s="423" t="s">
        <v>268</v>
      </c>
      <c r="D1022" t="str">
        <f xml:space="preserve"> TRIM( SUBSTITUTE(SUBSTITUTE(SUBSTITUTE( Compil[[#This Row],[DESIGNATION]],"-",""),"–",""),"*",""))</f>
        <v>Prise de courant 2P+T10/16A LaveLinge</v>
      </c>
      <c r="E1022" s="55" t="s">
        <v>13</v>
      </c>
      <c r="F1022" s="386"/>
      <c r="G1022" s="389" t="s">
        <v>571</v>
      </c>
      <c r="H1022" s="302" t="s">
        <v>571</v>
      </c>
      <c r="I1022" t="s">
        <v>570</v>
      </c>
      <c r="J1022" t="b">
        <f>AND(NOT(Compil[[#This Row],[Est ouvrage]]), NOT(ISBLANK(Compil[[#This Row],[ART.
CCTP]])))</f>
        <v>0</v>
      </c>
      <c r="K1022" t="b">
        <f>OR(Compil[[#This Row],[Unité]]="U",Compil[[#This Row],[Unité]]="ens",Compil[[#This Row],[Unité]]="ml")</f>
        <v>1</v>
      </c>
      <c r="L1022" t="b">
        <f>ISBLANK(Compil[[#This Row],[DESIGNATION]])</f>
        <v>0</v>
      </c>
      <c r="M1022" s="359"/>
      <c r="N1022" s="358"/>
      <c r="O1022" s="358"/>
      <c r="P1022" s="358"/>
      <c r="Q1022" s="358">
        <f>COUNTIF(Compil[[Ma Désignation ]],Compil[[Ma Désignation ]])</f>
        <v>14</v>
      </c>
    </row>
    <row r="1023" spans="1:17" ht="14">
      <c r="A1023" s="362">
        <v>654</v>
      </c>
      <c r="B1023" s="364"/>
      <c r="C1023" s="423" t="s">
        <v>268</v>
      </c>
      <c r="D1023" t="str">
        <f xml:space="preserve"> TRIM( SUBSTITUTE(SUBSTITUTE(SUBSTITUTE( Compil[[#This Row],[DESIGNATION]],"-",""),"–",""),"*",""))</f>
        <v>Prise de courant 2P+T10/16A LaveLinge</v>
      </c>
      <c r="E1023" s="55" t="s">
        <v>13</v>
      </c>
      <c r="F1023" s="386">
        <v>1</v>
      </c>
      <c r="G1023" s="389">
        <v>0</v>
      </c>
      <c r="H1023" s="302">
        <v>0</v>
      </c>
      <c r="I1023" t="s">
        <v>570</v>
      </c>
      <c r="J1023" t="b">
        <f>AND(NOT(Compil[[#This Row],[Est ouvrage]]), NOT(ISBLANK(Compil[[#This Row],[ART.
CCTP]])))</f>
        <v>0</v>
      </c>
      <c r="K1023" t="b">
        <f>OR(Compil[[#This Row],[Unité]]="U",Compil[[#This Row],[Unité]]="ens",Compil[[#This Row],[Unité]]="ml")</f>
        <v>1</v>
      </c>
      <c r="L1023" t="b">
        <f>ISBLANK(Compil[[#This Row],[DESIGNATION]])</f>
        <v>0</v>
      </c>
      <c r="M1023" s="359"/>
      <c r="N1023" s="358"/>
      <c r="O1023" s="358"/>
      <c r="P1023" s="358"/>
      <c r="Q1023" s="358">
        <f>COUNTIF(Compil[[Ma Désignation ]],Compil[[Ma Désignation ]])</f>
        <v>14</v>
      </c>
    </row>
    <row r="1024" spans="1:17" ht="14">
      <c r="A1024" s="362">
        <v>673</v>
      </c>
      <c r="B1024" s="364"/>
      <c r="C1024" s="423" t="s">
        <v>268</v>
      </c>
      <c r="D1024" t="str">
        <f xml:space="preserve"> TRIM( SUBSTITUTE(SUBSTITUTE(SUBSTITUTE( Compil[[#This Row],[DESIGNATION]],"-",""),"–",""),"*",""))</f>
        <v>Prise de courant 2P+T10/16A LaveLinge</v>
      </c>
      <c r="E1024" s="55" t="s">
        <v>13</v>
      </c>
      <c r="F1024" s="386"/>
      <c r="G1024" s="389" t="s">
        <v>571</v>
      </c>
      <c r="H1024" s="302" t="s">
        <v>571</v>
      </c>
      <c r="I1024" t="s">
        <v>570</v>
      </c>
      <c r="J1024" t="b">
        <f>AND(NOT(Compil[[#This Row],[Est ouvrage]]), NOT(ISBLANK(Compil[[#This Row],[ART.
CCTP]])))</f>
        <v>0</v>
      </c>
      <c r="K1024" t="b">
        <f>OR(Compil[[#This Row],[Unité]]="U",Compil[[#This Row],[Unité]]="ens",Compil[[#This Row],[Unité]]="ml")</f>
        <v>1</v>
      </c>
      <c r="L1024" t="b">
        <f>ISBLANK(Compil[[#This Row],[DESIGNATION]])</f>
        <v>0</v>
      </c>
      <c r="M1024" s="359"/>
      <c r="N1024" s="358"/>
      <c r="O1024" s="358"/>
      <c r="P1024" s="358"/>
      <c r="Q1024" s="358">
        <f>COUNTIF(Compil[[Ma Désignation ]],Compil[[Ma Désignation ]])</f>
        <v>14</v>
      </c>
    </row>
    <row r="1025" spans="1:17">
      <c r="A1025" s="170">
        <v>1014</v>
      </c>
      <c r="B1025" s="170"/>
      <c r="C1025" s="437" t="s">
        <v>268</v>
      </c>
      <c r="D1025" t="str">
        <f xml:space="preserve"> TRIM( SUBSTITUTE(SUBSTITUTE(SUBSTITUTE( Compil[[#This Row],[DESIGNATION]],"-",""),"–",""),"*",""))</f>
        <v>Prise de courant 2P+T10/16A LaveLinge</v>
      </c>
      <c r="E1025" s="435" t="s">
        <v>13</v>
      </c>
      <c r="F1025" s="447"/>
      <c r="G1025" s="448" t="s">
        <v>571</v>
      </c>
      <c r="H1025" s="449" t="s">
        <v>571</v>
      </c>
      <c r="I1025" t="s">
        <v>579</v>
      </c>
      <c r="J1025" t="b">
        <f>AND(NOT(Compil[[#This Row],[Est ouvrage]]), NOT(ISBLANK(Compil[[#This Row],[ART.
CCTP]])))</f>
        <v>0</v>
      </c>
      <c r="K1025" t="b">
        <f>OR(Compil[[#This Row],[Unité]]="U",Compil[[#This Row],[Unité]]="ens",Compil[[#This Row],[Unité]]="ml")</f>
        <v>1</v>
      </c>
      <c r="L1025" t="b">
        <f>ISBLANK(Compil[[#This Row],[DESIGNATION]])</f>
        <v>0</v>
      </c>
      <c r="M1025" s="359"/>
      <c r="N1025" s="358"/>
      <c r="O1025" s="358"/>
      <c r="P1025" s="358"/>
      <c r="Q1025" s="358">
        <f>COUNTIF(Compil[[Ma Désignation ]],Compil[[Ma Désignation ]])</f>
        <v>14</v>
      </c>
    </row>
    <row r="1026" spans="1:17">
      <c r="A1026">
        <v>1021</v>
      </c>
      <c r="C1026" s="426"/>
      <c r="D1026" t="str">
        <f xml:space="preserve"> TRIM( SUBSTITUTE(SUBSTITUTE(SUBSTITUTE( Compil[[#This Row],[DESIGNATION]],"-",""),"–",""),"*",""))</f>
        <v/>
      </c>
      <c r="E1026" s="313"/>
      <c r="F1026" s="275"/>
      <c r="G1026" s="315" t="s">
        <v>571</v>
      </c>
      <c r="H1026" s="316" t="s">
        <v>571</v>
      </c>
      <c r="I1026" t="s">
        <v>579</v>
      </c>
      <c r="J1026" t="b">
        <f>AND(NOT(Compil[[#This Row],[Est ouvrage]]), NOT(ISBLANK(Compil[[#This Row],[ART.
CCTP]])))</f>
        <v>0</v>
      </c>
      <c r="K1026" t="b">
        <f>OR(Compil[[#This Row],[Unité]]="U",Compil[[#This Row],[Unité]]="ens",Compil[[#This Row],[Unité]]="ml")</f>
        <v>0</v>
      </c>
      <c r="L1026" t="b">
        <f>ISBLANK(Compil[[#This Row],[DESIGNATION]])</f>
        <v>1</v>
      </c>
      <c r="M1026" s="358"/>
      <c r="N1026" s="358"/>
      <c r="O1026" s="358"/>
      <c r="P1026" s="358"/>
      <c r="Q1026" s="358">
        <f>COUNTIF(Compil[[Ma Désignation ]],Compil[[Ma Désignation ]])</f>
        <v>306</v>
      </c>
    </row>
    <row r="1027" spans="1:17">
      <c r="A1027" s="170">
        <v>1022</v>
      </c>
      <c r="B1027" s="170"/>
      <c r="C1027" s="437" t="s">
        <v>573</v>
      </c>
      <c r="D1027" t="str">
        <f xml:space="preserve"> TRIM( SUBSTITUTE(SUBSTITUTE(SUBSTITUTE( Compil[[#This Row],[DESIGNATION]],"-",""),"–",""),"*",""))</f>
        <v>Appareillages de finition noire</v>
      </c>
      <c r="E1027" s="435"/>
      <c r="F1027" s="447"/>
      <c r="G1027" s="448" t="s">
        <v>571</v>
      </c>
      <c r="H1027" s="449" t="s">
        <v>571</v>
      </c>
      <c r="I1027" t="s">
        <v>579</v>
      </c>
      <c r="J1027" t="b">
        <f>AND(NOT(Compil[[#This Row],[Est ouvrage]]), NOT(ISBLANK(Compil[[#This Row],[ART.
CCTP]])))</f>
        <v>0</v>
      </c>
      <c r="K1027" t="b">
        <f>OR(Compil[[#This Row],[Unité]]="U",Compil[[#This Row],[Unité]]="ens",Compil[[#This Row],[Unité]]="ml")</f>
        <v>0</v>
      </c>
      <c r="L1027" t="b">
        <f>ISBLANK(Compil[[#This Row],[DESIGNATION]])</f>
        <v>0</v>
      </c>
      <c r="M1027" s="359"/>
      <c r="N1027" s="358"/>
      <c r="O1027" s="358"/>
      <c r="P1027" s="358"/>
      <c r="Q1027" s="358">
        <f>COUNTIF(Compil[[Ma Désignation ]],Compil[[Ma Désignation ]])</f>
        <v>9</v>
      </c>
    </row>
    <row r="1028" spans="1:17">
      <c r="A1028" s="170">
        <v>1030</v>
      </c>
      <c r="B1028" s="170"/>
      <c r="C1028" s="437" t="s">
        <v>268</v>
      </c>
      <c r="D1028" t="str">
        <f xml:space="preserve"> TRIM( SUBSTITUTE(SUBSTITUTE(SUBSTITUTE( Compil[[#This Row],[DESIGNATION]],"-",""),"–",""),"*",""))</f>
        <v>Prise de courant 2P+T10/16A LaveLinge</v>
      </c>
      <c r="E1028" s="435" t="s">
        <v>13</v>
      </c>
      <c r="F1028" s="447">
        <v>1</v>
      </c>
      <c r="G1028" s="448">
        <v>0</v>
      </c>
      <c r="H1028" s="449">
        <v>0</v>
      </c>
      <c r="I1028" t="s">
        <v>579</v>
      </c>
      <c r="J1028" t="b">
        <f>AND(NOT(Compil[[#This Row],[Est ouvrage]]), NOT(ISBLANK(Compil[[#This Row],[ART.
CCTP]])))</f>
        <v>0</v>
      </c>
      <c r="K1028" t="b">
        <f>OR(Compil[[#This Row],[Unité]]="U",Compil[[#This Row],[Unité]]="ens",Compil[[#This Row],[Unité]]="ml")</f>
        <v>1</v>
      </c>
      <c r="L1028" t="b">
        <f>ISBLANK(Compil[[#This Row],[DESIGNATION]])</f>
        <v>0</v>
      </c>
      <c r="M1028" s="359"/>
      <c r="N1028" s="358"/>
      <c r="O1028" s="358"/>
      <c r="P1028" s="358"/>
      <c r="Q1028" s="358">
        <f>COUNTIF(Compil[[Ma Désignation ]],Compil[[Ma Désignation ]])</f>
        <v>14</v>
      </c>
    </row>
    <row r="1029" spans="1:17" ht="14">
      <c r="A1029" s="362">
        <v>432</v>
      </c>
      <c r="B1029" s="364"/>
      <c r="C1029" s="423" t="s">
        <v>271</v>
      </c>
      <c r="D1029" t="str">
        <f xml:space="preserve"> TRIM( SUBSTITUTE(SUBSTITUTE(SUBSTITUTE( Compil[[#This Row],[DESIGNATION]],"-",""),"–",""),"*",""))</f>
        <v>Prise de courant 2P+T10/16A LaveVaisselle</v>
      </c>
      <c r="E1029" s="55" t="s">
        <v>13</v>
      </c>
      <c r="F1029" s="386">
        <v>1</v>
      </c>
      <c r="G1029" s="389">
        <v>0</v>
      </c>
      <c r="H1029" s="302">
        <v>0</v>
      </c>
      <c r="I1029" t="s">
        <v>570</v>
      </c>
      <c r="J1029" t="b">
        <f>AND(NOT(Compil[[#This Row],[Est ouvrage]]), NOT(ISBLANK(Compil[[#This Row],[ART.
CCTP]])))</f>
        <v>0</v>
      </c>
      <c r="K1029" t="b">
        <f>OR(Compil[[#This Row],[Unité]]="U",Compil[[#This Row],[Unité]]="ens",Compil[[#This Row],[Unité]]="ml")</f>
        <v>1</v>
      </c>
      <c r="L1029" t="b">
        <f>ISBLANK(Compil[[#This Row],[DESIGNATION]])</f>
        <v>0</v>
      </c>
      <c r="M1029" s="359"/>
      <c r="N1029" s="358"/>
      <c r="O1029" s="358"/>
      <c r="P1029" s="358"/>
      <c r="Q1029" s="358">
        <f>COUNTIF(Compil[[Ma Désignation ]],Compil[[Ma Désignation ]])</f>
        <v>10</v>
      </c>
    </row>
    <row r="1030" spans="1:17" ht="14">
      <c r="A1030" s="362">
        <v>450</v>
      </c>
      <c r="B1030" s="364"/>
      <c r="C1030" s="423" t="s">
        <v>271</v>
      </c>
      <c r="D1030" t="str">
        <f xml:space="preserve"> TRIM( SUBSTITUTE(SUBSTITUTE(SUBSTITUTE( Compil[[#This Row],[DESIGNATION]],"-",""),"–",""),"*",""))</f>
        <v>Prise de courant 2P+T10/16A LaveVaisselle</v>
      </c>
      <c r="E1030" s="55" t="s">
        <v>13</v>
      </c>
      <c r="F1030" s="386"/>
      <c r="G1030" s="389" t="s">
        <v>571</v>
      </c>
      <c r="H1030" s="302" t="s">
        <v>571</v>
      </c>
      <c r="I1030" t="s">
        <v>570</v>
      </c>
      <c r="J1030" t="b">
        <f>AND(NOT(Compil[[#This Row],[Est ouvrage]]), NOT(ISBLANK(Compil[[#This Row],[ART.
CCTP]])))</f>
        <v>0</v>
      </c>
      <c r="K1030" t="b">
        <f>OR(Compil[[#This Row],[Unité]]="U",Compil[[#This Row],[Unité]]="ens",Compil[[#This Row],[Unité]]="ml")</f>
        <v>1</v>
      </c>
      <c r="L1030" t="b">
        <f>ISBLANK(Compil[[#This Row],[DESIGNATION]])</f>
        <v>0</v>
      </c>
      <c r="M1030" s="359"/>
      <c r="N1030" s="358"/>
      <c r="O1030" s="358"/>
      <c r="P1030" s="358"/>
      <c r="Q1030" s="358">
        <f>COUNTIF(Compil[[Ma Désignation ]],Compil[[Ma Désignation ]])</f>
        <v>10</v>
      </c>
    </row>
    <row r="1031" spans="1:17" ht="14">
      <c r="A1031" s="362">
        <v>487</v>
      </c>
      <c r="B1031" s="364"/>
      <c r="C1031" s="423" t="s">
        <v>271</v>
      </c>
      <c r="D1031" t="str">
        <f xml:space="preserve"> TRIM( SUBSTITUTE(SUBSTITUTE(SUBSTITUTE( Compil[[#This Row],[DESIGNATION]],"-",""),"–",""),"*",""))</f>
        <v>Prise de courant 2P+T10/16A LaveVaisselle</v>
      </c>
      <c r="E1031" s="55" t="s">
        <v>13</v>
      </c>
      <c r="F1031" s="386">
        <v>1</v>
      </c>
      <c r="G1031" s="389">
        <v>0</v>
      </c>
      <c r="H1031" s="302">
        <v>0</v>
      </c>
      <c r="I1031" t="s">
        <v>570</v>
      </c>
      <c r="J1031" t="b">
        <f>AND(NOT(Compil[[#This Row],[Est ouvrage]]), NOT(ISBLANK(Compil[[#This Row],[ART.
CCTP]])))</f>
        <v>0</v>
      </c>
      <c r="K1031" t="b">
        <f>OR(Compil[[#This Row],[Unité]]="U",Compil[[#This Row],[Unité]]="ens",Compil[[#This Row],[Unité]]="ml")</f>
        <v>1</v>
      </c>
      <c r="L1031" t="b">
        <f>ISBLANK(Compil[[#This Row],[DESIGNATION]])</f>
        <v>0</v>
      </c>
      <c r="M1031" s="359"/>
      <c r="N1031" s="358"/>
      <c r="O1031" s="358"/>
      <c r="P1031" s="358"/>
      <c r="Q1031" s="358">
        <f>COUNTIF(Compil[[Ma Désignation ]],Compil[[Ma Désignation ]])</f>
        <v>10</v>
      </c>
    </row>
    <row r="1032" spans="1:17">
      <c r="A1032">
        <v>1027</v>
      </c>
      <c r="C1032" s="426"/>
      <c r="D1032" t="str">
        <f xml:space="preserve"> TRIM( SUBSTITUTE(SUBSTITUTE(SUBSTITUTE( Compil[[#This Row],[DESIGNATION]],"-",""),"–",""),"*",""))</f>
        <v/>
      </c>
      <c r="E1032" s="313"/>
      <c r="F1032" s="275"/>
      <c r="G1032" s="315" t="s">
        <v>571</v>
      </c>
      <c r="H1032" s="316" t="s">
        <v>571</v>
      </c>
      <c r="I1032" t="s">
        <v>579</v>
      </c>
      <c r="J1032" t="b">
        <f>AND(NOT(Compil[[#This Row],[Est ouvrage]]), NOT(ISBLANK(Compil[[#This Row],[ART.
CCTP]])))</f>
        <v>0</v>
      </c>
      <c r="K1032" t="b">
        <f>OR(Compil[[#This Row],[Unité]]="U",Compil[[#This Row],[Unité]]="ens",Compil[[#This Row],[Unité]]="ml")</f>
        <v>0</v>
      </c>
      <c r="L1032" t="b">
        <f>ISBLANK(Compil[[#This Row],[DESIGNATION]])</f>
        <v>1</v>
      </c>
      <c r="M1032" s="358"/>
      <c r="N1032" s="358"/>
      <c r="O1032" s="358"/>
      <c r="P1032" s="358"/>
      <c r="Q1032" s="358">
        <f>COUNTIF(Compil[[Ma Désignation ]],Compil[[Ma Désignation ]])</f>
        <v>306</v>
      </c>
    </row>
    <row r="1033" spans="1:17" ht="14">
      <c r="A1033" s="362">
        <v>506</v>
      </c>
      <c r="B1033" s="364"/>
      <c r="C1033" s="423" t="s">
        <v>271</v>
      </c>
      <c r="D1033" t="str">
        <f xml:space="preserve"> TRIM( SUBSTITUTE(SUBSTITUTE(SUBSTITUTE( Compil[[#This Row],[DESIGNATION]],"-",""),"–",""),"*",""))</f>
        <v>Prise de courant 2P+T10/16A LaveVaisselle</v>
      </c>
      <c r="E1033" s="55" t="s">
        <v>13</v>
      </c>
      <c r="F1033" s="386"/>
      <c r="G1033" s="389" t="s">
        <v>571</v>
      </c>
      <c r="H1033" s="302" t="s">
        <v>571</v>
      </c>
      <c r="I1033" t="s">
        <v>570</v>
      </c>
      <c r="J1033" t="b">
        <f>AND(NOT(Compil[[#This Row],[Est ouvrage]]), NOT(ISBLANK(Compil[[#This Row],[ART.
CCTP]])))</f>
        <v>0</v>
      </c>
      <c r="K1033" t="b">
        <f>OR(Compil[[#This Row],[Unité]]="U",Compil[[#This Row],[Unité]]="ens",Compil[[#This Row],[Unité]]="ml")</f>
        <v>1</v>
      </c>
      <c r="L1033" t="b">
        <f>ISBLANK(Compil[[#This Row],[DESIGNATION]])</f>
        <v>0</v>
      </c>
      <c r="M1033" s="359"/>
      <c r="N1033" s="358"/>
      <c r="O1033" s="358"/>
      <c r="P1033" s="358"/>
      <c r="Q1033" s="358">
        <f>COUNTIF(Compil[[Ma Désignation ]],Compil[[Ma Désignation ]])</f>
        <v>10</v>
      </c>
    </row>
    <row r="1034" spans="1:17" ht="14">
      <c r="A1034" s="362">
        <v>543</v>
      </c>
      <c r="B1034" s="364"/>
      <c r="C1034" s="423" t="s">
        <v>271</v>
      </c>
      <c r="D1034" t="str">
        <f xml:space="preserve"> TRIM( SUBSTITUTE(SUBSTITUTE(SUBSTITUTE( Compil[[#This Row],[DESIGNATION]],"-",""),"–",""),"*",""))</f>
        <v>Prise de courant 2P+T10/16A LaveVaisselle</v>
      </c>
      <c r="E1034" s="55" t="s">
        <v>13</v>
      </c>
      <c r="F1034" s="386">
        <v>1</v>
      </c>
      <c r="G1034" s="389">
        <v>0</v>
      </c>
      <c r="H1034" s="302">
        <v>0</v>
      </c>
      <c r="I1034" t="s">
        <v>570</v>
      </c>
      <c r="J1034" t="b">
        <f>AND(NOT(Compil[[#This Row],[Est ouvrage]]), NOT(ISBLANK(Compil[[#This Row],[ART.
CCTP]])))</f>
        <v>0</v>
      </c>
      <c r="K1034" t="b">
        <f>OR(Compil[[#This Row],[Unité]]="U",Compil[[#This Row],[Unité]]="ens",Compil[[#This Row],[Unité]]="ml")</f>
        <v>1</v>
      </c>
      <c r="L1034" t="b">
        <f>ISBLANK(Compil[[#This Row],[DESIGNATION]])</f>
        <v>0</v>
      </c>
      <c r="M1034" s="359"/>
      <c r="N1034" s="358"/>
      <c r="O1034" s="358"/>
      <c r="P1034" s="358"/>
      <c r="Q1034" s="358">
        <f>COUNTIF(Compil[[Ma Désignation ]],Compil[[Ma Désignation ]])</f>
        <v>10</v>
      </c>
    </row>
    <row r="1035" spans="1:17" ht="14">
      <c r="A1035" s="362">
        <v>562</v>
      </c>
      <c r="B1035" s="364"/>
      <c r="C1035" s="423" t="s">
        <v>271</v>
      </c>
      <c r="D1035" t="str">
        <f xml:space="preserve"> TRIM( SUBSTITUTE(SUBSTITUTE(SUBSTITUTE( Compil[[#This Row],[DESIGNATION]],"-",""),"–",""),"*",""))</f>
        <v>Prise de courant 2P+T10/16A LaveVaisselle</v>
      </c>
      <c r="E1035" s="55" t="s">
        <v>13</v>
      </c>
      <c r="F1035" s="386"/>
      <c r="G1035" s="389" t="s">
        <v>571</v>
      </c>
      <c r="H1035" s="302" t="s">
        <v>571</v>
      </c>
      <c r="I1035" t="s">
        <v>570</v>
      </c>
      <c r="J1035" t="b">
        <f>AND(NOT(Compil[[#This Row],[Est ouvrage]]), NOT(ISBLANK(Compil[[#This Row],[ART.
CCTP]])))</f>
        <v>0</v>
      </c>
      <c r="K1035" t="b">
        <f>OR(Compil[[#This Row],[Unité]]="U",Compil[[#This Row],[Unité]]="ens",Compil[[#This Row],[Unité]]="ml")</f>
        <v>1</v>
      </c>
      <c r="L1035" t="b">
        <f>ISBLANK(Compil[[#This Row],[DESIGNATION]])</f>
        <v>0</v>
      </c>
      <c r="M1035" s="359"/>
      <c r="N1035" s="358"/>
      <c r="O1035" s="358"/>
      <c r="P1035" s="358"/>
      <c r="Q1035" s="358">
        <f>COUNTIF(Compil[[Ma Désignation ]],Compil[[Ma Désignation ]])</f>
        <v>10</v>
      </c>
    </row>
    <row r="1036" spans="1:17" ht="14">
      <c r="A1036" s="362">
        <v>599</v>
      </c>
      <c r="B1036" s="364"/>
      <c r="C1036" s="423" t="s">
        <v>271</v>
      </c>
      <c r="D1036" t="str">
        <f xml:space="preserve"> TRIM( SUBSTITUTE(SUBSTITUTE(SUBSTITUTE( Compil[[#This Row],[DESIGNATION]],"-",""),"–",""),"*",""))</f>
        <v>Prise de courant 2P+T10/16A LaveVaisselle</v>
      </c>
      <c r="E1036" s="55" t="s">
        <v>13</v>
      </c>
      <c r="F1036" s="386">
        <v>1</v>
      </c>
      <c r="G1036" s="389">
        <v>0</v>
      </c>
      <c r="H1036" s="302">
        <v>0</v>
      </c>
      <c r="I1036" t="s">
        <v>570</v>
      </c>
      <c r="J1036" t="b">
        <f>AND(NOT(Compil[[#This Row],[Est ouvrage]]), NOT(ISBLANK(Compil[[#This Row],[ART.
CCTP]])))</f>
        <v>0</v>
      </c>
      <c r="K1036" t="b">
        <f>OR(Compil[[#This Row],[Unité]]="U",Compil[[#This Row],[Unité]]="ens",Compil[[#This Row],[Unité]]="ml")</f>
        <v>1</v>
      </c>
      <c r="L1036" t="b">
        <f>ISBLANK(Compil[[#This Row],[DESIGNATION]])</f>
        <v>0</v>
      </c>
      <c r="M1036" s="359"/>
      <c r="N1036" s="358"/>
      <c r="O1036" s="358"/>
      <c r="P1036" s="358"/>
      <c r="Q1036" s="358">
        <f>COUNTIF(Compil[[Ma Désignation ]],Compil[[Ma Désignation ]])</f>
        <v>10</v>
      </c>
    </row>
    <row r="1037" spans="1:17" ht="14">
      <c r="A1037" s="362">
        <v>618</v>
      </c>
      <c r="B1037" s="364"/>
      <c r="C1037" s="423" t="s">
        <v>271</v>
      </c>
      <c r="D1037" t="str">
        <f xml:space="preserve"> TRIM( SUBSTITUTE(SUBSTITUTE(SUBSTITUTE( Compil[[#This Row],[DESIGNATION]],"-",""),"–",""),"*",""))</f>
        <v>Prise de courant 2P+T10/16A LaveVaisselle</v>
      </c>
      <c r="E1037" s="55" t="s">
        <v>13</v>
      </c>
      <c r="F1037" s="386"/>
      <c r="G1037" s="389" t="s">
        <v>571</v>
      </c>
      <c r="H1037" s="302" t="s">
        <v>571</v>
      </c>
      <c r="I1037" t="s">
        <v>570</v>
      </c>
      <c r="J1037" t="b">
        <f>AND(NOT(Compil[[#This Row],[Est ouvrage]]), NOT(ISBLANK(Compil[[#This Row],[ART.
CCTP]])))</f>
        <v>0</v>
      </c>
      <c r="K1037" t="b">
        <f>OR(Compil[[#This Row],[Unité]]="U",Compil[[#This Row],[Unité]]="ens",Compil[[#This Row],[Unité]]="ml")</f>
        <v>1</v>
      </c>
      <c r="L1037" t="b">
        <f>ISBLANK(Compil[[#This Row],[DESIGNATION]])</f>
        <v>0</v>
      </c>
      <c r="M1037" s="359"/>
      <c r="N1037" s="358"/>
      <c r="O1037" s="358"/>
      <c r="P1037" s="358"/>
      <c r="Q1037" s="358">
        <f>COUNTIF(Compil[[Ma Désignation ]],Compil[[Ma Désignation ]])</f>
        <v>10</v>
      </c>
    </row>
    <row r="1038" spans="1:17" ht="14">
      <c r="A1038" s="362">
        <v>655</v>
      </c>
      <c r="B1038" s="364"/>
      <c r="C1038" s="423" t="s">
        <v>271</v>
      </c>
      <c r="D1038" t="str">
        <f xml:space="preserve"> TRIM( SUBSTITUTE(SUBSTITUTE(SUBSTITUTE( Compil[[#This Row],[DESIGNATION]],"-",""),"–",""),"*",""))</f>
        <v>Prise de courant 2P+T10/16A LaveVaisselle</v>
      </c>
      <c r="E1038" s="55" t="s">
        <v>13</v>
      </c>
      <c r="F1038" s="386">
        <v>1</v>
      </c>
      <c r="G1038" s="389">
        <v>0</v>
      </c>
      <c r="H1038" s="302">
        <v>0</v>
      </c>
      <c r="I1038" t="s">
        <v>570</v>
      </c>
      <c r="J1038" t="b">
        <f>AND(NOT(Compil[[#This Row],[Est ouvrage]]), NOT(ISBLANK(Compil[[#This Row],[ART.
CCTP]])))</f>
        <v>0</v>
      </c>
      <c r="K1038" t="b">
        <f>OR(Compil[[#This Row],[Unité]]="U",Compil[[#This Row],[Unité]]="ens",Compil[[#This Row],[Unité]]="ml")</f>
        <v>1</v>
      </c>
      <c r="L1038" t="b">
        <f>ISBLANK(Compil[[#This Row],[DESIGNATION]])</f>
        <v>0</v>
      </c>
      <c r="M1038" s="359"/>
      <c r="N1038" s="358"/>
      <c r="O1038" s="358"/>
      <c r="P1038" s="358"/>
      <c r="Q1038" s="358">
        <f>COUNTIF(Compil[[Ma Désignation ]],Compil[[Ma Désignation ]])</f>
        <v>10</v>
      </c>
    </row>
    <row r="1039" spans="1:17" ht="14">
      <c r="A1039" s="362">
        <v>674</v>
      </c>
      <c r="B1039" s="364"/>
      <c r="C1039" s="423" t="s">
        <v>271</v>
      </c>
      <c r="D1039" t="str">
        <f xml:space="preserve"> TRIM( SUBSTITUTE(SUBSTITUTE(SUBSTITUTE( Compil[[#This Row],[DESIGNATION]],"-",""),"–",""),"*",""))</f>
        <v>Prise de courant 2P+T10/16A LaveVaisselle</v>
      </c>
      <c r="E1039" s="55" t="s">
        <v>13</v>
      </c>
      <c r="F1039" s="386"/>
      <c r="G1039" s="389" t="s">
        <v>571</v>
      </c>
      <c r="H1039" s="302" t="s">
        <v>571</v>
      </c>
      <c r="I1039" t="s">
        <v>570</v>
      </c>
      <c r="J1039" t="b">
        <f>AND(NOT(Compil[[#This Row],[Est ouvrage]]), NOT(ISBLANK(Compil[[#This Row],[ART.
CCTP]])))</f>
        <v>0</v>
      </c>
      <c r="K1039" t="b">
        <f>OR(Compil[[#This Row],[Unité]]="U",Compil[[#This Row],[Unité]]="ens",Compil[[#This Row],[Unité]]="ml")</f>
        <v>1</v>
      </c>
      <c r="L1039" t="b">
        <f>ISBLANK(Compil[[#This Row],[DESIGNATION]])</f>
        <v>0</v>
      </c>
      <c r="M1039" s="359"/>
      <c r="N1039" s="358"/>
      <c r="O1039" s="358"/>
      <c r="P1039" s="358"/>
      <c r="Q1039" s="358">
        <f>COUNTIF(Compil[[Ma Désignation ]],Compil[[Ma Désignation ]])</f>
        <v>10</v>
      </c>
    </row>
    <row r="1040" spans="1:17">
      <c r="A1040" s="170">
        <v>1060</v>
      </c>
      <c r="B1040" s="170"/>
      <c r="C1040" s="437" t="s">
        <v>448</v>
      </c>
      <c r="D1040" t="str">
        <f xml:space="preserve"> TRIM( SUBSTITUTE(SUBSTITUTE(SUBSTITUTE( Compil[[#This Row],[DESIGNATION]],"-",""),"–",""),"*",""))</f>
        <v>Prise de courant 2P+T10/16A service</v>
      </c>
      <c r="E1040" s="435" t="s">
        <v>13</v>
      </c>
      <c r="F1040" s="447"/>
      <c r="G1040" s="448" t="s">
        <v>571</v>
      </c>
      <c r="H1040" s="449" t="s">
        <v>571</v>
      </c>
      <c r="I1040" t="s">
        <v>579</v>
      </c>
      <c r="J1040" t="b">
        <f>AND(NOT(Compil[[#This Row],[Est ouvrage]]), NOT(ISBLANK(Compil[[#This Row],[ART.
CCTP]])))</f>
        <v>0</v>
      </c>
      <c r="K1040" t="b">
        <f>OR(Compil[[#This Row],[Unité]]="U",Compil[[#This Row],[Unité]]="ens",Compil[[#This Row],[Unité]]="ml")</f>
        <v>1</v>
      </c>
      <c r="L1040" t="b">
        <f>ISBLANK(Compil[[#This Row],[DESIGNATION]])</f>
        <v>0</v>
      </c>
      <c r="M1040" s="359"/>
      <c r="N1040" s="358"/>
      <c r="O1040" s="358"/>
      <c r="P1040" s="358"/>
      <c r="Q1040" s="358">
        <f>COUNTIF(Compil[[Ma Désignation ]],Compil[[Ma Désignation ]])</f>
        <v>4</v>
      </c>
    </row>
    <row r="1041" spans="1:17">
      <c r="A1041">
        <v>1036</v>
      </c>
      <c r="C1041" s="426"/>
      <c r="D1041" t="str">
        <f xml:space="preserve"> TRIM( SUBSTITUTE(SUBSTITUTE(SUBSTITUTE( Compil[[#This Row],[DESIGNATION]],"-",""),"–",""),"*",""))</f>
        <v/>
      </c>
      <c r="E1041" s="313"/>
      <c r="F1041" s="275"/>
      <c r="G1041" s="315" t="s">
        <v>571</v>
      </c>
      <c r="H1041" s="316" t="s">
        <v>571</v>
      </c>
      <c r="I1041" t="s">
        <v>579</v>
      </c>
      <c r="J1041" t="b">
        <f>AND(NOT(Compil[[#This Row],[Est ouvrage]]), NOT(ISBLANK(Compil[[#This Row],[ART.
CCTP]])))</f>
        <v>0</v>
      </c>
      <c r="K1041" t="b">
        <f>OR(Compil[[#This Row],[Unité]]="U",Compil[[#This Row],[Unité]]="ens",Compil[[#This Row],[Unité]]="ml")</f>
        <v>0</v>
      </c>
      <c r="L1041" t="b">
        <f>ISBLANK(Compil[[#This Row],[DESIGNATION]])</f>
        <v>1</v>
      </c>
      <c r="M1041" s="358"/>
      <c r="N1041" s="358"/>
      <c r="O1041" s="358"/>
      <c r="P1041" s="358"/>
      <c r="Q1041" s="358">
        <f>COUNTIF(Compil[[Ma Désignation ]],Compil[[Ma Désignation ]])</f>
        <v>306</v>
      </c>
    </row>
    <row r="1042" spans="1:17">
      <c r="A1042" s="170">
        <v>1070</v>
      </c>
      <c r="B1042" s="170"/>
      <c r="C1042" s="437" t="s">
        <v>448</v>
      </c>
      <c r="D1042" t="str">
        <f xml:space="preserve"> TRIM( SUBSTITUTE(SUBSTITUTE(SUBSTITUTE( Compil[[#This Row],[DESIGNATION]],"-",""),"–",""),"*",""))</f>
        <v>Prise de courant 2P+T10/16A service</v>
      </c>
      <c r="E1042" s="435" t="s">
        <v>13</v>
      </c>
      <c r="F1042" s="447"/>
      <c r="G1042" s="448" t="s">
        <v>571</v>
      </c>
      <c r="H1042" s="449" t="s">
        <v>571</v>
      </c>
      <c r="I1042" t="s">
        <v>579</v>
      </c>
      <c r="J1042" t="b">
        <f>AND(NOT(Compil[[#This Row],[Est ouvrage]]), NOT(ISBLANK(Compil[[#This Row],[ART.
CCTP]])))</f>
        <v>0</v>
      </c>
      <c r="K1042" t="b">
        <f>OR(Compil[[#This Row],[Unité]]="U",Compil[[#This Row],[Unité]]="ens",Compil[[#This Row],[Unité]]="ml")</f>
        <v>1</v>
      </c>
      <c r="L1042" t="b">
        <f>ISBLANK(Compil[[#This Row],[DESIGNATION]])</f>
        <v>0</v>
      </c>
      <c r="M1042" s="359"/>
      <c r="N1042" s="358"/>
      <c r="O1042" s="358"/>
      <c r="P1042" s="358"/>
      <c r="Q1042" s="358">
        <f>COUNTIF(Compil[[Ma Désignation ]],Compil[[Ma Désignation ]])</f>
        <v>4</v>
      </c>
    </row>
    <row r="1043" spans="1:17">
      <c r="A1043">
        <v>1038</v>
      </c>
      <c r="C1043" s="426"/>
      <c r="D1043" t="str">
        <f xml:space="preserve"> TRIM( SUBSTITUTE(SUBSTITUTE(SUBSTITUTE( Compil[[#This Row],[DESIGNATION]],"-",""),"–",""),"*",""))</f>
        <v/>
      </c>
      <c r="E1043" s="313"/>
      <c r="F1043" s="275"/>
      <c r="G1043" s="315" t="s">
        <v>571</v>
      </c>
      <c r="H1043" s="316" t="s">
        <v>571</v>
      </c>
      <c r="I1043" t="s">
        <v>579</v>
      </c>
      <c r="J1043" t="b">
        <f>AND(NOT(Compil[[#This Row],[Est ouvrage]]), NOT(ISBLANK(Compil[[#This Row],[ART.
CCTP]])))</f>
        <v>0</v>
      </c>
      <c r="K1043" t="b">
        <f>OR(Compil[[#This Row],[Unité]]="U",Compil[[#This Row],[Unité]]="ens",Compil[[#This Row],[Unité]]="ml")</f>
        <v>0</v>
      </c>
      <c r="L1043" t="b">
        <f>ISBLANK(Compil[[#This Row],[DESIGNATION]])</f>
        <v>1</v>
      </c>
      <c r="M1043" s="358"/>
      <c r="N1043" s="358"/>
      <c r="O1043" s="358"/>
      <c r="P1043" s="358"/>
      <c r="Q1043" s="358">
        <f>COUNTIF(Compil[[Ma Désignation ]],Compil[[Ma Désignation ]])</f>
        <v>306</v>
      </c>
    </row>
    <row r="1044" spans="1:17">
      <c r="A1044" s="170">
        <v>1096</v>
      </c>
      <c r="B1044" s="170"/>
      <c r="C1044" s="437" t="s">
        <v>448</v>
      </c>
      <c r="D1044" t="str">
        <f xml:space="preserve"> TRIM( SUBSTITUTE(SUBSTITUTE(SUBSTITUTE( Compil[[#This Row],[DESIGNATION]],"-",""),"–",""),"*",""))</f>
        <v>Prise de courant 2P+T10/16A service</v>
      </c>
      <c r="E1044" s="435" t="s">
        <v>13</v>
      </c>
      <c r="F1044" s="447">
        <v>1</v>
      </c>
      <c r="G1044" s="448">
        <v>0</v>
      </c>
      <c r="H1044" s="449">
        <v>0</v>
      </c>
      <c r="I1044" t="s">
        <v>579</v>
      </c>
      <c r="J1044" t="b">
        <f>AND(NOT(Compil[[#This Row],[Est ouvrage]]), NOT(ISBLANK(Compil[[#This Row],[ART.
CCTP]])))</f>
        <v>0</v>
      </c>
      <c r="K1044" t="b">
        <f>OR(Compil[[#This Row],[Unité]]="U",Compil[[#This Row],[Unité]]="ens",Compil[[#This Row],[Unité]]="ml")</f>
        <v>1</v>
      </c>
      <c r="L1044" t="b">
        <f>ISBLANK(Compil[[#This Row],[DESIGNATION]])</f>
        <v>0</v>
      </c>
      <c r="M1044" s="359"/>
      <c r="N1044" s="358"/>
      <c r="O1044" s="358"/>
      <c r="P1044" s="358"/>
      <c r="Q1044" s="358">
        <f>COUNTIF(Compil[[Ma Désignation ]],Compil[[Ma Désignation ]])</f>
        <v>4</v>
      </c>
    </row>
    <row r="1045" spans="1:17">
      <c r="A1045" s="170">
        <v>1106</v>
      </c>
      <c r="B1045" s="170"/>
      <c r="C1045" s="437" t="s">
        <v>448</v>
      </c>
      <c r="D1045" t="str">
        <f xml:space="preserve"> TRIM( SUBSTITUTE(SUBSTITUTE(SUBSTITUTE( Compil[[#This Row],[DESIGNATION]],"-",""),"–",""),"*",""))</f>
        <v>Prise de courant 2P+T10/16A service</v>
      </c>
      <c r="E1045" s="435" t="s">
        <v>13</v>
      </c>
      <c r="F1045" s="447"/>
      <c r="G1045" s="448" t="s">
        <v>571</v>
      </c>
      <c r="H1045" s="449" t="s">
        <v>571</v>
      </c>
      <c r="I1045" t="s">
        <v>579</v>
      </c>
      <c r="J1045" t="b">
        <f>AND(NOT(Compil[[#This Row],[Est ouvrage]]), NOT(ISBLANK(Compil[[#This Row],[ART.
CCTP]])))</f>
        <v>0</v>
      </c>
      <c r="K1045" t="b">
        <f>OR(Compil[[#This Row],[Unité]]="U",Compil[[#This Row],[Unité]]="ens",Compil[[#This Row],[Unité]]="ml")</f>
        <v>1</v>
      </c>
      <c r="L1045" t="b">
        <f>ISBLANK(Compil[[#This Row],[DESIGNATION]])</f>
        <v>0</v>
      </c>
      <c r="M1045" s="359"/>
      <c r="N1045" s="358"/>
      <c r="O1045" s="358"/>
      <c r="P1045" s="358"/>
      <c r="Q1045" s="358">
        <f>COUNTIF(Compil[[Ma Désignation ]],Compil[[Ma Désignation ]])</f>
        <v>4</v>
      </c>
    </row>
    <row r="1046" spans="1:17" ht="14">
      <c r="A1046" s="362">
        <v>433</v>
      </c>
      <c r="B1046" s="62"/>
      <c r="C1046" s="423" t="s">
        <v>272</v>
      </c>
      <c r="D1046" t="str">
        <f xml:space="preserve"> TRIM( SUBSTITUTE(SUBSTITUTE(SUBSTITUTE( Compil[[#This Row],[DESIGNATION]],"-",""),"–",""),"*",""))</f>
        <v>Prise de courant 2P+T20A four</v>
      </c>
      <c r="E1046" s="55" t="s">
        <v>13</v>
      </c>
      <c r="F1046" s="386">
        <v>1</v>
      </c>
      <c r="G1046" s="389">
        <v>0</v>
      </c>
      <c r="H1046" s="302">
        <v>0</v>
      </c>
      <c r="I1046" t="s">
        <v>570</v>
      </c>
      <c r="J1046" t="b">
        <f>AND(NOT(Compil[[#This Row],[Est ouvrage]]), NOT(ISBLANK(Compil[[#This Row],[ART.
CCTP]])))</f>
        <v>0</v>
      </c>
      <c r="K1046" t="b">
        <f>OR(Compil[[#This Row],[Unité]]="U",Compil[[#This Row],[Unité]]="ens",Compil[[#This Row],[Unité]]="ml")</f>
        <v>1</v>
      </c>
      <c r="L1046" t="b">
        <f>ISBLANK(Compil[[#This Row],[DESIGNATION]])</f>
        <v>0</v>
      </c>
      <c r="M1046" s="359"/>
      <c r="N1046" s="358"/>
      <c r="O1046" s="358"/>
      <c r="P1046" s="358"/>
      <c r="Q1046" s="358">
        <f>COUNTIF(Compil[[Ma Désignation ]],Compil[[Ma Désignation ]])</f>
        <v>10</v>
      </c>
    </row>
    <row r="1047" spans="1:17">
      <c r="A1047">
        <v>1042</v>
      </c>
      <c r="C1047" s="426"/>
      <c r="D1047" t="str">
        <f xml:space="preserve"> TRIM( SUBSTITUTE(SUBSTITUTE(SUBSTITUTE( Compil[[#This Row],[DESIGNATION]],"-",""),"–",""),"*",""))</f>
        <v/>
      </c>
      <c r="E1047" s="313"/>
      <c r="F1047" s="275"/>
      <c r="G1047" s="315" t="s">
        <v>571</v>
      </c>
      <c r="H1047" s="316" t="s">
        <v>571</v>
      </c>
      <c r="I1047" t="s">
        <v>579</v>
      </c>
      <c r="J1047" t="b">
        <f>AND(NOT(Compil[[#This Row],[Est ouvrage]]), NOT(ISBLANK(Compil[[#This Row],[ART.
CCTP]])))</f>
        <v>0</v>
      </c>
      <c r="K1047" t="b">
        <f>OR(Compil[[#This Row],[Unité]]="U",Compil[[#This Row],[Unité]]="ens",Compil[[#This Row],[Unité]]="ml")</f>
        <v>0</v>
      </c>
      <c r="L1047" t="b">
        <f>ISBLANK(Compil[[#This Row],[DESIGNATION]])</f>
        <v>1</v>
      </c>
      <c r="M1047" s="358"/>
      <c r="N1047" s="358"/>
      <c r="O1047" s="358"/>
      <c r="P1047" s="358"/>
      <c r="Q1047" s="358">
        <f>COUNTIF(Compil[[Ma Désignation ]],Compil[[Ma Désignation ]])</f>
        <v>306</v>
      </c>
    </row>
    <row r="1048" spans="1:17" ht="14">
      <c r="A1048" s="362">
        <v>451</v>
      </c>
      <c r="B1048" s="364"/>
      <c r="C1048" s="423" t="s">
        <v>272</v>
      </c>
      <c r="D1048" t="str">
        <f xml:space="preserve"> TRIM( SUBSTITUTE(SUBSTITUTE(SUBSTITUTE( Compil[[#This Row],[DESIGNATION]],"-",""),"–",""),"*",""))</f>
        <v>Prise de courant 2P+T20A four</v>
      </c>
      <c r="E1048" s="55" t="s">
        <v>13</v>
      </c>
      <c r="F1048" s="386"/>
      <c r="G1048" s="389" t="s">
        <v>571</v>
      </c>
      <c r="H1048" s="302" t="s">
        <v>571</v>
      </c>
      <c r="I1048" t="s">
        <v>570</v>
      </c>
      <c r="J1048" t="b">
        <f>AND(NOT(Compil[[#This Row],[Est ouvrage]]), NOT(ISBLANK(Compil[[#This Row],[ART.
CCTP]])))</f>
        <v>0</v>
      </c>
      <c r="K1048" t="b">
        <f>OR(Compil[[#This Row],[Unité]]="U",Compil[[#This Row],[Unité]]="ens",Compil[[#This Row],[Unité]]="ml")</f>
        <v>1</v>
      </c>
      <c r="L1048" t="b">
        <f>ISBLANK(Compil[[#This Row],[DESIGNATION]])</f>
        <v>0</v>
      </c>
      <c r="M1048" s="359"/>
      <c r="N1048" s="358"/>
      <c r="O1048" s="358"/>
      <c r="P1048" s="358"/>
      <c r="Q1048" s="358">
        <f>COUNTIF(Compil[[Ma Désignation ]],Compil[[Ma Désignation ]])</f>
        <v>10</v>
      </c>
    </row>
    <row r="1049" spans="1:17">
      <c r="A1049">
        <v>1044</v>
      </c>
      <c r="C1049" s="426"/>
      <c r="D1049" t="str">
        <f xml:space="preserve"> TRIM( SUBSTITUTE(SUBSTITUTE(SUBSTITUTE( Compil[[#This Row],[DESIGNATION]],"-",""),"–",""),"*",""))</f>
        <v/>
      </c>
      <c r="E1049" s="313"/>
      <c r="F1049" s="275"/>
      <c r="G1049" s="315" t="s">
        <v>571</v>
      </c>
      <c r="H1049" s="316" t="s">
        <v>571</v>
      </c>
      <c r="I1049" t="s">
        <v>579</v>
      </c>
      <c r="J1049" t="b">
        <f>AND(NOT(Compil[[#This Row],[Est ouvrage]]), NOT(ISBLANK(Compil[[#This Row],[ART.
CCTP]])))</f>
        <v>0</v>
      </c>
      <c r="K1049" t="b">
        <f>OR(Compil[[#This Row],[Unité]]="U",Compil[[#This Row],[Unité]]="ens",Compil[[#This Row],[Unité]]="ml")</f>
        <v>0</v>
      </c>
      <c r="L1049" t="b">
        <f>ISBLANK(Compil[[#This Row],[DESIGNATION]])</f>
        <v>1</v>
      </c>
      <c r="M1049" s="358"/>
      <c r="N1049" s="358"/>
      <c r="O1049" s="358"/>
      <c r="P1049" s="358"/>
      <c r="Q1049" s="358">
        <f>COUNTIF(Compil[[Ma Désignation ]],Compil[[Ma Désignation ]])</f>
        <v>306</v>
      </c>
    </row>
    <row r="1050" spans="1:17">
      <c r="A1050" s="170">
        <v>1045</v>
      </c>
      <c r="B1050" s="170"/>
      <c r="C1050" s="437" t="s">
        <v>233</v>
      </c>
      <c r="D1050" t="str">
        <f xml:space="preserve"> TRIM( SUBSTITUTE(SUBSTITUTE(SUBSTITUTE( Compil[[#This Row],[DESIGNATION]],"-",""),"–",""),"*",""))</f>
        <v>Sous total HT pour un T1</v>
      </c>
      <c r="E1050" s="435"/>
      <c r="F1050" s="447"/>
      <c r="G1050" s="448" t="s">
        <v>571</v>
      </c>
      <c r="H1050" s="449" t="s">
        <v>571</v>
      </c>
      <c r="I1050" t="s">
        <v>579</v>
      </c>
      <c r="J1050" t="b">
        <f>AND(NOT(Compil[[#This Row],[Est ouvrage]]), NOT(ISBLANK(Compil[[#This Row],[ART.
CCTP]])))</f>
        <v>0</v>
      </c>
      <c r="K1050" t="b">
        <f>OR(Compil[[#This Row],[Unité]]="U",Compil[[#This Row],[Unité]]="ens",Compil[[#This Row],[Unité]]="ml")</f>
        <v>0</v>
      </c>
      <c r="L1050" t="b">
        <f>ISBLANK(Compil[[#This Row],[DESIGNATION]])</f>
        <v>0</v>
      </c>
      <c r="M1050" s="359"/>
      <c r="N1050" s="358"/>
      <c r="O1050" s="358"/>
      <c r="P1050" s="358"/>
      <c r="Q1050" s="358">
        <f>COUNTIF(Compil[[Ma Désignation ]],Compil[[Ma Désignation ]])</f>
        <v>2</v>
      </c>
    </row>
    <row r="1051" spans="1:17" ht="14">
      <c r="A1051" s="362">
        <v>488</v>
      </c>
      <c r="B1051" s="364"/>
      <c r="C1051" s="423" t="s">
        <v>272</v>
      </c>
      <c r="D1051" t="str">
        <f xml:space="preserve"> TRIM( SUBSTITUTE(SUBSTITUTE(SUBSTITUTE( Compil[[#This Row],[DESIGNATION]],"-",""),"–",""),"*",""))</f>
        <v>Prise de courant 2P+T20A four</v>
      </c>
      <c r="E1051" s="55" t="s">
        <v>13</v>
      </c>
      <c r="F1051" s="386">
        <v>1</v>
      </c>
      <c r="G1051" s="389">
        <v>0</v>
      </c>
      <c r="H1051" s="302">
        <v>0</v>
      </c>
      <c r="I1051" t="s">
        <v>570</v>
      </c>
      <c r="J1051" t="b">
        <f>AND(NOT(Compil[[#This Row],[Est ouvrage]]), NOT(ISBLANK(Compil[[#This Row],[ART.
CCTP]])))</f>
        <v>0</v>
      </c>
      <c r="K1051" t="b">
        <f>OR(Compil[[#This Row],[Unité]]="U",Compil[[#This Row],[Unité]]="ens",Compil[[#This Row],[Unité]]="ml")</f>
        <v>1</v>
      </c>
      <c r="L1051" t="b">
        <f>ISBLANK(Compil[[#This Row],[DESIGNATION]])</f>
        <v>0</v>
      </c>
      <c r="M1051" s="359"/>
      <c r="N1051" s="358"/>
      <c r="O1051" s="358"/>
      <c r="P1051" s="358"/>
      <c r="Q1051" s="358">
        <f>COUNTIF(Compil[[Ma Désignation ]],Compil[[Ma Désignation ]])</f>
        <v>10</v>
      </c>
    </row>
    <row r="1052" spans="1:17">
      <c r="A1052">
        <v>1047</v>
      </c>
      <c r="C1052" s="426"/>
      <c r="D1052" t="str">
        <f xml:space="preserve"> TRIM( SUBSTITUTE(SUBSTITUTE(SUBSTITUTE( Compil[[#This Row],[DESIGNATION]],"-",""),"–",""),"*",""))</f>
        <v/>
      </c>
      <c r="E1052" s="313"/>
      <c r="F1052" s="275"/>
      <c r="G1052" s="315" t="s">
        <v>571</v>
      </c>
      <c r="H1052" s="316" t="s">
        <v>571</v>
      </c>
      <c r="I1052" t="s">
        <v>579</v>
      </c>
      <c r="J1052" t="b">
        <f>AND(NOT(Compil[[#This Row],[Est ouvrage]]), NOT(ISBLANK(Compil[[#This Row],[ART.
CCTP]])))</f>
        <v>0</v>
      </c>
      <c r="K1052" t="b">
        <f>OR(Compil[[#This Row],[Unité]]="U",Compil[[#This Row],[Unité]]="ens",Compil[[#This Row],[Unité]]="ml")</f>
        <v>0</v>
      </c>
      <c r="L1052" t="b">
        <f>ISBLANK(Compil[[#This Row],[DESIGNATION]])</f>
        <v>1</v>
      </c>
      <c r="M1052" s="358"/>
      <c r="N1052" s="358"/>
      <c r="O1052" s="358"/>
      <c r="P1052" s="358"/>
      <c r="Q1052" s="358">
        <f>COUNTIF(Compil[[Ma Désignation ]],Compil[[Ma Désignation ]])</f>
        <v>306</v>
      </c>
    </row>
    <row r="1053" spans="1:17">
      <c r="A1053" s="170">
        <v>1048</v>
      </c>
      <c r="B1053" s="170"/>
      <c r="C1053" s="437" t="s">
        <v>375</v>
      </c>
      <c r="D1053" t="str">
        <f xml:space="preserve"> TRIM( SUBSTITUTE(SUBSTITUTE(SUBSTITUTE( Compil[[#This Row],[DESIGNATION]],"-",""),"–",""),"*",""))</f>
        <v>Sous total 3.7.2 Appartement T1</v>
      </c>
      <c r="E1053" s="435"/>
      <c r="F1053" s="447"/>
      <c r="G1053" s="448" t="s">
        <v>571</v>
      </c>
      <c r="H1053" s="449" t="s">
        <v>571</v>
      </c>
      <c r="I1053" t="s">
        <v>579</v>
      </c>
      <c r="J1053" t="b">
        <f>AND(NOT(Compil[[#This Row],[Est ouvrage]]), NOT(ISBLANK(Compil[[#This Row],[ART.
CCTP]])))</f>
        <v>0</v>
      </c>
      <c r="K1053" t="b">
        <f>OR(Compil[[#This Row],[Unité]]="U",Compil[[#This Row],[Unité]]="ens",Compil[[#This Row],[Unité]]="ml")</f>
        <v>0</v>
      </c>
      <c r="L1053" t="b">
        <f>ISBLANK(Compil[[#This Row],[DESIGNATION]])</f>
        <v>0</v>
      </c>
      <c r="M1053" s="359"/>
      <c r="N1053" s="358"/>
      <c r="O1053" s="358"/>
      <c r="P1053" s="358"/>
      <c r="Q1053" s="358">
        <f>COUNTIF(Compil[[Ma Désignation ]],Compil[[Ma Désignation ]])</f>
        <v>1</v>
      </c>
    </row>
    <row r="1054" spans="1:17">
      <c r="A1054">
        <v>1049</v>
      </c>
      <c r="C1054" s="426"/>
      <c r="D1054" t="str">
        <f xml:space="preserve"> TRIM( SUBSTITUTE(SUBSTITUTE(SUBSTITUTE( Compil[[#This Row],[DESIGNATION]],"-",""),"–",""),"*",""))</f>
        <v/>
      </c>
      <c r="E1054" s="313"/>
      <c r="F1054" s="275"/>
      <c r="G1054" s="315" t="s">
        <v>571</v>
      </c>
      <c r="H1054" s="316" t="s">
        <v>571</v>
      </c>
      <c r="I1054" t="s">
        <v>579</v>
      </c>
      <c r="J1054" t="b">
        <f>AND(NOT(Compil[[#This Row],[Est ouvrage]]), NOT(ISBLANK(Compil[[#This Row],[ART.
CCTP]])))</f>
        <v>0</v>
      </c>
      <c r="K1054" t="b">
        <f>OR(Compil[[#This Row],[Unité]]="U",Compil[[#This Row],[Unité]]="ens",Compil[[#This Row],[Unité]]="ml")</f>
        <v>0</v>
      </c>
      <c r="L1054" t="b">
        <f>ISBLANK(Compil[[#This Row],[DESIGNATION]])</f>
        <v>1</v>
      </c>
      <c r="M1054" s="358"/>
      <c r="N1054" s="358"/>
      <c r="O1054" s="358"/>
      <c r="P1054" s="358"/>
      <c r="Q1054" s="358">
        <f>COUNTIF(Compil[[Ma Désignation ]],Compil[[Ma Désignation ]])</f>
        <v>306</v>
      </c>
    </row>
    <row r="1055" spans="1:17">
      <c r="A1055" s="170">
        <v>1050</v>
      </c>
      <c r="B1055" s="170" t="s">
        <v>374</v>
      </c>
      <c r="C1055" s="437" t="s">
        <v>235</v>
      </c>
      <c r="D1055" t="str">
        <f xml:space="preserve"> TRIM( SUBSTITUTE(SUBSTITUTE(SUBSTITUTE( Compil[[#This Row],[DESIGNATION]],"-",""),"–",""),"*",""))</f>
        <v>Appartement de type T3</v>
      </c>
      <c r="E1055" s="435"/>
      <c r="F1055" s="447"/>
      <c r="G1055" s="448" t="s">
        <v>571</v>
      </c>
      <c r="H1055" s="449" t="s">
        <v>571</v>
      </c>
      <c r="I1055" t="s">
        <v>579</v>
      </c>
      <c r="J1055" t="b">
        <f>AND(NOT(Compil[[#This Row],[Est ouvrage]]), NOT(ISBLANK(Compil[[#This Row],[ART.
CCTP]])))</f>
        <v>1</v>
      </c>
      <c r="K1055" t="b">
        <f>OR(Compil[[#This Row],[Unité]]="U",Compil[[#This Row],[Unité]]="ens",Compil[[#This Row],[Unité]]="ml")</f>
        <v>0</v>
      </c>
      <c r="L1055" t="b">
        <f>ISBLANK(Compil[[#This Row],[DESIGNATION]])</f>
        <v>0</v>
      </c>
      <c r="M1055" s="359"/>
      <c r="N1055" s="358"/>
      <c r="O1055" s="358"/>
      <c r="P1055" s="358"/>
      <c r="Q1055" s="358">
        <f>COUNTIF(Compil[[Ma Désignation ]],Compil[[Ma Désignation ]])</f>
        <v>2</v>
      </c>
    </row>
    <row r="1056" spans="1:17">
      <c r="A1056">
        <v>1051</v>
      </c>
      <c r="C1056" s="426"/>
      <c r="D1056" t="str">
        <f xml:space="preserve"> TRIM( SUBSTITUTE(SUBSTITUTE(SUBSTITUTE( Compil[[#This Row],[DESIGNATION]],"-",""),"–",""),"*",""))</f>
        <v/>
      </c>
      <c r="E1056" s="313"/>
      <c r="F1056" s="275"/>
      <c r="G1056" s="315" t="s">
        <v>571</v>
      </c>
      <c r="H1056" s="316" t="s">
        <v>571</v>
      </c>
      <c r="I1056" t="s">
        <v>579</v>
      </c>
      <c r="J1056" t="b">
        <f>AND(NOT(Compil[[#This Row],[Est ouvrage]]), NOT(ISBLANK(Compil[[#This Row],[ART.
CCTP]])))</f>
        <v>0</v>
      </c>
      <c r="K1056" t="b">
        <f>OR(Compil[[#This Row],[Unité]]="U",Compil[[#This Row],[Unité]]="ens",Compil[[#This Row],[Unité]]="ml")</f>
        <v>0</v>
      </c>
      <c r="L1056" t="b">
        <f>ISBLANK(Compil[[#This Row],[DESIGNATION]])</f>
        <v>1</v>
      </c>
      <c r="M1056" s="358"/>
      <c r="N1056" s="358"/>
      <c r="O1056" s="358"/>
      <c r="P1056" s="358"/>
      <c r="Q1056" s="358">
        <f>COUNTIF(Compil[[Ma Désignation ]],Compil[[Ma Désignation ]])</f>
        <v>306</v>
      </c>
    </row>
    <row r="1057" spans="1:17">
      <c r="A1057" s="170">
        <v>1052</v>
      </c>
      <c r="B1057" s="170"/>
      <c r="C1057" s="437" t="s">
        <v>572</v>
      </c>
      <c r="D1057" t="str">
        <f xml:space="preserve"> TRIM( SUBSTITUTE(SUBSTITUTE(SUBSTITUTE( Compil[[#This Row],[DESIGNATION]],"-",""),"–",""),"*",""))</f>
        <v>Appareillages de finition blanche</v>
      </c>
      <c r="E1057" s="435"/>
      <c r="F1057" s="447"/>
      <c r="G1057" s="448" t="s">
        <v>571</v>
      </c>
      <c r="H1057" s="449" t="s">
        <v>571</v>
      </c>
      <c r="I1057" t="s">
        <v>579</v>
      </c>
      <c r="J1057" t="b">
        <f>AND(NOT(Compil[[#This Row],[Est ouvrage]]), NOT(ISBLANK(Compil[[#This Row],[ART.
CCTP]])))</f>
        <v>0</v>
      </c>
      <c r="K1057" t="b">
        <f>OR(Compil[[#This Row],[Unité]]="U",Compil[[#This Row],[Unité]]="ens",Compil[[#This Row],[Unité]]="ml")</f>
        <v>0</v>
      </c>
      <c r="L1057" t="b">
        <f>ISBLANK(Compil[[#This Row],[DESIGNATION]])</f>
        <v>0</v>
      </c>
      <c r="M1057" s="359"/>
      <c r="N1057" s="358"/>
      <c r="O1057" s="358"/>
      <c r="P1057" s="358"/>
      <c r="Q1057" s="358">
        <f>COUNTIF(Compil[[Ma Désignation ]],Compil[[Ma Désignation ]])</f>
        <v>9</v>
      </c>
    </row>
    <row r="1058" spans="1:17" ht="14">
      <c r="A1058" s="362">
        <v>507</v>
      </c>
      <c r="B1058" s="364"/>
      <c r="C1058" s="423" t="s">
        <v>272</v>
      </c>
      <c r="D1058" t="str">
        <f xml:space="preserve"> TRIM( SUBSTITUTE(SUBSTITUTE(SUBSTITUTE( Compil[[#This Row],[DESIGNATION]],"-",""),"–",""),"*",""))</f>
        <v>Prise de courant 2P+T20A four</v>
      </c>
      <c r="E1058" s="55" t="s">
        <v>13</v>
      </c>
      <c r="F1058" s="386"/>
      <c r="G1058" s="389" t="s">
        <v>571</v>
      </c>
      <c r="H1058" s="302" t="s">
        <v>571</v>
      </c>
      <c r="I1058" t="s">
        <v>570</v>
      </c>
      <c r="J1058" t="b">
        <f>AND(NOT(Compil[[#This Row],[Est ouvrage]]), NOT(ISBLANK(Compil[[#This Row],[ART.
CCTP]])))</f>
        <v>0</v>
      </c>
      <c r="K1058" t="b">
        <f>OR(Compil[[#This Row],[Unité]]="U",Compil[[#This Row],[Unité]]="ens",Compil[[#This Row],[Unité]]="ml")</f>
        <v>1</v>
      </c>
      <c r="L1058" t="b">
        <f>ISBLANK(Compil[[#This Row],[DESIGNATION]])</f>
        <v>0</v>
      </c>
      <c r="M1058" s="359"/>
      <c r="N1058" s="358"/>
      <c r="O1058" s="358"/>
      <c r="P1058" s="358"/>
      <c r="Q1058" s="358">
        <f>COUNTIF(Compil[[Ma Désignation ]],Compil[[Ma Désignation ]])</f>
        <v>10</v>
      </c>
    </row>
    <row r="1059" spans="1:17" ht="14">
      <c r="A1059" s="362">
        <v>544</v>
      </c>
      <c r="B1059" s="364"/>
      <c r="C1059" s="423" t="s">
        <v>272</v>
      </c>
      <c r="D1059" t="str">
        <f xml:space="preserve"> TRIM( SUBSTITUTE(SUBSTITUTE(SUBSTITUTE( Compil[[#This Row],[DESIGNATION]],"-",""),"–",""),"*",""))</f>
        <v>Prise de courant 2P+T20A four</v>
      </c>
      <c r="E1059" s="55" t="s">
        <v>13</v>
      </c>
      <c r="F1059" s="386">
        <v>1</v>
      </c>
      <c r="G1059" s="389">
        <v>0</v>
      </c>
      <c r="H1059" s="302">
        <v>0</v>
      </c>
      <c r="I1059" t="s">
        <v>570</v>
      </c>
      <c r="J1059" t="b">
        <f>AND(NOT(Compil[[#This Row],[Est ouvrage]]), NOT(ISBLANK(Compil[[#This Row],[ART.
CCTP]])))</f>
        <v>0</v>
      </c>
      <c r="K1059" t="b">
        <f>OR(Compil[[#This Row],[Unité]]="U",Compil[[#This Row],[Unité]]="ens",Compil[[#This Row],[Unité]]="ml")</f>
        <v>1</v>
      </c>
      <c r="L1059" t="b">
        <f>ISBLANK(Compil[[#This Row],[DESIGNATION]])</f>
        <v>0</v>
      </c>
      <c r="M1059" s="359"/>
      <c r="N1059" s="358"/>
      <c r="O1059" s="358"/>
      <c r="P1059" s="358"/>
      <c r="Q1059" s="358">
        <f>COUNTIF(Compil[[Ma Désignation ]],Compil[[Ma Désignation ]])</f>
        <v>10</v>
      </c>
    </row>
    <row r="1060" spans="1:17" ht="14">
      <c r="A1060" s="362">
        <v>563</v>
      </c>
      <c r="B1060" s="364"/>
      <c r="C1060" s="423" t="s">
        <v>272</v>
      </c>
      <c r="D1060" t="str">
        <f xml:space="preserve"> TRIM( SUBSTITUTE(SUBSTITUTE(SUBSTITUTE( Compil[[#This Row],[DESIGNATION]],"-",""),"–",""),"*",""))</f>
        <v>Prise de courant 2P+T20A four</v>
      </c>
      <c r="E1060" s="55" t="s">
        <v>13</v>
      </c>
      <c r="F1060" s="386"/>
      <c r="G1060" s="389" t="s">
        <v>571</v>
      </c>
      <c r="H1060" s="302" t="s">
        <v>571</v>
      </c>
      <c r="I1060" t="s">
        <v>570</v>
      </c>
      <c r="J1060" t="b">
        <f>AND(NOT(Compil[[#This Row],[Est ouvrage]]), NOT(ISBLANK(Compil[[#This Row],[ART.
CCTP]])))</f>
        <v>0</v>
      </c>
      <c r="K1060" t="b">
        <f>OR(Compil[[#This Row],[Unité]]="U",Compil[[#This Row],[Unité]]="ens",Compil[[#This Row],[Unité]]="ml")</f>
        <v>1</v>
      </c>
      <c r="L1060" t="b">
        <f>ISBLANK(Compil[[#This Row],[DESIGNATION]])</f>
        <v>0</v>
      </c>
      <c r="M1060" s="359"/>
      <c r="N1060" s="358"/>
      <c r="O1060" s="358"/>
      <c r="P1060" s="358"/>
      <c r="Q1060" s="358">
        <f>COUNTIF(Compil[[Ma Désignation ]],Compil[[Ma Désignation ]])</f>
        <v>10</v>
      </c>
    </row>
    <row r="1061" spans="1:17" ht="14">
      <c r="A1061" s="362">
        <v>600</v>
      </c>
      <c r="B1061" s="364"/>
      <c r="C1061" s="423" t="s">
        <v>272</v>
      </c>
      <c r="D1061" t="str">
        <f xml:space="preserve"> TRIM( SUBSTITUTE(SUBSTITUTE(SUBSTITUTE( Compil[[#This Row],[DESIGNATION]],"-",""),"–",""),"*",""))</f>
        <v>Prise de courant 2P+T20A four</v>
      </c>
      <c r="E1061" s="55" t="s">
        <v>13</v>
      </c>
      <c r="F1061" s="386">
        <v>1</v>
      </c>
      <c r="G1061" s="389">
        <v>0</v>
      </c>
      <c r="H1061" s="302">
        <v>0</v>
      </c>
      <c r="I1061" t="s">
        <v>570</v>
      </c>
      <c r="J1061" t="b">
        <f>AND(NOT(Compil[[#This Row],[Est ouvrage]]), NOT(ISBLANK(Compil[[#This Row],[ART.
CCTP]])))</f>
        <v>0</v>
      </c>
      <c r="K1061" t="b">
        <f>OR(Compil[[#This Row],[Unité]]="U",Compil[[#This Row],[Unité]]="ens",Compil[[#This Row],[Unité]]="ml")</f>
        <v>1</v>
      </c>
      <c r="L1061" t="b">
        <f>ISBLANK(Compil[[#This Row],[DESIGNATION]])</f>
        <v>0</v>
      </c>
      <c r="M1061" s="359"/>
      <c r="N1061" s="358"/>
      <c r="O1061" s="358"/>
      <c r="P1061" s="358"/>
      <c r="Q1061" s="358">
        <f>COUNTIF(Compil[[Ma Désignation ]],Compil[[Ma Désignation ]])</f>
        <v>10</v>
      </c>
    </row>
    <row r="1062" spans="1:17" ht="14">
      <c r="A1062" s="362">
        <v>619</v>
      </c>
      <c r="B1062" s="364"/>
      <c r="C1062" s="423" t="s">
        <v>272</v>
      </c>
      <c r="D1062" t="str">
        <f xml:space="preserve"> TRIM( SUBSTITUTE(SUBSTITUTE(SUBSTITUTE( Compil[[#This Row],[DESIGNATION]],"-",""),"–",""),"*",""))</f>
        <v>Prise de courant 2P+T20A four</v>
      </c>
      <c r="E1062" s="55" t="s">
        <v>13</v>
      </c>
      <c r="F1062" s="386"/>
      <c r="G1062" s="389" t="s">
        <v>571</v>
      </c>
      <c r="H1062" s="302" t="s">
        <v>571</v>
      </c>
      <c r="I1062" t="s">
        <v>570</v>
      </c>
      <c r="J1062" t="b">
        <f>AND(NOT(Compil[[#This Row],[Est ouvrage]]), NOT(ISBLANK(Compil[[#This Row],[ART.
CCTP]])))</f>
        <v>0</v>
      </c>
      <c r="K1062" t="b">
        <f>OR(Compil[[#This Row],[Unité]]="U",Compil[[#This Row],[Unité]]="ens",Compil[[#This Row],[Unité]]="ml")</f>
        <v>1</v>
      </c>
      <c r="L1062" t="b">
        <f>ISBLANK(Compil[[#This Row],[DESIGNATION]])</f>
        <v>0</v>
      </c>
      <c r="M1062" s="359"/>
      <c r="N1062" s="358"/>
      <c r="O1062" s="358"/>
      <c r="P1062" s="358"/>
      <c r="Q1062" s="358">
        <f>COUNTIF(Compil[[Ma Désignation ]],Compil[[Ma Désignation ]])</f>
        <v>10</v>
      </c>
    </row>
    <row r="1063" spans="1:17" ht="14">
      <c r="A1063" s="362">
        <v>656</v>
      </c>
      <c r="B1063" s="364"/>
      <c r="C1063" s="423" t="s">
        <v>272</v>
      </c>
      <c r="D1063" t="str">
        <f xml:space="preserve"> TRIM( SUBSTITUTE(SUBSTITUTE(SUBSTITUTE( Compil[[#This Row],[DESIGNATION]],"-",""),"–",""),"*",""))</f>
        <v>Prise de courant 2P+T20A four</v>
      </c>
      <c r="E1063" s="55" t="s">
        <v>13</v>
      </c>
      <c r="F1063" s="386">
        <v>1</v>
      </c>
      <c r="G1063" s="389">
        <v>0</v>
      </c>
      <c r="H1063" s="302">
        <v>0</v>
      </c>
      <c r="I1063" t="s">
        <v>570</v>
      </c>
      <c r="J1063" t="b">
        <f>AND(NOT(Compil[[#This Row],[Est ouvrage]]), NOT(ISBLANK(Compil[[#This Row],[ART.
CCTP]])))</f>
        <v>0</v>
      </c>
      <c r="K1063" t="b">
        <f>OR(Compil[[#This Row],[Unité]]="U",Compil[[#This Row],[Unité]]="ens",Compil[[#This Row],[Unité]]="ml")</f>
        <v>1</v>
      </c>
      <c r="L1063" t="b">
        <f>ISBLANK(Compil[[#This Row],[DESIGNATION]])</f>
        <v>0</v>
      </c>
      <c r="M1063" s="359"/>
      <c r="N1063" s="358"/>
      <c r="O1063" s="358"/>
      <c r="P1063" s="358"/>
      <c r="Q1063" s="358">
        <f>COUNTIF(Compil[[Ma Désignation ]],Compil[[Ma Désignation ]])</f>
        <v>10</v>
      </c>
    </row>
    <row r="1064" spans="1:17" ht="14">
      <c r="A1064" s="362">
        <v>675</v>
      </c>
      <c r="B1064" s="364"/>
      <c r="C1064" s="423" t="s">
        <v>272</v>
      </c>
      <c r="D1064" t="str">
        <f xml:space="preserve"> TRIM( SUBSTITUTE(SUBSTITUTE(SUBSTITUTE( Compil[[#This Row],[DESIGNATION]],"-",""),"–",""),"*",""))</f>
        <v>Prise de courant 2P+T20A four</v>
      </c>
      <c r="E1064" s="55" t="s">
        <v>13</v>
      </c>
      <c r="F1064" s="386"/>
      <c r="G1064" s="389" t="s">
        <v>571</v>
      </c>
      <c r="H1064" s="302" t="s">
        <v>571</v>
      </c>
      <c r="I1064" t="s">
        <v>570</v>
      </c>
      <c r="J1064" t="b">
        <f>AND(NOT(Compil[[#This Row],[Est ouvrage]]), NOT(ISBLANK(Compil[[#This Row],[ART.
CCTP]])))</f>
        <v>0</v>
      </c>
      <c r="K1064" t="b">
        <f>OR(Compil[[#This Row],[Unité]]="U",Compil[[#This Row],[Unité]]="ens",Compil[[#This Row],[Unité]]="ml")</f>
        <v>1</v>
      </c>
      <c r="L1064" t="b">
        <f>ISBLANK(Compil[[#This Row],[DESIGNATION]])</f>
        <v>0</v>
      </c>
      <c r="M1064" s="359"/>
      <c r="N1064" s="358"/>
      <c r="O1064" s="358"/>
      <c r="P1064" s="358"/>
      <c r="Q1064" s="358">
        <f>COUNTIF(Compil[[Ma Désignation ]],Compil[[Ma Désignation ]])</f>
        <v>10</v>
      </c>
    </row>
    <row r="1065" spans="1:17" ht="14.5">
      <c r="A1065" s="305">
        <v>87</v>
      </c>
      <c r="B1065" s="62"/>
      <c r="C1065" s="463" t="s">
        <v>15</v>
      </c>
      <c r="D1065" t="str">
        <f xml:space="preserve"> TRIM( SUBSTITUTE(SUBSTITUTE(SUBSTITUTE( Compil[[#This Row],[DESIGNATION]],"-",""),"–",""),"*",""))</f>
        <v>prise de terre en câble 25 Cu mm2</v>
      </c>
      <c r="E1065" s="243" t="s">
        <v>12</v>
      </c>
      <c r="F1065" s="251">
        <v>1</v>
      </c>
      <c r="G1065" s="389" t="e">
        <f>IF(F1065="","",(((L1065*$M$6)+(M1065*#REF!*#REF!))*$M$7)/F1065)</f>
        <v>#VALUE!</v>
      </c>
      <c r="H1065" s="302" t="e">
        <f>IF(F1065="","",F1065*G1065)</f>
        <v>#VALUE!</v>
      </c>
      <c r="I1065" t="s">
        <v>580</v>
      </c>
      <c r="J1065" t="b">
        <f>AND(NOT(Compil[[#This Row],[Est ouvrage]]), NOT(ISBLANK(Compil[[#This Row],[ART.
CCTP]])))</f>
        <v>0</v>
      </c>
      <c r="K1065" t="b">
        <f>OR(Compil[[#This Row],[Unité]]="U",Compil[[#This Row],[Unité]]="ens",Compil[[#This Row],[Unité]]="ml")</f>
        <v>1</v>
      </c>
      <c r="L1065" t="b">
        <f>ISBLANK(Compil[[#This Row],[DESIGNATION]])</f>
        <v>0</v>
      </c>
      <c r="M1065" s="359"/>
      <c r="N1065" s="358"/>
      <c r="O1065" s="358"/>
      <c r="P1065" s="358"/>
      <c r="Q1065" s="358">
        <f>COUNTIF(Compil[[Ma Désignation ]],Compil[[Ma Désignation ]])</f>
        <v>2</v>
      </c>
    </row>
    <row r="1066" spans="1:17">
      <c r="A1066">
        <v>1061</v>
      </c>
      <c r="C1066" s="426"/>
      <c r="D1066" t="str">
        <f xml:space="preserve"> TRIM( SUBSTITUTE(SUBSTITUTE(SUBSTITUTE( Compil[[#This Row],[DESIGNATION]],"-",""),"–",""),"*",""))</f>
        <v/>
      </c>
      <c r="E1066" s="313"/>
      <c r="F1066" s="275"/>
      <c r="G1066" s="315" t="s">
        <v>571</v>
      </c>
      <c r="H1066" s="316" t="s">
        <v>571</v>
      </c>
      <c r="I1066" t="s">
        <v>579</v>
      </c>
      <c r="J1066" t="b">
        <f>AND(NOT(Compil[[#This Row],[Est ouvrage]]), NOT(ISBLANK(Compil[[#This Row],[ART.
CCTP]])))</f>
        <v>0</v>
      </c>
      <c r="K1066" t="b">
        <f>OR(Compil[[#This Row],[Unité]]="U",Compil[[#This Row],[Unité]]="ens",Compil[[#This Row],[Unité]]="ml")</f>
        <v>0</v>
      </c>
      <c r="L1066" t="b">
        <f>ISBLANK(Compil[[#This Row],[DESIGNATION]])</f>
        <v>1</v>
      </c>
      <c r="M1066" s="358"/>
      <c r="N1066" s="358"/>
      <c r="O1066" s="358"/>
      <c r="P1066" s="358"/>
      <c r="Q1066" s="358">
        <f>COUNTIF(Compil[[Ma Désignation ]],Compil[[Ma Désignation ]])</f>
        <v>306</v>
      </c>
    </row>
    <row r="1067" spans="1:17">
      <c r="A1067" s="170">
        <v>1062</v>
      </c>
      <c r="B1067" s="170"/>
      <c r="C1067" s="437" t="s">
        <v>573</v>
      </c>
      <c r="D1067" t="str">
        <f xml:space="preserve"> TRIM( SUBSTITUTE(SUBSTITUTE(SUBSTITUTE( Compil[[#This Row],[DESIGNATION]],"-",""),"–",""),"*",""))</f>
        <v>Appareillages de finition noire</v>
      </c>
      <c r="E1067" s="435"/>
      <c r="F1067" s="447"/>
      <c r="G1067" s="448" t="s">
        <v>571</v>
      </c>
      <c r="H1067" s="449" t="s">
        <v>571</v>
      </c>
      <c r="I1067" t="s">
        <v>579</v>
      </c>
      <c r="J1067" t="b">
        <f>AND(NOT(Compil[[#This Row],[Est ouvrage]]), NOT(ISBLANK(Compil[[#This Row],[ART.
CCTP]])))</f>
        <v>0</v>
      </c>
      <c r="K1067" t="b">
        <f>OR(Compil[[#This Row],[Unité]]="U",Compil[[#This Row],[Unité]]="ens",Compil[[#This Row],[Unité]]="ml")</f>
        <v>0</v>
      </c>
      <c r="L1067" t="b">
        <f>ISBLANK(Compil[[#This Row],[DESIGNATION]])</f>
        <v>0</v>
      </c>
      <c r="M1067" s="359"/>
      <c r="N1067" s="358"/>
      <c r="O1067" s="358"/>
      <c r="P1067" s="358"/>
      <c r="Q1067" s="358">
        <f>COUNTIF(Compil[[Ma Désignation ]],Compil[[Ma Désignation ]])</f>
        <v>9</v>
      </c>
    </row>
    <row r="1068" spans="1:17" ht="14">
      <c r="A1068" s="361">
        <v>777</v>
      </c>
      <c r="B1068" s="107"/>
      <c r="C1068" s="370" t="s">
        <v>575</v>
      </c>
      <c r="D1068" t="str">
        <f xml:space="preserve"> TRIM( SUBSTITUTE(SUBSTITUTE(SUBSTITUTE( Compil[[#This Row],[DESIGNATION]],"-",""),"–",""),"*",""))</f>
        <v>prise de terre en câble 25 Cu mm2</v>
      </c>
      <c r="E1068" s="55" t="s">
        <v>12</v>
      </c>
      <c r="F1068" s="386">
        <v>1</v>
      </c>
      <c r="G1068" s="389">
        <v>0</v>
      </c>
      <c r="H1068" s="302">
        <v>0</v>
      </c>
      <c r="I1068" t="s">
        <v>578</v>
      </c>
      <c r="J1068" t="b">
        <f>AND(NOT(Compil[[#This Row],[Est ouvrage]]), NOT(ISBLANK(Compil[[#This Row],[ART.
CCTP]])))</f>
        <v>0</v>
      </c>
      <c r="K1068" t="b">
        <f>OR(Compil[[#This Row],[Unité]]="U",Compil[[#This Row],[Unité]]="ens",Compil[[#This Row],[Unité]]="ml")</f>
        <v>1</v>
      </c>
      <c r="L1068" t="b">
        <f>ISBLANK(Compil[[#This Row],[DESIGNATION]])</f>
        <v>0</v>
      </c>
      <c r="M1068" s="359"/>
      <c r="N1068" s="358"/>
      <c r="O1068" s="358"/>
      <c r="P1068" s="358"/>
      <c r="Q1068" s="358">
        <f>COUNTIF(Compil[[Ma Désignation ]],Compil[[Ma Désignation ]])</f>
        <v>2</v>
      </c>
    </row>
    <row r="1069" spans="1:17">
      <c r="A1069" s="170">
        <v>1134</v>
      </c>
      <c r="B1069" s="170"/>
      <c r="C1069" s="437" t="s">
        <v>94</v>
      </c>
      <c r="D1069" t="str">
        <f xml:space="preserve"> TRIM( SUBSTITUTE(SUBSTITUTE(SUBSTITUTE( Compil[[#This Row],[DESIGNATION]],"-",""),"–",""),"*",""))</f>
        <v>Prise RJ 45 informatique</v>
      </c>
      <c r="E1069" s="435" t="s">
        <v>13</v>
      </c>
      <c r="F1069" s="447">
        <v>58</v>
      </c>
      <c r="G1069" s="448">
        <v>0</v>
      </c>
      <c r="H1069" s="449">
        <v>0</v>
      </c>
      <c r="I1069" t="s">
        <v>579</v>
      </c>
      <c r="J1069" t="b">
        <f>AND(NOT(Compil[[#This Row],[Est ouvrage]]), NOT(ISBLANK(Compil[[#This Row],[ART.
CCTP]])))</f>
        <v>0</v>
      </c>
      <c r="K1069" t="b">
        <f>OR(Compil[[#This Row],[Unité]]="U",Compil[[#This Row],[Unité]]="ens",Compil[[#This Row],[Unité]]="ml")</f>
        <v>1</v>
      </c>
      <c r="L1069" t="b">
        <f>ISBLANK(Compil[[#This Row],[DESIGNATION]])</f>
        <v>0</v>
      </c>
      <c r="M1069" s="359"/>
      <c r="N1069" s="358"/>
      <c r="O1069" s="358"/>
      <c r="P1069" s="358"/>
      <c r="Q1069" s="358">
        <f>COUNTIF(Compil[[Ma Désignation ]],Compil[[Ma Désignation ]])</f>
        <v>1</v>
      </c>
    </row>
    <row r="1070" spans="1:17">
      <c r="A1070" s="170">
        <v>1135</v>
      </c>
      <c r="B1070" s="170"/>
      <c r="C1070" s="437" t="s">
        <v>95</v>
      </c>
      <c r="D1070" t="str">
        <f xml:space="preserve"> TRIM( SUBSTITUTE(SUBSTITUTE(SUBSTITUTE( Compil[[#This Row],[DESIGNATION]],"-",""),"–",""),"*",""))</f>
        <v>Prise RJ 45 téléphone</v>
      </c>
      <c r="E1070" s="435" t="s">
        <v>13</v>
      </c>
      <c r="F1070" s="447">
        <v>58</v>
      </c>
      <c r="G1070" s="448">
        <v>0</v>
      </c>
      <c r="H1070" s="449">
        <v>0</v>
      </c>
      <c r="I1070" t="s">
        <v>579</v>
      </c>
      <c r="J1070" t="b">
        <f>AND(NOT(Compil[[#This Row],[Est ouvrage]]), NOT(ISBLANK(Compil[[#This Row],[ART.
CCTP]])))</f>
        <v>0</v>
      </c>
      <c r="K1070" t="b">
        <f>OR(Compil[[#This Row],[Unité]]="U",Compil[[#This Row],[Unité]]="ens",Compil[[#This Row],[Unité]]="ml")</f>
        <v>1</v>
      </c>
      <c r="L1070" t="b">
        <f>ISBLANK(Compil[[#This Row],[DESIGNATION]])</f>
        <v>0</v>
      </c>
      <c r="M1070" s="359"/>
      <c r="N1070" s="358"/>
      <c r="O1070" s="358"/>
      <c r="P1070" s="358"/>
      <c r="Q1070" s="358">
        <f>COUNTIF(Compil[[Ma Désignation ]],Compil[[Ma Désignation ]])</f>
        <v>1</v>
      </c>
    </row>
    <row r="1071" spans="1:17" ht="14">
      <c r="A1071" s="362">
        <v>703</v>
      </c>
      <c r="B1071" s="367"/>
      <c r="C1071" s="434" t="s">
        <v>335</v>
      </c>
      <c r="D1071" t="str">
        <f xml:space="preserve"> TRIM( SUBSTITUTE(SUBSTITUTE(SUBSTITUTE( Compil[[#This Row],[DESIGNATION]],"-",""),"–",""),"*",""))</f>
        <v>Prise RJ45 agrée FT</v>
      </c>
      <c r="E1071" s="55" t="s">
        <v>13</v>
      </c>
      <c r="F1071" s="386">
        <v>468</v>
      </c>
      <c r="G1071" s="389">
        <v>0</v>
      </c>
      <c r="H1071" s="302">
        <v>0</v>
      </c>
      <c r="I1071" t="s">
        <v>570</v>
      </c>
      <c r="J1071" t="b">
        <f>AND(NOT(Compil[[#This Row],[Est ouvrage]]), NOT(ISBLANK(Compil[[#This Row],[ART.
CCTP]])))</f>
        <v>0</v>
      </c>
      <c r="K1071" t="b">
        <f>OR(Compil[[#This Row],[Unité]]="U",Compil[[#This Row],[Unité]]="ens",Compil[[#This Row],[Unité]]="ml")</f>
        <v>1</v>
      </c>
      <c r="L1071" t="b">
        <f>ISBLANK(Compil[[#This Row],[DESIGNATION]])</f>
        <v>0</v>
      </c>
      <c r="M1071" s="359"/>
      <c r="N1071" s="358"/>
      <c r="O1071" s="358"/>
      <c r="P1071" s="358"/>
      <c r="Q1071" s="358">
        <f>COUNTIF(Compil[[Ma Désignation ]],Compil[[Ma Désignation ]])</f>
        <v>1</v>
      </c>
    </row>
    <row r="1072" spans="1:17" ht="14">
      <c r="A1072" s="362">
        <v>714</v>
      </c>
      <c r="B1072" s="62"/>
      <c r="C1072" s="434" t="s">
        <v>340</v>
      </c>
      <c r="D1072" t="str">
        <f xml:space="preserve"> TRIM( SUBSTITUTE(SUBSTITUTE(SUBSTITUTE( Compil[[#This Row],[DESIGNATION]],"-",""),"–",""),"*",""))</f>
        <v>prise TV/FM/SAT collective</v>
      </c>
      <c r="E1072" s="55" t="s">
        <v>13</v>
      </c>
      <c r="F1072" s="386">
        <v>209</v>
      </c>
      <c r="G1072" s="389">
        <v>0</v>
      </c>
      <c r="H1072" s="302">
        <v>0</v>
      </c>
      <c r="I1072" t="s">
        <v>570</v>
      </c>
      <c r="J1072" t="b">
        <f>AND(NOT(Compil[[#This Row],[Est ouvrage]]), NOT(ISBLANK(Compil[[#This Row],[ART.
CCTP]])))</f>
        <v>0</v>
      </c>
      <c r="K1072" t="b">
        <f>OR(Compil[[#This Row],[Unité]]="U",Compil[[#This Row],[Unité]]="ens",Compil[[#This Row],[Unité]]="ml")</f>
        <v>1</v>
      </c>
      <c r="L1072" t="b">
        <f>ISBLANK(Compil[[#This Row],[DESIGNATION]])</f>
        <v>0</v>
      </c>
      <c r="M1072" s="359"/>
      <c r="N1072" s="358"/>
      <c r="O1072" s="358"/>
      <c r="P1072" s="358"/>
      <c r="Q1072" s="358">
        <f>COUNTIF(Compil[[Ma Désignation ]],Compil[[Ma Désignation ]])</f>
        <v>1</v>
      </c>
    </row>
    <row r="1073" spans="1:17" ht="14">
      <c r="A1073" s="305">
        <v>13</v>
      </c>
      <c r="B1073" s="460"/>
      <c r="C1073" s="464" t="s">
        <v>123</v>
      </c>
      <c r="D1073" t="str">
        <f xml:space="preserve"> TRIM( SUBSTITUTE(SUBSTITUTE(SUBSTITUTE( Compil[[#This Row],[DESIGNATION]],"-",""),"–",""),"*",""))</f>
        <v>raccordement, équipements annexes et mise en service</v>
      </c>
      <c r="E1073" s="466" t="s">
        <v>12</v>
      </c>
      <c r="F1073" s="468" t="s">
        <v>492</v>
      </c>
      <c r="G1073" s="389"/>
      <c r="H1073" s="302"/>
      <c r="I1073" t="s">
        <v>580</v>
      </c>
      <c r="J1073" t="b">
        <f>AND(NOT(Compil[[#This Row],[Est ouvrage]]), NOT(ISBLANK(Compil[[#This Row],[ART.
CCTP]])))</f>
        <v>0</v>
      </c>
      <c r="K1073" t="b">
        <f>OR(Compil[[#This Row],[Unité]]="U",Compil[[#This Row],[Unité]]="ens",Compil[[#This Row],[Unité]]="ml")</f>
        <v>1</v>
      </c>
      <c r="L1073" t="b">
        <f>ISBLANK(Compil[[#This Row],[DESIGNATION]])</f>
        <v>0</v>
      </c>
      <c r="M1073" s="359"/>
      <c r="N1073" s="358"/>
      <c r="O1073" s="358"/>
      <c r="P1073" s="358"/>
      <c r="Q1073" s="358">
        <f>COUNTIF(Compil[[Ma Désignation ]],Compil[[Ma Désignation ]])</f>
        <v>4</v>
      </c>
    </row>
    <row r="1074" spans="1:17" ht="14">
      <c r="A1074" s="305">
        <v>35</v>
      </c>
      <c r="B1074" s="461"/>
      <c r="C1074" s="464" t="s">
        <v>123</v>
      </c>
      <c r="D1074" t="str">
        <f xml:space="preserve"> TRIM( SUBSTITUTE(SUBSTITUTE(SUBSTITUTE( Compil[[#This Row],[DESIGNATION]],"-",""),"–",""),"*",""))</f>
        <v>raccordement, équipements annexes et mise en service</v>
      </c>
      <c r="E1074" s="466" t="s">
        <v>12</v>
      </c>
      <c r="F1074" s="251">
        <v>1</v>
      </c>
      <c r="G1074" s="389" t="e">
        <f>IF(F1074="","",(((L1074*$M$6)+(M1074*#REF!*#REF!))*$M$7)/F1074)</f>
        <v>#VALUE!</v>
      </c>
      <c r="H1074" s="302" t="e">
        <f>IF(F1074="","",F1074*G1074)</f>
        <v>#VALUE!</v>
      </c>
      <c r="I1074" t="s">
        <v>580</v>
      </c>
      <c r="J1074" t="b">
        <f>AND(NOT(Compil[[#This Row],[Est ouvrage]]), NOT(ISBLANK(Compil[[#This Row],[ART.
CCTP]])))</f>
        <v>0</v>
      </c>
      <c r="K1074" t="b">
        <f>OR(Compil[[#This Row],[Unité]]="U",Compil[[#This Row],[Unité]]="ens",Compil[[#This Row],[Unité]]="ml")</f>
        <v>1</v>
      </c>
      <c r="L1074" t="b">
        <f>ISBLANK(Compil[[#This Row],[DESIGNATION]])</f>
        <v>0</v>
      </c>
      <c r="M1074" s="359"/>
      <c r="N1074" s="358"/>
      <c r="O1074" s="358"/>
      <c r="P1074" s="358"/>
      <c r="Q1074" s="358">
        <f>COUNTIF(Compil[[Ma Désignation ]],Compil[[Ma Désignation ]])</f>
        <v>4</v>
      </c>
    </row>
    <row r="1075" spans="1:17" ht="14">
      <c r="A1075" s="361">
        <v>730</v>
      </c>
      <c r="B1075" s="451"/>
      <c r="C1075" s="456" t="s">
        <v>123</v>
      </c>
      <c r="D1075" t="str">
        <f xml:space="preserve"> TRIM( SUBSTITUTE(SUBSTITUTE(SUBSTITUTE( Compil[[#This Row],[DESIGNATION]],"-",""),"–",""),"*",""))</f>
        <v>raccordement, équipements annexes et mise en service</v>
      </c>
      <c r="E1075" s="380" t="s">
        <v>12</v>
      </c>
      <c r="F1075" s="386">
        <v>1</v>
      </c>
      <c r="G1075" s="389">
        <v>0</v>
      </c>
      <c r="H1075" s="302">
        <v>0</v>
      </c>
      <c r="I1075" t="s">
        <v>578</v>
      </c>
      <c r="J1075" t="b">
        <f>AND(NOT(Compil[[#This Row],[Est ouvrage]]), NOT(ISBLANK(Compil[[#This Row],[ART.
CCTP]])))</f>
        <v>0</v>
      </c>
      <c r="K1075" t="b">
        <f>OR(Compil[[#This Row],[Unité]]="U",Compil[[#This Row],[Unité]]="ens",Compil[[#This Row],[Unité]]="ml")</f>
        <v>1</v>
      </c>
      <c r="L1075" t="b">
        <f>ISBLANK(Compil[[#This Row],[DESIGNATION]])</f>
        <v>0</v>
      </c>
      <c r="M1075" s="359"/>
      <c r="N1075" s="358"/>
      <c r="O1075" s="358"/>
      <c r="P1075" s="358"/>
      <c r="Q1075" s="358">
        <f>COUNTIF(Compil[[Ma Désignation ]],Compil[[Ma Désignation ]])</f>
        <v>4</v>
      </c>
    </row>
    <row r="1076" spans="1:17">
      <c r="A1076">
        <v>1071</v>
      </c>
      <c r="C1076" s="426"/>
      <c r="D1076" t="str">
        <f xml:space="preserve"> TRIM( SUBSTITUTE(SUBSTITUTE(SUBSTITUTE( Compil[[#This Row],[DESIGNATION]],"-",""),"–",""),"*",""))</f>
        <v/>
      </c>
      <c r="E1076" s="313"/>
      <c r="F1076" s="275"/>
      <c r="G1076" s="315" t="s">
        <v>571</v>
      </c>
      <c r="H1076" s="316" t="s">
        <v>571</v>
      </c>
      <c r="I1076" t="s">
        <v>579</v>
      </c>
      <c r="J1076" t="b">
        <f>AND(NOT(Compil[[#This Row],[Est ouvrage]]), NOT(ISBLANK(Compil[[#This Row],[ART.
CCTP]])))</f>
        <v>0</v>
      </c>
      <c r="K1076" t="b">
        <f>OR(Compil[[#This Row],[Unité]]="U",Compil[[#This Row],[Unité]]="ens",Compil[[#This Row],[Unité]]="ml")</f>
        <v>0</v>
      </c>
      <c r="L1076" t="b">
        <f>ISBLANK(Compil[[#This Row],[DESIGNATION]])</f>
        <v>1</v>
      </c>
      <c r="M1076" s="358"/>
      <c r="N1076" s="358"/>
      <c r="O1076" s="358"/>
      <c r="P1076" s="358"/>
      <c r="Q1076" s="358">
        <f>COUNTIF(Compil[[Ma Désignation ]],Compil[[Ma Désignation ]])</f>
        <v>306</v>
      </c>
    </row>
    <row r="1077" spans="1:17" ht="14">
      <c r="A1077" s="361">
        <v>736</v>
      </c>
      <c r="B1077" s="366"/>
      <c r="C1077" s="456" t="s">
        <v>123</v>
      </c>
      <c r="D1077" t="str">
        <f xml:space="preserve"> TRIM( SUBSTITUTE(SUBSTITUTE(SUBSTITUTE( Compil[[#This Row],[DESIGNATION]],"-",""),"–",""),"*",""))</f>
        <v>raccordement, équipements annexes et mise en service</v>
      </c>
      <c r="E1077" s="380" t="s">
        <v>12</v>
      </c>
      <c r="F1077" s="386">
        <v>1</v>
      </c>
      <c r="G1077" s="389">
        <v>0</v>
      </c>
      <c r="H1077" s="302">
        <v>0</v>
      </c>
      <c r="I1077" t="s">
        <v>578</v>
      </c>
      <c r="J1077" t="b">
        <f>AND(NOT(Compil[[#This Row],[Est ouvrage]]), NOT(ISBLANK(Compil[[#This Row],[ART.
CCTP]])))</f>
        <v>0</v>
      </c>
      <c r="K1077" t="b">
        <f>OR(Compil[[#This Row],[Unité]]="U",Compil[[#This Row],[Unité]]="ens",Compil[[#This Row],[Unité]]="ml")</f>
        <v>1</v>
      </c>
      <c r="L1077" t="b">
        <f>ISBLANK(Compil[[#This Row],[DESIGNATION]])</f>
        <v>0</v>
      </c>
      <c r="M1077" s="359"/>
      <c r="N1077" s="358"/>
      <c r="O1077" s="358"/>
      <c r="P1077" s="358"/>
      <c r="Q1077" s="358">
        <f>COUNTIF(Compil[[Ma Désignation ]],Compil[[Ma Désignation ]])</f>
        <v>4</v>
      </c>
    </row>
    <row r="1078" spans="1:17" ht="14">
      <c r="A1078" s="361">
        <v>967</v>
      </c>
      <c r="B1078" s="107"/>
      <c r="C1078" s="370" t="s">
        <v>440</v>
      </c>
      <c r="D1078" t="str">
        <f xml:space="preserve"> TRIM( SUBSTITUTE(SUBSTITUTE(SUBSTITUTE( Compil[[#This Row],[DESIGNATION]],"-",""),"–",""),"*",""))</f>
        <v>réception de l'installation</v>
      </c>
      <c r="E1078" s="379" t="s">
        <v>12</v>
      </c>
      <c r="F1078" s="386">
        <v>1</v>
      </c>
      <c r="G1078" s="389">
        <v>0</v>
      </c>
      <c r="H1078" s="302">
        <v>0</v>
      </c>
      <c r="I1078" t="s">
        <v>578</v>
      </c>
      <c r="J1078" t="b">
        <f>AND(NOT(Compil[[#This Row],[Est ouvrage]]), NOT(ISBLANK(Compil[[#This Row],[ART.
CCTP]])))</f>
        <v>0</v>
      </c>
      <c r="K1078" t="b">
        <f>OR(Compil[[#This Row],[Unité]]="U",Compil[[#This Row],[Unité]]="ens",Compil[[#This Row],[Unité]]="ml")</f>
        <v>1</v>
      </c>
      <c r="L1078" t="b">
        <f>ISBLANK(Compil[[#This Row],[DESIGNATION]])</f>
        <v>0</v>
      </c>
      <c r="M1078" s="359"/>
      <c r="N1078" s="358"/>
      <c r="O1078" s="358"/>
      <c r="P1078" s="358"/>
      <c r="Q1078" s="358">
        <f>COUNTIF(Compil[[Ma Désignation ]],Compil[[Ma Désignation ]])</f>
        <v>2</v>
      </c>
    </row>
    <row r="1079" spans="1:17">
      <c r="A1079">
        <v>1074</v>
      </c>
      <c r="C1079" s="426"/>
      <c r="D1079" t="str">
        <f xml:space="preserve"> TRIM( SUBSTITUTE(SUBSTITUTE(SUBSTITUTE( Compil[[#This Row],[DESIGNATION]],"-",""),"–",""),"*",""))</f>
        <v/>
      </c>
      <c r="E1079" s="313"/>
      <c r="F1079" s="275"/>
      <c r="G1079" s="315" t="s">
        <v>571</v>
      </c>
      <c r="H1079" s="316" t="s">
        <v>571</v>
      </c>
      <c r="I1079" t="s">
        <v>579</v>
      </c>
      <c r="J1079" t="b">
        <f>AND(NOT(Compil[[#This Row],[Est ouvrage]]), NOT(ISBLANK(Compil[[#This Row],[ART.
CCTP]])))</f>
        <v>0</v>
      </c>
      <c r="K1079" t="b">
        <f>OR(Compil[[#This Row],[Unité]]="U",Compil[[#This Row],[Unité]]="ens",Compil[[#This Row],[Unité]]="ml")</f>
        <v>0</v>
      </c>
      <c r="L1079" t="b">
        <f>ISBLANK(Compil[[#This Row],[DESIGNATION]])</f>
        <v>1</v>
      </c>
      <c r="M1079" s="358"/>
      <c r="N1079" s="358"/>
      <c r="O1079" s="358"/>
      <c r="P1079" s="358"/>
      <c r="Q1079" s="358">
        <f>COUNTIF(Compil[[Ma Désignation ]],Compil[[Ma Désignation ]])</f>
        <v>306</v>
      </c>
    </row>
    <row r="1080" spans="1:17">
      <c r="A1080" s="170">
        <v>1151</v>
      </c>
      <c r="B1080" s="170"/>
      <c r="C1080" s="437" t="s">
        <v>440</v>
      </c>
      <c r="D1080" t="str">
        <f xml:space="preserve"> TRIM( SUBSTITUTE(SUBSTITUTE(SUBSTITUTE( Compil[[#This Row],[DESIGNATION]],"-",""),"–",""),"*",""))</f>
        <v>réception de l'installation</v>
      </c>
      <c r="E1080" s="435" t="s">
        <v>12</v>
      </c>
      <c r="F1080" s="447"/>
      <c r="G1080" s="448" t="s">
        <v>571</v>
      </c>
      <c r="H1080" s="449" t="s">
        <v>571</v>
      </c>
      <c r="I1080" t="s">
        <v>579</v>
      </c>
      <c r="J1080" t="b">
        <f>AND(NOT(Compil[[#This Row],[Est ouvrage]]), NOT(ISBLANK(Compil[[#This Row],[ART.
CCTP]])))</f>
        <v>0</v>
      </c>
      <c r="K1080" t="b">
        <f>OR(Compil[[#This Row],[Unité]]="U",Compil[[#This Row],[Unité]]="ens",Compil[[#This Row],[Unité]]="ml")</f>
        <v>1</v>
      </c>
      <c r="L1080" t="b">
        <f>ISBLANK(Compil[[#This Row],[DESIGNATION]])</f>
        <v>0</v>
      </c>
      <c r="M1080" s="359"/>
      <c r="N1080" s="358"/>
      <c r="O1080" s="358"/>
      <c r="P1080" s="358"/>
      <c r="Q1080" s="358">
        <f>COUNTIF(Compil[[Ma Désignation ]],Compil[[Ma Désignation ]])</f>
        <v>2</v>
      </c>
    </row>
    <row r="1081" spans="1:17" ht="14">
      <c r="A1081" s="305">
        <v>242</v>
      </c>
      <c r="B1081" s="62"/>
      <c r="C1081" s="392" t="s">
        <v>179</v>
      </c>
      <c r="D1081" t="str">
        <f xml:space="preserve"> TRIM( SUBSTITUTE(SUBSTITUTE(SUBSTITUTE( Compil[[#This Row],[DESIGNATION]],"-",""),"–",""),"*",""))</f>
        <v>recette technique et mises en services</v>
      </c>
      <c r="E1081" s="384" t="s">
        <v>12</v>
      </c>
      <c r="F1081" s="251">
        <v>1</v>
      </c>
      <c r="G1081" s="389" t="e">
        <f>IF(F1081="","",(((L1081*$M$6)+(M1081*#REF!*#REF!))*$M$7)/F1081)</f>
        <v>#VALUE!</v>
      </c>
      <c r="H1081" s="302" t="e">
        <f>IF(F1081="","",F1081*G1081)</f>
        <v>#VALUE!</v>
      </c>
      <c r="I1081" t="s">
        <v>580</v>
      </c>
      <c r="J1081" t="b">
        <f>AND(NOT(Compil[[#This Row],[Est ouvrage]]), NOT(ISBLANK(Compil[[#This Row],[ART.
CCTP]])))</f>
        <v>0</v>
      </c>
      <c r="K1081" t="b">
        <f>OR(Compil[[#This Row],[Unité]]="U",Compil[[#This Row],[Unité]]="ens",Compil[[#This Row],[Unité]]="ml")</f>
        <v>1</v>
      </c>
      <c r="L1081" t="b">
        <f>ISBLANK(Compil[[#This Row],[DESIGNATION]])</f>
        <v>0</v>
      </c>
      <c r="M1081" s="359"/>
      <c r="N1081" s="358"/>
      <c r="O1081" s="358"/>
      <c r="P1081" s="358"/>
      <c r="Q1081" s="358">
        <f>COUNTIF(Compil[[Ma Désignation ]],Compil[[Ma Désignation ]])</f>
        <v>2</v>
      </c>
    </row>
    <row r="1082" spans="1:17" ht="14">
      <c r="A1082" s="361">
        <v>877</v>
      </c>
      <c r="B1082" s="107"/>
      <c r="C1082" s="373" t="s">
        <v>179</v>
      </c>
      <c r="D1082" t="str">
        <f xml:space="preserve"> TRIM( SUBSTITUTE(SUBSTITUTE(SUBSTITUTE( Compil[[#This Row],[DESIGNATION]],"-",""),"–",""),"*",""))</f>
        <v>recette technique et mises en services</v>
      </c>
      <c r="E1082" s="379" t="s">
        <v>12</v>
      </c>
      <c r="F1082" s="386">
        <v>1</v>
      </c>
      <c r="G1082" s="389">
        <v>0</v>
      </c>
      <c r="H1082" s="302">
        <v>0</v>
      </c>
      <c r="I1082" t="s">
        <v>578</v>
      </c>
      <c r="J1082" t="b">
        <f>AND(NOT(Compil[[#This Row],[Est ouvrage]]), NOT(ISBLANK(Compil[[#This Row],[ART.
CCTP]])))</f>
        <v>0</v>
      </c>
      <c r="K1082" t="b">
        <f>OR(Compil[[#This Row],[Unité]]="U",Compil[[#This Row],[Unité]]="ens",Compil[[#This Row],[Unité]]="ml")</f>
        <v>1</v>
      </c>
      <c r="L1082" t="b">
        <f>ISBLANK(Compil[[#This Row],[DESIGNATION]])</f>
        <v>0</v>
      </c>
      <c r="M1082" s="359"/>
      <c r="N1082" s="358"/>
      <c r="O1082" s="358"/>
      <c r="P1082" s="358"/>
      <c r="Q1082" s="358">
        <f>COUNTIF(Compil[[Ma Désignation ]],Compil[[Ma Désignation ]])</f>
        <v>2</v>
      </c>
    </row>
    <row r="1083" spans="1:17">
      <c r="A1083">
        <v>1078</v>
      </c>
      <c r="C1083" s="426"/>
      <c r="D1083" t="str">
        <f xml:space="preserve"> TRIM( SUBSTITUTE(SUBSTITUTE(SUBSTITUTE( Compil[[#This Row],[DESIGNATION]],"-",""),"–",""),"*",""))</f>
        <v/>
      </c>
      <c r="E1083" s="313" t="s">
        <v>13</v>
      </c>
      <c r="F1083" s="275"/>
      <c r="G1083" s="315" t="s">
        <v>571</v>
      </c>
      <c r="H1083" s="316" t="s">
        <v>571</v>
      </c>
      <c r="I1083" t="s">
        <v>579</v>
      </c>
      <c r="J1083" t="b">
        <f>AND(NOT(Compil[[#This Row],[Est ouvrage]]), NOT(ISBLANK(Compil[[#This Row],[ART.
CCTP]])))</f>
        <v>0</v>
      </c>
      <c r="K1083" t="b">
        <f>OR(Compil[[#This Row],[Unité]]="U",Compil[[#This Row],[Unité]]="ens",Compil[[#This Row],[Unité]]="ml")</f>
        <v>1</v>
      </c>
      <c r="L1083" t="b">
        <f>ISBLANK(Compil[[#This Row],[DESIGNATION]])</f>
        <v>1</v>
      </c>
      <c r="M1083" s="358"/>
      <c r="N1083" s="358"/>
      <c r="O1083" s="358"/>
      <c r="P1083" s="358"/>
      <c r="Q1083" s="358">
        <f>COUNTIF(Compil[[Ma Désignation ]],Compil[[Ma Désignation ]])</f>
        <v>306</v>
      </c>
    </row>
    <row r="1084" spans="1:17">
      <c r="A1084" s="170">
        <v>1079</v>
      </c>
      <c r="B1084" s="170"/>
      <c r="C1084" s="437" t="s">
        <v>236</v>
      </c>
      <c r="D1084" t="str">
        <f xml:space="preserve"> TRIM( SUBSTITUTE(SUBSTITUTE(SUBSTITUTE( Compil[[#This Row],[DESIGNATION]],"-",""),"–",""),"*",""))</f>
        <v>Sous total HT pour un T3</v>
      </c>
      <c r="E1084" s="435"/>
      <c r="F1084" s="447"/>
      <c r="G1084" s="448" t="s">
        <v>571</v>
      </c>
      <c r="H1084" s="449" t="s">
        <v>571</v>
      </c>
      <c r="I1084" t="s">
        <v>579</v>
      </c>
      <c r="J1084" t="b">
        <f>AND(NOT(Compil[[#This Row],[Est ouvrage]]), NOT(ISBLANK(Compil[[#This Row],[ART.
CCTP]])))</f>
        <v>0</v>
      </c>
      <c r="K1084" t="b">
        <f>OR(Compil[[#This Row],[Unité]]="U",Compil[[#This Row],[Unité]]="ens",Compil[[#This Row],[Unité]]="ml")</f>
        <v>0</v>
      </c>
      <c r="L1084" t="b">
        <f>ISBLANK(Compil[[#This Row],[DESIGNATION]])</f>
        <v>0</v>
      </c>
      <c r="M1084" s="359"/>
      <c r="N1084" s="358"/>
      <c r="O1084" s="358"/>
      <c r="P1084" s="358"/>
      <c r="Q1084" s="358">
        <f>COUNTIF(Compil[[Ma Désignation ]],Compil[[Ma Désignation ]])</f>
        <v>2</v>
      </c>
    </row>
    <row r="1085" spans="1:17" ht="25">
      <c r="A1085" s="361">
        <v>848</v>
      </c>
      <c r="B1085" s="368"/>
      <c r="C1085" s="373" t="s">
        <v>184</v>
      </c>
      <c r="D1085" t="str">
        <f xml:space="preserve"> TRIM( SUBSTITUTE(SUBSTITUTE(SUBSTITUTE( Compil[[#This Row],[DESIGNATION]],"-",""),"–",""),"*",""))</f>
        <v>réglette dans le bureau y compris liaisons depuis la gaine technique palière</v>
      </c>
      <c r="E1085" s="55" t="s">
        <v>12</v>
      </c>
      <c r="F1085" s="386">
        <v>1</v>
      </c>
      <c r="G1085" s="389">
        <v>0</v>
      </c>
      <c r="H1085" s="302">
        <v>0</v>
      </c>
      <c r="I1085" t="s">
        <v>578</v>
      </c>
      <c r="J1085" t="b">
        <f>AND(NOT(Compil[[#This Row],[Est ouvrage]]), NOT(ISBLANK(Compil[[#This Row],[ART.
CCTP]])))</f>
        <v>0</v>
      </c>
      <c r="K1085" t="b">
        <f>OR(Compil[[#This Row],[Unité]]="U",Compil[[#This Row],[Unité]]="ens",Compil[[#This Row],[Unité]]="ml")</f>
        <v>1</v>
      </c>
      <c r="L1085" t="b">
        <f>ISBLANK(Compil[[#This Row],[DESIGNATION]])</f>
        <v>0</v>
      </c>
      <c r="M1085" s="359"/>
      <c r="N1085" s="358"/>
      <c r="O1085" s="358"/>
      <c r="P1085" s="358"/>
      <c r="Q1085" s="358">
        <f>COUNTIF(Compil[[Ma Désignation ]],Compil[[Ma Désignation ]])</f>
        <v>1</v>
      </c>
    </row>
    <row r="1086" spans="1:17">
      <c r="A1086">
        <v>1081</v>
      </c>
      <c r="C1086" s="426"/>
      <c r="D1086" t="str">
        <f xml:space="preserve"> TRIM( SUBSTITUTE(SUBSTITUTE(SUBSTITUTE( Compil[[#This Row],[DESIGNATION]],"-",""),"–",""),"*",""))</f>
        <v/>
      </c>
      <c r="E1086" s="313"/>
      <c r="F1086" s="275"/>
      <c r="G1086" s="315" t="s">
        <v>571</v>
      </c>
      <c r="H1086" s="316" t="s">
        <v>571</v>
      </c>
      <c r="I1086" t="s">
        <v>579</v>
      </c>
      <c r="J1086" t="b">
        <f>AND(NOT(Compil[[#This Row],[Est ouvrage]]), NOT(ISBLANK(Compil[[#This Row],[ART.
CCTP]])))</f>
        <v>0</v>
      </c>
      <c r="K1086" t="b">
        <f>OR(Compil[[#This Row],[Unité]]="U",Compil[[#This Row],[Unité]]="ens",Compil[[#This Row],[Unité]]="ml")</f>
        <v>0</v>
      </c>
      <c r="L1086" t="b">
        <f>ISBLANK(Compil[[#This Row],[DESIGNATION]])</f>
        <v>1</v>
      </c>
      <c r="M1086" s="358"/>
      <c r="N1086" s="358"/>
      <c r="O1086" s="358"/>
      <c r="P1086" s="358"/>
      <c r="Q1086" s="358">
        <f>COUNTIF(Compil[[Ma Désignation ]],Compil[[Ma Désignation ]])</f>
        <v>306</v>
      </c>
    </row>
    <row r="1087" spans="1:17">
      <c r="A1087" s="170">
        <v>1082</v>
      </c>
      <c r="B1087" s="170"/>
      <c r="C1087" s="437" t="s">
        <v>376</v>
      </c>
      <c r="D1087" t="str">
        <f xml:space="preserve"> TRIM( SUBSTITUTE(SUBSTITUTE(SUBSTITUTE( Compil[[#This Row],[DESIGNATION]],"-",""),"–",""),"*",""))</f>
        <v>Sous total 3.7.2 Appartement T3</v>
      </c>
      <c r="E1087" s="435"/>
      <c r="F1087" s="447"/>
      <c r="G1087" s="448" t="s">
        <v>571</v>
      </c>
      <c r="H1087" s="449" t="s">
        <v>571</v>
      </c>
      <c r="I1087" t="s">
        <v>579</v>
      </c>
      <c r="J1087" t="b">
        <f>AND(NOT(Compil[[#This Row],[Est ouvrage]]), NOT(ISBLANK(Compil[[#This Row],[ART.
CCTP]])))</f>
        <v>0</v>
      </c>
      <c r="K1087" t="b">
        <f>OR(Compil[[#This Row],[Unité]]="U",Compil[[#This Row],[Unité]]="ens",Compil[[#This Row],[Unité]]="ml")</f>
        <v>0</v>
      </c>
      <c r="L1087" t="b">
        <f>ISBLANK(Compil[[#This Row],[DESIGNATION]])</f>
        <v>0</v>
      </c>
      <c r="M1087" s="359"/>
      <c r="N1087" s="358"/>
      <c r="O1087" s="358"/>
      <c r="P1087" s="358"/>
      <c r="Q1087" s="358">
        <f>COUNTIF(Compil[[Ma Désignation ]],Compil[[Ma Désignation ]])</f>
        <v>1</v>
      </c>
    </row>
    <row r="1088" spans="1:17">
      <c r="A1088">
        <v>1083</v>
      </c>
      <c r="C1088" s="426"/>
      <c r="D1088" t="str">
        <f xml:space="preserve"> TRIM( SUBSTITUTE(SUBSTITUTE(SUBSTITUTE( Compil[[#This Row],[DESIGNATION]],"-",""),"–",""),"*",""))</f>
        <v/>
      </c>
      <c r="E1088" s="313"/>
      <c r="F1088" s="275"/>
      <c r="G1088" s="315" t="s">
        <v>571</v>
      </c>
      <c r="H1088" s="316" t="s">
        <v>571</v>
      </c>
      <c r="I1088" t="s">
        <v>579</v>
      </c>
      <c r="J1088" t="b">
        <f>AND(NOT(Compil[[#This Row],[Est ouvrage]]), NOT(ISBLANK(Compil[[#This Row],[ART.
CCTP]])))</f>
        <v>0</v>
      </c>
      <c r="K1088" t="b">
        <f>OR(Compil[[#This Row],[Unité]]="U",Compil[[#This Row],[Unité]]="ens",Compil[[#This Row],[Unité]]="ml")</f>
        <v>0</v>
      </c>
      <c r="L1088" t="b">
        <f>ISBLANK(Compil[[#This Row],[DESIGNATION]])</f>
        <v>1</v>
      </c>
      <c r="M1088" s="358"/>
      <c r="N1088" s="358"/>
      <c r="O1088" s="358"/>
      <c r="P1088" s="358"/>
      <c r="Q1088" s="358">
        <f>COUNTIF(Compil[[Ma Désignation ]],Compil[[Ma Désignation ]])</f>
        <v>306</v>
      </c>
    </row>
    <row r="1089" spans="1:17">
      <c r="A1089" s="170">
        <v>1084</v>
      </c>
      <c r="B1089" s="170"/>
      <c r="C1089" s="437" t="s">
        <v>377</v>
      </c>
      <c r="D1089" t="str">
        <f xml:space="preserve"> TRIM( SUBSTITUTE(SUBSTITUTE(SUBSTITUTE( Compil[[#This Row],[DESIGNATION]],"-",""),"–",""),"*",""))</f>
        <v>Sous total 3.7</v>
      </c>
      <c r="E1089" s="435"/>
      <c r="F1089" s="447"/>
      <c r="G1089" s="448" t="s">
        <v>571</v>
      </c>
      <c r="H1089" s="449" t="s">
        <v>571</v>
      </c>
      <c r="I1089" t="s">
        <v>579</v>
      </c>
      <c r="J1089" t="b">
        <f>AND(NOT(Compil[[#This Row],[Est ouvrage]]), NOT(ISBLANK(Compil[[#This Row],[ART.
CCTP]])))</f>
        <v>0</v>
      </c>
      <c r="K1089" t="b">
        <f>OR(Compil[[#This Row],[Unité]]="U",Compil[[#This Row],[Unité]]="ens",Compil[[#This Row],[Unité]]="ml")</f>
        <v>0</v>
      </c>
      <c r="L1089" t="b">
        <f>ISBLANK(Compil[[#This Row],[DESIGNATION]])</f>
        <v>0</v>
      </c>
      <c r="M1089" s="359"/>
      <c r="N1089" s="358"/>
      <c r="O1089" s="358"/>
      <c r="P1089" s="358"/>
      <c r="Q1089" s="358">
        <f>COUNTIF(Compil[[Ma Désignation ]],Compil[[Ma Désignation ]])</f>
        <v>1</v>
      </c>
    </row>
    <row r="1090" spans="1:17">
      <c r="A1090">
        <v>1085</v>
      </c>
      <c r="C1090" s="426"/>
      <c r="D1090" t="str">
        <f xml:space="preserve"> TRIM( SUBSTITUTE(SUBSTITUTE(SUBSTITUTE( Compil[[#This Row],[DESIGNATION]],"-",""),"–",""),"*",""))</f>
        <v/>
      </c>
      <c r="E1090" s="313"/>
      <c r="F1090" s="275"/>
      <c r="G1090" s="315" t="s">
        <v>571</v>
      </c>
      <c r="H1090" s="316" t="s">
        <v>571</v>
      </c>
      <c r="I1090" t="s">
        <v>579</v>
      </c>
      <c r="J1090" t="b">
        <f>AND(NOT(Compil[[#This Row],[Est ouvrage]]), NOT(ISBLANK(Compil[[#This Row],[ART.
CCTP]])))</f>
        <v>0</v>
      </c>
      <c r="K1090" t="b">
        <f>OR(Compil[[#This Row],[Unité]]="U",Compil[[#This Row],[Unité]]="ens",Compil[[#This Row],[Unité]]="ml")</f>
        <v>0</v>
      </c>
      <c r="L1090" t="b">
        <f>ISBLANK(Compil[[#This Row],[DESIGNATION]])</f>
        <v>1</v>
      </c>
      <c r="M1090" s="358"/>
      <c r="N1090" s="358"/>
      <c r="O1090" s="358"/>
      <c r="P1090" s="358"/>
      <c r="Q1090" s="358">
        <f>COUNTIF(Compil[[Ma Désignation ]],Compil[[Ma Désignation ]])</f>
        <v>306</v>
      </c>
    </row>
    <row r="1091" spans="1:17">
      <c r="A1091" s="170">
        <v>1086</v>
      </c>
      <c r="B1091" s="170" t="s">
        <v>378</v>
      </c>
      <c r="C1091" s="437" t="s">
        <v>380</v>
      </c>
      <c r="D1091" t="str">
        <f xml:space="preserve"> TRIM( SUBSTITUTE(SUBSTITUTE(SUBSTITUTE( Compil[[#This Row],[DESIGNATION]],"-",""),"–",""),"*",""))</f>
        <v>Equipements des bureaux</v>
      </c>
      <c r="E1091" s="435"/>
      <c r="F1091" s="447"/>
      <c r="G1091" s="448" t="s">
        <v>571</v>
      </c>
      <c r="H1091" s="449" t="s">
        <v>571</v>
      </c>
      <c r="I1091" t="s">
        <v>579</v>
      </c>
      <c r="J1091" t="b">
        <f>AND(NOT(Compil[[#This Row],[Est ouvrage]]), NOT(ISBLANK(Compil[[#This Row],[ART.
CCTP]])))</f>
        <v>1</v>
      </c>
      <c r="K1091" t="b">
        <f>OR(Compil[[#This Row],[Unité]]="U",Compil[[#This Row],[Unité]]="ens",Compil[[#This Row],[Unité]]="ml")</f>
        <v>0</v>
      </c>
      <c r="L1091" t="b">
        <f>ISBLANK(Compil[[#This Row],[DESIGNATION]])</f>
        <v>0</v>
      </c>
      <c r="M1091" s="359"/>
      <c r="N1091" s="358"/>
      <c r="O1091" s="358"/>
      <c r="P1091" s="358"/>
      <c r="Q1091" s="358">
        <f>COUNTIF(Compil[[Ma Désignation ]],Compil[[Ma Désignation ]])</f>
        <v>1</v>
      </c>
    </row>
    <row r="1092" spans="1:17">
      <c r="A1092">
        <v>1087</v>
      </c>
      <c r="C1092" s="426"/>
      <c r="D1092" t="str">
        <f xml:space="preserve"> TRIM( SUBSTITUTE(SUBSTITUTE(SUBSTITUTE( Compil[[#This Row],[DESIGNATION]],"-",""),"–",""),"*",""))</f>
        <v/>
      </c>
      <c r="E1092" s="313"/>
      <c r="F1092" s="275"/>
      <c r="G1092" s="315" t="s">
        <v>571</v>
      </c>
      <c r="H1092" s="316" t="s">
        <v>571</v>
      </c>
      <c r="I1092" t="s">
        <v>579</v>
      </c>
      <c r="J1092" t="b">
        <f>AND(NOT(Compil[[#This Row],[Est ouvrage]]), NOT(ISBLANK(Compil[[#This Row],[ART.
CCTP]])))</f>
        <v>0</v>
      </c>
      <c r="K1092" t="b">
        <f>OR(Compil[[#This Row],[Unité]]="U",Compil[[#This Row],[Unité]]="ens",Compil[[#This Row],[Unité]]="ml")</f>
        <v>0</v>
      </c>
      <c r="L1092" t="b">
        <f>ISBLANK(Compil[[#This Row],[DESIGNATION]])</f>
        <v>1</v>
      </c>
      <c r="M1092" s="358"/>
      <c r="N1092" s="358"/>
      <c r="O1092" s="358"/>
      <c r="P1092" s="358"/>
      <c r="Q1092" s="358">
        <f>COUNTIF(Compil[[Ma Désignation ]],Compil[[Ma Désignation ]])</f>
        <v>306</v>
      </c>
    </row>
    <row r="1093" spans="1:17">
      <c r="A1093" s="170">
        <v>1088</v>
      </c>
      <c r="B1093" s="170"/>
      <c r="C1093" s="437" t="s">
        <v>572</v>
      </c>
      <c r="D1093" t="str">
        <f xml:space="preserve"> TRIM( SUBSTITUTE(SUBSTITUTE(SUBSTITUTE( Compil[[#This Row],[DESIGNATION]],"-",""),"–",""),"*",""))</f>
        <v>Appareillages de finition blanche</v>
      </c>
      <c r="E1093" s="435"/>
      <c r="F1093" s="447"/>
      <c r="G1093" s="448" t="s">
        <v>571</v>
      </c>
      <c r="H1093" s="449" t="s">
        <v>571</v>
      </c>
      <c r="I1093" t="s">
        <v>579</v>
      </c>
      <c r="J1093" t="b">
        <f>AND(NOT(Compil[[#This Row],[Est ouvrage]]), NOT(ISBLANK(Compil[[#This Row],[ART.
CCTP]])))</f>
        <v>0</v>
      </c>
      <c r="K1093" t="b">
        <f>OR(Compil[[#This Row],[Unité]]="U",Compil[[#This Row],[Unité]]="ens",Compil[[#This Row],[Unité]]="ml")</f>
        <v>0</v>
      </c>
      <c r="L1093" t="b">
        <f>ISBLANK(Compil[[#This Row],[DESIGNATION]])</f>
        <v>0</v>
      </c>
      <c r="M1093" s="359"/>
      <c r="N1093" s="358"/>
      <c r="O1093" s="358"/>
      <c r="P1093" s="358"/>
      <c r="Q1093" s="358">
        <f>COUNTIF(Compil[[Ma Désignation ]],Compil[[Ma Désignation ]])</f>
        <v>9</v>
      </c>
    </row>
    <row r="1094" spans="1:17" ht="14">
      <c r="A1094" s="305">
        <v>208</v>
      </c>
      <c r="B1094" s="364"/>
      <c r="C1094" s="392" t="s">
        <v>182</v>
      </c>
      <c r="D1094" t="str">
        <f xml:space="preserve"> TRIM( SUBSTITUTE(SUBSTITUTE(SUBSTITUTE( Compil[[#This Row],[DESIGNATION]],"-",""),"–",""),"*",""))</f>
        <v>réglette de distibution en gaine technique</v>
      </c>
      <c r="E1094" s="243" t="s">
        <v>12</v>
      </c>
      <c r="F1094" s="251">
        <v>1</v>
      </c>
      <c r="G1094" s="389" t="e">
        <f>IF(F1094="","",(((L1094*$M$6)+(M1094*#REF!*#REF!))*$M$7)/F1094)</f>
        <v>#VALUE!</v>
      </c>
      <c r="H1094" s="302" t="e">
        <f>IF(F1094="","",F1094*G1094)</f>
        <v>#VALUE!</v>
      </c>
      <c r="I1094" t="s">
        <v>580</v>
      </c>
      <c r="J1094" t="b">
        <f>AND(NOT(Compil[[#This Row],[Est ouvrage]]), NOT(ISBLANK(Compil[[#This Row],[ART.
CCTP]])))</f>
        <v>0</v>
      </c>
      <c r="K1094" t="b">
        <f>OR(Compil[[#This Row],[Unité]]="U",Compil[[#This Row],[Unité]]="ens",Compil[[#This Row],[Unité]]="ml")</f>
        <v>1</v>
      </c>
      <c r="L1094" t="b">
        <f>ISBLANK(Compil[[#This Row],[DESIGNATION]])</f>
        <v>0</v>
      </c>
      <c r="M1094" s="359"/>
      <c r="N1094" s="358"/>
      <c r="O1094" s="358"/>
      <c r="P1094" s="358"/>
      <c r="Q1094" s="358">
        <f>COUNTIF(Compil[[Ma Désignation ]],Compil[[Ma Désignation ]])</f>
        <v>2</v>
      </c>
    </row>
    <row r="1095" spans="1:17" ht="14">
      <c r="A1095" s="361">
        <v>847</v>
      </c>
      <c r="B1095" s="368"/>
      <c r="C1095" s="373" t="s">
        <v>182</v>
      </c>
      <c r="D1095" t="str">
        <f xml:space="preserve"> TRIM( SUBSTITUTE(SUBSTITUTE(SUBSTITUTE( Compil[[#This Row],[DESIGNATION]],"-",""),"–",""),"*",""))</f>
        <v>réglette de distibution en gaine technique</v>
      </c>
      <c r="E1095" s="55" t="s">
        <v>12</v>
      </c>
      <c r="F1095" s="386">
        <v>1</v>
      </c>
      <c r="G1095" s="389">
        <v>0</v>
      </c>
      <c r="H1095" s="302">
        <v>0</v>
      </c>
      <c r="I1095" t="s">
        <v>578</v>
      </c>
      <c r="J1095" t="b">
        <f>AND(NOT(Compil[[#This Row],[Est ouvrage]]), NOT(ISBLANK(Compil[[#This Row],[ART.
CCTP]])))</f>
        <v>0</v>
      </c>
      <c r="K1095" t="b">
        <f>OR(Compil[[#This Row],[Unité]]="U",Compil[[#This Row],[Unité]]="ens",Compil[[#This Row],[Unité]]="ml")</f>
        <v>1</v>
      </c>
      <c r="L1095" t="b">
        <f>ISBLANK(Compil[[#This Row],[DESIGNATION]])</f>
        <v>0</v>
      </c>
      <c r="M1095" s="359"/>
      <c r="N1095" s="358"/>
      <c r="O1095" s="358"/>
      <c r="P1095" s="358"/>
      <c r="Q1095" s="358">
        <f>COUNTIF(Compil[[Ma Désignation ]],Compil[[Ma Désignation ]])</f>
        <v>2</v>
      </c>
    </row>
    <row r="1096" spans="1:17" ht="14">
      <c r="A1096" s="305">
        <v>213</v>
      </c>
      <c r="B1096" s="364"/>
      <c r="C1096" s="392" t="s">
        <v>43</v>
      </c>
      <c r="D1096" t="str">
        <f xml:space="preserve"> TRIM( SUBSTITUTE(SUBSTITUTE(SUBSTITUTE( Compil[[#This Row],[DESIGNATION]],"-",""),"–",""),"*",""))</f>
        <v>réglette multipaires</v>
      </c>
      <c r="E1096" s="243" t="s">
        <v>12</v>
      </c>
      <c r="F1096" s="251">
        <v>1</v>
      </c>
      <c r="G1096" s="389" t="e">
        <f>IF(F1096="","",(((L1096*$M$6)+(M1096*#REF!*#REF!))*$M$7)/F1096)</f>
        <v>#VALUE!</v>
      </c>
      <c r="H1096" s="302" t="e">
        <f>IF(F1096="","",F1096*G1096)</f>
        <v>#VALUE!</v>
      </c>
      <c r="I1096" t="s">
        <v>580</v>
      </c>
      <c r="J1096" t="b">
        <f>AND(NOT(Compil[[#This Row],[Est ouvrage]]), NOT(ISBLANK(Compil[[#This Row],[ART.
CCTP]])))</f>
        <v>0</v>
      </c>
      <c r="K1096" t="b">
        <f>OR(Compil[[#This Row],[Unité]]="U",Compil[[#This Row],[Unité]]="ens",Compil[[#This Row],[Unité]]="ml")</f>
        <v>1</v>
      </c>
      <c r="L1096" t="b">
        <f>ISBLANK(Compil[[#This Row],[DESIGNATION]])</f>
        <v>0</v>
      </c>
      <c r="M1096" s="359"/>
      <c r="N1096" s="358"/>
      <c r="O1096" s="358"/>
      <c r="P1096" s="358"/>
      <c r="Q1096" s="358">
        <f>COUNTIF(Compil[[Ma Désignation ]],Compil[[Ma Désignation ]])</f>
        <v>2</v>
      </c>
    </row>
    <row r="1097" spans="1:17" ht="14">
      <c r="A1097" s="361">
        <v>853</v>
      </c>
      <c r="B1097" s="368"/>
      <c r="C1097" s="373" t="s">
        <v>43</v>
      </c>
      <c r="D1097" t="str">
        <f xml:space="preserve"> TRIM( SUBSTITUTE(SUBSTITUTE(SUBSTITUTE( Compil[[#This Row],[DESIGNATION]],"-",""),"–",""),"*",""))</f>
        <v>réglette multipaires</v>
      </c>
      <c r="E1097" s="55" t="s">
        <v>12</v>
      </c>
      <c r="F1097" s="386">
        <v>1</v>
      </c>
      <c r="G1097" s="389">
        <v>0</v>
      </c>
      <c r="H1097" s="302">
        <v>0</v>
      </c>
      <c r="I1097" t="s">
        <v>578</v>
      </c>
      <c r="J1097" t="b">
        <f>AND(NOT(Compil[[#This Row],[Est ouvrage]]), NOT(ISBLANK(Compil[[#This Row],[ART.
CCTP]])))</f>
        <v>0</v>
      </c>
      <c r="K1097" t="b">
        <f>OR(Compil[[#This Row],[Unité]]="U",Compil[[#This Row],[Unité]]="ens",Compil[[#This Row],[Unité]]="ml")</f>
        <v>1</v>
      </c>
      <c r="L1097" t="b">
        <f>ISBLANK(Compil[[#This Row],[DESIGNATION]])</f>
        <v>0</v>
      </c>
      <c r="M1097" s="359"/>
      <c r="N1097" s="358"/>
      <c r="O1097" s="358"/>
      <c r="P1097" s="358"/>
      <c r="Q1097" s="358">
        <f>COUNTIF(Compil[[Ma Désignation ]],Compil[[Ma Désignation ]])</f>
        <v>2</v>
      </c>
    </row>
    <row r="1098" spans="1:17" ht="14">
      <c r="A1098" s="305">
        <v>36</v>
      </c>
      <c r="B1098" s="461"/>
      <c r="C1098" s="392" t="s">
        <v>124</v>
      </c>
      <c r="D1098" t="str">
        <f xml:space="preserve"> TRIM( SUBSTITUTE(SUBSTITUTE(SUBSTITUTE( Compil[[#This Row],[DESIGNATION]],"-",""),"–",""),"*",""))</f>
        <v>relation avec service EDF / consuel</v>
      </c>
      <c r="E1098" s="384" t="s">
        <v>12</v>
      </c>
      <c r="F1098" s="251">
        <v>1</v>
      </c>
      <c r="G1098" s="389" t="e">
        <f>IF(F1098="","",(((L1098*$M$6)+(M1098*#REF!*#REF!))*$M$7)/F1098)</f>
        <v>#VALUE!</v>
      </c>
      <c r="H1098" s="302" t="e">
        <f>IF(F1098="","",F1098*G1098)</f>
        <v>#VALUE!</v>
      </c>
      <c r="I1098" t="s">
        <v>580</v>
      </c>
      <c r="J1098" t="b">
        <f>AND(NOT(Compil[[#This Row],[Est ouvrage]]), NOT(ISBLANK(Compil[[#This Row],[ART.
CCTP]])))</f>
        <v>0</v>
      </c>
      <c r="K1098" t="b">
        <f>OR(Compil[[#This Row],[Unité]]="U",Compil[[#This Row],[Unité]]="ens",Compil[[#This Row],[Unité]]="ml")</f>
        <v>1</v>
      </c>
      <c r="L1098" t="b">
        <f>ISBLANK(Compil[[#This Row],[DESIGNATION]])</f>
        <v>0</v>
      </c>
      <c r="M1098" s="359"/>
      <c r="N1098" s="358"/>
      <c r="O1098" s="358"/>
      <c r="P1098" s="358"/>
      <c r="Q1098" s="358">
        <f>COUNTIF(Compil[[Ma Désignation ]],Compil[[Ma Désignation ]])</f>
        <v>3</v>
      </c>
    </row>
    <row r="1099" spans="1:17" ht="14">
      <c r="A1099" s="305">
        <v>40</v>
      </c>
      <c r="B1099" s="461"/>
      <c r="C1099" s="392" t="s">
        <v>124</v>
      </c>
      <c r="D1099" t="str">
        <f xml:space="preserve"> TRIM( SUBSTITUTE(SUBSTITUTE(SUBSTITUTE( Compil[[#This Row],[DESIGNATION]],"-",""),"–",""),"*",""))</f>
        <v>relation avec service EDF / consuel</v>
      </c>
      <c r="E1099" s="384" t="s">
        <v>12</v>
      </c>
      <c r="F1099" s="251">
        <v>1</v>
      </c>
      <c r="G1099" s="389" t="e">
        <f>IF(F1099="","",(((L1099*$M$6)+(M1099*#REF!*#REF!))*$M$7)/F1099)</f>
        <v>#VALUE!</v>
      </c>
      <c r="H1099" s="302" t="e">
        <f>IF(F1099="","",F1099*G1099)</f>
        <v>#VALUE!</v>
      </c>
      <c r="I1099" t="s">
        <v>580</v>
      </c>
      <c r="J1099" t="b">
        <f>AND(NOT(Compil[[#This Row],[Est ouvrage]]), NOT(ISBLANK(Compil[[#This Row],[ART.
CCTP]])))</f>
        <v>0</v>
      </c>
      <c r="K1099" t="b">
        <f>OR(Compil[[#This Row],[Unité]]="U",Compil[[#This Row],[Unité]]="ens",Compil[[#This Row],[Unité]]="ml")</f>
        <v>1</v>
      </c>
      <c r="L1099" t="b">
        <f>ISBLANK(Compil[[#This Row],[DESIGNATION]])</f>
        <v>0</v>
      </c>
      <c r="M1099" s="359"/>
      <c r="N1099" s="358"/>
      <c r="O1099" s="358"/>
      <c r="P1099" s="358"/>
      <c r="Q1099" s="358">
        <f>COUNTIF(Compil[[Ma Désignation ]],Compil[[Ma Désignation ]])</f>
        <v>3</v>
      </c>
    </row>
    <row r="1100" spans="1:17" ht="14">
      <c r="A1100" s="361">
        <v>737</v>
      </c>
      <c r="B1100" s="366"/>
      <c r="C1100" s="373" t="s">
        <v>124</v>
      </c>
      <c r="D1100" t="str">
        <f xml:space="preserve"> TRIM( SUBSTITUTE(SUBSTITUTE(SUBSTITUTE( Compil[[#This Row],[DESIGNATION]],"-",""),"–",""),"*",""))</f>
        <v>relation avec service EDF / consuel</v>
      </c>
      <c r="E1100" s="375" t="s">
        <v>12</v>
      </c>
      <c r="F1100" s="386">
        <v>1</v>
      </c>
      <c r="G1100" s="389">
        <v>0</v>
      </c>
      <c r="H1100" s="302">
        <v>0</v>
      </c>
      <c r="I1100" t="s">
        <v>578</v>
      </c>
      <c r="J1100" t="b">
        <f>AND(NOT(Compil[[#This Row],[Est ouvrage]]), NOT(ISBLANK(Compil[[#This Row],[ART.
CCTP]])))</f>
        <v>0</v>
      </c>
      <c r="K1100" t="b">
        <f>OR(Compil[[#This Row],[Unité]]="U",Compil[[#This Row],[Unité]]="ens",Compil[[#This Row],[Unité]]="ml")</f>
        <v>1</v>
      </c>
      <c r="L1100" t="b">
        <f>ISBLANK(Compil[[#This Row],[DESIGNATION]])</f>
        <v>0</v>
      </c>
      <c r="M1100" s="359"/>
      <c r="N1100" s="358"/>
      <c r="O1100" s="358"/>
      <c r="P1100" s="358"/>
      <c r="Q1100" s="358">
        <f>COUNTIF(Compil[[Ma Désignation ]],Compil[[Ma Désignation ]])</f>
        <v>3</v>
      </c>
    </row>
    <row r="1101" spans="1:17" ht="14">
      <c r="A1101" s="305">
        <v>212</v>
      </c>
      <c r="B1101" s="364"/>
      <c r="C1101" s="392" t="s">
        <v>334</v>
      </c>
      <c r="D1101" t="str">
        <f xml:space="preserve"> TRIM( SUBSTITUTE(SUBSTITUTE(SUBSTITUTE( Compil[[#This Row],[DESIGNATION]],"-",""),"–",""),"*",""))</f>
        <v>relations avec FRANCE TELECOM</v>
      </c>
      <c r="E1101" s="243" t="s">
        <v>12</v>
      </c>
      <c r="F1101" s="251">
        <v>1</v>
      </c>
      <c r="G1101" s="389" t="e">
        <f>IF(F1101="","",(((L1101*$M$6)+(M1101*#REF!*#REF!))*$M$7)/F1101)</f>
        <v>#VALUE!</v>
      </c>
      <c r="H1101" s="302" t="e">
        <f>IF(F1101="","",F1101*G1101)</f>
        <v>#VALUE!</v>
      </c>
      <c r="I1101" t="s">
        <v>580</v>
      </c>
      <c r="J1101" t="b">
        <f>AND(NOT(Compil[[#This Row],[Est ouvrage]]), NOT(ISBLANK(Compil[[#This Row],[ART.
CCTP]])))</f>
        <v>0</v>
      </c>
      <c r="K1101" t="b">
        <f>OR(Compil[[#This Row],[Unité]]="U",Compil[[#This Row],[Unité]]="ens",Compil[[#This Row],[Unité]]="ml")</f>
        <v>1</v>
      </c>
      <c r="L1101" t="b">
        <f>ISBLANK(Compil[[#This Row],[DESIGNATION]])</f>
        <v>0</v>
      </c>
      <c r="M1101" s="359"/>
      <c r="N1101" s="358"/>
      <c r="O1101" s="358"/>
      <c r="P1101" s="358"/>
      <c r="Q1101" s="358">
        <f>COUNTIF(Compil[[Ma Désignation ]],Compil[[Ma Désignation ]])</f>
        <v>2</v>
      </c>
    </row>
    <row r="1102" spans="1:17">
      <c r="A1102">
        <v>1097</v>
      </c>
      <c r="C1102" s="426"/>
      <c r="D1102" t="str">
        <f xml:space="preserve"> TRIM( SUBSTITUTE(SUBSTITUTE(SUBSTITUTE( Compil[[#This Row],[DESIGNATION]],"-",""),"–",""),"*",""))</f>
        <v/>
      </c>
      <c r="E1102" s="313"/>
      <c r="F1102" s="275"/>
      <c r="G1102" s="315" t="s">
        <v>571</v>
      </c>
      <c r="H1102" s="316" t="s">
        <v>571</v>
      </c>
      <c r="I1102" t="s">
        <v>579</v>
      </c>
      <c r="J1102" t="b">
        <f>AND(NOT(Compil[[#This Row],[Est ouvrage]]), NOT(ISBLANK(Compil[[#This Row],[ART.
CCTP]])))</f>
        <v>0</v>
      </c>
      <c r="K1102" t="b">
        <f>OR(Compil[[#This Row],[Unité]]="U",Compil[[#This Row],[Unité]]="ens",Compil[[#This Row],[Unité]]="ml")</f>
        <v>0</v>
      </c>
      <c r="L1102" t="b">
        <f>ISBLANK(Compil[[#This Row],[DESIGNATION]])</f>
        <v>1</v>
      </c>
      <c r="M1102" s="358"/>
      <c r="N1102" s="358"/>
      <c r="O1102" s="358"/>
      <c r="P1102" s="358"/>
      <c r="Q1102" s="358">
        <f>COUNTIF(Compil[[Ma Désignation ]],Compil[[Ma Désignation ]])</f>
        <v>306</v>
      </c>
    </row>
    <row r="1103" spans="1:17">
      <c r="A1103" s="170">
        <v>1098</v>
      </c>
      <c r="B1103" s="170"/>
      <c r="C1103" s="437" t="s">
        <v>573</v>
      </c>
      <c r="D1103" t="str">
        <f xml:space="preserve"> TRIM( SUBSTITUTE(SUBSTITUTE(SUBSTITUTE( Compil[[#This Row],[DESIGNATION]],"-",""),"–",""),"*",""))</f>
        <v>Appareillages de finition noire</v>
      </c>
      <c r="E1103" s="435"/>
      <c r="F1103" s="447"/>
      <c r="G1103" s="448" t="s">
        <v>571</v>
      </c>
      <c r="H1103" s="449" t="s">
        <v>571</v>
      </c>
      <c r="I1103" t="s">
        <v>579</v>
      </c>
      <c r="J1103" t="b">
        <f>AND(NOT(Compil[[#This Row],[Est ouvrage]]), NOT(ISBLANK(Compil[[#This Row],[ART.
CCTP]])))</f>
        <v>0</v>
      </c>
      <c r="K1103" t="b">
        <f>OR(Compil[[#This Row],[Unité]]="U",Compil[[#This Row],[Unité]]="ens",Compil[[#This Row],[Unité]]="ml")</f>
        <v>0</v>
      </c>
      <c r="L1103" t="b">
        <f>ISBLANK(Compil[[#This Row],[DESIGNATION]])</f>
        <v>0</v>
      </c>
      <c r="M1103" s="359"/>
      <c r="N1103" s="358"/>
      <c r="O1103" s="358"/>
      <c r="P1103" s="358"/>
      <c r="Q1103" s="358">
        <f>COUNTIF(Compil[[Ma Désignation ]],Compil[[Ma Désignation ]])</f>
        <v>9</v>
      </c>
    </row>
    <row r="1104" spans="1:17" ht="14">
      <c r="A1104" s="361">
        <v>852</v>
      </c>
      <c r="B1104" s="368"/>
      <c r="C1104" s="373" t="s">
        <v>44</v>
      </c>
      <c r="D1104" t="str">
        <f xml:space="preserve"> TRIM( SUBSTITUTE(SUBSTITUTE(SUBSTITUTE( Compil[[#This Row],[DESIGNATION]],"-",""),"–",""),"*",""))</f>
        <v>relations avec FRANCE TELECOM</v>
      </c>
      <c r="E1104" s="55" t="s">
        <v>12</v>
      </c>
      <c r="F1104" s="386">
        <v>1</v>
      </c>
      <c r="G1104" s="389">
        <v>0</v>
      </c>
      <c r="H1104" s="302">
        <v>0</v>
      </c>
      <c r="I1104" t="s">
        <v>578</v>
      </c>
      <c r="J1104" t="b">
        <f>AND(NOT(Compil[[#This Row],[Est ouvrage]]), NOT(ISBLANK(Compil[[#This Row],[ART.
CCTP]])))</f>
        <v>0</v>
      </c>
      <c r="K1104" t="b">
        <f>OR(Compil[[#This Row],[Unité]]="U",Compil[[#This Row],[Unité]]="ens",Compil[[#This Row],[Unité]]="ml")</f>
        <v>1</v>
      </c>
      <c r="L1104" t="b">
        <f>ISBLANK(Compil[[#This Row],[DESIGNATION]])</f>
        <v>0</v>
      </c>
      <c r="M1104" s="359"/>
      <c r="N1104" s="358"/>
      <c r="O1104" s="358"/>
      <c r="P1104" s="358"/>
      <c r="Q1104" s="358">
        <f>COUNTIF(Compil[[Ma Désignation ]],Compil[[Ma Désignation ]])</f>
        <v>2</v>
      </c>
    </row>
    <row r="1105" spans="1:17" ht="14">
      <c r="A1105" s="361">
        <v>911</v>
      </c>
      <c r="B1105" s="365"/>
      <c r="C1105" s="370" t="s">
        <v>197</v>
      </c>
      <c r="D1105" t="str">
        <f xml:space="preserve"> TRIM( SUBSTITUTE(SUBSTITUTE(SUBSTITUTE( Compil[[#This Row],[DESIGNATION]],"-",""),"–",""),"*",""))</f>
        <v>report sur le téléphone du gestionnaire</v>
      </c>
      <c r="E1105" s="55" t="s">
        <v>12</v>
      </c>
      <c r="F1105" s="386">
        <v>1</v>
      </c>
      <c r="G1105" s="389">
        <v>0</v>
      </c>
      <c r="H1105" s="302">
        <v>0</v>
      </c>
      <c r="I1105" t="s">
        <v>578</v>
      </c>
      <c r="J1105" t="b">
        <f>AND(NOT(Compil[[#This Row],[Est ouvrage]]), NOT(ISBLANK(Compil[[#This Row],[ART.
CCTP]])))</f>
        <v>0</v>
      </c>
      <c r="K1105" t="b">
        <f>OR(Compil[[#This Row],[Unité]]="U",Compil[[#This Row],[Unité]]="ens",Compil[[#This Row],[Unité]]="ml")</f>
        <v>1</v>
      </c>
      <c r="L1105" t="b">
        <f>ISBLANK(Compil[[#This Row],[DESIGNATION]])</f>
        <v>0</v>
      </c>
      <c r="M1105" s="359"/>
      <c r="N1105" s="358"/>
      <c r="O1105" s="358"/>
      <c r="P1105" s="358"/>
      <c r="Q1105" s="358">
        <f>COUNTIF(Compil[[Ma Désignation ]],Compil[[Ma Désignation ]])</f>
        <v>1</v>
      </c>
    </row>
    <row r="1106" spans="1:17" ht="14">
      <c r="A1106" s="305">
        <v>243</v>
      </c>
      <c r="B1106" s="62"/>
      <c r="C1106" s="392" t="s">
        <v>180</v>
      </c>
      <c r="D1106" t="str">
        <f xml:space="preserve"> TRIM( SUBSTITUTE(SUBSTITUTE(SUBSTITUTE( Compil[[#This Row],[DESIGNATION]],"-",""),"–",""),"*",""))</f>
        <v>réservations y compris rebouchages</v>
      </c>
      <c r="E1106" s="384" t="s">
        <v>12</v>
      </c>
      <c r="F1106" s="251">
        <v>1</v>
      </c>
      <c r="G1106" s="389" t="e">
        <f>IF(F1106="","",(((L1106*$M$6)+(M1106*#REF!*#REF!))*$M$7)/F1106)</f>
        <v>#VALUE!</v>
      </c>
      <c r="H1106" s="302" t="e">
        <f>IF(F1106="","",F1106*G1106)</f>
        <v>#VALUE!</v>
      </c>
      <c r="I1106" t="s">
        <v>580</v>
      </c>
      <c r="J1106" t="b">
        <f>AND(NOT(Compil[[#This Row],[Est ouvrage]]), NOT(ISBLANK(Compil[[#This Row],[ART.
CCTP]])))</f>
        <v>0</v>
      </c>
      <c r="K1106" t="b">
        <f>OR(Compil[[#This Row],[Unité]]="U",Compil[[#This Row],[Unité]]="ens",Compil[[#This Row],[Unité]]="ml")</f>
        <v>1</v>
      </c>
      <c r="L1106" t="b">
        <f>ISBLANK(Compil[[#This Row],[DESIGNATION]])</f>
        <v>0</v>
      </c>
      <c r="M1106" s="359"/>
      <c r="N1106" s="358"/>
      <c r="O1106" s="358"/>
      <c r="P1106" s="358"/>
      <c r="Q1106" s="358">
        <f>COUNTIF(Compil[[Ma Désignation ]],Compil[[Ma Désignation ]])</f>
        <v>2</v>
      </c>
    </row>
    <row r="1107" spans="1:17" ht="14">
      <c r="A1107" s="361">
        <v>878</v>
      </c>
      <c r="B1107" s="107"/>
      <c r="C1107" s="373" t="s">
        <v>180</v>
      </c>
      <c r="D1107" t="str">
        <f xml:space="preserve"> TRIM( SUBSTITUTE(SUBSTITUTE(SUBSTITUTE( Compil[[#This Row],[DESIGNATION]],"-",""),"–",""),"*",""))</f>
        <v>réservations y compris rebouchages</v>
      </c>
      <c r="E1107" s="379" t="s">
        <v>12</v>
      </c>
      <c r="F1107" s="386">
        <v>1</v>
      </c>
      <c r="G1107" s="389">
        <v>0</v>
      </c>
      <c r="H1107" s="302">
        <v>0</v>
      </c>
      <c r="I1107" t="s">
        <v>578</v>
      </c>
      <c r="J1107" t="b">
        <f>AND(NOT(Compil[[#This Row],[Est ouvrage]]), NOT(ISBLANK(Compil[[#This Row],[ART.
CCTP]])))</f>
        <v>0</v>
      </c>
      <c r="K1107" t="b">
        <f>OR(Compil[[#This Row],[Unité]]="U",Compil[[#This Row],[Unité]]="ens",Compil[[#This Row],[Unité]]="ml")</f>
        <v>1</v>
      </c>
      <c r="L1107" t="b">
        <f>ISBLANK(Compil[[#This Row],[DESIGNATION]])</f>
        <v>0</v>
      </c>
      <c r="M1107" s="359"/>
      <c r="N1107" s="358"/>
      <c r="O1107" s="358"/>
      <c r="P1107" s="358"/>
      <c r="Q1107" s="358">
        <f>COUNTIF(Compil[[Ma Désignation ]],Compil[[Ma Désignation ]])</f>
        <v>2</v>
      </c>
    </row>
    <row r="1108" spans="1:17" ht="14">
      <c r="A1108" s="305">
        <v>228</v>
      </c>
      <c r="B1108" s="62"/>
      <c r="C1108" s="392" t="s">
        <v>176</v>
      </c>
      <c r="D1108" t="str">
        <f xml:space="preserve"> TRIM( SUBSTITUTE(SUBSTITUTE(SUBSTITUTE( Compil[[#This Row],[DESIGNATION]],"-",""),"–",""),"*",""))</f>
        <v>rocade optique</v>
      </c>
      <c r="E1108" s="384" t="s">
        <v>138</v>
      </c>
      <c r="F1108" s="387"/>
      <c r="G1108" s="389" t="str">
        <f>IF(F1108="","",(((L1108*$M$6)+(M1108*#REF!*#REF!))*$M$7)/F1108)</f>
        <v/>
      </c>
      <c r="H1108" s="302" t="str">
        <f>IF(F1108="","",F1108*G1108)</f>
        <v/>
      </c>
      <c r="I1108" t="s">
        <v>580</v>
      </c>
      <c r="J1108" t="b">
        <f>AND(NOT(Compil[[#This Row],[Est ouvrage]]), NOT(ISBLANK(Compil[[#This Row],[ART.
CCTP]])))</f>
        <v>0</v>
      </c>
      <c r="K1108" t="b">
        <f>OR(Compil[[#This Row],[Unité]]="U",Compil[[#This Row],[Unité]]="ens",Compil[[#This Row],[Unité]]="ml")</f>
        <v>1</v>
      </c>
      <c r="L1108" t="b">
        <f>ISBLANK(Compil[[#This Row],[DESIGNATION]])</f>
        <v>0</v>
      </c>
      <c r="M1108" s="359"/>
      <c r="N1108" s="358"/>
      <c r="O1108" s="358"/>
      <c r="P1108" s="358"/>
      <c r="Q1108" s="358">
        <f>COUNTIF(Compil[[Ma Désignation ]],Compil[[Ma Désignation ]])</f>
        <v>2</v>
      </c>
    </row>
    <row r="1109" spans="1:17" ht="14">
      <c r="A1109" s="361">
        <v>866</v>
      </c>
      <c r="B1109" s="107"/>
      <c r="C1109" s="373" t="s">
        <v>176</v>
      </c>
      <c r="D1109" t="str">
        <f xml:space="preserve"> TRIM( SUBSTITUTE(SUBSTITUTE(SUBSTITUTE( Compil[[#This Row],[DESIGNATION]],"-",""),"–",""),"*",""))</f>
        <v>rocade optique</v>
      </c>
      <c r="E1109" s="379" t="s">
        <v>138</v>
      </c>
      <c r="F1109" s="386">
        <v>75</v>
      </c>
      <c r="G1109" s="389">
        <v>0</v>
      </c>
      <c r="H1109" s="302">
        <v>0</v>
      </c>
      <c r="I1109" t="s">
        <v>578</v>
      </c>
      <c r="J1109" t="b">
        <f>AND(NOT(Compil[[#This Row],[Est ouvrage]]), NOT(ISBLANK(Compil[[#This Row],[ART.
CCTP]])))</f>
        <v>0</v>
      </c>
      <c r="K1109" t="b">
        <f>OR(Compil[[#This Row],[Unité]]="U",Compil[[#This Row],[Unité]]="ens",Compil[[#This Row],[Unité]]="ml")</f>
        <v>1</v>
      </c>
      <c r="L1109" t="b">
        <f>ISBLANK(Compil[[#This Row],[DESIGNATION]])</f>
        <v>0</v>
      </c>
      <c r="M1109" s="359"/>
      <c r="N1109" s="358"/>
      <c r="O1109" s="358"/>
      <c r="P1109" s="358"/>
      <c r="Q1109" s="358">
        <f>COUNTIF(Compil[[Ma Désignation ]],Compil[[Ma Désignation ]])</f>
        <v>2</v>
      </c>
    </row>
    <row r="1110" spans="1:17" ht="14">
      <c r="A1110" s="361">
        <v>925</v>
      </c>
      <c r="B1110" s="107"/>
      <c r="C1110" s="373" t="s">
        <v>459</v>
      </c>
      <c r="D1110" t="str">
        <f xml:space="preserve"> TRIM( SUBSTITUTE(SUBSTITUTE(SUBSTITUTE( Compil[[#This Row],[DESIGNATION]],"-",""),"–",""),"*",""))</f>
        <v>sonnerie d'entrée de Siedle suivant CCTP</v>
      </c>
      <c r="E1110" s="379" t="s">
        <v>13</v>
      </c>
      <c r="F1110" s="386">
        <v>18</v>
      </c>
      <c r="G1110" s="389">
        <v>0</v>
      </c>
      <c r="H1110" s="302">
        <v>0</v>
      </c>
      <c r="I1110" t="s">
        <v>578</v>
      </c>
      <c r="J1110" t="b">
        <f>AND(NOT(Compil[[#This Row],[Est ouvrage]]), NOT(ISBLANK(Compil[[#This Row],[ART.
CCTP]])))</f>
        <v>0</v>
      </c>
      <c r="K1110" t="b">
        <f>OR(Compil[[#This Row],[Unité]]="U",Compil[[#This Row],[Unité]]="ens",Compil[[#This Row],[Unité]]="ml")</f>
        <v>1</v>
      </c>
      <c r="L1110" t="b">
        <f>ISBLANK(Compil[[#This Row],[DESIGNATION]])</f>
        <v>0</v>
      </c>
      <c r="M1110" s="359"/>
      <c r="N1110" s="358"/>
      <c r="O1110" s="358"/>
      <c r="P1110" s="358"/>
      <c r="Q1110" s="358">
        <f>COUNTIF(Compil[[Ma Désignation ]],Compil[[Ma Désignation ]])</f>
        <v>1</v>
      </c>
    </row>
    <row r="1111" spans="1:17" ht="14">
      <c r="A1111" s="361">
        <v>933</v>
      </c>
      <c r="B1111" s="107"/>
      <c r="C1111" s="373" t="s">
        <v>64</v>
      </c>
      <c r="D1111" t="str">
        <f xml:space="preserve"> TRIM( SUBSTITUTE(SUBSTITUTE(SUBSTITUTE( Compil[[#This Row],[DESIGNATION]],"-",""),"–",""),"*",""))</f>
        <v>tableau de commande éclairage</v>
      </c>
      <c r="E1111" s="379" t="s">
        <v>12</v>
      </c>
      <c r="F1111" s="386"/>
      <c r="G1111" s="389" t="s">
        <v>571</v>
      </c>
      <c r="H1111" s="302" t="s">
        <v>571</v>
      </c>
      <c r="I1111" t="s">
        <v>578</v>
      </c>
      <c r="J1111" t="b">
        <f>AND(NOT(Compil[[#This Row],[Est ouvrage]]), NOT(ISBLANK(Compil[[#This Row],[ART.
CCTP]])))</f>
        <v>0</v>
      </c>
      <c r="K1111" t="b">
        <f>OR(Compil[[#This Row],[Unité]]="U",Compil[[#This Row],[Unité]]="ens",Compil[[#This Row],[Unité]]="ml")</f>
        <v>1</v>
      </c>
      <c r="L1111" t="b">
        <f>ISBLANK(Compil[[#This Row],[DESIGNATION]])</f>
        <v>0</v>
      </c>
      <c r="M1111" s="359"/>
      <c r="N1111" s="358"/>
      <c r="O1111" s="358"/>
      <c r="P1111" s="358"/>
      <c r="Q1111" s="358">
        <f>COUNTIF(Compil[[Ma Désignation ]],Compil[[Ma Désignation ]])</f>
        <v>1</v>
      </c>
    </row>
    <row r="1112" spans="1:17">
      <c r="A1112">
        <v>1107</v>
      </c>
      <c r="C1112" s="426"/>
      <c r="D1112" t="str">
        <f xml:space="preserve"> TRIM( SUBSTITUTE(SUBSTITUTE(SUBSTITUTE( Compil[[#This Row],[DESIGNATION]],"-",""),"–",""),"*",""))</f>
        <v/>
      </c>
      <c r="E1112" s="313"/>
      <c r="F1112" s="275"/>
      <c r="G1112" s="315" t="s">
        <v>571</v>
      </c>
      <c r="H1112" s="316" t="s">
        <v>571</v>
      </c>
      <c r="I1112" t="s">
        <v>579</v>
      </c>
      <c r="J1112" t="b">
        <f>AND(NOT(Compil[[#This Row],[Est ouvrage]]), NOT(ISBLANK(Compil[[#This Row],[ART.
CCTP]])))</f>
        <v>0</v>
      </c>
      <c r="K1112" t="b">
        <f>OR(Compil[[#This Row],[Unité]]="U",Compil[[#This Row],[Unité]]="ens",Compil[[#This Row],[Unité]]="ml")</f>
        <v>0</v>
      </c>
      <c r="L1112" t="b">
        <f>ISBLANK(Compil[[#This Row],[DESIGNATION]])</f>
        <v>1</v>
      </c>
      <c r="M1112" s="358"/>
      <c r="N1112" s="358"/>
      <c r="O1112" s="358"/>
      <c r="P1112" s="358"/>
      <c r="Q1112" s="358">
        <f>COUNTIF(Compil[[Ma Désignation ]],Compil[[Ma Désignation ]])</f>
        <v>306</v>
      </c>
    </row>
    <row r="1113" spans="1:17">
      <c r="A1113" s="170">
        <v>998</v>
      </c>
      <c r="B1113" s="170"/>
      <c r="C1113" s="437" t="s">
        <v>368</v>
      </c>
      <c r="D1113" t="str">
        <f xml:space="preserve"> TRIM( SUBSTITUTE(SUBSTITUTE(SUBSTITUTE( Compil[[#This Row],[DESIGNATION]],"-",""),"–",""),"*",""))</f>
        <v>Tableau électrique bureau</v>
      </c>
      <c r="E1113" s="435" t="s">
        <v>13</v>
      </c>
      <c r="F1113" s="447">
        <v>14</v>
      </c>
      <c r="G1113" s="448">
        <v>0</v>
      </c>
      <c r="H1113" s="449">
        <v>0</v>
      </c>
      <c r="I1113" t="s">
        <v>579</v>
      </c>
      <c r="J1113" t="b">
        <f>AND(NOT(Compil[[#This Row],[Est ouvrage]]), NOT(ISBLANK(Compil[[#This Row],[ART.
CCTP]])))</f>
        <v>0</v>
      </c>
      <c r="K1113" t="b">
        <f>OR(Compil[[#This Row],[Unité]]="U",Compil[[#This Row],[Unité]]="ens",Compil[[#This Row],[Unité]]="ml")</f>
        <v>1</v>
      </c>
      <c r="L1113" t="b">
        <f>ISBLANK(Compil[[#This Row],[DESIGNATION]])</f>
        <v>0</v>
      </c>
      <c r="M1113" s="359"/>
      <c r="N1113" s="358"/>
      <c r="O1113" s="358"/>
      <c r="P1113" s="358"/>
      <c r="Q1113" s="358">
        <f>COUNTIF(Compil[[Ma Désignation ]],Compil[[Ma Désignation ]])</f>
        <v>1</v>
      </c>
    </row>
    <row r="1114" spans="1:17" ht="14">
      <c r="A1114" s="362">
        <v>353</v>
      </c>
      <c r="B1114" s="107"/>
      <c r="C1114" s="455" t="s">
        <v>227</v>
      </c>
      <c r="D1114" s="357" t="str">
        <f xml:space="preserve"> TRIM( SUBSTITUTE(SUBSTITUTE(SUBSTITUTE( Compil[[#This Row],[DESIGNATION]],"-",""),"–",""),"*",""))</f>
        <v>Tableau électrique T1</v>
      </c>
      <c r="E1114" s="467" t="s">
        <v>13</v>
      </c>
      <c r="F1114" s="459">
        <v>25</v>
      </c>
      <c r="G1114" s="389">
        <v>0</v>
      </c>
      <c r="H1114" s="302">
        <v>0</v>
      </c>
      <c r="I1114" t="s">
        <v>570</v>
      </c>
      <c r="J1114" t="b">
        <f>AND(NOT(Compil[[#This Row],[Est ouvrage]]), NOT(ISBLANK(Compil[[#This Row],[ART.
CCTP]])))</f>
        <v>0</v>
      </c>
      <c r="K1114" t="b">
        <f>OR(Compil[[#This Row],[Unité]]="U",Compil[[#This Row],[Unité]]="ens",Compil[[#This Row],[Unité]]="ml")</f>
        <v>1</v>
      </c>
      <c r="L1114" t="b">
        <f>ISBLANK(Compil[[#This Row],[DESIGNATION]])</f>
        <v>0</v>
      </c>
      <c r="M1114" s="359"/>
      <c r="N1114" s="358"/>
      <c r="O1114" s="358"/>
      <c r="P1114" s="358"/>
      <c r="Q1114" s="358">
        <f>COUNTIF(Compil[[Ma Désignation ]],Compil[[Ma Désignation ]])</f>
        <v>2</v>
      </c>
    </row>
    <row r="1115" spans="1:17">
      <c r="A1115">
        <v>1110</v>
      </c>
      <c r="C1115" s="426"/>
      <c r="D1115" t="str">
        <f xml:space="preserve"> TRIM( SUBSTITUTE(SUBSTITUTE(SUBSTITUTE( Compil[[#This Row],[DESIGNATION]],"-",""),"–",""),"*",""))</f>
        <v/>
      </c>
      <c r="E1115" s="313"/>
      <c r="F1115" s="275"/>
      <c r="G1115" s="315" t="s">
        <v>571</v>
      </c>
      <c r="H1115" s="316" t="s">
        <v>571</v>
      </c>
      <c r="I1115" t="s">
        <v>579</v>
      </c>
      <c r="J1115" t="b">
        <f>AND(NOT(Compil[[#This Row],[Est ouvrage]]), NOT(ISBLANK(Compil[[#This Row],[ART.
CCTP]])))</f>
        <v>0</v>
      </c>
      <c r="K1115" t="b">
        <f>OR(Compil[[#This Row],[Unité]]="U",Compil[[#This Row],[Unité]]="ens",Compil[[#This Row],[Unité]]="ml")</f>
        <v>0</v>
      </c>
      <c r="L1115" t="b">
        <f>ISBLANK(Compil[[#This Row],[DESIGNATION]])</f>
        <v>1</v>
      </c>
      <c r="M1115" s="358"/>
      <c r="N1115" s="358"/>
      <c r="O1115" s="358"/>
      <c r="P1115" s="358"/>
      <c r="Q1115" s="358">
        <f>COUNTIF(Compil[[Ma Désignation ]],Compil[[Ma Désignation ]])</f>
        <v>306</v>
      </c>
    </row>
    <row r="1116" spans="1:17">
      <c r="A1116" s="170">
        <v>991</v>
      </c>
      <c r="B1116" s="170"/>
      <c r="C1116" s="437" t="s">
        <v>227</v>
      </c>
      <c r="D1116" t="str">
        <f xml:space="preserve"> TRIM( SUBSTITUTE(SUBSTITUTE(SUBSTITUTE( Compil[[#This Row],[DESIGNATION]],"-",""),"–",""),"*",""))</f>
        <v>Tableau électrique T1</v>
      </c>
      <c r="E1116" s="435" t="s">
        <v>13</v>
      </c>
      <c r="F1116" s="447">
        <v>13</v>
      </c>
      <c r="G1116" s="448">
        <v>0</v>
      </c>
      <c r="H1116" s="449">
        <v>0</v>
      </c>
      <c r="I1116" t="s">
        <v>579</v>
      </c>
      <c r="J1116" t="b">
        <f>AND(NOT(Compil[[#This Row],[Est ouvrage]]), NOT(ISBLANK(Compil[[#This Row],[ART.
CCTP]])))</f>
        <v>0</v>
      </c>
      <c r="K1116" t="b">
        <f>OR(Compil[[#This Row],[Unité]]="U",Compil[[#This Row],[Unité]]="ens",Compil[[#This Row],[Unité]]="ml")</f>
        <v>1</v>
      </c>
      <c r="L1116" t="b">
        <f>ISBLANK(Compil[[#This Row],[DESIGNATION]])</f>
        <v>0</v>
      </c>
      <c r="M1116" s="359"/>
      <c r="N1116" s="358"/>
      <c r="O1116" s="358"/>
      <c r="P1116" s="358"/>
      <c r="Q1116" s="358">
        <f>COUNTIF(Compil[[Ma Désignation ]],Compil[[Ma Désignation ]])</f>
        <v>2</v>
      </c>
    </row>
    <row r="1117" spans="1:17" ht="14">
      <c r="A1117" s="362">
        <v>354</v>
      </c>
      <c r="B1117" s="451"/>
      <c r="C1117" s="455" t="s">
        <v>228</v>
      </c>
      <c r="D1117" s="357" t="str">
        <f xml:space="preserve"> TRIM( SUBSTITUTE(SUBSTITUTE(SUBSTITUTE( Compil[[#This Row],[DESIGNATION]],"-",""),"–",""),"*",""))</f>
        <v>Tableau électrique T2</v>
      </c>
      <c r="E1117" s="457" t="s">
        <v>13</v>
      </c>
      <c r="F1117" s="386">
        <v>14</v>
      </c>
      <c r="G1117" s="389">
        <v>0</v>
      </c>
      <c r="H1117" s="302">
        <v>0</v>
      </c>
      <c r="I1117" t="s">
        <v>570</v>
      </c>
      <c r="J1117" t="b">
        <f>AND(NOT(Compil[[#This Row],[Est ouvrage]]), NOT(ISBLANK(Compil[[#This Row],[ART.
CCTP]])))</f>
        <v>0</v>
      </c>
      <c r="K1117" t="b">
        <f>OR(Compil[[#This Row],[Unité]]="U",Compil[[#This Row],[Unité]]="ens",Compil[[#This Row],[Unité]]="ml")</f>
        <v>1</v>
      </c>
      <c r="L1117" t="b">
        <f>ISBLANK(Compil[[#This Row],[DESIGNATION]])</f>
        <v>0</v>
      </c>
      <c r="M1117" s="359"/>
      <c r="N1117" s="358"/>
      <c r="O1117" s="358"/>
      <c r="P1117" s="358"/>
      <c r="Q1117" s="358">
        <f>COUNTIF(Compil[[Ma Désignation ]],Compil[[Ma Désignation ]])</f>
        <v>1</v>
      </c>
    </row>
    <row r="1118" spans="1:17" ht="14">
      <c r="A1118" s="362">
        <v>355</v>
      </c>
      <c r="B1118" s="451"/>
      <c r="C1118" s="455" t="s">
        <v>229</v>
      </c>
      <c r="D1118" s="357" t="str">
        <f xml:space="preserve"> TRIM( SUBSTITUTE(SUBSTITUTE(SUBSTITUTE( Compil[[#This Row],[DESIGNATION]],"-",""),"–",""),"*",""))</f>
        <v>Tableau électrique T3</v>
      </c>
      <c r="E1118" s="457" t="s">
        <v>13</v>
      </c>
      <c r="F1118" s="386">
        <v>29</v>
      </c>
      <c r="G1118" s="389">
        <v>0</v>
      </c>
      <c r="H1118" s="302">
        <v>0</v>
      </c>
      <c r="I1118" t="s">
        <v>570</v>
      </c>
      <c r="J1118" t="b">
        <f>AND(NOT(Compil[[#This Row],[Est ouvrage]]), NOT(ISBLANK(Compil[[#This Row],[ART.
CCTP]])))</f>
        <v>0</v>
      </c>
      <c r="K1118" t="b">
        <f>OR(Compil[[#This Row],[Unité]]="U",Compil[[#This Row],[Unité]]="ens",Compil[[#This Row],[Unité]]="ml")</f>
        <v>1</v>
      </c>
      <c r="L1118" t="b">
        <f>ISBLANK(Compil[[#This Row],[DESIGNATION]])</f>
        <v>0</v>
      </c>
      <c r="M1118" s="359"/>
      <c r="N1118" s="358"/>
      <c r="O1118" s="358"/>
      <c r="P1118" s="358"/>
      <c r="Q1118" s="358">
        <f>COUNTIF(Compil[[Ma Désignation ]],Compil[[Ma Désignation ]])</f>
        <v>2</v>
      </c>
    </row>
    <row r="1119" spans="1:17">
      <c r="A1119">
        <v>1114</v>
      </c>
      <c r="C1119" s="426"/>
      <c r="D1119" t="str">
        <f xml:space="preserve"> TRIM( SUBSTITUTE(SUBSTITUTE(SUBSTITUTE( Compil[[#This Row],[DESIGNATION]],"-",""),"–",""),"*",""))</f>
        <v/>
      </c>
      <c r="E1119" s="313"/>
      <c r="F1119" s="275"/>
      <c r="G1119" s="315" t="s">
        <v>571</v>
      </c>
      <c r="H1119" s="316" t="s">
        <v>571</v>
      </c>
      <c r="I1119" t="s">
        <v>579</v>
      </c>
      <c r="J1119" t="b">
        <f>AND(NOT(Compil[[#This Row],[Est ouvrage]]), NOT(ISBLANK(Compil[[#This Row],[ART.
CCTP]])))</f>
        <v>0</v>
      </c>
      <c r="K1119" t="b">
        <f>OR(Compil[[#This Row],[Unité]]="U",Compil[[#This Row],[Unité]]="ens",Compil[[#This Row],[Unité]]="ml")</f>
        <v>0</v>
      </c>
      <c r="L1119" t="b">
        <f>ISBLANK(Compil[[#This Row],[DESIGNATION]])</f>
        <v>1</v>
      </c>
      <c r="M1119" s="358"/>
      <c r="N1119" s="358"/>
      <c r="O1119" s="358"/>
      <c r="P1119" s="358"/>
      <c r="Q1119" s="358">
        <f>COUNTIF(Compil[[Ma Désignation ]],Compil[[Ma Désignation ]])</f>
        <v>306</v>
      </c>
    </row>
    <row r="1120" spans="1:17">
      <c r="A1120" s="170">
        <v>1115</v>
      </c>
      <c r="B1120" s="170"/>
      <c r="C1120" s="437" t="s">
        <v>543</v>
      </c>
      <c r="D1120" t="str">
        <f xml:space="preserve"> TRIM( SUBSTITUTE(SUBSTITUTE(SUBSTITUTE( Compil[[#This Row],[DESIGNATION]],"-",""),"–",""),"*",""))</f>
        <v>Sous total HT</v>
      </c>
      <c r="E1120" s="435"/>
      <c r="F1120" s="447"/>
      <c r="G1120" s="448" t="s">
        <v>571</v>
      </c>
      <c r="H1120" s="449" t="s">
        <v>571</v>
      </c>
      <c r="I1120" t="s">
        <v>579</v>
      </c>
      <c r="J1120" t="b">
        <f>AND(NOT(Compil[[#This Row],[Est ouvrage]]), NOT(ISBLANK(Compil[[#This Row],[ART.
CCTP]])))</f>
        <v>0</v>
      </c>
      <c r="K1120" t="b">
        <f>OR(Compil[[#This Row],[Unité]]="U",Compil[[#This Row],[Unité]]="ens",Compil[[#This Row],[Unité]]="ml")</f>
        <v>0</v>
      </c>
      <c r="L1120" t="b">
        <f>ISBLANK(Compil[[#This Row],[DESIGNATION]])</f>
        <v>0</v>
      </c>
      <c r="M1120" s="359"/>
      <c r="N1120" s="358"/>
      <c r="O1120" s="358"/>
      <c r="P1120" s="358"/>
      <c r="Q1120" s="358">
        <f>COUNTIF(Compil[[Ma Désignation ]],Compil[[Ma Désignation ]])</f>
        <v>1</v>
      </c>
    </row>
    <row r="1121" spans="1:17">
      <c r="A1121" s="170">
        <v>992</v>
      </c>
      <c r="B1121" s="170"/>
      <c r="C1121" s="437" t="s">
        <v>229</v>
      </c>
      <c r="D1121" t="str">
        <f xml:space="preserve"> TRIM( SUBSTITUTE(SUBSTITUTE(SUBSTITUTE( Compil[[#This Row],[DESIGNATION]],"-",""),"–",""),"*",""))</f>
        <v>Tableau électrique T3</v>
      </c>
      <c r="E1121" s="435" t="s">
        <v>13</v>
      </c>
      <c r="F1121" s="447">
        <v>3</v>
      </c>
      <c r="G1121" s="448">
        <v>0</v>
      </c>
      <c r="H1121" s="449">
        <v>0</v>
      </c>
      <c r="I1121" t="s">
        <v>579</v>
      </c>
      <c r="J1121" t="b">
        <f>AND(NOT(Compil[[#This Row],[Est ouvrage]]), NOT(ISBLANK(Compil[[#This Row],[ART.
CCTP]])))</f>
        <v>0</v>
      </c>
      <c r="K1121" t="b">
        <f>OR(Compil[[#This Row],[Unité]]="U",Compil[[#This Row],[Unité]]="ens",Compil[[#This Row],[Unité]]="ml")</f>
        <v>1</v>
      </c>
      <c r="L1121" t="b">
        <f>ISBLANK(Compil[[#This Row],[DESIGNATION]])</f>
        <v>0</v>
      </c>
      <c r="M1121" s="359"/>
      <c r="N1121" s="358"/>
      <c r="O1121" s="358"/>
      <c r="P1121" s="358"/>
      <c r="Q1121" s="358">
        <f>COUNTIF(Compil[[Ma Désignation ]],Compil[[Ma Désignation ]])</f>
        <v>2</v>
      </c>
    </row>
    <row r="1122" spans="1:17">
      <c r="A1122">
        <v>1117</v>
      </c>
      <c r="C1122" s="426"/>
      <c r="D1122" t="str">
        <f xml:space="preserve"> TRIM( SUBSTITUTE(SUBSTITUTE(SUBSTITUTE( Compil[[#This Row],[DESIGNATION]],"-",""),"–",""),"*",""))</f>
        <v/>
      </c>
      <c r="E1122" s="313"/>
      <c r="F1122" s="275"/>
      <c r="G1122" s="315" t="s">
        <v>571</v>
      </c>
      <c r="H1122" s="316" t="s">
        <v>571</v>
      </c>
      <c r="I1122" t="s">
        <v>579</v>
      </c>
      <c r="J1122" t="b">
        <f>AND(NOT(Compil[[#This Row],[Est ouvrage]]), NOT(ISBLANK(Compil[[#This Row],[ART.
CCTP]])))</f>
        <v>0</v>
      </c>
      <c r="K1122" t="b">
        <f>OR(Compil[[#This Row],[Unité]]="U",Compil[[#This Row],[Unité]]="ens",Compil[[#This Row],[Unité]]="ml")</f>
        <v>0</v>
      </c>
      <c r="L1122" t="b">
        <f>ISBLANK(Compil[[#This Row],[DESIGNATION]])</f>
        <v>1</v>
      </c>
      <c r="M1122" s="358"/>
      <c r="N1122" s="358"/>
      <c r="O1122" s="358"/>
      <c r="P1122" s="358"/>
      <c r="Q1122" s="358">
        <f>COUNTIF(Compil[[Ma Désignation ]],Compil[[Ma Désignation ]])</f>
        <v>306</v>
      </c>
    </row>
    <row r="1123" spans="1:17">
      <c r="A1123" s="170">
        <v>1118</v>
      </c>
      <c r="B1123" s="170"/>
      <c r="C1123" s="437" t="s">
        <v>381</v>
      </c>
      <c r="D1123" t="str">
        <f xml:space="preserve"> TRIM( SUBSTITUTE(SUBSTITUTE(SUBSTITUTE( Compil[[#This Row],[DESIGNATION]],"-",""),"–",""),"*",""))</f>
        <v>Sous total 3.8</v>
      </c>
      <c r="E1123" s="435"/>
      <c r="F1123" s="447"/>
      <c r="G1123" s="448" t="s">
        <v>571</v>
      </c>
      <c r="H1123" s="449" t="s">
        <v>571</v>
      </c>
      <c r="I1123" t="s">
        <v>579</v>
      </c>
      <c r="J1123" t="b">
        <f>AND(NOT(Compil[[#This Row],[Est ouvrage]]), NOT(ISBLANK(Compil[[#This Row],[ART.
CCTP]])))</f>
        <v>0</v>
      </c>
      <c r="K1123" t="b">
        <f>OR(Compil[[#This Row],[Unité]]="U",Compil[[#This Row],[Unité]]="ens",Compil[[#This Row],[Unité]]="ml")</f>
        <v>0</v>
      </c>
      <c r="L1123" t="b">
        <f>ISBLANK(Compil[[#This Row],[DESIGNATION]])</f>
        <v>0</v>
      </c>
      <c r="M1123" s="359"/>
      <c r="N1123" s="358"/>
      <c r="O1123" s="358"/>
      <c r="P1123" s="358"/>
      <c r="Q1123" s="358">
        <f>COUNTIF(Compil[[Ma Désignation ]],Compil[[Ma Désignation ]])</f>
        <v>1</v>
      </c>
    </row>
    <row r="1124" spans="1:17">
      <c r="A1124">
        <v>1119</v>
      </c>
      <c r="C1124" s="426"/>
      <c r="D1124" t="str">
        <f xml:space="preserve"> TRIM( SUBSTITUTE(SUBSTITUTE(SUBSTITUTE( Compil[[#This Row],[DESIGNATION]],"-",""),"–",""),"*",""))</f>
        <v/>
      </c>
      <c r="E1124" s="313"/>
      <c r="F1124" s="275"/>
      <c r="G1124" s="315" t="s">
        <v>571</v>
      </c>
      <c r="H1124" s="316" t="s">
        <v>571</v>
      </c>
      <c r="I1124" t="s">
        <v>579</v>
      </c>
      <c r="J1124" t="b">
        <f>AND(NOT(Compil[[#This Row],[Est ouvrage]]), NOT(ISBLANK(Compil[[#This Row],[ART.
CCTP]])))</f>
        <v>0</v>
      </c>
      <c r="K1124" t="b">
        <f>OR(Compil[[#This Row],[Unité]]="U",Compil[[#This Row],[Unité]]="ens",Compil[[#This Row],[Unité]]="ml")</f>
        <v>0</v>
      </c>
      <c r="L1124" t="b">
        <f>ISBLANK(Compil[[#This Row],[DESIGNATION]])</f>
        <v>1</v>
      </c>
      <c r="M1124" s="358"/>
      <c r="N1124" s="358"/>
      <c r="O1124" s="358"/>
      <c r="P1124" s="358"/>
      <c r="Q1124" s="358">
        <f>COUNTIF(Compil[[Ma Désignation ]],Compil[[Ma Désignation ]])</f>
        <v>306</v>
      </c>
    </row>
    <row r="1125" spans="1:17">
      <c r="A1125" s="170">
        <v>1120</v>
      </c>
      <c r="B1125" s="170" t="s">
        <v>411</v>
      </c>
      <c r="C1125" s="437" t="s">
        <v>60</v>
      </c>
      <c r="D1125" t="str">
        <f xml:space="preserve"> TRIM( SUBSTITUTE(SUBSTITUTE(SUBSTITUTE( Compil[[#This Row],[DESIGNATION]],"-",""),"–",""),"*",""))</f>
        <v>Téléphone / Fibre optique</v>
      </c>
      <c r="E1125" s="435"/>
      <c r="F1125" s="447"/>
      <c r="G1125" s="448" t="s">
        <v>571</v>
      </c>
      <c r="H1125" s="449" t="s">
        <v>571</v>
      </c>
      <c r="I1125" t="s">
        <v>579</v>
      </c>
      <c r="J1125" t="b">
        <f>AND(NOT(Compil[[#This Row],[Est ouvrage]]), NOT(ISBLANK(Compil[[#This Row],[ART.
CCTP]])))</f>
        <v>1</v>
      </c>
      <c r="K1125" t="b">
        <f>OR(Compil[[#This Row],[Unité]]="U",Compil[[#This Row],[Unité]]="ens",Compil[[#This Row],[Unité]]="ml")</f>
        <v>0</v>
      </c>
      <c r="L1125" t="b">
        <f>ISBLANK(Compil[[#This Row],[DESIGNATION]])</f>
        <v>0</v>
      </c>
      <c r="M1125" s="359"/>
      <c r="N1125" s="358"/>
      <c r="O1125" s="358"/>
      <c r="P1125" s="358"/>
      <c r="Q1125" s="358">
        <f>COUNTIF(Compil[[Ma Désignation ]],Compil[[Ma Désignation ]])</f>
        <v>4</v>
      </c>
    </row>
    <row r="1126" spans="1:17">
      <c r="A1126">
        <v>1121</v>
      </c>
      <c r="C1126" s="426"/>
      <c r="D1126" t="str">
        <f xml:space="preserve"> TRIM( SUBSTITUTE(SUBSTITUTE(SUBSTITUTE( Compil[[#This Row],[DESIGNATION]],"-",""),"–",""),"*",""))</f>
        <v/>
      </c>
      <c r="E1126" s="313"/>
      <c r="F1126" s="275"/>
      <c r="G1126" s="315" t="s">
        <v>571</v>
      </c>
      <c r="H1126" s="316" t="s">
        <v>571</v>
      </c>
      <c r="I1126" t="s">
        <v>579</v>
      </c>
      <c r="J1126" t="b">
        <f>AND(NOT(Compil[[#This Row],[Est ouvrage]]), NOT(ISBLANK(Compil[[#This Row],[ART.
CCTP]])))</f>
        <v>0</v>
      </c>
      <c r="K1126" t="b">
        <f>OR(Compil[[#This Row],[Unité]]="U",Compil[[#This Row],[Unité]]="ens",Compil[[#This Row],[Unité]]="ml")</f>
        <v>0</v>
      </c>
      <c r="L1126" t="b">
        <f>ISBLANK(Compil[[#This Row],[DESIGNATION]])</f>
        <v>1</v>
      </c>
      <c r="M1126" s="358"/>
      <c r="N1126" s="358"/>
      <c r="O1126" s="358"/>
      <c r="P1126" s="358"/>
      <c r="Q1126" s="358">
        <f>COUNTIF(Compil[[Ma Désignation ]],Compil[[Ma Désignation ]])</f>
        <v>306</v>
      </c>
    </row>
    <row r="1127" spans="1:17" ht="14">
      <c r="A1127" s="362">
        <v>356</v>
      </c>
      <c r="B1127" s="451"/>
      <c r="C1127" s="455" t="s">
        <v>230</v>
      </c>
      <c r="D1127" s="357" t="str">
        <f xml:space="preserve"> TRIM( SUBSTITUTE(SUBSTITUTE(SUBSTITUTE( Compil[[#This Row],[DESIGNATION]],"-",""),"–",""),"*",""))</f>
        <v>Tableau électrique T4</v>
      </c>
      <c r="E1127" s="457" t="s">
        <v>13</v>
      </c>
      <c r="F1127" s="386">
        <v>21</v>
      </c>
      <c r="G1127" s="389">
        <v>0</v>
      </c>
      <c r="H1127" s="302">
        <v>0</v>
      </c>
      <c r="I1127" t="s">
        <v>570</v>
      </c>
      <c r="J1127" t="b">
        <f>AND(NOT(Compil[[#This Row],[Est ouvrage]]), NOT(ISBLANK(Compil[[#This Row],[ART.
CCTP]])))</f>
        <v>0</v>
      </c>
      <c r="K1127" t="b">
        <f>OR(Compil[[#This Row],[Unité]]="U",Compil[[#This Row],[Unité]]="ens",Compil[[#This Row],[Unité]]="ml")</f>
        <v>1</v>
      </c>
      <c r="L1127" t="b">
        <f>ISBLANK(Compil[[#This Row],[DESIGNATION]])</f>
        <v>0</v>
      </c>
      <c r="M1127" s="359"/>
      <c r="N1127" s="358"/>
      <c r="O1127" s="358"/>
      <c r="P1127" s="358"/>
      <c r="Q1127" s="358">
        <f>COUNTIF(Compil[[Ma Désignation ]],Compil[[Ma Désignation ]])</f>
        <v>1</v>
      </c>
    </row>
    <row r="1128" spans="1:17" ht="14">
      <c r="A1128" s="362">
        <v>357</v>
      </c>
      <c r="B1128" s="451"/>
      <c r="C1128" s="455" t="s">
        <v>231</v>
      </c>
      <c r="D1128" s="357" t="str">
        <f xml:space="preserve"> TRIM( SUBSTITUTE(SUBSTITUTE(SUBSTITUTE( Compil[[#This Row],[DESIGNATION]],"-",""),"–",""),"*",""))</f>
        <v>Tableau électrique T5</v>
      </c>
      <c r="E1128" s="457" t="s">
        <v>13</v>
      </c>
      <c r="F1128" s="386">
        <v>10</v>
      </c>
      <c r="G1128" s="389">
        <v>0</v>
      </c>
      <c r="H1128" s="302">
        <v>0</v>
      </c>
      <c r="I1128" t="s">
        <v>570</v>
      </c>
      <c r="J1128" t="b">
        <f>AND(NOT(Compil[[#This Row],[Est ouvrage]]), NOT(ISBLANK(Compil[[#This Row],[ART.
CCTP]])))</f>
        <v>0</v>
      </c>
      <c r="K1128" t="b">
        <f>OR(Compil[[#This Row],[Unité]]="U",Compil[[#This Row],[Unité]]="ens",Compil[[#This Row],[Unité]]="ml")</f>
        <v>1</v>
      </c>
      <c r="L1128" t="b">
        <f>ISBLANK(Compil[[#This Row],[DESIGNATION]])</f>
        <v>0</v>
      </c>
      <c r="M1128" s="359"/>
      <c r="N1128" s="358"/>
      <c r="O1128" s="358"/>
      <c r="P1128" s="358"/>
      <c r="Q1128" s="358">
        <f>COUNTIF(Compil[[Ma Désignation ]],Compil[[Ma Désignation ]])</f>
        <v>1</v>
      </c>
    </row>
    <row r="1129" spans="1:17" ht="14">
      <c r="A1129" s="362">
        <v>358</v>
      </c>
      <c r="B1129" s="451"/>
      <c r="C1129" s="455" t="s">
        <v>267</v>
      </c>
      <c r="D1129" s="357" t="str">
        <f xml:space="preserve"> TRIM( SUBSTITUTE(SUBSTITUTE(SUBSTITUTE( Compil[[#This Row],[DESIGNATION]],"-",""),"–",""),"*",""))</f>
        <v>Tableau électrique T5 duplex (sur G1)</v>
      </c>
      <c r="E1129" s="457" t="s">
        <v>13</v>
      </c>
      <c r="F1129" s="386">
        <v>6</v>
      </c>
      <c r="G1129" s="389">
        <v>0</v>
      </c>
      <c r="H1129" s="302">
        <v>0</v>
      </c>
      <c r="I1129" t="s">
        <v>570</v>
      </c>
      <c r="J1129" t="b">
        <f>AND(NOT(Compil[[#This Row],[Est ouvrage]]), NOT(ISBLANK(Compil[[#This Row],[ART.
CCTP]])))</f>
        <v>0</v>
      </c>
      <c r="K1129" t="b">
        <f>OR(Compil[[#This Row],[Unité]]="U",Compil[[#This Row],[Unité]]="ens",Compil[[#This Row],[Unité]]="ml")</f>
        <v>1</v>
      </c>
      <c r="L1129" t="b">
        <f>ISBLANK(Compil[[#This Row],[DESIGNATION]])</f>
        <v>0</v>
      </c>
      <c r="M1129" s="359"/>
      <c r="N1129" s="358"/>
      <c r="O1129" s="358"/>
      <c r="P1129" s="358"/>
      <c r="Q1129" s="358">
        <f>COUNTIF(Compil[[Ma Désignation ]],Compil[[Ma Désignation ]])</f>
        <v>1</v>
      </c>
    </row>
    <row r="1130" spans="1:17">
      <c r="A1130">
        <v>1125</v>
      </c>
      <c r="C1130" s="426"/>
      <c r="D1130" t="str">
        <f xml:space="preserve"> TRIM( SUBSTITUTE(SUBSTITUTE(SUBSTITUTE( Compil[[#This Row],[DESIGNATION]],"-",""),"–",""),"*",""))</f>
        <v/>
      </c>
      <c r="F1130" s="275"/>
      <c r="G1130" s="315" t="s">
        <v>571</v>
      </c>
      <c r="H1130" s="316" t="s">
        <v>571</v>
      </c>
      <c r="I1130" t="s">
        <v>579</v>
      </c>
      <c r="J1130" t="b">
        <f>AND(NOT(Compil[[#This Row],[Est ouvrage]]), NOT(ISBLANK(Compil[[#This Row],[ART.
CCTP]])))</f>
        <v>0</v>
      </c>
      <c r="K1130" t="b">
        <f>OR(Compil[[#This Row],[Unité]]="U",Compil[[#This Row],[Unité]]="ens",Compil[[#This Row],[Unité]]="ml")</f>
        <v>0</v>
      </c>
      <c r="L1130" t="b">
        <f>ISBLANK(Compil[[#This Row],[DESIGNATION]])</f>
        <v>1</v>
      </c>
      <c r="M1130" s="358"/>
      <c r="N1130" s="358"/>
      <c r="O1130" s="358"/>
      <c r="P1130" s="358"/>
      <c r="Q1130" s="358">
        <f>COUNTIF(Compil[[Ma Désignation ]],Compil[[Ma Désignation ]])</f>
        <v>306</v>
      </c>
    </row>
    <row r="1131" spans="1:17" ht="14">
      <c r="A1131" s="305">
        <v>177</v>
      </c>
      <c r="B1131" s="62"/>
      <c r="C1131" s="453" t="s">
        <v>328</v>
      </c>
      <c r="D1131" t="str">
        <f xml:space="preserve"> TRIM( SUBSTITUTE(SUBSTITUTE(SUBSTITUTE( Compil[[#This Row],[DESIGNATION]],"-",""),"–",""),"*",""))</f>
        <v>Tableaux de désenfumage pour habitation</v>
      </c>
      <c r="E1131" s="243" t="s">
        <v>12</v>
      </c>
      <c r="F1131" s="251">
        <v>2</v>
      </c>
      <c r="G1131" s="389" t="e">
        <f>IF(F1131="","",(((L1131*$M$6)+(M1131*#REF!*#REF!))*$M$7)/F1131)</f>
        <v>#VALUE!</v>
      </c>
      <c r="H1131" s="302" t="e">
        <f>IF(F1131="","",F1131*G1131)</f>
        <v>#VALUE!</v>
      </c>
      <c r="I1131" t="s">
        <v>580</v>
      </c>
      <c r="J1131" t="b">
        <f>AND(NOT(Compil[[#This Row],[Est ouvrage]]), NOT(ISBLANK(Compil[[#This Row],[ART.
CCTP]])))</f>
        <v>0</v>
      </c>
      <c r="K1131" t="b">
        <f>OR(Compil[[#This Row],[Unité]]="U",Compil[[#This Row],[Unité]]="ens",Compil[[#This Row],[Unité]]="ml")</f>
        <v>1</v>
      </c>
      <c r="L1131" t="b">
        <f>ISBLANK(Compil[[#This Row],[DESIGNATION]])</f>
        <v>0</v>
      </c>
      <c r="M1131" s="359"/>
      <c r="N1131" s="358"/>
      <c r="O1131" s="358"/>
      <c r="P1131" s="358"/>
      <c r="Q1131" s="358">
        <f>COUNTIF(Compil[[Ma Désignation ]],Compil[[Ma Désignation ]])</f>
        <v>1</v>
      </c>
    </row>
    <row r="1132" spans="1:17">
      <c r="A1132">
        <v>1127</v>
      </c>
      <c r="C1132" s="426"/>
      <c r="D1132" t="str">
        <f xml:space="preserve"> TRIM( SUBSTITUTE(SUBSTITUTE(SUBSTITUTE( Compil[[#This Row],[DESIGNATION]],"-",""),"–",""),"*",""))</f>
        <v/>
      </c>
      <c r="E1132" s="313"/>
      <c r="F1132" s="275"/>
      <c r="G1132" s="315" t="s">
        <v>571</v>
      </c>
      <c r="H1132" s="316" t="s">
        <v>571</v>
      </c>
      <c r="I1132" t="s">
        <v>579</v>
      </c>
      <c r="J1132" t="b">
        <f>AND(NOT(Compil[[#This Row],[Est ouvrage]]), NOT(ISBLANK(Compil[[#This Row],[ART.
CCTP]])))</f>
        <v>0</v>
      </c>
      <c r="K1132" t="b">
        <f>OR(Compil[[#This Row],[Unité]]="U",Compil[[#This Row],[Unité]]="ens",Compil[[#This Row],[Unité]]="ml")</f>
        <v>0</v>
      </c>
      <c r="L1132" t="b">
        <f>ISBLANK(Compil[[#This Row],[DESIGNATION]])</f>
        <v>1</v>
      </c>
      <c r="M1132" s="358"/>
      <c r="N1132" s="358"/>
      <c r="O1132" s="358"/>
      <c r="P1132" s="358"/>
      <c r="Q1132" s="358">
        <f>COUNTIF(Compil[[Ma Désignation ]],Compil[[Ma Désignation ]])</f>
        <v>306</v>
      </c>
    </row>
    <row r="1133" spans="1:17">
      <c r="A1133" s="170">
        <v>1128</v>
      </c>
      <c r="B1133" s="170"/>
      <c r="C1133" s="437" t="s">
        <v>415</v>
      </c>
      <c r="D1133" t="str">
        <f xml:space="preserve"> TRIM( SUBSTITUTE(SUBSTITUTE(SUBSTITUTE( Compil[[#This Row],[DESIGNATION]],"-",""),"–",""),"*",""))</f>
        <v>Sous total 3.12</v>
      </c>
      <c r="E1133" s="435"/>
      <c r="F1133" s="447"/>
      <c r="G1133" s="448" t="s">
        <v>571</v>
      </c>
      <c r="H1133" s="449" t="s">
        <v>571</v>
      </c>
      <c r="I1133" t="s">
        <v>579</v>
      </c>
      <c r="J1133" t="b">
        <f>AND(NOT(Compil[[#This Row],[Est ouvrage]]), NOT(ISBLANK(Compil[[#This Row],[ART.
CCTP]])))</f>
        <v>0</v>
      </c>
      <c r="K1133" t="b">
        <f>OR(Compil[[#This Row],[Unité]]="U",Compil[[#This Row],[Unité]]="ens",Compil[[#This Row],[Unité]]="ml")</f>
        <v>0</v>
      </c>
      <c r="L1133" t="b">
        <f>ISBLANK(Compil[[#This Row],[DESIGNATION]])</f>
        <v>0</v>
      </c>
      <c r="M1133" s="359"/>
      <c r="N1133" s="358"/>
      <c r="O1133" s="358"/>
      <c r="P1133" s="358"/>
      <c r="Q1133" s="358">
        <f>COUNTIF(Compil[[Ma Désignation ]],Compil[[Ma Désignation ]])</f>
        <v>2</v>
      </c>
    </row>
    <row r="1134" spans="1:17">
      <c r="A1134">
        <v>1129</v>
      </c>
      <c r="C1134" s="426"/>
      <c r="D1134" t="str">
        <f xml:space="preserve"> TRIM( SUBSTITUTE(SUBSTITUTE(SUBSTITUTE( Compil[[#This Row],[DESIGNATION]],"-",""),"–",""),"*",""))</f>
        <v/>
      </c>
      <c r="E1134" s="313"/>
      <c r="F1134" s="275"/>
      <c r="G1134" s="315" t="s">
        <v>571</v>
      </c>
      <c r="H1134" s="316" t="s">
        <v>571</v>
      </c>
      <c r="I1134" t="s">
        <v>579</v>
      </c>
      <c r="J1134" t="b">
        <f>AND(NOT(Compil[[#This Row],[Est ouvrage]]), NOT(ISBLANK(Compil[[#This Row],[ART.
CCTP]])))</f>
        <v>0</v>
      </c>
      <c r="K1134" t="b">
        <f>OR(Compil[[#This Row],[Unité]]="U",Compil[[#This Row],[Unité]]="ens",Compil[[#This Row],[Unité]]="ml")</f>
        <v>0</v>
      </c>
      <c r="L1134" t="b">
        <f>ISBLANK(Compil[[#This Row],[DESIGNATION]])</f>
        <v>1</v>
      </c>
      <c r="M1134" s="358"/>
      <c r="N1134" s="358"/>
      <c r="O1134" s="358"/>
      <c r="P1134" s="358"/>
      <c r="Q1134" s="358">
        <f>COUNTIF(Compil[[Ma Désignation ]],Compil[[Ma Désignation ]])</f>
        <v>306</v>
      </c>
    </row>
    <row r="1135" spans="1:17">
      <c r="A1135" s="170">
        <v>1130</v>
      </c>
      <c r="B1135" s="170" t="s">
        <v>416</v>
      </c>
      <c r="C1135" s="437" t="s">
        <v>92</v>
      </c>
      <c r="D1135" t="str">
        <f xml:space="preserve"> TRIM( SUBSTITUTE(SUBSTITUTE(SUBSTITUTE( Compil[[#This Row],[DESIGNATION]],"-",""),"–",""),"*",""))</f>
        <v>Précâblage téléphone/informatique</v>
      </c>
      <c r="E1135" s="435"/>
      <c r="F1135" s="447"/>
      <c r="G1135" s="448" t="s">
        <v>571</v>
      </c>
      <c r="H1135" s="449" t="s">
        <v>571</v>
      </c>
      <c r="I1135" t="s">
        <v>579</v>
      </c>
      <c r="J1135" t="b">
        <f>AND(NOT(Compil[[#This Row],[Est ouvrage]]), NOT(ISBLANK(Compil[[#This Row],[ART.
CCTP]])))</f>
        <v>1</v>
      </c>
      <c r="K1135" t="b">
        <f>OR(Compil[[#This Row],[Unité]]="U",Compil[[#This Row],[Unité]]="ens",Compil[[#This Row],[Unité]]="ml")</f>
        <v>0</v>
      </c>
      <c r="L1135" t="b">
        <f>ISBLANK(Compil[[#This Row],[DESIGNATION]])</f>
        <v>0</v>
      </c>
      <c r="M1135" s="359"/>
      <c r="N1135" s="358"/>
      <c r="O1135" s="358"/>
      <c r="P1135" s="358"/>
      <c r="Q1135" s="358">
        <f>COUNTIF(Compil[[Ma Désignation ]],Compil[[Ma Désignation ]])</f>
        <v>1</v>
      </c>
    </row>
    <row r="1136" spans="1:17">
      <c r="A1136">
        <v>1131</v>
      </c>
      <c r="C1136" s="426"/>
      <c r="D1136" t="str">
        <f xml:space="preserve"> TRIM( SUBSTITUTE(SUBSTITUTE(SUBSTITUTE( Compil[[#This Row],[DESIGNATION]],"-",""),"–",""),"*",""))</f>
        <v/>
      </c>
      <c r="E1136" s="313"/>
      <c r="F1136" s="275"/>
      <c r="G1136" s="315" t="s">
        <v>571</v>
      </c>
      <c r="H1136" s="316" t="s">
        <v>571</v>
      </c>
      <c r="I1136" t="s">
        <v>579</v>
      </c>
      <c r="J1136" t="b">
        <f>AND(NOT(Compil[[#This Row],[Est ouvrage]]), NOT(ISBLANK(Compil[[#This Row],[ART.
CCTP]])))</f>
        <v>0</v>
      </c>
      <c r="K1136" t="b">
        <f>OR(Compil[[#This Row],[Unité]]="U",Compil[[#This Row],[Unité]]="ens",Compil[[#This Row],[Unité]]="ml")</f>
        <v>0</v>
      </c>
      <c r="L1136" t="b">
        <f>ISBLANK(Compil[[#This Row],[DESIGNATION]])</f>
        <v>1</v>
      </c>
      <c r="M1136" s="358"/>
      <c r="N1136" s="358"/>
      <c r="O1136" s="358"/>
      <c r="P1136" s="358"/>
      <c r="Q1136" s="358">
        <f>COUNTIF(Compil[[Ma Désignation ]],Compil[[Ma Désignation ]])</f>
        <v>306</v>
      </c>
    </row>
    <row r="1137" spans="1:17" ht="14">
      <c r="A1137" s="305">
        <v>119</v>
      </c>
      <c r="B1137" s="62"/>
      <c r="C1137" s="453" t="s">
        <v>225</v>
      </c>
      <c r="D1137" t="str">
        <f xml:space="preserve"> TRIM( SUBSTITUTE(SUBSTITUTE(SUBSTITUTE( Compil[[#This Row],[DESIGNATION]],"-",""),"–",""),"*",""))</f>
        <v>TD local commercial du G1 y compris toutes sujétions</v>
      </c>
      <c r="E1137" s="243" t="s">
        <v>12</v>
      </c>
      <c r="F1137" s="251">
        <v>1</v>
      </c>
      <c r="G1137" s="389" t="e">
        <f>IF(F1137="","",(((L1137*$M$6)+(M1137*#REF!*#REF!))*$M$7)/F1137)</f>
        <v>#VALUE!</v>
      </c>
      <c r="H1137" s="302" t="e">
        <f>IF(F1137="","",F1137*G1137)</f>
        <v>#VALUE!</v>
      </c>
      <c r="I1137" t="s">
        <v>580</v>
      </c>
      <c r="J1137" t="b">
        <f>AND(NOT(Compil[[#This Row],[Est ouvrage]]), NOT(ISBLANK(Compil[[#This Row],[ART.
CCTP]])))</f>
        <v>0</v>
      </c>
      <c r="K1137" t="b">
        <f>OR(Compil[[#This Row],[Unité]]="U",Compil[[#This Row],[Unité]]="ens",Compil[[#This Row],[Unité]]="ml")</f>
        <v>1</v>
      </c>
      <c r="L1137" t="b">
        <f>ISBLANK(Compil[[#This Row],[DESIGNATION]])</f>
        <v>0</v>
      </c>
      <c r="M1137" s="359"/>
      <c r="N1137" s="358"/>
      <c r="O1137" s="358"/>
      <c r="P1137" s="358"/>
      <c r="Q1137" s="358">
        <f>COUNTIF(Compil[[Ma Désignation ]],Compil[[Ma Désignation ]])</f>
        <v>1</v>
      </c>
    </row>
    <row r="1138" spans="1:17">
      <c r="A1138">
        <v>1133</v>
      </c>
      <c r="C1138" s="426"/>
      <c r="D1138" t="str">
        <f xml:space="preserve"> TRIM( SUBSTITUTE(SUBSTITUTE(SUBSTITUTE( Compil[[#This Row],[DESIGNATION]],"-",""),"–",""),"*",""))</f>
        <v/>
      </c>
      <c r="E1138" s="313"/>
      <c r="F1138" s="275"/>
      <c r="G1138" s="315" t="s">
        <v>571</v>
      </c>
      <c r="H1138" s="316" t="s">
        <v>571</v>
      </c>
      <c r="I1138" t="s">
        <v>579</v>
      </c>
      <c r="J1138" t="b">
        <f>AND(NOT(Compil[[#This Row],[Est ouvrage]]), NOT(ISBLANK(Compil[[#This Row],[ART.
CCTP]])))</f>
        <v>0</v>
      </c>
      <c r="K1138" t="b">
        <f>OR(Compil[[#This Row],[Unité]]="U",Compil[[#This Row],[Unité]]="ens",Compil[[#This Row],[Unité]]="ml")</f>
        <v>0</v>
      </c>
      <c r="L1138" t="b">
        <f>ISBLANK(Compil[[#This Row],[DESIGNATION]])</f>
        <v>1</v>
      </c>
      <c r="M1138" s="358"/>
      <c r="N1138" s="358"/>
      <c r="O1138" s="358"/>
      <c r="P1138" s="358"/>
      <c r="Q1138" s="358">
        <f>COUNTIF(Compil[[Ma Désignation ]],Compil[[Ma Désignation ]])</f>
        <v>306</v>
      </c>
    </row>
    <row r="1139" spans="1:17" ht="14">
      <c r="A1139" s="305">
        <v>120</v>
      </c>
      <c r="B1139" s="62"/>
      <c r="C1139" s="453" t="s">
        <v>226</v>
      </c>
      <c r="D1139" t="str">
        <f xml:space="preserve"> TRIM( SUBSTITUTE(SUBSTITUTE(SUBSTITUTE( Compil[[#This Row],[DESIGNATION]],"-",""),"–",""),"*",""))</f>
        <v>TD local commercial du G2 y compris toutes sujétions</v>
      </c>
      <c r="E1139" s="243" t="s">
        <v>12</v>
      </c>
      <c r="F1139" s="251">
        <v>1</v>
      </c>
      <c r="G1139" s="389" t="e">
        <f>IF(F1139="","",(((L1139*$M$6)+(M1139*#REF!*#REF!))*$M$7)/F1139)</f>
        <v>#VALUE!</v>
      </c>
      <c r="H1139" s="302" t="e">
        <f>IF(F1139="","",F1139*G1139)</f>
        <v>#VALUE!</v>
      </c>
      <c r="I1139" t="s">
        <v>580</v>
      </c>
      <c r="J1139" t="b">
        <f>AND(NOT(Compil[[#This Row],[Est ouvrage]]), NOT(ISBLANK(Compil[[#This Row],[ART.
CCTP]])))</f>
        <v>0</v>
      </c>
      <c r="K1139" t="b">
        <f>OR(Compil[[#This Row],[Unité]]="U",Compil[[#This Row],[Unité]]="ens",Compil[[#This Row],[Unité]]="ml")</f>
        <v>1</v>
      </c>
      <c r="L1139" t="b">
        <f>ISBLANK(Compil[[#This Row],[DESIGNATION]])</f>
        <v>0</v>
      </c>
      <c r="M1139" s="359"/>
      <c r="N1139" s="358"/>
      <c r="O1139" s="358"/>
      <c r="P1139" s="358"/>
      <c r="Q1139" s="358">
        <f>COUNTIF(Compil[[Ma Désignation ]],Compil[[Ma Désignation ]])</f>
        <v>1</v>
      </c>
    </row>
    <row r="1140" spans="1:17" ht="14">
      <c r="A1140" s="305">
        <v>194</v>
      </c>
      <c r="B1140" s="62"/>
      <c r="C1140" s="392" t="s">
        <v>36</v>
      </c>
      <c r="D1140" t="str">
        <f xml:space="preserve"> TRIM( SUBSTITUTE(SUBSTITUTE(SUBSTITUTE( Compil[[#This Row],[DESIGNATION]],"-",""),"–",""),"*",""))</f>
        <v>télécommande blocs de sécurité</v>
      </c>
      <c r="E1140" s="243" t="s">
        <v>12</v>
      </c>
      <c r="F1140" s="251">
        <v>3</v>
      </c>
      <c r="G1140" s="389" t="e">
        <f>IF(F1140="","",(((L1140*$M$6)+(M1140*#REF!*#REF!))*$M$7)/F1140)</f>
        <v>#VALUE!</v>
      </c>
      <c r="H1140" s="302" t="e">
        <f>IF(F1140="","",F1140*G1140)</f>
        <v>#VALUE!</v>
      </c>
      <c r="I1140" t="s">
        <v>580</v>
      </c>
      <c r="J1140" t="b">
        <f>AND(NOT(Compil[[#This Row],[Est ouvrage]]), NOT(ISBLANK(Compil[[#This Row],[ART.
CCTP]])))</f>
        <v>0</v>
      </c>
      <c r="K1140" t="b">
        <f>OR(Compil[[#This Row],[Unité]]="U",Compil[[#This Row],[Unité]]="ens",Compil[[#This Row],[Unité]]="ml")</f>
        <v>1</v>
      </c>
      <c r="L1140" t="b">
        <f>ISBLANK(Compil[[#This Row],[DESIGNATION]])</f>
        <v>0</v>
      </c>
      <c r="M1140" s="359"/>
      <c r="N1140" s="358"/>
      <c r="O1140" s="358"/>
      <c r="P1140" s="358"/>
      <c r="Q1140" s="358">
        <f>COUNTIF(Compil[[Ma Désignation ]],Compil[[Ma Désignation ]])</f>
        <v>2</v>
      </c>
    </row>
    <row r="1141" spans="1:17" ht="14">
      <c r="A1141" s="361">
        <v>833</v>
      </c>
      <c r="B1141" s="107"/>
      <c r="C1141" s="373" t="s">
        <v>36</v>
      </c>
      <c r="D1141" t="str">
        <f xml:space="preserve"> TRIM( SUBSTITUTE(SUBSTITUTE(SUBSTITUTE( Compil[[#This Row],[DESIGNATION]],"-",""),"–",""),"*",""))</f>
        <v>télécommande blocs de sécurité</v>
      </c>
      <c r="E1141" s="379" t="s">
        <v>12</v>
      </c>
      <c r="F1141" s="386">
        <v>1</v>
      </c>
      <c r="G1141" s="389">
        <v>0</v>
      </c>
      <c r="H1141" s="302">
        <v>0</v>
      </c>
      <c r="I1141" t="s">
        <v>578</v>
      </c>
      <c r="J1141" t="b">
        <f>AND(NOT(Compil[[#This Row],[Est ouvrage]]), NOT(ISBLANK(Compil[[#This Row],[ART.
CCTP]])))</f>
        <v>0</v>
      </c>
      <c r="K1141" t="b">
        <f>OR(Compil[[#This Row],[Unité]]="U",Compil[[#This Row],[Unité]]="ens",Compil[[#This Row],[Unité]]="ml")</f>
        <v>1</v>
      </c>
      <c r="L1141" t="b">
        <f>ISBLANK(Compil[[#This Row],[DESIGNATION]])</f>
        <v>0</v>
      </c>
      <c r="M1141" s="359"/>
      <c r="N1141" s="358"/>
      <c r="O1141" s="358"/>
      <c r="P1141" s="358"/>
      <c r="Q1141" s="358">
        <f>COUNTIF(Compil[[Ma Désignation ]],Compil[[Ma Désignation ]])</f>
        <v>2</v>
      </c>
    </row>
    <row r="1142" spans="1:17" ht="14">
      <c r="A1142" s="305">
        <v>277</v>
      </c>
      <c r="B1142" s="452"/>
      <c r="C1142" s="454" t="s">
        <v>341</v>
      </c>
      <c r="D1142" t="str">
        <f xml:space="preserve"> TRIM( SUBSTITUTE(SUBSTITUTE(SUBSTITUTE( Compil[[#This Row],[DESIGNATION]],"-",""),"–",""),"*",""))</f>
        <v>télécommande et récepteur radio</v>
      </c>
      <c r="E1142" s="243" t="s">
        <v>12</v>
      </c>
      <c r="F1142" s="251">
        <v>1</v>
      </c>
      <c r="G1142" s="389" t="e">
        <f>IF(F1142="","",(((L1142*$M$6)+(M1142*#REF!*#REF!))*$M$7)/F1142)</f>
        <v>#VALUE!</v>
      </c>
      <c r="H1142" s="302" t="e">
        <f>IF(F1142="","",F1142*G1142)</f>
        <v>#VALUE!</v>
      </c>
      <c r="I1142" t="s">
        <v>580</v>
      </c>
      <c r="J1142" t="b">
        <f>AND(NOT(Compil[[#This Row],[Est ouvrage]]), NOT(ISBLANK(Compil[[#This Row],[ART.
CCTP]])))</f>
        <v>0</v>
      </c>
      <c r="K1142" t="b">
        <f>OR(Compil[[#This Row],[Unité]]="U",Compil[[#This Row],[Unité]]="ens",Compil[[#This Row],[Unité]]="ml")</f>
        <v>1</v>
      </c>
      <c r="L1142" t="b">
        <f>ISBLANK(Compil[[#This Row],[DESIGNATION]])</f>
        <v>0</v>
      </c>
      <c r="M1142" s="359"/>
      <c r="N1142" s="358"/>
      <c r="O1142" s="358"/>
      <c r="P1142" s="358"/>
      <c r="Q1142" s="358">
        <f>COUNTIF(Compil[[Ma Désignation ]],Compil[[Ma Désignation ]])</f>
        <v>1</v>
      </c>
    </row>
    <row r="1143" spans="1:17">
      <c r="A1143">
        <v>1138</v>
      </c>
      <c r="C1143" s="426"/>
      <c r="D1143" t="str">
        <f xml:space="preserve"> TRIM( SUBSTITUTE(SUBSTITUTE(SUBSTITUTE( Compil[[#This Row],[DESIGNATION]],"-",""),"–",""),"*",""))</f>
        <v/>
      </c>
      <c r="E1143" s="313"/>
      <c r="F1143" s="275"/>
      <c r="G1143" s="315" t="s">
        <v>571</v>
      </c>
      <c r="H1143" s="316" t="s">
        <v>571</v>
      </c>
      <c r="I1143" t="s">
        <v>579</v>
      </c>
      <c r="J1143" t="b">
        <f>AND(NOT(Compil[[#This Row],[Est ouvrage]]), NOT(ISBLANK(Compil[[#This Row],[ART.
CCTP]])))</f>
        <v>0</v>
      </c>
      <c r="K1143" t="b">
        <f>OR(Compil[[#This Row],[Unité]]="U",Compil[[#This Row],[Unité]]="ens",Compil[[#This Row],[Unité]]="ml")</f>
        <v>0</v>
      </c>
      <c r="L1143" t="b">
        <f>ISBLANK(Compil[[#This Row],[DESIGNATION]])</f>
        <v>1</v>
      </c>
      <c r="M1143" s="358"/>
      <c r="N1143" s="358"/>
      <c r="O1143" s="358"/>
      <c r="P1143" s="358"/>
      <c r="Q1143" s="358">
        <f>COUNTIF(Compil[[Ma Désignation ]],Compil[[Ma Désignation ]])</f>
        <v>306</v>
      </c>
    </row>
    <row r="1144" spans="1:17">
      <c r="A1144" s="170">
        <v>1139</v>
      </c>
      <c r="B1144" s="170"/>
      <c r="C1144" s="437" t="s">
        <v>414</v>
      </c>
      <c r="D1144" t="str">
        <f xml:space="preserve"> TRIM( SUBSTITUTE(SUBSTITUTE(SUBSTITUTE( Compil[[#This Row],[DESIGNATION]],"-",""),"–",""),"*",""))</f>
        <v>Sous total 3.13</v>
      </c>
      <c r="E1144" s="435"/>
      <c r="F1144" s="447"/>
      <c r="G1144" s="448" t="s">
        <v>571</v>
      </c>
      <c r="H1144" s="449" t="s">
        <v>571</v>
      </c>
      <c r="I1144" t="s">
        <v>579</v>
      </c>
      <c r="J1144" t="b">
        <f>AND(NOT(Compil[[#This Row],[Est ouvrage]]), NOT(ISBLANK(Compil[[#This Row],[ART.
CCTP]])))</f>
        <v>0</v>
      </c>
      <c r="K1144" t="b">
        <f>OR(Compil[[#This Row],[Unité]]="U",Compil[[#This Row],[Unité]]="ens",Compil[[#This Row],[Unité]]="ml")</f>
        <v>0</v>
      </c>
      <c r="L1144" t="b">
        <f>ISBLANK(Compil[[#This Row],[DESIGNATION]])</f>
        <v>0</v>
      </c>
      <c r="M1144" s="359"/>
      <c r="N1144" s="358"/>
      <c r="O1144" s="358"/>
      <c r="P1144" s="358"/>
      <c r="Q1144" s="358">
        <f>COUNTIF(Compil[[Ma Désignation ]],Compil[[Ma Désignation ]])</f>
        <v>1</v>
      </c>
    </row>
    <row r="1145" spans="1:17">
      <c r="A1145">
        <v>1140</v>
      </c>
      <c r="C1145" s="426"/>
      <c r="D1145" t="str">
        <f xml:space="preserve"> TRIM( SUBSTITUTE(SUBSTITUTE(SUBSTITUTE( Compil[[#This Row],[DESIGNATION]],"-",""),"–",""),"*",""))</f>
        <v/>
      </c>
      <c r="E1145" s="313"/>
      <c r="F1145" s="275"/>
      <c r="G1145" s="315" t="s">
        <v>571</v>
      </c>
      <c r="H1145" s="316" t="s">
        <v>571</v>
      </c>
      <c r="I1145" t="s">
        <v>579</v>
      </c>
      <c r="J1145" t="b">
        <f>AND(NOT(Compil[[#This Row],[Est ouvrage]]), NOT(ISBLANK(Compil[[#This Row],[ART.
CCTP]])))</f>
        <v>0</v>
      </c>
      <c r="K1145" t="b">
        <f>OR(Compil[[#This Row],[Unité]]="U",Compil[[#This Row],[Unité]]="ens",Compil[[#This Row],[Unité]]="ml")</f>
        <v>0</v>
      </c>
      <c r="L1145" t="b">
        <f>ISBLANK(Compil[[#This Row],[DESIGNATION]])</f>
        <v>1</v>
      </c>
      <c r="M1145" s="358"/>
      <c r="N1145" s="358"/>
      <c r="O1145" s="358"/>
      <c r="P1145" s="358"/>
      <c r="Q1145" s="358">
        <f>COUNTIF(Compil[[Ma Désignation ]],Compil[[Ma Désignation ]])</f>
        <v>306</v>
      </c>
    </row>
    <row r="1146" spans="1:17">
      <c r="A1146" s="170">
        <v>1141</v>
      </c>
      <c r="B1146" s="170" t="s">
        <v>427</v>
      </c>
      <c r="C1146" s="437" t="s">
        <v>426</v>
      </c>
      <c r="D1146" t="str">
        <f xml:space="preserve"> TRIM( SUBSTITUTE(SUBSTITUTE(SUBSTITUTE( Compil[[#This Row],[DESIGNATION]],"-",""),"–",""),"*",""))</f>
        <v>Alarme incendie</v>
      </c>
      <c r="E1146" s="435"/>
      <c r="F1146" s="447"/>
      <c r="G1146" s="448" t="s">
        <v>571</v>
      </c>
      <c r="H1146" s="449" t="s">
        <v>571</v>
      </c>
      <c r="I1146" t="s">
        <v>579</v>
      </c>
      <c r="J1146" t="b">
        <f>AND(NOT(Compil[[#This Row],[Est ouvrage]]), NOT(ISBLANK(Compil[[#This Row],[ART.
CCTP]])))</f>
        <v>1</v>
      </c>
      <c r="K1146" t="b">
        <f>OR(Compil[[#This Row],[Unité]]="U",Compil[[#This Row],[Unité]]="ens",Compil[[#This Row],[Unité]]="ml")</f>
        <v>0</v>
      </c>
      <c r="L1146" t="b">
        <f>ISBLANK(Compil[[#This Row],[DESIGNATION]])</f>
        <v>0</v>
      </c>
      <c r="M1146" s="359"/>
      <c r="N1146" s="358"/>
      <c r="O1146" s="358"/>
      <c r="P1146" s="358"/>
      <c r="Q1146" s="358">
        <f>COUNTIF(Compil[[Ma Désignation ]],Compil[[Ma Désignation ]])</f>
        <v>2</v>
      </c>
    </row>
    <row r="1147" spans="1:17">
      <c r="A1147">
        <v>1142</v>
      </c>
      <c r="C1147" s="426"/>
      <c r="D1147" t="str">
        <f xml:space="preserve"> TRIM( SUBSTITUTE(SUBSTITUTE(SUBSTITUTE( Compil[[#This Row],[DESIGNATION]],"-",""),"–",""),"*",""))</f>
        <v/>
      </c>
      <c r="E1147" s="313"/>
      <c r="F1147" s="275"/>
      <c r="G1147" s="315" t="s">
        <v>571</v>
      </c>
      <c r="H1147" s="316" t="s">
        <v>571</v>
      </c>
      <c r="I1147" t="s">
        <v>579</v>
      </c>
      <c r="J1147" t="b">
        <f>AND(NOT(Compil[[#This Row],[Est ouvrage]]), NOT(ISBLANK(Compil[[#This Row],[ART.
CCTP]])))</f>
        <v>0</v>
      </c>
      <c r="K1147" t="b">
        <f>OR(Compil[[#This Row],[Unité]]="U",Compil[[#This Row],[Unité]]="ens",Compil[[#This Row],[Unité]]="ml")</f>
        <v>0</v>
      </c>
      <c r="L1147" t="b">
        <f>ISBLANK(Compil[[#This Row],[DESIGNATION]])</f>
        <v>1</v>
      </c>
      <c r="M1147" s="358"/>
      <c r="N1147" s="358"/>
      <c r="O1147" s="358"/>
      <c r="P1147" s="358"/>
      <c r="Q1147" s="358">
        <f>COUNTIF(Compil[[Ma Désignation ]],Compil[[Ma Désignation ]])</f>
        <v>306</v>
      </c>
    </row>
    <row r="1148" spans="1:17" ht="25">
      <c r="A1148" s="305">
        <v>116</v>
      </c>
      <c r="B1148" s="62"/>
      <c r="C1148" s="453" t="s">
        <v>221</v>
      </c>
      <c r="D1148" t="str">
        <f xml:space="preserve"> TRIM( SUBSTITUTE(SUBSTITUTE(SUBSTITUTE( Compil[[#This Row],[DESIGNATION]],"-",""),"–",""),"*",""))</f>
        <v>TGBT des services généraux du G1 y compris toutes sujétions</v>
      </c>
      <c r="E1148" s="243" t="s">
        <v>12</v>
      </c>
      <c r="F1148" s="251">
        <v>1</v>
      </c>
      <c r="G1148" s="389" t="e">
        <f>IF(F1148="","",(((L1148*$M$6)+(M1148*#REF!*#REF!))*$M$7)/F1148)</f>
        <v>#VALUE!</v>
      </c>
      <c r="H1148" s="302" t="e">
        <f>IF(F1148="","",F1148*G1148)</f>
        <v>#VALUE!</v>
      </c>
      <c r="I1148" t="s">
        <v>580</v>
      </c>
      <c r="J1148" t="b">
        <f>AND(NOT(Compil[[#This Row],[Est ouvrage]]), NOT(ISBLANK(Compil[[#This Row],[ART.
CCTP]])))</f>
        <v>0</v>
      </c>
      <c r="K1148" t="b">
        <f>OR(Compil[[#This Row],[Unité]]="U",Compil[[#This Row],[Unité]]="ens",Compil[[#This Row],[Unité]]="ml")</f>
        <v>1</v>
      </c>
      <c r="L1148" t="b">
        <f>ISBLANK(Compil[[#This Row],[DESIGNATION]])</f>
        <v>0</v>
      </c>
      <c r="M1148" s="359"/>
      <c r="N1148" s="358"/>
      <c r="O1148" s="358"/>
      <c r="P1148" s="358"/>
      <c r="Q1148" s="358">
        <f>COUNTIF(Compil[[Ma Désignation ]],Compil[[Ma Désignation ]])</f>
        <v>1</v>
      </c>
    </row>
    <row r="1149" spans="1:17" ht="25">
      <c r="A1149" s="305">
        <v>117</v>
      </c>
      <c r="B1149" s="62"/>
      <c r="C1149" s="453" t="s">
        <v>222</v>
      </c>
      <c r="D1149" t="str">
        <f xml:space="preserve"> TRIM( SUBSTITUTE(SUBSTITUTE(SUBSTITUTE( Compil[[#This Row],[DESIGNATION]],"-",""),"–",""),"*",""))</f>
        <v>TGBT des services généraux du G2 y compris toutes sujétions</v>
      </c>
      <c r="E1149" s="243" t="s">
        <v>12</v>
      </c>
      <c r="F1149" s="251">
        <v>1</v>
      </c>
      <c r="G1149" s="389" t="e">
        <f>IF(F1149="","",(((L1149*$M$6)+(M1149*#REF!*#REF!))*$M$7)/F1149)</f>
        <v>#VALUE!</v>
      </c>
      <c r="H1149" s="302" t="e">
        <f>IF(F1149="","",F1149*G1149)</f>
        <v>#VALUE!</v>
      </c>
      <c r="I1149" t="s">
        <v>580</v>
      </c>
      <c r="J1149" t="b">
        <f>AND(NOT(Compil[[#This Row],[Est ouvrage]]), NOT(ISBLANK(Compil[[#This Row],[ART.
CCTP]])))</f>
        <v>0</v>
      </c>
      <c r="K1149" t="b">
        <f>OR(Compil[[#This Row],[Unité]]="U",Compil[[#This Row],[Unité]]="ens",Compil[[#This Row],[Unité]]="ml")</f>
        <v>1</v>
      </c>
      <c r="L1149" t="b">
        <f>ISBLANK(Compil[[#This Row],[DESIGNATION]])</f>
        <v>0</v>
      </c>
      <c r="M1149" s="359"/>
      <c r="N1149" s="358"/>
      <c r="O1149" s="358"/>
      <c r="P1149" s="358"/>
      <c r="Q1149" s="358">
        <f>COUNTIF(Compil[[Ma Désignation ]],Compil[[Ma Désignation ]])</f>
        <v>1</v>
      </c>
    </row>
    <row r="1150" spans="1:17" ht="25">
      <c r="A1150" s="305">
        <v>115</v>
      </c>
      <c r="B1150" s="62"/>
      <c r="C1150" s="453" t="s">
        <v>224</v>
      </c>
      <c r="D1150" t="str">
        <f xml:space="preserve"> TRIM( SUBSTITUTE(SUBSTITUTE(SUBSTITUTE( Compil[[#This Row],[DESIGNATION]],"-",""),"–",""),"*",""))</f>
        <v>TGBT des services généraux du parking y compris toutes sujétions</v>
      </c>
      <c r="E1150" s="243" t="s">
        <v>12</v>
      </c>
      <c r="F1150" s="251">
        <v>1</v>
      </c>
      <c r="G1150" s="389" t="e">
        <f>IF(F1150="","",(((L1150*$M$6)+(M1150*#REF!*#REF!))*$M$7)/F1150)</f>
        <v>#VALUE!</v>
      </c>
      <c r="H1150" s="302" t="e">
        <f>IF(F1150="","",F1150*G1150)</f>
        <v>#VALUE!</v>
      </c>
      <c r="I1150" t="s">
        <v>580</v>
      </c>
      <c r="J1150" t="b">
        <f>AND(NOT(Compil[[#This Row],[Est ouvrage]]), NOT(ISBLANK(Compil[[#This Row],[ART.
CCTP]])))</f>
        <v>0</v>
      </c>
      <c r="K1150" t="b">
        <f>OR(Compil[[#This Row],[Unité]]="U",Compil[[#This Row],[Unité]]="ens",Compil[[#This Row],[Unité]]="ml")</f>
        <v>1</v>
      </c>
      <c r="L1150" t="b">
        <f>ISBLANK(Compil[[#This Row],[DESIGNATION]])</f>
        <v>0</v>
      </c>
      <c r="M1150" s="359"/>
      <c r="N1150" s="358"/>
      <c r="O1150" s="358"/>
      <c r="P1150" s="358"/>
      <c r="Q1150" s="358">
        <f>COUNTIF(Compil[[Ma Désignation ]],Compil[[Ma Désignation ]])</f>
        <v>1</v>
      </c>
    </row>
    <row r="1151" spans="1:17" ht="25">
      <c r="A1151" s="361">
        <v>802</v>
      </c>
      <c r="B1151" s="107"/>
      <c r="C1151" s="372" t="s">
        <v>223</v>
      </c>
      <c r="D1151" t="str">
        <f xml:space="preserve"> TRIM( SUBSTITUTE(SUBSTITUTE(SUBSTITUTE( Compil[[#This Row],[DESIGNATION]],"-",""),"–",""),"*",""))</f>
        <v>TGBT des services généraux du SOHO y compris toutes sujétions</v>
      </c>
      <c r="E1151" s="55" t="s">
        <v>12</v>
      </c>
      <c r="F1151" s="386">
        <v>1</v>
      </c>
      <c r="G1151" s="389">
        <v>0</v>
      </c>
      <c r="H1151" s="302">
        <v>0</v>
      </c>
      <c r="I1151" t="s">
        <v>578</v>
      </c>
      <c r="J1151" t="b">
        <f>AND(NOT(Compil[[#This Row],[Est ouvrage]]), NOT(ISBLANK(Compil[[#This Row],[ART.
CCTP]])))</f>
        <v>0</v>
      </c>
      <c r="K1151" t="b">
        <f>OR(Compil[[#This Row],[Unité]]="U",Compil[[#This Row],[Unité]]="ens",Compil[[#This Row],[Unité]]="ml")</f>
        <v>1</v>
      </c>
      <c r="L1151" t="b">
        <f>ISBLANK(Compil[[#This Row],[DESIGNATION]])</f>
        <v>0</v>
      </c>
      <c r="M1151" s="359"/>
      <c r="N1151" s="358"/>
      <c r="O1151" s="358"/>
      <c r="P1151" s="358"/>
      <c r="Q1151" s="358">
        <f>COUNTIF(Compil[[Ma Désignation ]],Compil[[Ma Désignation ]])</f>
        <v>1</v>
      </c>
    </row>
    <row r="1152" spans="1:17" ht="14">
      <c r="A1152" s="362">
        <v>362</v>
      </c>
      <c r="B1152" s="451"/>
      <c r="C1152" s="424" t="s">
        <v>311</v>
      </c>
      <c r="D1152" s="357" t="str">
        <f xml:space="preserve"> TRIM( SUBSTITUTE(SUBSTITUTE(SUBSTITUTE( Compil[[#This Row],[DESIGNATION]],"-",""),"–",""),"*",""))</f>
        <v>Transformateurs de courant (TI)</v>
      </c>
      <c r="E1152" s="457" t="s">
        <v>13</v>
      </c>
      <c r="F1152" s="386">
        <v>105</v>
      </c>
      <c r="G1152" s="389">
        <v>0</v>
      </c>
      <c r="H1152" s="302">
        <v>0</v>
      </c>
      <c r="I1152" t="s">
        <v>570</v>
      </c>
      <c r="J1152" t="b">
        <f>AND(NOT(Compil[[#This Row],[Est ouvrage]]), NOT(ISBLANK(Compil[[#This Row],[ART.
CCTP]])))</f>
        <v>0</v>
      </c>
      <c r="K1152" t="b">
        <f>OR(Compil[[#This Row],[Unité]]="U",Compil[[#This Row],[Unité]]="ens",Compil[[#This Row],[Unité]]="ml")</f>
        <v>1</v>
      </c>
      <c r="L1152" t="b">
        <f>ISBLANK(Compil[[#This Row],[DESIGNATION]])</f>
        <v>0</v>
      </c>
      <c r="M1152" s="359"/>
      <c r="N1152" s="358"/>
      <c r="O1152" s="358"/>
      <c r="P1152" s="358"/>
      <c r="Q1152" s="358">
        <f>COUNTIF(Compil[[Ma Désignation ]],Compil[[Ma Désignation ]])</f>
        <v>1</v>
      </c>
    </row>
    <row r="1153" spans="1:17" ht="14">
      <c r="A1153" s="305">
        <v>78</v>
      </c>
      <c r="B1153" s="62"/>
      <c r="C1153" s="462" t="s">
        <v>149</v>
      </c>
      <c r="D1153" t="str">
        <f xml:space="preserve"> TRIM( SUBSTITUTE(SUBSTITUTE(SUBSTITUTE( Compil[[#This Row],[DESIGNATION]],"-",""),"–",""),"*",""))</f>
        <v>tube IRL DN 20 en gaine technique</v>
      </c>
      <c r="E1153" s="461" t="s">
        <v>12</v>
      </c>
      <c r="F1153" s="251">
        <f>+(8+11)*3</f>
        <v>57</v>
      </c>
      <c r="G1153" s="389" t="e">
        <f>IF(F1153="","",(((L1153*$M$6)+(M1153*#REF!*#REF!))*$M$7)/F1153)</f>
        <v>#VALUE!</v>
      </c>
      <c r="H1153" s="302" t="e">
        <f>IF(F1153="","",F1153*G1153)</f>
        <v>#VALUE!</v>
      </c>
      <c r="I1153" t="s">
        <v>580</v>
      </c>
      <c r="J1153" t="b">
        <f>AND(NOT(Compil[[#This Row],[Est ouvrage]]), NOT(ISBLANK(Compil[[#This Row],[ART.
CCTP]])))</f>
        <v>0</v>
      </c>
      <c r="K1153" t="b">
        <f>OR(Compil[[#This Row],[Unité]]="U",Compil[[#This Row],[Unité]]="ens",Compil[[#This Row],[Unité]]="ml")</f>
        <v>1</v>
      </c>
      <c r="L1153" t="b">
        <f>ISBLANK(Compil[[#This Row],[DESIGNATION]])</f>
        <v>0</v>
      </c>
      <c r="M1153" s="359"/>
      <c r="N1153" s="358"/>
      <c r="O1153" s="358"/>
      <c r="P1153" s="358"/>
      <c r="Q1153" s="358">
        <f>COUNTIF(Compil[[Ma Désignation ]],Compil[[Ma Désignation ]])</f>
        <v>2</v>
      </c>
    </row>
    <row r="1154" spans="1:17" ht="14">
      <c r="A1154" s="361">
        <v>768</v>
      </c>
      <c r="B1154" s="107"/>
      <c r="C1154" s="376" t="s">
        <v>149</v>
      </c>
      <c r="D1154" t="str">
        <f xml:space="preserve"> TRIM( SUBSTITUTE(SUBSTITUTE(SUBSTITUTE( Compil[[#This Row],[DESIGNATION]],"-",""),"–",""),"*",""))</f>
        <v>tube IRL DN 20 en gaine technique</v>
      </c>
      <c r="E1154" s="382" t="s">
        <v>12</v>
      </c>
      <c r="F1154" s="386">
        <v>18</v>
      </c>
      <c r="G1154" s="389">
        <v>0</v>
      </c>
      <c r="H1154" s="302">
        <v>0</v>
      </c>
      <c r="I1154" t="s">
        <v>578</v>
      </c>
      <c r="J1154" t="b">
        <f>AND(NOT(Compil[[#This Row],[Est ouvrage]]), NOT(ISBLANK(Compil[[#This Row],[ART.
CCTP]])))</f>
        <v>0</v>
      </c>
      <c r="K1154" t="b">
        <f>OR(Compil[[#This Row],[Unité]]="U",Compil[[#This Row],[Unité]]="ens",Compil[[#This Row],[Unité]]="ml")</f>
        <v>1</v>
      </c>
      <c r="L1154" t="b">
        <f>ISBLANK(Compil[[#This Row],[DESIGNATION]])</f>
        <v>0</v>
      </c>
      <c r="M1154" s="359"/>
      <c r="N1154" s="358"/>
      <c r="O1154" s="358"/>
      <c r="P1154" s="358"/>
      <c r="Q1154" s="358">
        <f>COUNTIF(Compil[[Ma Désignation ]],Compil[[Ma Désignation ]])</f>
        <v>2</v>
      </c>
    </row>
    <row r="1155" spans="1:17" ht="14">
      <c r="A1155" s="305">
        <v>197</v>
      </c>
      <c r="B1155" s="62"/>
      <c r="C1155" s="392" t="s">
        <v>313</v>
      </c>
      <c r="D1155" t="str">
        <f xml:space="preserve"> TRIM( SUBSTITUTE(SUBSTITUTE(SUBSTITUTE( Compil[[#This Row],[DESIGNATION]],"-",""),"–",""),"*",""))</f>
        <v>tube métalique IK10</v>
      </c>
      <c r="E1155" s="243" t="s">
        <v>1</v>
      </c>
      <c r="F1155" s="251">
        <f>(F1150)*3</f>
        <v>3</v>
      </c>
      <c r="G1155" s="389" t="e">
        <f>IF(F1155="","",(((L1155*$M$6)+(M1155*#REF!*#REF!))*$M$7)/F1155)</f>
        <v>#VALUE!</v>
      </c>
      <c r="H1155" s="302" t="e">
        <f>IF(F1155="","",F1155*G1155)</f>
        <v>#VALUE!</v>
      </c>
      <c r="I1155" t="s">
        <v>580</v>
      </c>
      <c r="J1155" t="b">
        <f>AND(NOT(Compil[[#This Row],[Est ouvrage]]), NOT(ISBLANK(Compil[[#This Row],[ART.
CCTP]])))</f>
        <v>0</v>
      </c>
      <c r="K1155" t="b">
        <f>OR(Compil[[#This Row],[Unité]]="U",Compil[[#This Row],[Unité]]="ens",Compil[[#This Row],[Unité]]="ml")</f>
        <v>1</v>
      </c>
      <c r="L1155" t="b">
        <f>ISBLANK(Compil[[#This Row],[DESIGNATION]])</f>
        <v>0</v>
      </c>
      <c r="M1155" s="359"/>
      <c r="N1155" s="358"/>
      <c r="O1155" s="358"/>
      <c r="P1155" s="358"/>
      <c r="Q1155" s="358">
        <f>COUNTIF(Compil[[Ma Désignation ]],Compil[[Ma Désignation ]])</f>
        <v>2</v>
      </c>
    </row>
    <row r="1156" spans="1:17" ht="14">
      <c r="A1156" s="361">
        <v>836</v>
      </c>
      <c r="B1156" s="107"/>
      <c r="C1156" s="373" t="s">
        <v>313</v>
      </c>
      <c r="D1156" t="str">
        <f xml:space="preserve"> TRIM( SUBSTITUTE(SUBSTITUTE(SUBSTITUTE( Compil[[#This Row],[DESIGNATION]],"-",""),"–",""),"*",""))</f>
        <v>tube métalique IK10</v>
      </c>
      <c r="E1156" s="379" t="s">
        <v>1</v>
      </c>
      <c r="F1156" s="386"/>
      <c r="G1156" s="389" t="s">
        <v>571</v>
      </c>
      <c r="H1156" s="302" t="s">
        <v>571</v>
      </c>
      <c r="I1156" t="s">
        <v>578</v>
      </c>
      <c r="J1156" t="b">
        <f>AND(NOT(Compil[[#This Row],[Est ouvrage]]), NOT(ISBLANK(Compil[[#This Row],[ART.
CCTP]])))</f>
        <v>0</v>
      </c>
      <c r="K1156" t="b">
        <f>OR(Compil[[#This Row],[Unité]]="U",Compil[[#This Row],[Unité]]="ens",Compil[[#This Row],[Unité]]="ml")</f>
        <v>1</v>
      </c>
      <c r="L1156" t="b">
        <f>ISBLANK(Compil[[#This Row],[DESIGNATION]])</f>
        <v>0</v>
      </c>
      <c r="M1156" s="359"/>
      <c r="N1156" s="358"/>
      <c r="O1156" s="358"/>
      <c r="P1156" s="358"/>
      <c r="Q1156" s="358">
        <f>COUNTIF(Compil[[Ma Désignation ]],Compil[[Ma Désignation ]])</f>
        <v>2</v>
      </c>
    </row>
    <row r="1157" spans="1:17">
      <c r="A1157">
        <v>1152</v>
      </c>
      <c r="C1157" s="426"/>
      <c r="D1157" t="str">
        <f xml:space="preserve"> TRIM( SUBSTITUTE(SUBSTITUTE(SUBSTITUTE( Compil[[#This Row],[DESIGNATION]],"-",""),"–",""),"*",""))</f>
        <v/>
      </c>
      <c r="E1157" s="313"/>
      <c r="F1157" s="275"/>
      <c r="G1157" s="315" t="s">
        <v>571</v>
      </c>
      <c r="H1157" s="316" t="s">
        <v>571</v>
      </c>
      <c r="I1157" t="s">
        <v>579</v>
      </c>
      <c r="J1157" t="b">
        <f>AND(NOT(Compil[[#This Row],[Est ouvrage]]), NOT(ISBLANK(Compil[[#This Row],[ART.
CCTP]])))</f>
        <v>0</v>
      </c>
      <c r="K1157" t="b">
        <f>OR(Compil[[#This Row],[Unité]]="U",Compil[[#This Row],[Unité]]="ens",Compil[[#This Row],[Unité]]="ml")</f>
        <v>0</v>
      </c>
      <c r="L1157" t="b">
        <f>ISBLANK(Compil[[#This Row],[DESIGNATION]])</f>
        <v>1</v>
      </c>
      <c r="M1157" s="358"/>
      <c r="N1157" s="358"/>
      <c r="O1157" s="358"/>
      <c r="P1157" s="358"/>
      <c r="Q1157" s="358">
        <f>COUNTIF(Compil[[Ma Désignation ]],Compil[[Ma Désignation ]])</f>
        <v>306</v>
      </c>
    </row>
    <row r="1158" spans="1:17">
      <c r="A1158" s="170">
        <v>1153</v>
      </c>
      <c r="B1158" s="170"/>
      <c r="C1158" s="437" t="s">
        <v>428</v>
      </c>
      <c r="D1158" t="str">
        <f xml:space="preserve"> TRIM( SUBSTITUTE(SUBSTITUTE(SUBSTITUTE( Compil[[#This Row],[DESIGNATION]],"-",""),"–",""),"*",""))</f>
        <v>Sous total 3.18</v>
      </c>
      <c r="E1158" s="435"/>
      <c r="F1158" s="447"/>
      <c r="G1158" s="435"/>
      <c r="H1158" s="435"/>
      <c r="I1158" t="s">
        <v>579</v>
      </c>
      <c r="J1158" t="b">
        <f>AND(NOT(Compil[[#This Row],[Est ouvrage]]), NOT(ISBLANK(Compil[[#This Row],[ART.
CCTP]])))</f>
        <v>0</v>
      </c>
      <c r="K1158" t="b">
        <f>OR(Compil[[#This Row],[Unité]]="U",Compil[[#This Row],[Unité]]="ens",Compil[[#This Row],[Unité]]="ml")</f>
        <v>0</v>
      </c>
      <c r="L1158" t="b">
        <f>ISBLANK(Compil[[#This Row],[DESIGNATION]])</f>
        <v>0</v>
      </c>
      <c r="M1158" s="359"/>
      <c r="N1158" s="358"/>
      <c r="O1158" s="358"/>
      <c r="P1158" s="358"/>
      <c r="Q1158" s="358">
        <f>COUNTIF(Compil[[Ma Désignation ]],Compil[[Ma Désignation ]])</f>
        <v>2</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854" zoomScaleNormal="100" workbookViewId="0">
      <selection activeCell="H27" sqref="H27"/>
    </sheetView>
  </sheetViews>
  <sheetFormatPr baseColWidth="10" defaultRowHeight="1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13</vt:i4>
      </vt:variant>
    </vt:vector>
  </HeadingPairs>
  <TitlesOfParts>
    <vt:vector size="24" baseType="lpstr">
      <vt:lpstr>PG</vt:lpstr>
      <vt:lpstr>Préambule</vt:lpstr>
      <vt:lpstr>BATIMENT G1,G2&amp;PKINGS-ELEC 1</vt:lpstr>
      <vt:lpstr>BATIMENT G1,G2&amp;PKINGS-ELEC 2</vt:lpstr>
      <vt:lpstr>BATIMENT SOHO-ELEC 1</vt:lpstr>
      <vt:lpstr>BATIMENT SOHO-ELEC 2</vt:lpstr>
      <vt:lpstr>Compil - bak</vt:lpstr>
      <vt:lpstr>Compil</vt:lpstr>
      <vt:lpstr>CCTP</vt:lpstr>
      <vt:lpstr>Devis</vt:lpstr>
      <vt:lpstr>QTE</vt:lpstr>
      <vt:lpstr>Bord1</vt:lpstr>
      <vt:lpstr>Bord2</vt:lpstr>
      <vt:lpstr>Bord3</vt:lpstr>
      <vt:lpstr>Bord4</vt:lpstr>
      <vt:lpstr>Compil!Criteres</vt:lpstr>
      <vt:lpstr>'BATIMENT G1,G2&amp;PKINGS-ELEC 1'!Impression_des_titres</vt:lpstr>
      <vt:lpstr>'BATIMENT G1,G2&amp;PKINGS-ELEC 2'!Impression_des_titres</vt:lpstr>
      <vt:lpstr>'BATIMENT SOHO-ELEC 1'!Impression_des_titres</vt:lpstr>
      <vt:lpstr>'BATIMENT SOHO-ELEC 2'!Impression_des_titres</vt:lpstr>
      <vt:lpstr>'BATIMENT G1,G2&amp;PKINGS-ELEC 1'!Zone_d_impression</vt:lpstr>
      <vt:lpstr>'BATIMENT G1,G2&amp;PKINGS-ELEC 2'!Zone_d_impression</vt:lpstr>
      <vt:lpstr>'BATIMENT SOHO-ELEC 1'!Zone_d_impression</vt:lpstr>
      <vt:lpstr>'BATIMENT SOHO-ELEC 2'!Zone_d_impression</vt:lpstr>
    </vt:vector>
  </TitlesOfParts>
  <Company>ARCHITECTURE STUDIO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ec-171</dc:creator>
  <cp:lastModifiedBy>Patrice Ongla - Perso</cp:lastModifiedBy>
  <cp:lastPrinted>2016-05-27T13:45:00Z</cp:lastPrinted>
  <dcterms:created xsi:type="dcterms:W3CDTF">2006-09-06T09:49:08Z</dcterms:created>
  <dcterms:modified xsi:type="dcterms:W3CDTF">2016-07-16T07:44:09Z</dcterms:modified>
</cp:coreProperties>
</file>