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ROJECTS\SolaceDocs\branches\Solace_Product_Docs\CI_DOC-4120\Content\Cloud\Deployment-Considerations\CIDR_calculator\"/>
    </mc:Choice>
  </mc:AlternateContent>
  <xr:revisionPtr revIDLastSave="0" documentId="13_ncr:1_{6DF7859F-08FC-44BF-84D0-C081C5827ED3}" xr6:coauthVersionLast="47" xr6:coauthVersionMax="47" xr10:uidLastSave="{00000000-0000-0000-0000-000000000000}"/>
  <bookViews>
    <workbookView xWindow="-3525" yWindow="-17985" windowWidth="23745" windowHeight="15315" xr2:uid="{FA9BB0D4-51AA-0440-A31F-7C1FD01292D1}"/>
  </bookViews>
  <sheets>
    <sheet name="Amazon EKS" sheetId="3" r:id="rId1"/>
    <sheet name="Azure (AKS) - Kubenet" sheetId="1" r:id="rId2"/>
    <sheet name="Azure (AKS) - CNI" sheetId="2" r:id="rId3"/>
    <sheet name="Calcula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4" l="1"/>
  <c r="C46" i="4"/>
  <c r="C47" i="4"/>
  <c r="C34" i="4"/>
  <c r="C42" i="4"/>
  <c r="C43" i="4"/>
  <c r="B48" i="4"/>
  <c r="C48" i="4" s="1"/>
  <c r="B49" i="4"/>
  <c r="C49" i="4" s="1"/>
  <c r="C29" i="4"/>
  <c r="C30" i="4"/>
  <c r="C31" i="4"/>
  <c r="C32" i="4"/>
  <c r="C35" i="4"/>
  <c r="B36" i="4"/>
  <c r="C36" i="4" s="1"/>
  <c r="B37" i="4"/>
  <c r="C37" i="4" s="1"/>
  <c r="B23" i="4"/>
  <c r="C18" i="4" s="1"/>
  <c r="B21" i="4"/>
  <c r="B20" i="4"/>
  <c r="B19" i="4"/>
  <c r="C15" i="4"/>
  <c r="C14" i="4"/>
  <c r="C12" i="4"/>
  <c r="C17" i="4" l="1"/>
  <c r="C21" i="4"/>
  <c r="C38" i="4"/>
  <c r="B17" i="1" s="1"/>
  <c r="C13" i="4"/>
  <c r="C16" i="4"/>
  <c r="C50" i="4"/>
  <c r="B17" i="2" s="1"/>
  <c r="B18" i="3"/>
  <c r="B19" i="3" s="1"/>
  <c r="B20" i="3" s="1"/>
  <c r="B21" i="3" l="1"/>
  <c r="E18" i="3"/>
  <c r="D18" i="3"/>
  <c r="D19" i="3" s="1"/>
  <c r="D20" i="3" s="1"/>
  <c r="C18" i="3"/>
  <c r="C19" i="3" s="1"/>
  <c r="C20" i="3" s="1"/>
  <c r="E19" i="3" l="1"/>
  <c r="E20" i="3" s="1"/>
  <c r="F18" i="3"/>
  <c r="F19" i="3" s="1"/>
  <c r="G18" i="3"/>
  <c r="G19" i="3" s="1"/>
  <c r="C21" i="3"/>
  <c r="D21" i="3"/>
  <c r="E21" i="3" l="1"/>
  <c r="E24" i="3"/>
  <c r="G20" i="3"/>
  <c r="F20" i="3"/>
  <c r="F21" i="3" l="1"/>
  <c r="F24" i="3"/>
  <c r="C24" i="3" s="1"/>
  <c r="G21" i="3"/>
  <c r="G24" i="3"/>
  <c r="D24" i="3" s="1"/>
  <c r="B25" i="3"/>
  <c r="B24" i="3"/>
</calcChain>
</file>

<file path=xl/sharedStrings.xml><?xml version="1.0" encoding="utf-8"?>
<sst xmlns="http://schemas.openxmlformats.org/spreadsheetml/2006/main" count="101" uniqueCount="51">
  <si>
    <t>Available IPs</t>
  </si>
  <si>
    <t>HA Services</t>
  </si>
  <si>
    <t>Bastion Hosts</t>
  </si>
  <si>
    <t>Count</t>
  </si>
  <si>
    <t>Private Endpoints</t>
  </si>
  <si>
    <t>Public Endpoints</t>
  </si>
  <si>
    <t>IPs</t>
  </si>
  <si>
    <t>System Worker Nodes</t>
  </si>
  <si>
    <t>Warm IP</t>
  </si>
  <si>
    <t>Warm ENI</t>
  </si>
  <si>
    <t>NAT Gateways</t>
  </si>
  <si>
    <t>Public 1</t>
  </si>
  <si>
    <t>Public 2</t>
  </si>
  <si>
    <t>Private 1</t>
  </si>
  <si>
    <t>Private 2</t>
  </si>
  <si>
    <t>Private 3</t>
  </si>
  <si>
    <t>EKS Endpoints</t>
  </si>
  <si>
    <t>AKS Endpoint</t>
  </si>
  <si>
    <t>Distributed Tracing</t>
  </si>
  <si>
    <t>Yes</t>
  </si>
  <si>
    <t>No</t>
  </si>
  <si>
    <t>Minimum CIDR</t>
  </si>
  <si>
    <t>VPC CIDR</t>
  </si>
  <si>
    <t>Subnet CIDRs</t>
  </si>
  <si>
    <t>Cluster Upgrade Overhead</t>
  </si>
  <si>
    <t>VNET CIDR</t>
  </si>
  <si>
    <t>Results</t>
  </si>
  <si>
    <t>Subnets</t>
  </si>
  <si>
    <t>Input</t>
  </si>
  <si>
    <t>System Max Pods per Node</t>
  </si>
  <si>
    <t>Non-system Max Pods per Node</t>
  </si>
  <si>
    <t>Pods on System Worker Nodes</t>
  </si>
  <si>
    <t>Pods on Non-system Worker Nodes</t>
  </si>
  <si>
    <t>Used IPs</t>
  </si>
  <si>
    <t>Used IPs + NLB Overhead</t>
  </si>
  <si>
    <t>Total Warm IPs</t>
  </si>
  <si>
    <t>EKS Calculations (DO NOT EDIT)</t>
  </si>
  <si>
    <t>AKS Kubenet Calculations (DO NOT EDIT)</t>
  </si>
  <si>
    <t>AKS CNI Calculations (DO NOT EDIT)</t>
  </si>
  <si>
    <t>Total</t>
  </si>
  <si>
    <t>Public 3</t>
  </si>
  <si>
    <t>Enter numbers for the calculation into the blue fields of the Input table. 
Your VNET CIDR requirement will show in the Results table at the bottom.</t>
  </si>
  <si>
    <t>Amazon Elastic Kubernetes Service (EKS)  CIDR Calculator</t>
  </si>
  <si>
    <t>Azure Kubernetes Service (AKS) CIDR Calculator for Kubenet</t>
  </si>
  <si>
    <t>Azure Kubernetes Service (AKS) CIDR Calculator for CNI</t>
  </si>
  <si>
    <r>
      <rPr>
        <b/>
        <sz val="11"/>
        <color theme="1"/>
        <rFont val="Arial"/>
        <family val="2"/>
      </rPr>
      <t>Warning:</t>
    </r>
    <r>
      <rPr>
        <sz val="11"/>
        <color theme="1"/>
        <rFont val="Arial"/>
        <family val="2"/>
      </rPr>
      <t xml:space="preserve"> The calculations on this tab contain the math for the equations on the other tabs. Do </t>
    </r>
    <r>
      <rPr>
        <b/>
        <sz val="11"/>
        <color theme="1"/>
        <rFont val="Arial"/>
        <family val="2"/>
      </rPr>
      <t>not</t>
    </r>
    <r>
      <rPr>
        <sz val="11"/>
        <color theme="1"/>
        <rFont val="Arial"/>
        <family val="2"/>
      </rPr>
      <t xml:space="preserve"> alter these equations. Doing so will cause incorrect answers on the other calculator tabs. </t>
    </r>
  </si>
  <si>
    <t>These calculators help you calculate the IP range and CIDR requirements for deploying event broker services to your Kubernetes clusters on Amazon Elastic Kubernetes Service or Azure Kubernetes Service (Kubenet or CNI). Select the appropriate tab to access the calculator for your needs. 
The Calculations tab contains the math for these equations. Do not alter the equations on the calculator tab. Doing so will cause incorrect answers on the other tabs.</t>
  </si>
  <si>
    <r>
      <t xml:space="preserve">Enter numbers for the calculation into the blue fields of the Input table. You can enter values into the blue </t>
    </r>
    <r>
      <rPr>
        <b/>
        <sz val="11"/>
        <color theme="1"/>
        <rFont val="Arial"/>
        <family val="2"/>
      </rPr>
      <t>Warm IP</t>
    </r>
    <r>
      <rPr>
        <sz val="11"/>
        <color theme="1"/>
        <rFont val="Arial"/>
        <family val="2"/>
      </rPr>
      <t xml:space="preserve"> and </t>
    </r>
    <r>
      <rPr>
        <b/>
        <sz val="11"/>
        <color theme="1"/>
        <rFont val="Arial"/>
        <family val="2"/>
      </rPr>
      <t>Warm ENI</t>
    </r>
    <r>
      <rPr>
        <sz val="11"/>
        <color theme="1"/>
        <rFont val="Arial"/>
        <family val="2"/>
      </rPr>
      <t xml:space="preserve"> fields as required. A minimum value or 1 is required for the </t>
    </r>
    <r>
      <rPr>
        <b/>
        <sz val="11"/>
        <color theme="1"/>
        <rFont val="Arial"/>
        <family val="2"/>
      </rPr>
      <t>Warm IP</t>
    </r>
    <r>
      <rPr>
        <sz val="11"/>
        <color theme="1"/>
        <rFont val="Arial"/>
        <family val="2"/>
      </rPr>
      <t xml:space="preserve"> field. 
The values in the Subnets table change to reflect the number of IPs being used based on your inputs in the Input table. 
Your Subnet and VPC CIDR requirement will show in the Results table at the bottom.</t>
    </r>
  </si>
  <si>
    <r>
      <t xml:space="preserve">Enter numbers for the calculation into the blue fields of the Input table. You can enter values into the blue </t>
    </r>
    <r>
      <rPr>
        <b/>
        <sz val="11"/>
        <color theme="1"/>
        <rFont val="Arial"/>
        <family val="2"/>
      </rPr>
      <t>System Max Pods per Node</t>
    </r>
    <r>
      <rPr>
        <sz val="11"/>
        <color theme="1"/>
        <rFont val="Arial"/>
        <family val="2"/>
      </rPr>
      <t xml:space="preserve"> and </t>
    </r>
    <r>
      <rPr>
        <b/>
        <sz val="11"/>
        <color theme="1"/>
        <rFont val="Arial"/>
        <family val="2"/>
      </rPr>
      <t>Non-system Max Pods per Node</t>
    </r>
    <r>
      <rPr>
        <sz val="11"/>
        <color theme="1"/>
        <rFont val="Arial"/>
        <family val="2"/>
      </rPr>
      <t xml:space="preserve"> fields as required. A minimum value of 10 is required for the </t>
    </r>
    <r>
      <rPr>
        <b/>
        <sz val="11"/>
        <color theme="1"/>
        <rFont val="Arial"/>
        <family val="2"/>
      </rPr>
      <t>System Max Pods per Node</t>
    </r>
    <r>
      <rPr>
        <sz val="11"/>
        <color theme="1"/>
        <rFont val="Arial"/>
        <family val="2"/>
      </rPr>
      <t xml:space="preserve"> field.
Your VNET CIDR requirement will show in the Results table at the bottom.</t>
    </r>
  </si>
  <si>
    <t>CIDR calculator version 1.1 — updated March 24, 2023</t>
  </si>
  <si>
    <t>Standard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</si>
</sst>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1"/>
      <color theme="0"/>
      <name val="Calibri"/>
      <family val="2"/>
      <scheme val="minor"/>
    </font>
    <font>
      <sz val="11"/>
      <color theme="1"/>
      <name val="Arial"/>
      <family val="2"/>
    </font>
    <font>
      <b/>
      <sz val="11"/>
      <color theme="0"/>
      <name val="Arial"/>
      <family val="2"/>
    </font>
    <font>
      <b/>
      <sz val="11"/>
      <color theme="1"/>
      <name val="Arial"/>
      <family val="2"/>
    </font>
    <font>
      <sz val="16"/>
      <color theme="1"/>
      <name val="Arial"/>
      <family val="2"/>
    </font>
    <font>
      <sz val="11"/>
      <color theme="0"/>
      <name val="Arial"/>
      <family val="2"/>
    </font>
  </fonts>
  <fills count="9">
    <fill>
      <patternFill patternType="none"/>
    </fill>
    <fill>
      <patternFill patternType="gray125"/>
    </fill>
    <fill>
      <patternFill patternType="solid">
        <fgColor theme="4"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1"/>
        <bgColor indexed="64"/>
      </patternFill>
    </fill>
    <fill>
      <patternFill patternType="solid">
        <fgColor rgb="FFF5FAFF"/>
        <bgColor indexed="64"/>
      </patternFill>
    </fill>
    <fill>
      <patternFill patternType="solid">
        <fgColor rgb="FFF1FDF6"/>
        <bgColor indexed="64"/>
      </patternFill>
    </fill>
    <fill>
      <patternFill patternType="solid">
        <fgColor rgb="FFFFEBEB"/>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theme="0"/>
      </top>
      <bottom/>
      <diagonal/>
    </border>
    <border>
      <left style="thin">
        <color theme="0"/>
      </left>
      <right/>
      <top/>
      <bottom style="thin">
        <color theme="0"/>
      </bottom>
      <diagonal/>
    </border>
    <border>
      <left style="thin">
        <color theme="0"/>
      </left>
      <right/>
      <top style="thin">
        <color theme="0"/>
      </top>
      <bottom/>
      <diagonal/>
    </border>
    <border>
      <left style="thick">
        <color rgb="FFC33135"/>
      </left>
      <right/>
      <top style="thick">
        <color rgb="FFC33135"/>
      </top>
      <bottom style="thick">
        <color rgb="FFC33135"/>
      </bottom>
      <diagonal/>
    </border>
    <border>
      <left/>
      <right/>
      <top style="thick">
        <color rgb="FFC33135"/>
      </top>
      <bottom style="thick">
        <color rgb="FFC33135"/>
      </bottom>
      <diagonal/>
    </border>
    <border>
      <left/>
      <right style="thick">
        <color rgb="FFC33135"/>
      </right>
      <top style="thick">
        <color rgb="FFC33135"/>
      </top>
      <bottom style="thick">
        <color rgb="FFC33135"/>
      </bottom>
      <diagonal/>
    </border>
    <border>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top style="thin">
        <color theme="0"/>
      </top>
      <bottom style="thin">
        <color auto="1"/>
      </bottom>
      <diagonal/>
    </border>
    <border>
      <left/>
      <right/>
      <top/>
      <bottom style="thin">
        <color theme="0"/>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46">
    <xf numFmtId="0" fontId="0" fillId="0" borderId="0" xfId="0"/>
    <xf numFmtId="0" fontId="1" fillId="0" borderId="0" xfId="0" applyFont="1"/>
    <xf numFmtId="0" fontId="0" fillId="0" borderId="0" xfId="0" applyAlignment="1">
      <alignment horizontal="right"/>
    </xf>
    <xf numFmtId="0" fontId="3" fillId="0" borderId="0" xfId="0" applyFont="1"/>
    <xf numFmtId="0" fontId="8" fillId="0" borderId="0" xfId="0" applyFont="1"/>
    <xf numFmtId="0" fontId="5" fillId="0" borderId="1" xfId="2" applyFont="1" applyFill="1" applyBorder="1" applyAlignment="1">
      <alignment horizontal="left" vertical="center" indent="1"/>
    </xf>
    <xf numFmtId="0" fontId="5" fillId="0" borderId="1" xfId="0" applyFont="1" applyBorder="1" applyAlignment="1">
      <alignment horizontal="left" vertical="center" indent="1"/>
    </xf>
    <xf numFmtId="0" fontId="5" fillId="0" borderId="1" xfId="0" applyFont="1" applyBorder="1" applyAlignment="1">
      <alignment horizontal="right" vertical="center" indent="1"/>
    </xf>
    <xf numFmtId="0" fontId="5" fillId="0" borderId="1" xfId="3" applyFont="1" applyFill="1" applyBorder="1" applyAlignment="1">
      <alignment horizontal="left" indent="1"/>
    </xf>
    <xf numFmtId="0" fontId="5" fillId="0" borderId="1" xfId="3" applyFont="1" applyFill="1" applyBorder="1" applyAlignment="1">
      <alignment horizontal="right" vertical="center" indent="1"/>
    </xf>
    <xf numFmtId="0" fontId="5" fillId="0" borderId="1" xfId="1" applyFont="1" applyFill="1" applyBorder="1" applyAlignment="1">
      <alignment horizontal="left" vertical="center" indent="1"/>
    </xf>
    <xf numFmtId="0" fontId="5" fillId="0" borderId="1" xfId="3" applyFont="1" applyFill="1" applyBorder="1" applyAlignment="1">
      <alignment horizontal="left" vertical="center" indent="1"/>
    </xf>
    <xf numFmtId="0" fontId="8" fillId="0" borderId="0" xfId="0" applyFont="1" applyAlignment="1">
      <alignment horizontal="left" vertical="center"/>
    </xf>
    <xf numFmtId="0" fontId="5" fillId="0" borderId="0" xfId="0" applyFont="1"/>
    <xf numFmtId="0" fontId="5" fillId="0" borderId="1" xfId="0" applyFont="1" applyBorder="1"/>
    <xf numFmtId="0" fontId="6" fillId="5" borderId="1" xfId="2" applyFont="1" applyFill="1" applyBorder="1" applyAlignment="1">
      <alignment horizontal="left" vertical="center" indent="1"/>
    </xf>
    <xf numFmtId="0" fontId="6" fillId="5" borderId="1" xfId="2" applyFont="1" applyFill="1" applyBorder="1"/>
    <xf numFmtId="0" fontId="6" fillId="5" borderId="0" xfId="0" applyFont="1" applyFill="1"/>
    <xf numFmtId="0" fontId="0" fillId="5" borderId="3" xfId="0" applyFill="1" applyBorder="1"/>
    <xf numFmtId="0" fontId="0" fillId="5" borderId="0" xfId="0" applyFill="1"/>
    <xf numFmtId="0" fontId="6" fillId="5" borderId="2" xfId="0" applyFont="1" applyFill="1" applyBorder="1"/>
    <xf numFmtId="0" fontId="6" fillId="5" borderId="4" xfId="0" applyFont="1" applyFill="1" applyBorder="1"/>
    <xf numFmtId="0" fontId="4" fillId="5" borderId="1" xfId="3" applyFont="1" applyFill="1" applyBorder="1"/>
    <xf numFmtId="0" fontId="6" fillId="5" borderId="1" xfId="1" applyFont="1" applyFill="1" applyBorder="1" applyAlignment="1">
      <alignment horizontal="left" vertical="center" indent="1"/>
    </xf>
    <xf numFmtId="0" fontId="6" fillId="5" borderId="1" xfId="1" applyFont="1" applyFill="1" applyBorder="1"/>
    <xf numFmtId="0" fontId="6" fillId="5" borderId="1" xfId="3" applyFont="1" applyFill="1" applyBorder="1" applyAlignment="1">
      <alignment horizontal="left" vertical="center" indent="1"/>
    </xf>
    <xf numFmtId="0" fontId="2" fillId="5" borderId="1" xfId="3" applyFill="1" applyBorder="1"/>
    <xf numFmtId="0" fontId="7" fillId="5" borderId="1" xfId="1" applyFont="1" applyFill="1" applyBorder="1" applyAlignment="1">
      <alignment horizontal="left" vertical="center" indent="1"/>
    </xf>
    <xf numFmtId="0" fontId="9" fillId="5" borderId="8" xfId="0" applyFont="1" applyFill="1" applyBorder="1"/>
    <xf numFmtId="0" fontId="6" fillId="5" borderId="9" xfId="0" applyFont="1" applyFill="1" applyBorder="1"/>
    <xf numFmtId="0" fontId="6" fillId="5" borderId="10" xfId="0" applyFont="1" applyFill="1" applyBorder="1"/>
    <xf numFmtId="0" fontId="6" fillId="5" borderId="8" xfId="0" applyFont="1" applyFill="1" applyBorder="1"/>
    <xf numFmtId="0" fontId="5" fillId="6" borderId="1" xfId="2" applyFont="1" applyFill="1" applyBorder="1" applyAlignment="1">
      <alignment horizontal="left" vertical="center" indent="1"/>
    </xf>
    <xf numFmtId="0" fontId="5" fillId="6" borderId="1" xfId="0" applyFont="1" applyFill="1" applyBorder="1" applyAlignment="1">
      <alignment horizontal="left" vertical="center" indent="1"/>
    </xf>
    <xf numFmtId="0" fontId="5" fillId="6" borderId="1" xfId="1" applyFont="1" applyFill="1" applyBorder="1" applyAlignment="1">
      <alignment horizontal="left" vertical="center" indent="1"/>
    </xf>
    <xf numFmtId="0" fontId="5" fillId="6" borderId="1" xfId="1" applyFont="1" applyFill="1" applyBorder="1" applyAlignment="1">
      <alignment horizontal="right" vertical="center" indent="1"/>
    </xf>
    <xf numFmtId="0" fontId="5" fillId="6" borderId="1" xfId="0" applyFont="1" applyFill="1" applyBorder="1" applyAlignment="1">
      <alignment horizontal="right" vertical="center" indent="1"/>
    </xf>
    <xf numFmtId="0" fontId="5" fillId="7" borderId="1" xfId="3" applyFont="1" applyFill="1" applyBorder="1" applyAlignment="1">
      <alignment horizontal="right" vertical="center" indent="1"/>
    </xf>
    <xf numFmtId="0" fontId="5" fillId="0" borderId="0" xfId="0" applyFont="1" applyAlignment="1">
      <alignment horizontal="left" vertical="top" wrapText="1" indent="1"/>
    </xf>
    <xf numFmtId="0" fontId="0" fillId="0" borderId="0" xfId="0" applyAlignment="1">
      <alignment horizontal="left" vertical="top" indent="1"/>
    </xf>
    <xf numFmtId="0" fontId="5" fillId="8" borderId="5" xfId="0" applyFont="1" applyFill="1" applyBorder="1" applyAlignment="1">
      <alignment horizontal="left" vertical="top" wrapText="1" indent="1"/>
    </xf>
    <xf numFmtId="0" fontId="5" fillId="8" borderId="6" xfId="0" applyFont="1" applyFill="1" applyBorder="1" applyAlignment="1">
      <alignment horizontal="left" vertical="top" wrapText="1" indent="1"/>
    </xf>
    <xf numFmtId="0" fontId="5" fillId="8" borderId="7" xfId="0" applyFont="1" applyFill="1" applyBorder="1" applyAlignment="1">
      <alignment horizontal="left" vertical="top" wrapText="1" indent="1"/>
    </xf>
    <xf numFmtId="0" fontId="6" fillId="5" borderId="11" xfId="0" applyFont="1" applyFill="1" applyBorder="1"/>
    <xf numFmtId="0" fontId="0" fillId="5" borderId="11" xfId="0" applyFill="1" applyBorder="1"/>
    <xf numFmtId="0" fontId="5" fillId="0" borderId="0" xfId="0" applyFont="1" applyAlignment="1">
      <alignment horizontal="left" vertical="center" indent="1"/>
    </xf>
  </cellXfs>
  <cellStyles count="4">
    <cellStyle name="20% - Accent1" xfId="1" builtinId="30"/>
    <cellStyle name="20% - Accent5" xfId="2" builtinId="46"/>
    <cellStyle name="20% - Accent6" xfId="3" builtinId="50"/>
    <cellStyle name="Normal" xfId="0" builtinId="0"/>
  </cellStyles>
  <dxfs count="0"/>
  <tableStyles count="0" defaultTableStyle="TableStyleMedium2" defaultPivotStyle="PivotStyleLight16"/>
  <colors>
    <mruColors>
      <color rgb="FFF5FAFF"/>
      <color rgb="FFFFEBEB"/>
      <color rgb="FFF1FDF6"/>
      <color rgb="FFB3EFDF"/>
      <color rgb="FF03223B"/>
      <color rgb="FFC33135"/>
      <color rgb="FFFBDBDC"/>
      <color rgb="FFCDE9F6"/>
      <color rgb="FFE6FA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800489</xdr:colOff>
      <xdr:row>1</xdr:row>
      <xdr:rowOff>4500</xdr:rowOff>
    </xdr:to>
    <xdr:pic>
      <xdr:nvPicPr>
        <xdr:cNvPr id="4" name="Picture 3">
          <a:extLst>
            <a:ext uri="{FF2B5EF4-FFF2-40B4-BE49-F238E27FC236}">
              <a16:creationId xmlns:a16="http://schemas.microsoft.com/office/drawing/2014/main" id="{4B8B202D-A06B-47A1-9F92-FB48AB6AE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0"/>
          <a:ext cx="8572889" cy="57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276614</xdr:colOff>
      <xdr:row>0</xdr:row>
      <xdr:rowOff>576000</xdr:rowOff>
    </xdr:to>
    <xdr:pic>
      <xdr:nvPicPr>
        <xdr:cNvPr id="3" name="Picture 2">
          <a:extLst>
            <a:ext uri="{FF2B5EF4-FFF2-40B4-BE49-F238E27FC236}">
              <a16:creationId xmlns:a16="http://schemas.microsoft.com/office/drawing/2014/main" id="{0345C770-3402-478E-9F7B-F32BCA8F1E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0"/>
          <a:ext cx="8572889" cy="57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38489</xdr:colOff>
      <xdr:row>0</xdr:row>
      <xdr:rowOff>576000</xdr:rowOff>
    </xdr:to>
    <xdr:pic>
      <xdr:nvPicPr>
        <xdr:cNvPr id="2" name="Picture 1">
          <a:extLst>
            <a:ext uri="{FF2B5EF4-FFF2-40B4-BE49-F238E27FC236}">
              <a16:creationId xmlns:a16="http://schemas.microsoft.com/office/drawing/2014/main" id="{8AE78A67-2085-44B0-839B-7A98D4F6F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0"/>
          <a:ext cx="8572889" cy="57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800489</xdr:colOff>
      <xdr:row>1</xdr:row>
      <xdr:rowOff>4500</xdr:rowOff>
    </xdr:to>
    <xdr:pic>
      <xdr:nvPicPr>
        <xdr:cNvPr id="3" name="Picture 2">
          <a:extLst>
            <a:ext uri="{FF2B5EF4-FFF2-40B4-BE49-F238E27FC236}">
              <a16:creationId xmlns:a16="http://schemas.microsoft.com/office/drawing/2014/main" id="{C7AA83D7-21A4-4254-85AA-16D3D5205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0"/>
          <a:ext cx="8572889" cy="57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57FF-DCC1-1745-8F57-9EBF80F573B5}">
  <dimension ref="A1:L50"/>
  <sheetViews>
    <sheetView tabSelected="1" zoomScaleNormal="100" workbookViewId="0">
      <selection activeCell="A2" sqref="A2"/>
    </sheetView>
  </sheetViews>
  <sheetFormatPr defaultColWidth="11" defaultRowHeight="15.75" x14ac:dyDescent="0.25"/>
  <cols>
    <col min="1" max="1" width="23.625" customWidth="1"/>
    <col min="2" max="7" width="10.875" customWidth="1"/>
    <col min="8" max="8" width="13.125" customWidth="1"/>
  </cols>
  <sheetData>
    <row r="1" spans="1:8" ht="45" customHeight="1" x14ac:dyDescent="0.25"/>
    <row r="3" spans="1:8" ht="87.75" customHeight="1" x14ac:dyDescent="0.25">
      <c r="A3" s="38" t="s">
        <v>46</v>
      </c>
      <c r="B3" s="38"/>
      <c r="C3" s="38"/>
      <c r="D3" s="38"/>
      <c r="E3" s="38"/>
      <c r="F3" s="38"/>
      <c r="G3" s="38"/>
      <c r="H3" s="38"/>
    </row>
    <row r="4" spans="1:8" ht="15" customHeight="1" x14ac:dyDescent="0.25"/>
    <row r="5" spans="1:8" ht="20.25" x14ac:dyDescent="0.3">
      <c r="A5" s="4" t="s">
        <v>42</v>
      </c>
    </row>
    <row r="6" spans="1:8" ht="15.75" customHeight="1" x14ac:dyDescent="0.3">
      <c r="A6" s="4"/>
    </row>
    <row r="7" spans="1:8" ht="93.75" customHeight="1" x14ac:dyDescent="0.25">
      <c r="A7" s="38" t="s">
        <v>47</v>
      </c>
      <c r="B7" s="39"/>
      <c r="C7" s="39"/>
      <c r="D7" s="39"/>
      <c r="E7" s="39"/>
      <c r="F7" s="39"/>
      <c r="G7" s="39"/>
      <c r="H7" s="39"/>
    </row>
    <row r="9" spans="1:8" x14ac:dyDescent="0.25">
      <c r="A9" s="15" t="s">
        <v>28</v>
      </c>
      <c r="B9" s="16"/>
      <c r="D9" s="6" t="s">
        <v>8</v>
      </c>
      <c r="E9" s="33">
        <v>1</v>
      </c>
    </row>
    <row r="10" spans="1:8" x14ac:dyDescent="0.25">
      <c r="A10" s="5" t="s">
        <v>50</v>
      </c>
      <c r="B10" s="32">
        <v>10</v>
      </c>
      <c r="D10" s="6" t="s">
        <v>9</v>
      </c>
      <c r="E10" s="33">
        <v>0</v>
      </c>
    </row>
    <row r="11" spans="1:8" x14ac:dyDescent="0.25">
      <c r="A11" s="5" t="s">
        <v>1</v>
      </c>
      <c r="B11" s="32">
        <v>10</v>
      </c>
    </row>
    <row r="12" spans="1:8" x14ac:dyDescent="0.25">
      <c r="A12" s="5" t="s">
        <v>4</v>
      </c>
      <c r="B12" s="32" t="s">
        <v>19</v>
      </c>
    </row>
    <row r="13" spans="1:8" x14ac:dyDescent="0.25">
      <c r="A13" s="5" t="s">
        <v>5</v>
      </c>
      <c r="B13" s="32" t="s">
        <v>19</v>
      </c>
    </row>
    <row r="14" spans="1:8" x14ac:dyDescent="0.25">
      <c r="A14" s="5" t="s">
        <v>18</v>
      </c>
      <c r="B14" s="32" t="s">
        <v>19</v>
      </c>
    </row>
    <row r="16" spans="1:8" x14ac:dyDescent="0.25">
      <c r="A16" s="17" t="s">
        <v>27</v>
      </c>
      <c r="B16" s="18"/>
      <c r="C16" s="19"/>
      <c r="D16" s="19"/>
      <c r="E16" s="19"/>
      <c r="F16" s="19"/>
      <c r="G16" s="19"/>
    </row>
    <row r="17" spans="1:7" x14ac:dyDescent="0.25">
      <c r="A17" s="20"/>
      <c r="B17" s="21" t="s">
        <v>11</v>
      </c>
      <c r="C17" s="20" t="s">
        <v>12</v>
      </c>
      <c r="D17" s="20" t="s">
        <v>40</v>
      </c>
      <c r="E17" s="20" t="s">
        <v>13</v>
      </c>
      <c r="F17" s="20" t="s">
        <v>14</v>
      </c>
      <c r="G17" s="20" t="s">
        <v>15</v>
      </c>
    </row>
    <row r="18" spans="1:7" x14ac:dyDescent="0.25">
      <c r="A18" s="6" t="s">
        <v>33</v>
      </c>
      <c r="B18" s="7">
        <f xml:space="preserve"> ROUNDUP(Calculations!C12 / 3, 0) + ROUNDUP(Calculations!C14 / 3, 0) + Calculations!B20</f>
        <v>22</v>
      </c>
      <c r="C18" s="7">
        <f>B18</f>
        <v>22</v>
      </c>
      <c r="D18" s="7">
        <f>B18</f>
        <v>22</v>
      </c>
      <c r="E18" s="7">
        <f xml:space="preserve"> ROUNDUP(Calculations!C17 / 3, 0) + Calculations!C18 / 3 + Calculations!B19 + ROUNDUP(Calculations!C15 / 3, 0) + ROUNDUP(Calculations!C13 / 3, 0) + ROUNDUP(Calculations!C16 / 3, 0) + ROUNDUP(Calculations!C21 / 3, 0)</f>
        <v>114</v>
      </c>
      <c r="F18" s="7">
        <f>E18</f>
        <v>114</v>
      </c>
      <c r="G18" s="7">
        <f>E18</f>
        <v>114</v>
      </c>
    </row>
    <row r="19" spans="1:7" x14ac:dyDescent="0.25">
      <c r="A19" s="6" t="s">
        <v>34</v>
      </c>
      <c r="B19" s="7">
        <f>B18+IF($B$13="Yes",8,0)</f>
        <v>30</v>
      </c>
      <c r="C19" s="7">
        <f>C18+IF($B$13="Yes",8,0)</f>
        <v>30</v>
      </c>
      <c r="D19" s="7">
        <f>D18+IF($B$13="Yes",8,0)</f>
        <v>30</v>
      </c>
      <c r="E19" s="7">
        <f>E18 + IF($B$12 = "Yes", 8, 0)</f>
        <v>122</v>
      </c>
      <c r="F19" s="7">
        <f>F18 + IF($B$12 = "Yes", 8, 0)</f>
        <v>122</v>
      </c>
      <c r="G19" s="7">
        <f>G18 + IF($B$12 = "Yes", 8, 0)</f>
        <v>122</v>
      </c>
    </row>
    <row r="20" spans="1:7" x14ac:dyDescent="0.25">
      <c r="A20" s="6" t="s">
        <v>21</v>
      </c>
      <c r="B20" s="7">
        <f>IF(32 - ROUNDUP(LOG((B19 + 3),2),0) &gt; 29, 28, 32 - ROUNDUP(LOG((B19 + 3),2),0))</f>
        <v>26</v>
      </c>
      <c r="C20" s="7">
        <f t="shared" ref="C20:D20" si="0">IF(32 - ROUNDUP(LOG((C19 + 3),2),0) &gt; 29, 28, 32 - ROUNDUP(LOG((C19 + 3),2),0))</f>
        <v>26</v>
      </c>
      <c r="D20" s="7">
        <f t="shared" si="0"/>
        <v>26</v>
      </c>
      <c r="E20" s="7">
        <f t="shared" ref="E20:G20" si="1">32 - ROUNDUP(LOG((E19 + 3),2),0)</f>
        <v>25</v>
      </c>
      <c r="F20" s="7">
        <f t="shared" si="1"/>
        <v>25</v>
      </c>
      <c r="G20" s="7">
        <f t="shared" si="1"/>
        <v>25</v>
      </c>
    </row>
    <row r="21" spans="1:7" x14ac:dyDescent="0.25">
      <c r="A21" s="6" t="s">
        <v>0</v>
      </c>
      <c r="B21" s="7">
        <f t="shared" ref="B21:G21" si="2">2 ^ (32 - B20) - 3</f>
        <v>61</v>
      </c>
      <c r="C21" s="7">
        <f t="shared" si="2"/>
        <v>61</v>
      </c>
      <c r="D21" s="7">
        <f t="shared" si="2"/>
        <v>61</v>
      </c>
      <c r="E21" s="7">
        <f t="shared" si="2"/>
        <v>125</v>
      </c>
      <c r="F21" s="7">
        <f t="shared" si="2"/>
        <v>125</v>
      </c>
      <c r="G21" s="7">
        <f t="shared" si="2"/>
        <v>125</v>
      </c>
    </row>
    <row r="22" spans="1:7" x14ac:dyDescent="0.25">
      <c r="A22" s="2"/>
    </row>
    <row r="23" spans="1:7" x14ac:dyDescent="0.25">
      <c r="A23" s="22" t="s">
        <v>26</v>
      </c>
      <c r="B23" s="22"/>
      <c r="C23" s="22"/>
      <c r="D23" s="22"/>
      <c r="E23" s="22"/>
      <c r="F23" s="22"/>
      <c r="G23" s="22"/>
    </row>
    <row r="24" spans="1:7" x14ac:dyDescent="0.25">
      <c r="A24" s="8" t="s">
        <v>23</v>
      </c>
      <c r="B24" s="37">
        <f>E24 + 2</f>
        <v>26</v>
      </c>
      <c r="C24" s="37">
        <f t="shared" ref="C24:D24" si="3">F24 + 2</f>
        <v>26</v>
      </c>
      <c r="D24" s="37">
        <f t="shared" si="3"/>
        <v>26</v>
      </c>
      <c r="E24" s="37">
        <f>IF(B20 - 2 &gt; E20, E20, B20 - 2)</f>
        <v>24</v>
      </c>
      <c r="F24" s="37">
        <f t="shared" ref="F24:G24" si="4">IF(C20 - 2 &gt; F20, F20, C20 - 2)</f>
        <v>24</v>
      </c>
      <c r="G24" s="37">
        <f t="shared" si="4"/>
        <v>24</v>
      </c>
    </row>
    <row r="25" spans="1:7" x14ac:dyDescent="0.25">
      <c r="A25" s="8" t="s">
        <v>22</v>
      </c>
      <c r="B25" s="37">
        <f>E24 - 2</f>
        <v>22</v>
      </c>
      <c r="C25" s="9"/>
      <c r="D25" s="9"/>
      <c r="E25" s="9"/>
      <c r="F25" s="9"/>
      <c r="G25" s="9"/>
    </row>
    <row r="42" spans="6:6" x14ac:dyDescent="0.25">
      <c r="F42" s="1"/>
    </row>
    <row r="50" spans="12:12" x14ac:dyDescent="0.25">
      <c r="L50" s="1"/>
    </row>
  </sheetData>
  <mergeCells count="2">
    <mergeCell ref="A3:H3"/>
    <mergeCell ref="A7:H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24A39A0-E477-4D42-87B1-E06AA9F8971D}">
          <x14:formula1>
            <xm:f>Calculations!$A$7:$A$8</xm:f>
          </x14:formula1>
          <xm:sqref>B12:B14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BB38-C38E-F344-9BF5-0A90B9DB2AEA}">
  <dimension ref="A1:G17"/>
  <sheetViews>
    <sheetView zoomScaleNormal="100" workbookViewId="0">
      <selection activeCell="A2" sqref="A2"/>
    </sheetView>
  </sheetViews>
  <sheetFormatPr defaultColWidth="11" defaultRowHeight="15.75" x14ac:dyDescent="0.25"/>
  <cols>
    <col min="1" max="1" width="27.875" customWidth="1"/>
    <col min="2" max="2" width="11.625" customWidth="1"/>
    <col min="3" max="3" width="9.375" customWidth="1"/>
    <col min="4" max="4" width="10" customWidth="1"/>
    <col min="5" max="5" width="13.5" customWidth="1"/>
    <col min="7" max="7" width="14.5" customWidth="1"/>
  </cols>
  <sheetData>
    <row r="1" spans="1:7" ht="45.75" customHeight="1" x14ac:dyDescent="0.25"/>
    <row r="2" spans="1:7" ht="14.25" customHeight="1" x14ac:dyDescent="0.25"/>
    <row r="3" spans="1:7" ht="85.5" customHeight="1" x14ac:dyDescent="0.25">
      <c r="A3" s="38" t="s">
        <v>46</v>
      </c>
      <c r="B3" s="38"/>
      <c r="C3" s="38"/>
      <c r="D3" s="38"/>
      <c r="E3" s="38"/>
      <c r="F3" s="38"/>
      <c r="G3" s="38"/>
    </row>
    <row r="4" spans="1:7" ht="13.5" customHeight="1" x14ac:dyDescent="0.25"/>
    <row r="5" spans="1:7" ht="20.25" x14ac:dyDescent="0.25">
      <c r="A5" s="12" t="s">
        <v>43</v>
      </c>
    </row>
    <row r="6" spans="1:7" ht="21" x14ac:dyDescent="0.35">
      <c r="A6" s="3"/>
    </row>
    <row r="7" spans="1:7" ht="45.75" customHeight="1" x14ac:dyDescent="0.25">
      <c r="A7" s="38" t="s">
        <v>41</v>
      </c>
      <c r="B7" s="39"/>
      <c r="C7" s="39"/>
      <c r="D7" s="39"/>
      <c r="E7" s="39"/>
      <c r="F7" s="39"/>
      <c r="G7" s="39"/>
    </row>
    <row r="9" spans="1:7" x14ac:dyDescent="0.25">
      <c r="A9" s="23" t="s">
        <v>28</v>
      </c>
      <c r="B9" s="24"/>
    </row>
    <row r="10" spans="1:7" x14ac:dyDescent="0.25">
      <c r="A10" s="10" t="s">
        <v>50</v>
      </c>
      <c r="B10" s="34">
        <v>10</v>
      </c>
    </row>
    <row r="11" spans="1:7" x14ac:dyDescent="0.25">
      <c r="A11" s="10" t="s">
        <v>1</v>
      </c>
      <c r="B11" s="34">
        <v>10</v>
      </c>
    </row>
    <row r="12" spans="1:7" x14ac:dyDescent="0.25">
      <c r="A12" s="10" t="s">
        <v>4</v>
      </c>
      <c r="B12" s="34" t="s">
        <v>19</v>
      </c>
    </row>
    <row r="13" spans="1:7" x14ac:dyDescent="0.25">
      <c r="A13" s="10" t="s">
        <v>5</v>
      </c>
      <c r="B13" s="34" t="s">
        <v>19</v>
      </c>
    </row>
    <row r="14" spans="1:7" x14ac:dyDescent="0.25">
      <c r="A14" s="10" t="s">
        <v>18</v>
      </c>
      <c r="B14" s="34" t="s">
        <v>19</v>
      </c>
    </row>
    <row r="16" spans="1:7" x14ac:dyDescent="0.25">
      <c r="A16" s="25" t="s">
        <v>26</v>
      </c>
      <c r="B16" s="26"/>
    </row>
    <row r="17" spans="1:2" x14ac:dyDescent="0.25">
      <c r="A17" s="11" t="s">
        <v>25</v>
      </c>
      <c r="B17" s="37">
        <f>32 - ROUNDUP(LOG((Calculations!C38 + 5),2),0)</f>
        <v>25</v>
      </c>
    </row>
  </sheetData>
  <mergeCells count="2">
    <mergeCell ref="A7:G7"/>
    <mergeCell ref="A3:G3"/>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6503DEF-5A0D-154F-81D8-3FC0CAE2341C}">
          <x14:formula1>
            <xm:f>Calculations!$A$7:$A$8</xm:f>
          </x14:formula1>
          <xm:sqref>B12:B14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C890-27BA-CC40-8965-D32D92671711}">
  <dimension ref="A1:E27"/>
  <sheetViews>
    <sheetView zoomScaleNormal="100" workbookViewId="0">
      <selection activeCell="A2" sqref="A2"/>
    </sheetView>
  </sheetViews>
  <sheetFormatPr defaultColWidth="11" defaultRowHeight="15.75" x14ac:dyDescent="0.25"/>
  <cols>
    <col min="1" max="1" width="27.625" customWidth="1"/>
    <col min="2" max="2" width="12.125" customWidth="1"/>
    <col min="3" max="3" width="10.5" customWidth="1"/>
    <col min="4" max="4" width="29.625" customWidth="1"/>
    <col min="5" max="5" width="10.5" customWidth="1"/>
    <col min="6" max="6" width="10.625" customWidth="1"/>
  </cols>
  <sheetData>
    <row r="1" spans="1:5" ht="45.75" customHeight="1" x14ac:dyDescent="0.25"/>
    <row r="2" spans="1:5" ht="16.5" customHeight="1" x14ac:dyDescent="0.25"/>
    <row r="3" spans="1:5" ht="87.75" customHeight="1" x14ac:dyDescent="0.25">
      <c r="A3" s="38" t="s">
        <v>46</v>
      </c>
      <c r="B3" s="38"/>
      <c r="C3" s="38"/>
      <c r="D3" s="38"/>
      <c r="E3" s="38"/>
    </row>
    <row r="5" spans="1:5" ht="20.25" x14ac:dyDescent="0.3">
      <c r="A5" s="4" t="s">
        <v>44</v>
      </c>
    </row>
    <row r="6" spans="1:5" ht="20.25" x14ac:dyDescent="0.3">
      <c r="A6" s="4"/>
    </row>
    <row r="7" spans="1:5" ht="75.75" customHeight="1" x14ac:dyDescent="0.25">
      <c r="A7" s="38" t="s">
        <v>48</v>
      </c>
      <c r="B7" s="38"/>
      <c r="C7" s="38"/>
      <c r="D7" s="38"/>
      <c r="E7" s="38"/>
    </row>
    <row r="9" spans="1:5" x14ac:dyDescent="0.25">
      <c r="A9" s="23" t="s">
        <v>28</v>
      </c>
      <c r="B9" s="27"/>
      <c r="D9" s="6" t="s">
        <v>29</v>
      </c>
      <c r="E9" s="36">
        <v>15</v>
      </c>
    </row>
    <row r="10" spans="1:5" x14ac:dyDescent="0.25">
      <c r="A10" s="10" t="s">
        <v>50</v>
      </c>
      <c r="B10" s="35">
        <v>10</v>
      </c>
      <c r="D10" s="6" t="s">
        <v>30</v>
      </c>
      <c r="E10" s="36">
        <v>10</v>
      </c>
    </row>
    <row r="11" spans="1:5" x14ac:dyDescent="0.25">
      <c r="A11" s="10" t="s">
        <v>1</v>
      </c>
      <c r="B11" s="35">
        <v>10</v>
      </c>
    </row>
    <row r="12" spans="1:5" x14ac:dyDescent="0.25">
      <c r="A12" s="10" t="s">
        <v>4</v>
      </c>
      <c r="B12" s="35" t="s">
        <v>19</v>
      </c>
    </row>
    <row r="13" spans="1:5" x14ac:dyDescent="0.25">
      <c r="A13" s="10" t="s">
        <v>5</v>
      </c>
      <c r="B13" s="35" t="s">
        <v>19</v>
      </c>
    </row>
    <row r="14" spans="1:5" x14ac:dyDescent="0.25">
      <c r="A14" s="10" t="s">
        <v>18</v>
      </c>
      <c r="B14" s="35" t="s">
        <v>19</v>
      </c>
    </row>
    <row r="16" spans="1:5" x14ac:dyDescent="0.25">
      <c r="A16" s="25" t="s">
        <v>26</v>
      </c>
      <c r="B16" s="25"/>
    </row>
    <row r="17" spans="1:5" x14ac:dyDescent="0.25">
      <c r="A17" s="11" t="s">
        <v>25</v>
      </c>
      <c r="B17" s="37">
        <f>32 - ROUNDUP(LOG((Calculations!$C$50 + 5),2),0)</f>
        <v>22</v>
      </c>
    </row>
    <row r="27" spans="1:5" x14ac:dyDescent="0.25">
      <c r="E27" s="1"/>
    </row>
  </sheetData>
  <mergeCells count="2">
    <mergeCell ref="A3:E3"/>
    <mergeCell ref="A7:E7"/>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76CB8A4-6F96-CA46-A04B-CE2E402EA662}">
          <x14:formula1>
            <xm:f>Calculations!$A$7:$A$8</xm:f>
          </x14:formula1>
          <xm:sqref>B12:B14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4FE44-25FB-4E49-B25D-EA3CEF1C541C}">
  <dimension ref="A1:H50"/>
  <sheetViews>
    <sheetView zoomScaleNormal="100" workbookViewId="0">
      <selection activeCell="A52" sqref="A52:XFD52"/>
    </sheetView>
  </sheetViews>
  <sheetFormatPr defaultColWidth="11" defaultRowHeight="15.75" x14ac:dyDescent="0.25"/>
  <cols>
    <col min="1" max="1" width="31.625" customWidth="1"/>
    <col min="2" max="2" width="7.875" customWidth="1"/>
    <col min="3" max="3" width="9.375" customWidth="1"/>
    <col min="8" max="8" width="9.125" customWidth="1"/>
  </cols>
  <sheetData>
    <row r="1" spans="1:8" ht="45" customHeight="1" x14ac:dyDescent="0.25"/>
    <row r="2" spans="1:8" ht="16.5" customHeight="1" x14ac:dyDescent="0.25"/>
    <row r="3" spans="1:8" ht="16.5" customHeight="1" x14ac:dyDescent="0.25">
      <c r="A3" s="45" t="s">
        <v>49</v>
      </c>
      <c r="B3" s="45"/>
      <c r="C3" s="45"/>
      <c r="D3" s="45"/>
      <c r="E3" s="45"/>
      <c r="F3" s="45"/>
      <c r="G3" s="45"/>
      <c r="H3" s="45"/>
    </row>
    <row r="4" spans="1:8" ht="16.5" thickBot="1" x14ac:dyDescent="0.3"/>
    <row r="5" spans="1:8" ht="33.75" customHeight="1" thickTop="1" thickBot="1" x14ac:dyDescent="0.3">
      <c r="A5" s="40" t="s">
        <v>45</v>
      </c>
      <c r="B5" s="41"/>
      <c r="C5" s="41"/>
      <c r="D5" s="41"/>
      <c r="E5" s="41"/>
      <c r="F5" s="41"/>
      <c r="G5" s="41"/>
      <c r="H5" s="42"/>
    </row>
    <row r="6" spans="1:8" ht="16.5" thickTop="1" x14ac:dyDescent="0.25"/>
    <row r="7" spans="1:8" x14ac:dyDescent="0.25">
      <c r="A7" s="13" t="s">
        <v>19</v>
      </c>
      <c r="B7" s="13"/>
      <c r="C7" s="13"/>
    </row>
    <row r="8" spans="1:8" x14ac:dyDescent="0.25">
      <c r="A8" s="13" t="s">
        <v>20</v>
      </c>
      <c r="B8" s="13"/>
      <c r="C8" s="13"/>
    </row>
    <row r="9" spans="1:8" x14ac:dyDescent="0.25">
      <c r="A9" s="13"/>
      <c r="B9" s="13"/>
      <c r="C9" s="13"/>
    </row>
    <row r="10" spans="1:8" x14ac:dyDescent="0.25">
      <c r="A10" s="43" t="s">
        <v>36</v>
      </c>
      <c r="B10" s="44"/>
      <c r="C10" s="44"/>
    </row>
    <row r="11" spans="1:8" x14ac:dyDescent="0.25">
      <c r="A11" s="28"/>
      <c r="B11" s="29" t="s">
        <v>3</v>
      </c>
      <c r="C11" s="30" t="s">
        <v>6</v>
      </c>
    </row>
    <row r="12" spans="1:8" x14ac:dyDescent="0.25">
      <c r="A12" s="6" t="s">
        <v>2</v>
      </c>
      <c r="B12" s="7">
        <v>1</v>
      </c>
      <c r="C12" s="7">
        <f>B12</f>
        <v>1</v>
      </c>
    </row>
    <row r="13" spans="1:8" x14ac:dyDescent="0.25">
      <c r="A13" s="6" t="s">
        <v>7</v>
      </c>
      <c r="B13" s="7">
        <v>2</v>
      </c>
      <c r="C13" s="7">
        <f>B13+B13*(B24+B23)</f>
        <v>24</v>
      </c>
    </row>
    <row r="14" spans="1:8" x14ac:dyDescent="0.25">
      <c r="A14" s="6" t="s">
        <v>10</v>
      </c>
      <c r="B14" s="7">
        <v>1</v>
      </c>
      <c r="C14" s="7">
        <f>B14</f>
        <v>1</v>
      </c>
    </row>
    <row r="15" spans="1:8" x14ac:dyDescent="0.25">
      <c r="A15" s="6" t="s">
        <v>16</v>
      </c>
      <c r="B15" s="7">
        <v>2</v>
      </c>
      <c r="C15" s="7">
        <f>B15</f>
        <v>2</v>
      </c>
    </row>
    <row r="16" spans="1:8" x14ac:dyDescent="0.25">
      <c r="A16" s="6" t="s">
        <v>24</v>
      </c>
      <c r="B16" s="7">
        <v>3</v>
      </c>
      <c r="C16" s="7">
        <f>B16+B16*(B23 + B25)</f>
        <v>12</v>
      </c>
    </row>
    <row r="17" spans="1:3" x14ac:dyDescent="0.25">
      <c r="A17" s="6" t="s">
        <v>50</v>
      </c>
      <c r="B17" s="7"/>
      <c r="C17" s="7">
        <f>'Amazon EKS'!B10 + 'Amazon EKS'!B10 * (B25 + B23)</f>
        <v>40</v>
      </c>
    </row>
    <row r="18" spans="1:3" x14ac:dyDescent="0.25">
      <c r="A18" s="6" t="s">
        <v>1</v>
      </c>
      <c r="B18" s="7"/>
      <c r="C18" s="7">
        <f xml:space="preserve"> 'Amazon EKS'!B11 * 3 + 'Amazon EKS'!B11 * (B25 + B23) * 3</f>
        <v>120</v>
      </c>
    </row>
    <row r="19" spans="1:3" x14ac:dyDescent="0.25">
      <c r="A19" s="6" t="s">
        <v>4</v>
      </c>
      <c r="B19" s="7">
        <f>IF('Amazon EKS'!B12="Yes",'Amazon EKS'!$B$10+'Amazon EKS'!$B$11,0)</f>
        <v>20</v>
      </c>
      <c r="C19" s="7"/>
    </row>
    <row r="20" spans="1:3" x14ac:dyDescent="0.25">
      <c r="A20" s="6" t="s">
        <v>5</v>
      </c>
      <c r="B20" s="7">
        <f>IF('Amazon EKS'!B13="Yes",'Amazon EKS'!$B$10+'Amazon EKS'!$B$11,0)</f>
        <v>20</v>
      </c>
      <c r="C20" s="7"/>
    </row>
    <row r="21" spans="1:3" x14ac:dyDescent="0.25">
      <c r="A21" s="6" t="s">
        <v>18</v>
      </c>
      <c r="B21" s="7">
        <f>IF('Amazon EKS'!B14="Yes",'Amazon EKS'!$B$10+'Amazon EKS'!$B$11,0)</f>
        <v>20</v>
      </c>
      <c r="C21" s="7">
        <f>B21 + B21 * (B25 + B23)</f>
        <v>80</v>
      </c>
    </row>
    <row r="22" spans="1:3" x14ac:dyDescent="0.25">
      <c r="A22" s="6"/>
      <c r="B22" s="7"/>
      <c r="C22" s="7"/>
    </row>
    <row r="23" spans="1:3" x14ac:dyDescent="0.25">
      <c r="A23" s="6" t="s">
        <v>35</v>
      </c>
      <c r="B23" s="7">
        <f xml:space="preserve"> 'Amazon EKS'!E9 * ('Amazon EKS'!E10 + 1)</f>
        <v>1</v>
      </c>
      <c r="C23" s="7"/>
    </row>
    <row r="24" spans="1:3" x14ac:dyDescent="0.25">
      <c r="A24" s="6" t="s">
        <v>31</v>
      </c>
      <c r="B24" s="7">
        <v>10</v>
      </c>
      <c r="C24" s="7"/>
    </row>
    <row r="25" spans="1:3" x14ac:dyDescent="0.25">
      <c r="A25" s="6" t="s">
        <v>32</v>
      </c>
      <c r="B25" s="7">
        <v>2</v>
      </c>
      <c r="C25" s="7"/>
    </row>
    <row r="26" spans="1:3" x14ac:dyDescent="0.25">
      <c r="A26" s="13"/>
      <c r="B26" s="13"/>
      <c r="C26" s="13"/>
    </row>
    <row r="27" spans="1:3" x14ac:dyDescent="0.25">
      <c r="A27" s="43" t="s">
        <v>37</v>
      </c>
      <c r="B27" s="44"/>
      <c r="C27" s="44"/>
    </row>
    <row r="28" spans="1:3" x14ac:dyDescent="0.25">
      <c r="A28" s="28"/>
      <c r="B28" s="29" t="s">
        <v>3</v>
      </c>
      <c r="C28" s="30" t="s">
        <v>6</v>
      </c>
    </row>
    <row r="29" spans="1:3" x14ac:dyDescent="0.25">
      <c r="A29" s="6" t="s">
        <v>2</v>
      </c>
      <c r="B29" s="7">
        <v>1</v>
      </c>
      <c r="C29" s="7">
        <f>B29</f>
        <v>1</v>
      </c>
    </row>
    <row r="30" spans="1:3" x14ac:dyDescent="0.25">
      <c r="A30" s="6" t="s">
        <v>7</v>
      </c>
      <c r="B30" s="7">
        <v>2</v>
      </c>
      <c r="C30" s="7">
        <f>B30</f>
        <v>2</v>
      </c>
    </row>
    <row r="31" spans="1:3" x14ac:dyDescent="0.25">
      <c r="A31" s="6" t="s">
        <v>24</v>
      </c>
      <c r="B31" s="7">
        <v>1</v>
      </c>
      <c r="C31" s="7">
        <f>B31</f>
        <v>1</v>
      </c>
    </row>
    <row r="32" spans="1:3" x14ac:dyDescent="0.25">
      <c r="A32" s="6" t="s">
        <v>17</v>
      </c>
      <c r="B32" s="7">
        <v>1</v>
      </c>
      <c r="C32" s="7">
        <f>B32</f>
        <v>1</v>
      </c>
    </row>
    <row r="33" spans="1:3" x14ac:dyDescent="0.25">
      <c r="A33" s="6"/>
      <c r="B33" s="7"/>
      <c r="C33" s="7"/>
    </row>
    <row r="34" spans="1:3" x14ac:dyDescent="0.25">
      <c r="A34" s="6" t="s">
        <v>50</v>
      </c>
      <c r="B34" s="7"/>
      <c r="C34" s="7">
        <f>'Azure (AKS) - Kubenet'!B10</f>
        <v>10</v>
      </c>
    </row>
    <row r="35" spans="1:3" x14ac:dyDescent="0.25">
      <c r="A35" s="6" t="s">
        <v>1</v>
      </c>
      <c r="B35" s="7"/>
      <c r="C35" s="7">
        <f>'Azure (AKS) - Kubenet'!B11 * 3</f>
        <v>30</v>
      </c>
    </row>
    <row r="36" spans="1:3" x14ac:dyDescent="0.25">
      <c r="A36" s="6" t="s">
        <v>4</v>
      </c>
      <c r="B36" s="7">
        <f>IF('Azure (AKS) - Kubenet'!B12="Yes",'Azure (AKS) - Kubenet'!$B$10 + 'Azure (AKS) - Kubenet'!$B$11,0)</f>
        <v>20</v>
      </c>
      <c r="C36" s="7">
        <f>B36</f>
        <v>20</v>
      </c>
    </row>
    <row r="37" spans="1:3" x14ac:dyDescent="0.25">
      <c r="A37" s="6" t="s">
        <v>18</v>
      </c>
      <c r="B37" s="7">
        <f>IF('Azure (AKS) - Kubenet'!B14="Yes",'Azure (AKS) - Kubenet'!$B$10 + 'Azure (AKS) - Kubenet'!$B$11,0)</f>
        <v>20</v>
      </c>
      <c r="C37" s="7">
        <f>B37</f>
        <v>20</v>
      </c>
    </row>
    <row r="38" spans="1:3" x14ac:dyDescent="0.25">
      <c r="A38" s="14"/>
      <c r="B38" s="6" t="s">
        <v>39</v>
      </c>
      <c r="C38" s="7">
        <f xml:space="preserve"> SUM(C29:C37)</f>
        <v>85</v>
      </c>
    </row>
    <row r="39" spans="1:3" x14ac:dyDescent="0.25">
      <c r="A39" s="13"/>
      <c r="B39" s="13"/>
      <c r="C39" s="13"/>
    </row>
    <row r="40" spans="1:3" x14ac:dyDescent="0.25">
      <c r="A40" s="43" t="s">
        <v>38</v>
      </c>
      <c r="B40" s="44"/>
      <c r="C40" s="44"/>
    </row>
    <row r="41" spans="1:3" x14ac:dyDescent="0.25">
      <c r="A41" s="31"/>
      <c r="B41" s="29" t="s">
        <v>3</v>
      </c>
      <c r="C41" s="30" t="s">
        <v>6</v>
      </c>
    </row>
    <row r="42" spans="1:3" x14ac:dyDescent="0.25">
      <c r="A42" s="6" t="s">
        <v>2</v>
      </c>
      <c r="B42" s="7">
        <v>1</v>
      </c>
      <c r="C42" s="7">
        <f>B42</f>
        <v>1</v>
      </c>
    </row>
    <row r="43" spans="1:3" x14ac:dyDescent="0.25">
      <c r="A43" s="6" t="s">
        <v>7</v>
      </c>
      <c r="B43" s="7">
        <v>2</v>
      </c>
      <c r="C43" s="7">
        <f>B43 + B43 * 'Azure (AKS) - CNI'!E9</f>
        <v>32</v>
      </c>
    </row>
    <row r="44" spans="1:3" x14ac:dyDescent="0.25">
      <c r="A44" s="6" t="s">
        <v>24</v>
      </c>
      <c r="B44" s="7">
        <v>3</v>
      </c>
      <c r="C44" s="7">
        <f>B44 + B44 * 'Azure (AKS) - CNI'!E9</f>
        <v>48</v>
      </c>
    </row>
    <row r="45" spans="1:3" x14ac:dyDescent="0.25">
      <c r="A45" s="6"/>
      <c r="B45" s="7"/>
      <c r="C45" s="7"/>
    </row>
    <row r="46" spans="1:3" x14ac:dyDescent="0.25">
      <c r="A46" s="6" t="s">
        <v>50</v>
      </c>
      <c r="B46" s="7"/>
      <c r="C46" s="7">
        <f>'Azure (AKS) - CNI'!B10 +  'Azure (AKS) - CNI'!B10 * 'Azure (AKS) - CNI'!E10</f>
        <v>110</v>
      </c>
    </row>
    <row r="47" spans="1:3" x14ac:dyDescent="0.25">
      <c r="A47" s="6" t="s">
        <v>1</v>
      </c>
      <c r="B47" s="7"/>
      <c r="C47" s="7">
        <f>'Azure (AKS) - CNI'!B11 * 3 + ('Azure (AKS) - CNI'!B11 * 3) * 'Azure (AKS) - CNI'!E10</f>
        <v>330</v>
      </c>
    </row>
    <row r="48" spans="1:3" x14ac:dyDescent="0.25">
      <c r="A48" s="6" t="s">
        <v>4</v>
      </c>
      <c r="B48" s="7">
        <f>IF('Azure (AKS) - CNI'!B12 = "Yes",'Azure (AKS) - CNI'!$B$10 + 'Azure (AKS) - CNI'!$B$11, 0)</f>
        <v>20</v>
      </c>
      <c r="C48" s="7">
        <f>B48</f>
        <v>20</v>
      </c>
    </row>
    <row r="49" spans="1:3" x14ac:dyDescent="0.25">
      <c r="A49" s="6" t="s">
        <v>18</v>
      </c>
      <c r="B49" s="7">
        <f>IF('Azure (AKS) - CNI'!B13 = "Yes",'Azure (AKS) - CNI'!$B$10 + 'Azure (AKS) - CNI'!$B$11, 0)</f>
        <v>20</v>
      </c>
      <c r="C49" s="7">
        <f>B49 + B49 * 'Azure (AKS) - CNI'!E10</f>
        <v>220</v>
      </c>
    </row>
    <row r="50" spans="1:3" x14ac:dyDescent="0.25">
      <c r="A50" s="14"/>
      <c r="B50" s="6" t="s">
        <v>39</v>
      </c>
      <c r="C50" s="7">
        <f>SUM(C42:C49)</f>
        <v>761</v>
      </c>
    </row>
  </sheetData>
  <mergeCells count="5">
    <mergeCell ref="A5:H5"/>
    <mergeCell ref="A40:C40"/>
    <mergeCell ref="A27:C27"/>
    <mergeCell ref="A10:C10"/>
    <mergeCell ref="A3:H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EKS</vt:lpstr>
      <vt:lpstr>Azure (AKS) - Kubenet</vt:lpstr>
      <vt:lpstr>Azure (AKS) - CNI</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Craig Illingworth</cp:lastModifiedBy>
  <dcterms:created xsi:type="dcterms:W3CDTF">2022-12-19T15:37:56Z</dcterms:created>
  <dcterms:modified xsi:type="dcterms:W3CDTF">2023-10-31T21:01:49Z</dcterms:modified>
</cp:coreProperties>
</file>