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7490" windowHeight="11010" tabRatio="817" activeTab="1"/>
  </bookViews>
  <sheets>
    <sheet name="1、应收规划与回款计划表" sheetId="11" r:id="rId1"/>
    <sheet name="7、回款计划与保理合同汇总" sheetId="4" r:id="rId2"/>
    <sheet name="8、逾期款结构汇总表" sheetId="6" r:id="rId3"/>
    <sheet name="9、上月计划完成回款明细表" sheetId="8" r:id="rId4"/>
  </sheets>
  <calcPr calcId="124519"/>
  <fileRecoveryPr repairLoad="1"/>
</workbook>
</file>

<file path=xl/calcChain.xml><?xml version="1.0" encoding="utf-8"?>
<calcChain xmlns="http://schemas.openxmlformats.org/spreadsheetml/2006/main">
  <c r="E48" i="6"/>
  <c r="D47"/>
  <c r="D50" s="1"/>
  <c r="E50" s="1"/>
  <c r="C47"/>
  <c r="C50" s="1"/>
  <c r="E46"/>
  <c r="E45"/>
  <c r="E44"/>
  <c r="E42"/>
  <c r="L37"/>
  <c r="K37"/>
  <c r="J37"/>
  <c r="I37"/>
  <c r="H37"/>
  <c r="G37"/>
  <c r="F37"/>
  <c r="E37"/>
  <c r="C37"/>
  <c r="D36"/>
  <c r="D35"/>
  <c r="D34"/>
  <c r="D33"/>
  <c r="D32"/>
  <c r="D31"/>
  <c r="D30"/>
  <c r="D29"/>
  <c r="D28"/>
  <c r="D27"/>
  <c r="D26"/>
  <c r="D25"/>
  <c r="D24"/>
  <c r="D23"/>
  <c r="D37" s="1"/>
  <c r="E47" l="1"/>
  <c r="W244" i="8" l="1"/>
  <c r="V244"/>
  <c r="J244"/>
  <c r="I244"/>
  <c r="H244"/>
  <c r="G244"/>
  <c r="F244"/>
  <c r="E244"/>
  <c r="D244"/>
  <c r="K243"/>
  <c r="K242"/>
  <c r="K241"/>
  <c r="K240"/>
  <c r="K239"/>
  <c r="K238"/>
  <c r="K244" s="1"/>
  <c r="W236"/>
  <c r="V236"/>
  <c r="J236"/>
  <c r="I236"/>
  <c r="H236"/>
  <c r="G236"/>
  <c r="F236"/>
  <c r="E236"/>
  <c r="D236"/>
  <c r="K235"/>
  <c r="K234"/>
  <c r="K233"/>
  <c r="K232"/>
  <c r="K231"/>
  <c r="K230"/>
  <c r="K229"/>
  <c r="K236" s="1"/>
  <c r="W228"/>
  <c r="V226"/>
  <c r="V228" s="1"/>
  <c r="W225"/>
  <c r="V225"/>
  <c r="W223"/>
  <c r="J223"/>
  <c r="I223"/>
  <c r="H223"/>
  <c r="G223"/>
  <c r="F223"/>
  <c r="E223"/>
  <c r="D223"/>
  <c r="K222"/>
  <c r="K221"/>
  <c r="K220"/>
  <c r="K219"/>
  <c r="K218"/>
  <c r="V217"/>
  <c r="V223" s="1"/>
  <c r="K217"/>
  <c r="K216"/>
  <c r="K215"/>
  <c r="K214"/>
  <c r="K213"/>
  <c r="K212"/>
  <c r="K211"/>
  <c r="K210"/>
  <c r="K206"/>
  <c r="K205"/>
  <c r="K204"/>
  <c r="K203"/>
  <c r="K202"/>
  <c r="K201"/>
  <c r="K200"/>
  <c r="K199"/>
  <c r="K198"/>
  <c r="K197"/>
  <c r="K196"/>
  <c r="K195"/>
  <c r="K194"/>
  <c r="K193"/>
  <c r="K223" s="1"/>
  <c r="W192"/>
  <c r="V192"/>
  <c r="J192"/>
  <c r="I192"/>
  <c r="H192"/>
  <c r="G192"/>
  <c r="F192"/>
  <c r="K189"/>
  <c r="K192" s="1"/>
  <c r="W188"/>
  <c r="V188"/>
  <c r="J188"/>
  <c r="I188"/>
  <c r="H188"/>
  <c r="G188"/>
  <c r="F188"/>
  <c r="E188"/>
  <c r="D188"/>
  <c r="K187"/>
  <c r="K184"/>
  <c r="K183"/>
  <c r="K182"/>
  <c r="K181"/>
  <c r="K180"/>
  <c r="K179"/>
  <c r="K188" s="1"/>
  <c r="G178"/>
  <c r="F178"/>
  <c r="W177"/>
  <c r="W178" s="1"/>
  <c r="V177"/>
  <c r="V178" s="1"/>
  <c r="K177"/>
  <c r="W176"/>
  <c r="J176"/>
  <c r="I176"/>
  <c r="H176"/>
  <c r="F176"/>
  <c r="E176"/>
  <c r="D176"/>
  <c r="V174"/>
  <c r="V172"/>
  <c r="V171"/>
  <c r="V170"/>
  <c r="K169"/>
  <c r="K167"/>
  <c r="K166"/>
  <c r="K165"/>
  <c r="G164"/>
  <c r="K164" s="1"/>
  <c r="K163"/>
  <c r="K162"/>
  <c r="K161"/>
  <c r="V160"/>
  <c r="K160"/>
  <c r="V159"/>
  <c r="K159"/>
  <c r="V156"/>
  <c r="K156"/>
  <c r="K154"/>
  <c r="K153"/>
  <c r="K152"/>
  <c r="K151"/>
  <c r="K150"/>
  <c r="K149"/>
  <c r="K148"/>
  <c r="K147"/>
  <c r="K146"/>
  <c r="V145"/>
  <c r="K145"/>
  <c r="K142"/>
  <c r="K141"/>
  <c r="K140"/>
  <c r="K139"/>
  <c r="K138"/>
  <c r="K137"/>
  <c r="V136"/>
  <c r="V176" s="1"/>
  <c r="G136"/>
  <c r="K136" s="1"/>
  <c r="K135"/>
  <c r="G134"/>
  <c r="K134" s="1"/>
  <c r="G133"/>
  <c r="G176" s="1"/>
  <c r="W132"/>
  <c r="V132"/>
  <c r="J132"/>
  <c r="I132"/>
  <c r="H132"/>
  <c r="F132"/>
  <c r="E132"/>
  <c r="D132"/>
  <c r="K131"/>
  <c r="K129"/>
  <c r="K128"/>
  <c r="K126"/>
  <c r="K125"/>
  <c r="K120"/>
  <c r="K119"/>
  <c r="K118"/>
  <c r="K117"/>
  <c r="K116"/>
  <c r="K113"/>
  <c r="K112"/>
  <c r="K111"/>
  <c r="K110"/>
  <c r="G110"/>
  <c r="G132" s="1"/>
  <c r="K109"/>
  <c r="K107"/>
  <c r="K106"/>
  <c r="K105"/>
  <c r="K104"/>
  <c r="K102"/>
  <c r="K101"/>
  <c r="K100"/>
  <c r="K99"/>
  <c r="K98"/>
  <c r="K97"/>
  <c r="K96"/>
  <c r="K95"/>
  <c r="K132" s="1"/>
  <c r="W94"/>
  <c r="I94"/>
  <c r="F94"/>
  <c r="E94"/>
  <c r="D94"/>
  <c r="K92"/>
  <c r="K91"/>
  <c r="K90"/>
  <c r="K89"/>
  <c r="K88"/>
  <c r="K87"/>
  <c r="K86"/>
  <c r="K85"/>
  <c r="K84"/>
  <c r="K83"/>
  <c r="K82"/>
  <c r="K81"/>
  <c r="K80"/>
  <c r="K79"/>
  <c r="V78"/>
  <c r="K78"/>
  <c r="K77"/>
  <c r="K76"/>
  <c r="V75"/>
  <c r="K75"/>
  <c r="V74"/>
  <c r="K74"/>
  <c r="K73"/>
  <c r="G71"/>
  <c r="K71" s="1"/>
  <c r="K70"/>
  <c r="K69"/>
  <c r="K68"/>
  <c r="K67"/>
  <c r="K66"/>
  <c r="G65"/>
  <c r="K65" s="1"/>
  <c r="K64"/>
  <c r="K63"/>
  <c r="K62"/>
  <c r="K61"/>
  <c r="K60"/>
  <c r="K59"/>
  <c r="K58"/>
  <c r="K57"/>
  <c r="V55"/>
  <c r="K55"/>
  <c r="K54"/>
  <c r="K53"/>
  <c r="K50"/>
  <c r="K49"/>
  <c r="K48"/>
  <c r="K47"/>
  <c r="H47"/>
  <c r="H94" s="1"/>
  <c r="K46"/>
  <c r="K45"/>
  <c r="K44"/>
  <c r="K43"/>
  <c r="K42"/>
  <c r="K41"/>
  <c r="K40"/>
  <c r="K39"/>
  <c r="K38"/>
  <c r="K37"/>
  <c r="K36"/>
  <c r="K35"/>
  <c r="V34"/>
  <c r="K34"/>
  <c r="V33"/>
  <c r="K31"/>
  <c r="K30"/>
  <c r="K29"/>
  <c r="K28"/>
  <c r="V27"/>
  <c r="K26"/>
  <c r="G26"/>
  <c r="K25"/>
  <c r="K24"/>
  <c r="K23"/>
  <c r="K21"/>
  <c r="K20"/>
  <c r="K19"/>
  <c r="K18"/>
  <c r="K17"/>
  <c r="K15"/>
  <c r="K14"/>
  <c r="V12"/>
  <c r="V94" s="1"/>
  <c r="K8"/>
  <c r="K7"/>
  <c r="G7"/>
  <c r="G94" s="1"/>
  <c r="K6"/>
  <c r="K5"/>
  <c r="K4"/>
  <c r="K94" s="1"/>
  <c r="J4"/>
  <c r="J94" s="1"/>
  <c r="D245" l="1"/>
  <c r="F245"/>
  <c r="K133"/>
  <c r="K176" s="1"/>
  <c r="K178"/>
  <c r="E245"/>
  <c r="I245"/>
  <c r="K245"/>
  <c r="H245"/>
  <c r="J245"/>
  <c r="W245"/>
  <c r="G245"/>
  <c r="V245"/>
  <c r="D38" i="11" l="1"/>
  <c r="C6"/>
  <c r="D8" l="1"/>
  <c r="F153"/>
  <c r="C113"/>
  <c r="C114"/>
  <c r="J22" i="4" l="1"/>
  <c r="J18"/>
  <c r="B6" i="11" l="1"/>
  <c r="E10"/>
  <c r="F8"/>
  <c r="K18" i="4" l="1"/>
  <c r="L57" i="11" l="1"/>
  <c r="D77" l="1"/>
  <c r="D49"/>
  <c r="F148" l="1"/>
  <c r="F143"/>
  <c r="K139"/>
  <c r="I138"/>
  <c r="E138"/>
  <c r="C138"/>
  <c r="H135"/>
  <c r="K135" s="1"/>
  <c r="M135" s="1"/>
  <c r="G133"/>
  <c r="I133" s="1"/>
  <c r="F131"/>
  <c r="D131"/>
  <c r="K126"/>
  <c r="I125"/>
  <c r="E125"/>
  <c r="C125"/>
  <c r="H122"/>
  <c r="K122" s="1"/>
  <c r="G120"/>
  <c r="F118"/>
  <c r="D118"/>
  <c r="K114"/>
  <c r="K113"/>
  <c r="I112"/>
  <c r="E112"/>
  <c r="C112"/>
  <c r="H109"/>
  <c r="K109" s="1"/>
  <c r="G107"/>
  <c r="I107" s="1"/>
  <c r="F105"/>
  <c r="D105"/>
  <c r="H107" s="1"/>
  <c r="K101"/>
  <c r="K100"/>
  <c r="I99"/>
  <c r="G99"/>
  <c r="E99"/>
  <c r="C99"/>
  <c r="J95"/>
  <c r="H95"/>
  <c r="G93"/>
  <c r="D91"/>
  <c r="K87"/>
  <c r="K86"/>
  <c r="E85"/>
  <c r="C85"/>
  <c r="J81"/>
  <c r="I81"/>
  <c r="H81"/>
  <c r="G79"/>
  <c r="K72"/>
  <c r="L72" s="1"/>
  <c r="K71"/>
  <c r="L71" s="1"/>
  <c r="I70"/>
  <c r="E70"/>
  <c r="C70"/>
  <c r="J67"/>
  <c r="I67"/>
  <c r="H67"/>
  <c r="G65"/>
  <c r="D63"/>
  <c r="K59"/>
  <c r="K58"/>
  <c r="I57"/>
  <c r="E57"/>
  <c r="C57"/>
  <c r="J53"/>
  <c r="I53"/>
  <c r="H53"/>
  <c r="G51"/>
  <c r="K44"/>
  <c r="K43"/>
  <c r="L42"/>
  <c r="I42"/>
  <c r="E42"/>
  <c r="C42"/>
  <c r="J38"/>
  <c r="I38"/>
  <c r="H38"/>
  <c r="G36"/>
  <c r="I36" s="1"/>
  <c r="F34"/>
  <c r="D34"/>
  <c r="K30"/>
  <c r="K29"/>
  <c r="L28"/>
  <c r="I28"/>
  <c r="G28"/>
  <c r="E28"/>
  <c r="C28"/>
  <c r="J24"/>
  <c r="I24"/>
  <c r="H24"/>
  <c r="G22"/>
  <c r="F20"/>
  <c r="D20"/>
  <c r="I16"/>
  <c r="G16"/>
  <c r="E16"/>
  <c r="C16"/>
  <c r="G15"/>
  <c r="E15"/>
  <c r="C15"/>
  <c r="G14"/>
  <c r="F10"/>
  <c r="D10"/>
  <c r="C10"/>
  <c r="E8"/>
  <c r="J10"/>
  <c r="C8"/>
  <c r="I10" s="1"/>
  <c r="B8"/>
  <c r="E6"/>
  <c r="C12" i="4"/>
  <c r="H10" i="11" l="1"/>
  <c r="K67"/>
  <c r="K99"/>
  <c r="F91" s="1"/>
  <c r="L15"/>
  <c r="L16"/>
  <c r="K42"/>
  <c r="K28"/>
  <c r="K112"/>
  <c r="K95"/>
  <c r="K85"/>
  <c r="F77" s="1"/>
  <c r="K81"/>
  <c r="L81" s="1"/>
  <c r="E14"/>
  <c r="K70"/>
  <c r="F63" s="1"/>
  <c r="K57"/>
  <c r="F49" s="1"/>
  <c r="K53"/>
  <c r="L53" s="1"/>
  <c r="C14"/>
  <c r="K15"/>
  <c r="K38"/>
  <c r="L38" s="1"/>
  <c r="D6"/>
  <c r="K16"/>
  <c r="G8"/>
  <c r="I8" s="1"/>
  <c r="K24"/>
  <c r="M24" s="1"/>
  <c r="H22"/>
  <c r="H51"/>
  <c r="H79"/>
  <c r="H93"/>
  <c r="H120"/>
  <c r="L122"/>
  <c r="H65"/>
  <c r="L67"/>
  <c r="M67"/>
  <c r="M109"/>
  <c r="L109"/>
  <c r="L70"/>
  <c r="G6" s="1"/>
  <c r="M95"/>
  <c r="L95"/>
  <c r="K10"/>
  <c r="I22"/>
  <c r="H36"/>
  <c r="I51"/>
  <c r="I65"/>
  <c r="I79"/>
  <c r="I93"/>
  <c r="I120"/>
  <c r="M122"/>
  <c r="H133"/>
  <c r="L135"/>
  <c r="L24" l="1"/>
  <c r="M81"/>
  <c r="L14"/>
  <c r="M38"/>
  <c r="M53"/>
  <c r="K14"/>
  <c r="F6" s="1"/>
  <c r="H8"/>
  <c r="M10"/>
  <c r="L10"/>
</calcChain>
</file>

<file path=xl/comments1.xml><?xml version="1.0" encoding="utf-8"?>
<comments xmlns="http://schemas.openxmlformats.org/spreadsheetml/2006/main">
  <authors>
    <author>作者</author>
  </authors>
  <commentList>
    <comment ref="B27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本月到期款</t>
        </r>
      </text>
    </comment>
    <comment ref="B56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本月到期款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宁夏天元销易达业务</t>
        </r>
      </text>
    </comment>
    <comment ref="D22" author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宁夏天元销易达业务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2" authorId="0">
      <text>
        <r>
          <rPr>
            <sz val="9"/>
            <color indexed="81"/>
            <rFont val="宋体"/>
            <family val="3"/>
            <charset val="134"/>
          </rPr>
          <t>作者:
争取/确保</t>
        </r>
      </text>
    </comment>
  </commentList>
</comments>
</file>

<file path=xl/sharedStrings.xml><?xml version="1.0" encoding="utf-8"?>
<sst xmlns="http://schemas.openxmlformats.org/spreadsheetml/2006/main" count="3078" uniqueCount="908">
  <si>
    <t>款项状态</t>
  </si>
  <si>
    <t>电力电缆项目公司</t>
  </si>
  <si>
    <t>克拉玛依办事处</t>
  </si>
  <si>
    <t>张健</t>
  </si>
  <si>
    <t>姜国龙</t>
  </si>
  <si>
    <t>吴冠军</t>
  </si>
  <si>
    <t>零星现款现货订单</t>
  </si>
  <si>
    <t>贾全</t>
  </si>
  <si>
    <t>陕北办事处</t>
  </si>
  <si>
    <t>宁夏办事处</t>
  </si>
  <si>
    <t>张永旗</t>
  </si>
  <si>
    <t>刘二明</t>
  </si>
  <si>
    <t>重大项目处</t>
  </si>
  <si>
    <t>晋岩</t>
  </si>
  <si>
    <t>于培荣</t>
  </si>
  <si>
    <t>乌昌二处</t>
  </si>
  <si>
    <t>王立明</t>
  </si>
  <si>
    <t>吴学强</t>
  </si>
  <si>
    <t>新电办事处</t>
  </si>
  <si>
    <t>伍涛</t>
  </si>
  <si>
    <t>国际贸易部</t>
  </si>
  <si>
    <t>张军</t>
  </si>
  <si>
    <t>赵岩</t>
  </si>
  <si>
    <t>林伟</t>
  </si>
  <si>
    <t>俄语部</t>
  </si>
  <si>
    <t>吴南生</t>
  </si>
  <si>
    <t>潘传勇</t>
  </si>
  <si>
    <t>山钢集团莱芜钢铁新疆有限公司</t>
  </si>
  <si>
    <t>逾期6个月以上</t>
  </si>
  <si>
    <t>逾期3个月</t>
  </si>
  <si>
    <t>逾期5个月</t>
  </si>
  <si>
    <t>新疆电力设计院</t>
  </si>
  <si>
    <t>梁明</t>
  </si>
  <si>
    <t>杨辉文</t>
  </si>
  <si>
    <t>逯天才</t>
  </si>
  <si>
    <t>岳树民</t>
  </si>
  <si>
    <t>王新莲</t>
  </si>
  <si>
    <t>徐敏</t>
  </si>
  <si>
    <t>石婷婷</t>
  </si>
  <si>
    <t>正常清收</t>
  </si>
  <si>
    <t>手续办理</t>
  </si>
  <si>
    <t>内部单位联系收款</t>
  </si>
  <si>
    <t>现款现货订单正常执行</t>
  </si>
  <si>
    <t>部门</t>
  </si>
  <si>
    <t>经办人</t>
  </si>
  <si>
    <t>客户所属行业</t>
  </si>
  <si>
    <t>蔡合意</t>
  </si>
  <si>
    <t>邬玉林</t>
  </si>
  <si>
    <t>于明明</t>
  </si>
  <si>
    <t>鄂托克旗建元煤焦化有限责任公司</t>
  </si>
  <si>
    <t>新疆伊犁钢铁有限责任公司</t>
  </si>
  <si>
    <t>杨光水</t>
  </si>
  <si>
    <t>新疆庆华能源集团有限公司</t>
  </si>
  <si>
    <t>新疆苏源生物工程有限公司</t>
  </si>
  <si>
    <t>张冬冬</t>
  </si>
  <si>
    <t>山东莱钢建设有限公司建筑安装分公司</t>
  </si>
  <si>
    <t>严利军</t>
  </si>
  <si>
    <t>新疆兵团农三师电力公司</t>
  </si>
  <si>
    <t>林立</t>
  </si>
  <si>
    <t>中国成达工程有限公司</t>
  </si>
  <si>
    <t>宝钢集团新疆八一钢铁有限公司</t>
  </si>
  <si>
    <t>徐国礼</t>
  </si>
  <si>
    <t>新疆圣雄能源股份有限公司</t>
  </si>
  <si>
    <t>邢国昌</t>
  </si>
  <si>
    <t>特变电工新疆新能源股份有限公司</t>
  </si>
  <si>
    <t>新疆东方希望有色金属有限公司</t>
  </si>
  <si>
    <t>新疆神火炭素制品有限公司</t>
  </si>
  <si>
    <t>孟江平</t>
  </si>
  <si>
    <t>国电物资集团有限公司西北物资配送中心</t>
  </si>
  <si>
    <t>李建忠</t>
  </si>
  <si>
    <t>陕西天朗实业有限公司</t>
  </si>
  <si>
    <t>中国华电工程（集团）有限公司</t>
  </si>
  <si>
    <t>刘敏</t>
  </si>
  <si>
    <t>张超</t>
  </si>
  <si>
    <t>王成普</t>
  </si>
  <si>
    <t>王文军</t>
  </si>
  <si>
    <t>未到期款</t>
  </si>
  <si>
    <t>款项性质</t>
  </si>
  <si>
    <t>质保金</t>
  </si>
  <si>
    <t>逾期款</t>
  </si>
  <si>
    <t>合计</t>
  </si>
  <si>
    <t>到期款</t>
  </si>
  <si>
    <t>未到期应收账款</t>
  </si>
  <si>
    <t>逾期应收账款</t>
  </si>
  <si>
    <t>本月回款计划</t>
  </si>
  <si>
    <t>下月清收款</t>
  </si>
  <si>
    <t>隔月清收款</t>
  </si>
  <si>
    <t>确保可回款</t>
  </si>
  <si>
    <t>争取可回款</t>
  </si>
  <si>
    <t>保理到期月份</t>
  </si>
  <si>
    <t>累计</t>
    <phoneticPr fontId="1" type="noConversion"/>
  </si>
  <si>
    <t>保理合同到期情况</t>
  </si>
  <si>
    <t>金额</t>
  </si>
  <si>
    <t>份数</t>
  </si>
  <si>
    <t>办事处</t>
  </si>
  <si>
    <t>单位名称</t>
  </si>
  <si>
    <t>湖北省电力勘测设计院工程总承包部</t>
  </si>
  <si>
    <t>宁夏天元锰业有限公司</t>
  </si>
  <si>
    <t>回款计划</t>
  </si>
  <si>
    <t>通用电线项目公司</t>
  </si>
  <si>
    <t>李小东</t>
  </si>
  <si>
    <t>吴学贵</t>
  </si>
  <si>
    <t>节能导线项目公司</t>
  </si>
  <si>
    <t>唐利</t>
  </si>
  <si>
    <t>债权部</t>
  </si>
  <si>
    <t>李冰（大）</t>
  </si>
  <si>
    <t>月份</t>
  </si>
  <si>
    <t>逾期1个月以内</t>
  </si>
  <si>
    <t>逾期1-3个月</t>
  </si>
  <si>
    <t>逾期3-6个月</t>
  </si>
  <si>
    <t>逾期6-12个月</t>
  </si>
  <si>
    <t>逾期1年-1年半</t>
  </si>
  <si>
    <t>逾期1年半以上</t>
  </si>
  <si>
    <t>所占比例</t>
  </si>
  <si>
    <t>因素分类</t>
  </si>
  <si>
    <t>内部因素</t>
  </si>
  <si>
    <t>客户资信</t>
  </si>
  <si>
    <t>滚动付款</t>
  </si>
  <si>
    <t>项目变化</t>
  </si>
  <si>
    <t>合同因素</t>
  </si>
  <si>
    <t>其它</t>
  </si>
  <si>
    <t>总数量</t>
  </si>
  <si>
    <t>户数</t>
  </si>
  <si>
    <t>其中：法律手段清收</t>
    <phoneticPr fontId="1" type="noConversion"/>
  </si>
  <si>
    <t>应收账款情况</t>
  </si>
  <si>
    <t>欠款构成</t>
  </si>
  <si>
    <t>应收未收（包括到期质保金）</t>
  </si>
  <si>
    <t>未到期质保金</t>
  </si>
  <si>
    <t>占全部比例</t>
  </si>
  <si>
    <t>逾期1-3月</t>
  </si>
  <si>
    <t>逾期3-6月</t>
  </si>
  <si>
    <t>逾期6-12月</t>
  </si>
  <si>
    <t>逾期1-1年半</t>
  </si>
  <si>
    <t xml:space="preserve">五大发电 </t>
  </si>
  <si>
    <t xml:space="preserve">省、市电力系统 </t>
  </si>
  <si>
    <t xml:space="preserve">电力配套系统 </t>
  </si>
  <si>
    <t xml:space="preserve">国网，南网 </t>
  </si>
  <si>
    <t xml:space="preserve">出口合同 </t>
  </si>
  <si>
    <t xml:space="preserve">化工行业 </t>
  </si>
  <si>
    <t xml:space="preserve">煤炭行业 </t>
  </si>
  <si>
    <t xml:space="preserve">内部单位 </t>
  </si>
  <si>
    <t xml:space="preserve">能源行业 </t>
  </si>
  <si>
    <t xml:space="preserve">其他 </t>
  </si>
  <si>
    <t xml:space="preserve">石油石化 </t>
  </si>
  <si>
    <t xml:space="preserve">水泥行业 </t>
  </si>
  <si>
    <t xml:space="preserve">铁路（轨道交通） </t>
  </si>
  <si>
    <t xml:space="preserve">有色金属行业 </t>
  </si>
  <si>
    <t>按款项状态分</t>
  </si>
  <si>
    <t>计划回款</t>
  </si>
  <si>
    <t>实际回款</t>
  </si>
  <si>
    <t>计划完成率</t>
  </si>
  <si>
    <t>逾期款应收账款</t>
  </si>
  <si>
    <t>按清收性质分</t>
  </si>
  <si>
    <t>小计</t>
  </si>
  <si>
    <t>　现款现货回款</t>
  </si>
  <si>
    <t>　计划外回款</t>
  </si>
  <si>
    <t>小计</t>
    <phoneticPr fontId="4" type="noConversion"/>
  </si>
  <si>
    <t>逾期应收账款</t>
    <phoneticPr fontId="4" type="noConversion"/>
  </si>
  <si>
    <t>2014年</t>
    <phoneticPr fontId="4" type="noConversion"/>
  </si>
  <si>
    <t>月回款计划汇总情况</t>
    <phoneticPr fontId="4" type="noConversion"/>
  </si>
  <si>
    <t>应收账款盘子规划</t>
    <phoneticPr fontId="4" type="noConversion"/>
  </si>
  <si>
    <t>特变电工新疆线缆厂</t>
  </si>
  <si>
    <t>上月末累计销售收入</t>
    <phoneticPr fontId="4" type="noConversion"/>
  </si>
  <si>
    <t>本月计划销售收入</t>
    <phoneticPr fontId="4" type="noConversion"/>
  </si>
  <si>
    <t>本月目标责任书应收指标</t>
    <phoneticPr fontId="4" type="noConversion"/>
  </si>
  <si>
    <t>本月应收内控指标</t>
    <phoneticPr fontId="4" type="noConversion"/>
  </si>
  <si>
    <t>本月资金回笼计划</t>
    <phoneticPr fontId="4" type="noConversion"/>
  </si>
  <si>
    <t>其中现款现货</t>
    <phoneticPr fontId="4" type="noConversion"/>
  </si>
  <si>
    <t>上月末账面应收余额</t>
    <phoneticPr fontId="4" type="noConversion"/>
  </si>
  <si>
    <t>(加)本月销售收入新增应收金额</t>
    <phoneticPr fontId="4" type="noConversion"/>
  </si>
  <si>
    <t>(减)本月可降应收资金回笼金额</t>
    <phoneticPr fontId="4" type="noConversion"/>
  </si>
  <si>
    <t>(加)本月归还保理增加应收金额</t>
    <phoneticPr fontId="4" type="noConversion"/>
  </si>
  <si>
    <t>(减)本月新增保理回款冲减应收金额</t>
    <phoneticPr fontId="4" type="noConversion"/>
  </si>
  <si>
    <t>本月预计账面应收余额</t>
    <phoneticPr fontId="4" type="noConversion"/>
  </si>
  <si>
    <t>与目标责任书指标差距</t>
    <phoneticPr fontId="4" type="noConversion"/>
  </si>
  <si>
    <t>与内部控制指标差距</t>
    <phoneticPr fontId="4" type="noConversion"/>
  </si>
  <si>
    <t>(减)上月末已开票未发货产生应收金额</t>
    <phoneticPr fontId="4" type="noConversion"/>
  </si>
  <si>
    <t>(加)上月末已发货未开票增加实际应收金额</t>
    <phoneticPr fontId="4" type="noConversion"/>
  </si>
  <si>
    <t>(加)上月末保理回款冲减应收金额/暗保理</t>
    <phoneticPr fontId="4" type="noConversion"/>
  </si>
  <si>
    <t>(加)上月末预收冲减应收的金额</t>
    <phoneticPr fontId="4" type="noConversion"/>
  </si>
  <si>
    <t>(加)其他冲减应收</t>
    <phoneticPr fontId="4" type="noConversion"/>
  </si>
  <si>
    <t>上月实际应收余额</t>
    <phoneticPr fontId="4" type="noConversion"/>
  </si>
  <si>
    <t>(加)本月发货产品新增应收金额</t>
    <phoneticPr fontId="4" type="noConversion"/>
  </si>
  <si>
    <t>(减)本月回款降低应收金额（发货后的款项）</t>
    <phoneticPr fontId="4" type="noConversion"/>
  </si>
  <si>
    <t>本月预计实际应收余额</t>
    <phoneticPr fontId="4" type="noConversion"/>
  </si>
  <si>
    <t>回款计划结构</t>
    <phoneticPr fontId="4" type="noConversion"/>
  </si>
  <si>
    <t>逾期款</t>
    <phoneticPr fontId="4" type="noConversion"/>
  </si>
  <si>
    <t>未到期应收账款</t>
    <phoneticPr fontId="4" type="noConversion"/>
  </si>
  <si>
    <t>未到期款</t>
    <phoneticPr fontId="4" type="noConversion"/>
  </si>
  <si>
    <t>本月回笼</t>
    <phoneticPr fontId="4" type="noConversion"/>
  </si>
  <si>
    <t>确保可回</t>
    <phoneticPr fontId="4" type="noConversion"/>
  </si>
  <si>
    <t>争取可回</t>
    <phoneticPr fontId="4" type="noConversion"/>
  </si>
  <si>
    <t>电力电缆项目公司</t>
    <phoneticPr fontId="4" type="noConversion"/>
  </si>
  <si>
    <t>(加)上月末保理回款冲减应收金额</t>
    <phoneticPr fontId="4" type="noConversion"/>
  </si>
  <si>
    <t>其中现款现货</t>
    <phoneticPr fontId="1" type="noConversion"/>
  </si>
  <si>
    <t>特缆项目公司</t>
    <phoneticPr fontId="4" type="noConversion"/>
  </si>
  <si>
    <t>节能导线项目公司</t>
    <phoneticPr fontId="4" type="noConversion"/>
  </si>
  <si>
    <t>通用项目公司</t>
    <phoneticPr fontId="4" type="noConversion"/>
  </si>
  <si>
    <t>现款现货</t>
    <phoneticPr fontId="1" type="noConversion"/>
  </si>
  <si>
    <t>国际贸易部</t>
    <phoneticPr fontId="4" type="noConversion"/>
  </si>
  <si>
    <t>大客户一部</t>
    <phoneticPr fontId="1" type="noConversion"/>
  </si>
  <si>
    <t>大客户二部</t>
    <phoneticPr fontId="4" type="noConversion"/>
  </si>
  <si>
    <t>国际工程公司</t>
    <phoneticPr fontId="1" type="noConversion"/>
  </si>
  <si>
    <t>国内工程公司</t>
    <phoneticPr fontId="1" type="noConversion"/>
  </si>
  <si>
    <t>债权部</t>
    <phoneticPr fontId="4" type="noConversion"/>
  </si>
  <si>
    <t>法律部</t>
    <phoneticPr fontId="4" type="noConversion"/>
  </si>
  <si>
    <t>(加)本月归还保理增加应收金额</t>
    <phoneticPr fontId="4" type="noConversion"/>
  </si>
  <si>
    <t>厂督导领导</t>
  </si>
  <si>
    <t>重大项目一处</t>
  </si>
  <si>
    <t>北方国际电力工业有限公司</t>
  </si>
  <si>
    <t>逾期2个月</t>
  </si>
  <si>
    <t>吐鲁番绿色新能源房地产开发有限责任公司</t>
  </si>
  <si>
    <t>2014年4月份回款计划款项状态结构表</t>
    <phoneticPr fontId="4" type="noConversion"/>
  </si>
  <si>
    <t>2014年4月份回款计划回款性质结构表</t>
    <phoneticPr fontId="4" type="noConversion"/>
  </si>
  <si>
    <r>
      <t>2014年</t>
    </r>
    <r>
      <rPr>
        <b/>
        <sz val="10"/>
        <color indexed="10"/>
        <rFont val="宋体"/>
        <family val="3"/>
        <charset val="134"/>
      </rPr>
      <t>4月份保理合同到期情况汇总表</t>
    </r>
    <phoneticPr fontId="4" type="noConversion"/>
  </si>
  <si>
    <t xml:space="preserve">1、2014年3月底逾期款趋势变化表   </t>
    <phoneticPr fontId="4" type="noConversion"/>
  </si>
  <si>
    <t xml:space="preserve">2、2014年3月底逾期应收因素分析    </t>
    <phoneticPr fontId="4" type="noConversion"/>
  </si>
  <si>
    <t>3、2014年3月底应收账款结构表</t>
    <phoneticPr fontId="4" type="noConversion"/>
  </si>
  <si>
    <t>4、2014年3月份实际款项资金回笼指标完成情况表</t>
    <phoneticPr fontId="4" type="noConversion"/>
  </si>
  <si>
    <t>目前我厂不合格电缆还未全部处理完毕，对回款也有一定的影响</t>
  </si>
  <si>
    <t>目前对方资金不足</t>
  </si>
  <si>
    <t>资金困难</t>
  </si>
  <si>
    <t>由史健专人跟进回款</t>
  </si>
  <si>
    <t>手续齐全</t>
  </si>
  <si>
    <t>目前对方已将试用报告作出，需要到对方供应处找韩处长办理结算手续。</t>
  </si>
  <si>
    <t>已经和对方机电科科长李占文沟通过付款事宜，李科长目前已经将适用报告做出来，前期计划到内蒙古平庄煤业收回此笔货款，王总安排后期和我厂技术总监温胜军一同前往，一方面收回该笔货款，另一方面商谈平庄煤业后期合作相关事宜。</t>
  </si>
  <si>
    <t>需要到现场进行清收</t>
  </si>
  <si>
    <t>本月争取回款</t>
  </si>
  <si>
    <t>新疆同泰煤业有限公司</t>
  </si>
  <si>
    <t>2014-10月以后</t>
    <phoneticPr fontId="1" type="noConversion"/>
  </si>
  <si>
    <r>
      <t>2014年</t>
    </r>
    <r>
      <rPr>
        <b/>
        <sz val="10"/>
        <color indexed="10"/>
        <rFont val="宋体"/>
        <family val="3"/>
        <charset val="134"/>
      </rPr>
      <t>4月份销易达合同到期情况汇总表</t>
    </r>
    <phoneticPr fontId="4" type="noConversion"/>
  </si>
  <si>
    <t>1个月以内</t>
  </si>
  <si>
    <t>到货款</t>
  </si>
  <si>
    <t>国电国际经贸有限公司</t>
  </si>
  <si>
    <t>桑智勇</t>
  </si>
  <si>
    <t>青海省电力公司</t>
  </si>
  <si>
    <t>刘海龙</t>
  </si>
  <si>
    <t>大客户二部</t>
  </si>
  <si>
    <t>西北办事处</t>
  </si>
  <si>
    <t>伊犁办事处</t>
  </si>
  <si>
    <t>阿勒泰办事处</t>
  </si>
  <si>
    <t>曾学友</t>
  </si>
  <si>
    <t>新疆和合矿业有限责任公司</t>
  </si>
  <si>
    <t>乌昌一处</t>
  </si>
  <si>
    <t>王兴连</t>
  </si>
  <si>
    <t>国内工程公司</t>
  </si>
  <si>
    <t>张俊华</t>
  </si>
  <si>
    <t>特缆项目公司</t>
  </si>
  <si>
    <t>杨晓磊</t>
  </si>
  <si>
    <t>阿克苏办事处</t>
  </si>
  <si>
    <t>刘文华</t>
  </si>
  <si>
    <t>柴宗森</t>
  </si>
  <si>
    <t>哈密办事处</t>
  </si>
  <si>
    <t>新疆国龙贸易有限公司</t>
  </si>
  <si>
    <t>陈俊山</t>
  </si>
  <si>
    <t>大客户一部</t>
  </si>
  <si>
    <t>新疆金脉国际物流有限公司</t>
  </si>
  <si>
    <t>王科</t>
  </si>
  <si>
    <t>朱睿</t>
  </si>
  <si>
    <t>赵彩玉</t>
  </si>
  <si>
    <t>新疆广汇煤炭清洁炼化有限责任公司</t>
  </si>
  <si>
    <t>宁夏宝丰能源集团股份有限公司</t>
  </si>
  <si>
    <t>内蒙古鄂尔多斯永煤矿业投资有限公司</t>
  </si>
  <si>
    <t>负责人</t>
  </si>
  <si>
    <t>汤海</t>
  </si>
  <si>
    <t>乌鲁木齐电业局电力器材公司</t>
  </si>
  <si>
    <r>
      <rPr>
        <b/>
        <sz val="16"/>
        <rFont val="宋体"/>
        <family val="3"/>
        <charset val="134"/>
      </rPr>
      <t>2014年</t>
    </r>
    <r>
      <rPr>
        <b/>
        <sz val="16"/>
        <rFont val="宋体"/>
        <family val="3"/>
        <charset val="134"/>
      </rPr>
      <t>3月特变电工新缆厂回款计划明细表</t>
    </r>
  </si>
  <si>
    <t>本月降低应收账款的回款1</t>
  </si>
  <si>
    <t>清收性质/</t>
  </si>
  <si>
    <t>目前款项的清收进度</t>
  </si>
  <si>
    <t>清收措施</t>
  </si>
  <si>
    <t>困难款项说明</t>
  </si>
  <si>
    <t>已回款金额</t>
  </si>
  <si>
    <t>预付款</t>
  </si>
  <si>
    <t>进度款</t>
  </si>
  <si>
    <t>发货款</t>
  </si>
  <si>
    <t>投运/安装款</t>
  </si>
  <si>
    <t>验收款</t>
  </si>
  <si>
    <t>吐哈办事处</t>
  </si>
  <si>
    <t>国投新疆罗布泊钾盐有限责任公司</t>
  </si>
  <si>
    <t>逾期1个月</t>
  </si>
  <si>
    <t>金建国</t>
  </si>
  <si>
    <t>王宏伟</t>
  </si>
  <si>
    <t>李文/赵士林</t>
  </si>
  <si>
    <t>杨金祥负责清收，报资金计划，付款手续正在办理中</t>
  </si>
  <si>
    <t>杨金祥负责清收，本月办理付款手续，因为对方上新系统，延缓付款。杨金祥及时与对方财务对接好，确保本月收回5.03万元</t>
  </si>
  <si>
    <t>因为对方上新系统，延缓付款。</t>
  </si>
  <si>
    <t>特变电工股份有限公司//吐哈石油勘探开发指挥部</t>
  </si>
  <si>
    <t>本月到期</t>
  </si>
  <si>
    <t>金建国负责清收，已办理挂账手续</t>
  </si>
  <si>
    <t>金建国负责清收，已办理挂账手续，督促客户单位3月份办款，争取收回200万元。</t>
  </si>
  <si>
    <t>无</t>
  </si>
  <si>
    <t>吐哈石油勘探开发指挥部</t>
  </si>
  <si>
    <t>金建国负责清收，已办理挂账手续，等待付款</t>
  </si>
  <si>
    <t>金建国负责清收，已办理挂账手续，督促客户单位3月份办款，争取月底前收回。</t>
  </si>
  <si>
    <t>特变电工股份有限公司//中国石油吐哈油田分公司</t>
  </si>
  <si>
    <t>已办理挂账手续，付款手续正在办理中</t>
  </si>
  <si>
    <t>金建国负责盯收该款项，争取做工作，付款手续正在办理中，争取3月份收回200万元</t>
  </si>
  <si>
    <t>本月到期款</t>
  </si>
  <si>
    <t>金额较小，已办理相关付款手续，和后期款项一起支付，争取4月份支付</t>
  </si>
  <si>
    <t>金建国负责盯收该款项，争取做工作，付款手续正在办理中，争取4月份收回。</t>
  </si>
  <si>
    <t>新疆哈密九川矿业有限责任公司</t>
  </si>
  <si>
    <t>库尔勒办事处</t>
  </si>
  <si>
    <t>林立反映该款项未到期，希望财务进行核对，预计该款9月份收回。</t>
  </si>
  <si>
    <t>争取做工作，因为对方资金困难，林立反映该款项未到期，希望财务进行核对，预计该款9月份收回。</t>
  </si>
  <si>
    <t>库尔勒华信自控有限责任公司</t>
    <phoneticPr fontId="37" type="noConversion"/>
  </si>
  <si>
    <t>本月发货款</t>
  </si>
  <si>
    <t>货到办理付款手续，预计3月份发货</t>
  </si>
  <si>
    <t>林立负责盯收货到现场验收合格后付款，近期正在发货，货到就可以收款，3月份预计可以收回100万元。</t>
  </si>
  <si>
    <t>新疆博澳机电工程有限责任公司</t>
  </si>
  <si>
    <t>新疆生产建设兵团农一师电力公司</t>
  </si>
  <si>
    <t>该笔款为增补合同剩余款项，因电力设计院对产品的变更未给予批复手续，办事处已督促推动相关手续，目前还在继续落实手续批复情况。</t>
  </si>
  <si>
    <t>刘文华负责盯收已经挂账，正在办理付款手续，2月份付款</t>
  </si>
  <si>
    <t>手续办理问题</t>
  </si>
  <si>
    <t>阿克苏鸿通电业发展有限责任公司</t>
  </si>
  <si>
    <t>此款2014年1月到期，本月办理付款手续本月争取付款</t>
  </si>
  <si>
    <t>刘文华负责盯收，本月办理相关支付手续，上报付款计划，次月可付。</t>
  </si>
  <si>
    <t>库车县科兴煤炭实业有限责任公司</t>
  </si>
  <si>
    <t>本月质保金到期</t>
  </si>
  <si>
    <t>未到期</t>
  </si>
  <si>
    <t>刘文华负责盯收，争取提前办理付款手续，提前回款。</t>
  </si>
  <si>
    <t>喀什办事处</t>
  </si>
  <si>
    <t>逾期7个月</t>
  </si>
  <si>
    <t>工程暂未验收，付款手续暂未办理</t>
  </si>
  <si>
    <t>严利军负责盯收，工程暂未验收，争取3月25日前收回。</t>
  </si>
  <si>
    <t>阿克陶大安冶金科技有限公司</t>
  </si>
  <si>
    <t>到期款争取4月份收回，已经沟通，对方承诺到期款和质保金一起支付，严利军负责盯收</t>
  </si>
  <si>
    <t>承诺和质保金一起支付</t>
  </si>
  <si>
    <t>正在协调对方办理保理的相关手续</t>
  </si>
  <si>
    <t>严利军负责盯收，争取3月10日前收回283万元保理，正在等待对方付款。</t>
  </si>
  <si>
    <t>对方资金困难</t>
  </si>
  <si>
    <t>业务员正在做工作，争取3月份将付款手续办理完毕，收回该款。</t>
  </si>
  <si>
    <t>严利军负责，争取做工作，争取3月份收回。</t>
  </si>
  <si>
    <t>严利军负责，已经做了沟通工作，争取收回。</t>
  </si>
  <si>
    <t>阿克陶县昆础铁矿业有限责任公司</t>
  </si>
  <si>
    <t>克东县蒙西建材有限责任公司</t>
  </si>
  <si>
    <t>因为我厂晚交货52天，对方要对我厂进行罚款，现在梁明专门负责清收该款项，6万元款项已经回来，剩余1.43万元目前还在全力争取</t>
  </si>
  <si>
    <t>梁明负责，相关手续已办理完毕，争取1月清收完毕</t>
  </si>
  <si>
    <t>特变电工股份有限公司//独石化</t>
  </si>
  <si>
    <t>孙立新</t>
  </si>
  <si>
    <t>3月争取</t>
  </si>
  <si>
    <t>本月前往催收，争取3月回款</t>
  </si>
  <si>
    <t>特变电工股份有限公司//石油工程建设</t>
  </si>
  <si>
    <t>3月争取，目前对方尚未没上班</t>
  </si>
  <si>
    <t>对方资金紧张，且目前尚未上班。3月争取回款</t>
  </si>
  <si>
    <t>特变电工股份有限公司//石油管理局</t>
  </si>
  <si>
    <t>新疆维吾尔自治区石油管理局/2013年以前没有开票部分（20.22万元）</t>
  </si>
  <si>
    <t>新疆石油工程建设有限责任公司</t>
  </si>
  <si>
    <t>私人/汤海/国电克拉玛依发电有限公司</t>
  </si>
  <si>
    <t>私人/汤海/新疆三联工程建设有限责任公司</t>
  </si>
  <si>
    <t>中国石油天然气股份有限公司新疆油田分公司</t>
  </si>
  <si>
    <t>3月确保回款</t>
  </si>
  <si>
    <t>石河子办事处</t>
  </si>
  <si>
    <t>郭瑞吉</t>
  </si>
  <si>
    <t>现款现货订单</t>
  </si>
  <si>
    <t>现款现货订单发货款</t>
  </si>
  <si>
    <t>3.25检修，贷款预计批下来。争取回款</t>
  </si>
  <si>
    <t>对方3月检修，届时估计贷款能批下来。正在催收</t>
  </si>
  <si>
    <t>资金紧张</t>
  </si>
  <si>
    <t>新疆庆华投资控股有限公司</t>
  </si>
  <si>
    <t>逾期4个月</t>
  </si>
  <si>
    <t>伊犁川宁生物技术有限公司</t>
  </si>
  <si>
    <t>质保金逾期1个月</t>
  </si>
  <si>
    <t>86万下周，3月争取</t>
  </si>
  <si>
    <t>下周确保86万，余款争取3月回</t>
  </si>
  <si>
    <t>伊泰伊犁能源有限公司</t>
  </si>
  <si>
    <t>已和对方沟通，3月争取回款</t>
  </si>
  <si>
    <t>2月对方对外停付，3月确保</t>
  </si>
  <si>
    <t>正在努力和对方沟通</t>
  </si>
  <si>
    <t>新疆生产建设兵团第四师电力公司</t>
  </si>
  <si>
    <t>250万已回，100万承兑在手。3月争取回200，部分货物未发</t>
  </si>
  <si>
    <t>本月无法再回款，3月争取回款200万</t>
  </si>
  <si>
    <t>伊泰新疆能源有限公司</t>
  </si>
  <si>
    <t>安康市金峰矿业有限公司</t>
  </si>
  <si>
    <t>和对方沟通后初步确定本月可回，3月确保回款</t>
  </si>
  <si>
    <t>，本月底争取，3月确保回款</t>
  </si>
  <si>
    <t>和布克赛尔蒙古自治县沙吉海煤业有限责任公司</t>
  </si>
  <si>
    <t>未发货</t>
  </si>
  <si>
    <t>乌恰县金旺矿业发展有限责任公司</t>
  </si>
  <si>
    <t>正在走手续，3月确保回款</t>
  </si>
  <si>
    <t>新疆阿舍勒铜业股份有限公司</t>
  </si>
  <si>
    <t>已回417.2万元，其余款项今年不到期，目前有368万元增补合同，4月16日签的合同，6月12日下生产计划，涉及到铜价较高，目前要调整单价，手续比较麻烦，到货款手续预计12月办理。</t>
  </si>
  <si>
    <t>本月继续沟通调整价格，尽快办理手续u，争取实现回款</t>
  </si>
  <si>
    <t>3月争取100万</t>
  </si>
  <si>
    <t>正在办理信息费，争取3月回款</t>
  </si>
  <si>
    <t>新疆全荣建材有限公司</t>
  </si>
  <si>
    <t>青海威斯特铜业有限责任公司</t>
  </si>
  <si>
    <t>新疆双源新材料有限公司</t>
  </si>
  <si>
    <t>茌平信发华兴化工有限公司</t>
  </si>
  <si>
    <t>逾期3个月/运行款本月到期</t>
  </si>
  <si>
    <t>汪玉春</t>
  </si>
  <si>
    <t>徐国礼负责盯收，付款手续已经办理完毕，因为12月份提前收回500万元，所以该款项办理有难度，争取2月份收回100万元承兑</t>
  </si>
  <si>
    <t>因12月份已经提前支付我厂一部分款项，本月收回100万元有难度</t>
  </si>
  <si>
    <t>茌平信源铝业有限公司</t>
  </si>
  <si>
    <t>逾期6个月</t>
  </si>
  <si>
    <t>已经报了资金计划</t>
  </si>
  <si>
    <t>徐国礼负责盯收，已经报了资金计划，徐国礼过去现场清收，预计3月份收回9.66万元</t>
  </si>
  <si>
    <t>新疆农六师煤电有限公司/2012年以前没有开票：0.6万元</t>
  </si>
  <si>
    <t>已经报了资金计划，付款手续正在办理中</t>
  </si>
  <si>
    <t>徐国礼负责盯收该款项，尽快开具发票，挂账收款，此货款预计本月到账</t>
  </si>
  <si>
    <t>新疆农六师铝业有限公司</t>
  </si>
  <si>
    <t>付款手续正在办理中</t>
  </si>
  <si>
    <t>徐国礼负责盯收，付款手续正在办理中，预计2月份收回。</t>
  </si>
  <si>
    <t>新疆八一钢铁股份有限公司/2013年以前未开票现有4.60万元</t>
  </si>
  <si>
    <t>徐国礼负责盯收，尽快开具发票，挂账收款</t>
  </si>
  <si>
    <t>新疆钢铁雅满苏矿业有限责任公司</t>
  </si>
  <si>
    <t>本月已经报了资金计划</t>
  </si>
  <si>
    <t>徐国礼负责盯收，已经报了资金计划，预计3月份收回</t>
  </si>
  <si>
    <t>新疆八钢金属制品有限公司</t>
  </si>
  <si>
    <t>徐国礼负责盯收，争取做工作，争取在3月份收回</t>
  </si>
  <si>
    <t>新疆八钢南疆钢铁拜城有限公司</t>
  </si>
  <si>
    <t>付款手续已经办理完毕</t>
  </si>
  <si>
    <t>徐国礼负责盯收，付款手续已经办理完毕，争取3月份收回</t>
  </si>
  <si>
    <t>乌鲁木齐新伟鑫进出口贸易有限公司</t>
  </si>
  <si>
    <t>正在办理付款手续，继续做工作</t>
  </si>
  <si>
    <t>徐国礼负责盯收，争取3月份收回</t>
  </si>
  <si>
    <t>江苏省苏中建设集团股份有限公司</t>
  </si>
  <si>
    <t>等股份公司给施工方付款，付款后施工方给我厂支付货款，目前资金已批到股份公司财务部</t>
  </si>
  <si>
    <t>本月将此款处理完毕</t>
  </si>
  <si>
    <t>股份公司未给苏中建设付款，导致苏中建设未付款</t>
  </si>
  <si>
    <t>新特能源股份有限公司/硅业</t>
  </si>
  <si>
    <t>跟踪手续进度，确保本月回款</t>
  </si>
  <si>
    <t>争取本月回款</t>
  </si>
  <si>
    <t>开票挂账后，催办支付</t>
  </si>
  <si>
    <t>跟踪手续进度，内部单位，争取本月回款</t>
  </si>
  <si>
    <t>特变电工股份有限公司能源动力分公司</t>
  </si>
  <si>
    <t>由于晚交货，需厂领导协助</t>
  </si>
  <si>
    <t>由于晚交货原因，正在与对方领导协商，争取本月回款</t>
  </si>
  <si>
    <t>晚交货原因，需领导支持</t>
  </si>
  <si>
    <t>特变电工股份有限公司/商务区</t>
  </si>
  <si>
    <t>正在努力催办手续，争取三月回款</t>
  </si>
  <si>
    <t>特变电工股份有限公司/进出口</t>
  </si>
  <si>
    <t>需沟通确认后，尽早办理付款手续</t>
  </si>
  <si>
    <t>特变电工股份有限公司（国际工程项目公司）/新疆变压器厂</t>
  </si>
  <si>
    <t>新疆特变电工亚新国际物流有限公司</t>
  </si>
  <si>
    <t>乌昌二处/张健</t>
  </si>
  <si>
    <t>新疆电力设计院/业务员申请转入大项目处未审批完毕</t>
  </si>
  <si>
    <t>质保金到期时间2013年12月，回款难度较大，对方单位正在想办法</t>
  </si>
  <si>
    <t>回款难度大将转入债权部，徐国礼负责清收</t>
  </si>
  <si>
    <t>乌昌二处/高峰</t>
  </si>
  <si>
    <t>新疆众和股份有限公司</t>
  </si>
  <si>
    <t>高峰</t>
  </si>
  <si>
    <t>高峰负责，正常清收！</t>
  </si>
  <si>
    <t>乌昌二处/吴冠军</t>
  </si>
  <si>
    <t>吴冠军负责，正常清收！</t>
  </si>
  <si>
    <t>乌昌二处/姜国龙</t>
  </si>
  <si>
    <t>姜国龙负责，正常清收！</t>
  </si>
  <si>
    <t>乌昌二处/杨晓磊</t>
  </si>
  <si>
    <t>杨晓磊负责，正常清收！</t>
  </si>
  <si>
    <t>乌昌二处/董晓织</t>
  </si>
  <si>
    <t>董晓织</t>
  </si>
  <si>
    <t>董晓织负责，正常清收！</t>
  </si>
  <si>
    <t>乌昌二处/马寿宏</t>
  </si>
  <si>
    <t>马寿宏</t>
  </si>
  <si>
    <t>马寿宏负责，正常清收！</t>
  </si>
  <si>
    <t>乌昌二处/梁明</t>
  </si>
  <si>
    <t>乌昌二处/杨辉文</t>
  </si>
  <si>
    <t>乌昌二处/逯天才</t>
  </si>
  <si>
    <t>乌昌二处/岳树民</t>
  </si>
  <si>
    <t>乌昌二处/王新莲</t>
  </si>
  <si>
    <t>乌昌二处/徐敏</t>
  </si>
  <si>
    <t>乌昌二处/石婷婷</t>
  </si>
  <si>
    <t>疆外项目部</t>
  </si>
  <si>
    <t>中铁电气化局集团北京建筑工程有限公司</t>
  </si>
  <si>
    <t>未到期，提前回款</t>
  </si>
  <si>
    <t>贾全负责清收，争取回款。</t>
  </si>
  <si>
    <t>现款现货</t>
  </si>
  <si>
    <t>私人/贾全/嘉峪关大友企业公司动力安装公司</t>
  </si>
  <si>
    <t>质保金逾期3月</t>
  </si>
  <si>
    <t>贾全负责清收，确保回款。</t>
  </si>
  <si>
    <t>付款手续已走完，等待付款。</t>
  </si>
  <si>
    <t>嘉峪关大友企业公司商贸公司</t>
  </si>
  <si>
    <t>贾全负责盯收，已收回承兑汇票20万元。</t>
  </si>
  <si>
    <t>客户因支付我厂18.52万元，但实际客户付承兑汇票20万元，多出来1.45万元已打专项报告审批完毕退回客户后办理入账。</t>
  </si>
  <si>
    <t>私人/贾全/嘉峪关大友嘉镁钙业有限公司</t>
  </si>
  <si>
    <t>宁夏英力特化工股份有限公司树脂分公司</t>
  </si>
  <si>
    <t>本月已回款30万元</t>
  </si>
  <si>
    <t>贾全经理负责及时办理付款手续，亲自前往办理，部分付款手续已经办理完毕，正常付款。</t>
  </si>
  <si>
    <t>广州市天赐三和环保工程有限公司</t>
  </si>
  <si>
    <t>电力电缆项目公司小计</t>
  </si>
  <si>
    <t>史健</t>
  </si>
  <si>
    <t>许尔龙/王凯</t>
  </si>
  <si>
    <t>李小东/温胜军/潘传勇</t>
  </si>
  <si>
    <t>目前挂账1900万，争取将挂账部分的货款全部收回</t>
  </si>
  <si>
    <t>对于神华目前汇款，已挂帐的由本人陈俊山专门盯收，困难方面可请示领导，必要时请领导前来协商</t>
  </si>
  <si>
    <t>逾期5个月以上</t>
  </si>
  <si>
    <t>由陈俊山专人跟进回款</t>
  </si>
  <si>
    <t>争取在三月收回</t>
  </si>
  <si>
    <t>陕西煤业物资有限责任公司西安分公司</t>
  </si>
  <si>
    <t>运行款3月到期/到货款逾期6月</t>
  </si>
  <si>
    <t>验收完毕等待付款，专人现场盯守办理</t>
  </si>
  <si>
    <t>清水河县蒙西水泥有限公司</t>
  </si>
  <si>
    <t>童桂强</t>
  </si>
  <si>
    <t>由童桂强现场盯守办理，另通过以我公司名义电话催款，实施高压回款政策.</t>
  </si>
  <si>
    <t>由童桂强专人盯收</t>
  </si>
  <si>
    <t>内蒙古鄂尔多斯酒业集团有限公司</t>
  </si>
  <si>
    <t>由史健专人盯收</t>
  </si>
  <si>
    <t>正在协调办理</t>
  </si>
  <si>
    <t>由张永旗专人盯收</t>
  </si>
  <si>
    <t>逾期3个月以上</t>
  </si>
  <si>
    <t>对方答三月支付安装运行款25万。</t>
  </si>
  <si>
    <t>由崔强专人盯收</t>
  </si>
  <si>
    <t>李健军/李彦杰</t>
  </si>
  <si>
    <t>验收单已经全部办理完毕、付款申请报告也已经拟好，目前等待单文孝副董事长签字即可付款。</t>
  </si>
  <si>
    <t>前往新疆广汇新能源现场进行清收</t>
  </si>
  <si>
    <t>新疆广汇新能源有限公司</t>
  </si>
  <si>
    <t>争取三月回款</t>
  </si>
  <si>
    <t>由刘二明负责盯收</t>
  </si>
  <si>
    <t>新疆红淖三铁路有限公司</t>
  </si>
  <si>
    <t>库拜办事处</t>
  </si>
  <si>
    <t>大连华锐重工集团股份有限公司</t>
  </si>
  <si>
    <t>牛海鹏</t>
  </si>
  <si>
    <t>对方已支付，我方暂未收到</t>
  </si>
  <si>
    <t>孟冬冬</t>
  </si>
  <si>
    <t>只剩质保金1.187964万元（2013年7月到期）</t>
  </si>
  <si>
    <t>内蒙古平庄能源股份有限公司物资供应公司</t>
  </si>
  <si>
    <t>新疆其亚铝电有限公司</t>
  </si>
  <si>
    <t>戴建伟</t>
  </si>
  <si>
    <t>本月确保回款</t>
  </si>
  <si>
    <t>新兴铸管阜康能源有限公司</t>
  </si>
  <si>
    <t>我方已收到承兑，需要对方出具证明，争取本月拿到证明</t>
  </si>
  <si>
    <t>由晋岩专人负责</t>
  </si>
  <si>
    <t>原乌昌二处/转入重大项目</t>
  </si>
  <si>
    <t>私人/吴学强/北京兴宜世纪科技有限公司</t>
  </si>
  <si>
    <t>原业务员周生义/现转入重大</t>
  </si>
  <si>
    <t>正在与对方沟通</t>
  </si>
  <si>
    <t>若不能正常清收，将采取法律手段</t>
  </si>
  <si>
    <t>从广汇红淖三铁路财务内部了解新疆电力设计院付工程款情况，并作相关回款计划</t>
  </si>
  <si>
    <t>乌苏四棵树煤炭有限责任公司</t>
  </si>
  <si>
    <t>优派能源（阜康）煤业有限公司</t>
  </si>
  <si>
    <t>对方资金紧张</t>
  </si>
  <si>
    <t>私人/于培荣/新疆神新发展有限责任公司吉木萨尔县顺通煤矿</t>
  </si>
  <si>
    <t>三月确保付款</t>
  </si>
  <si>
    <t>神华新疆能源有限责任公司苇湖梁煤矿</t>
  </si>
  <si>
    <t>三月份才到期业务员前往来市场联系清收</t>
  </si>
  <si>
    <t>中煤能源新疆天山煤电有限责任公司呼图壁分公司</t>
  </si>
  <si>
    <t>本月到期质保金款</t>
  </si>
  <si>
    <t>手续已经全部走完，3月份确保回款</t>
  </si>
  <si>
    <t>乌鲁木齐市新昌平机电设备有限公司</t>
  </si>
  <si>
    <t>由于明明负责盯收</t>
  </si>
  <si>
    <t>神华大雁工程建设有限公司建筑安装分公司</t>
  </si>
  <si>
    <t>新疆中信国安葡萄酒业有限公司阜康分公司</t>
  </si>
  <si>
    <t>新疆五鑫铜业有限责任公司</t>
  </si>
  <si>
    <t>到现场找对方领导清收或请王志林厂长协助清收。</t>
  </si>
  <si>
    <t>对方资金无法保证</t>
  </si>
  <si>
    <t>新疆华泰重化工有限责任公司</t>
  </si>
  <si>
    <t>私人/吴学强/巴里坤哈萨克自治县明鑫煤炭有限责任公司</t>
  </si>
  <si>
    <t>电话催收或到现场清收</t>
  </si>
  <si>
    <t>对方答应本月支付</t>
  </si>
  <si>
    <t>新疆屯南煤业有限责任公司</t>
  </si>
  <si>
    <t>新疆五江兴华实业有限公司</t>
  </si>
  <si>
    <t>新疆富城矿业投资有限公司</t>
  </si>
  <si>
    <t>货物已验收，争取三月份回款</t>
  </si>
  <si>
    <t>由周生义每天电话盯收，并到对方找领导催收</t>
  </si>
  <si>
    <t>特缆项目公司小计</t>
  </si>
  <si>
    <t>国网新疆电力公司昌吉供电公司/新疆电力公司昌吉电业局</t>
  </si>
  <si>
    <t>逾期2-5个月</t>
  </si>
  <si>
    <t>王国志/段国权</t>
  </si>
  <si>
    <t>此项目结转为2014年项目，昌吉局正在协调此笔款项，后期继续跟踪</t>
  </si>
  <si>
    <t>国网新疆电力公司乌鲁木齐供电公司/新疆电力公司乌鲁木齐电业局</t>
  </si>
  <si>
    <t>其中部分工程货款属政府工程，市政资金不足未能给乌局付款，乌局无资金支付。剩余民生工程属计划外项目，目前资金尚未到位。</t>
  </si>
  <si>
    <t>国网新疆阿克苏供电有限责任公司/新疆阿克苏电力有限公司</t>
  </si>
  <si>
    <t>现因线路问题，未全部投运。占无法付款。后期继续跟踪落实。</t>
  </si>
  <si>
    <t>专人盯办，预计下月可回款</t>
  </si>
  <si>
    <t>国网新疆塔城供电有限责任公司/塔城电力有限责任公司</t>
  </si>
  <si>
    <t>2013年年底已付过一批质保金。后期争取与对方沟通给予付款。</t>
  </si>
  <si>
    <t>专人盯办</t>
  </si>
  <si>
    <t>国网新疆电力公司哈密供电公司</t>
  </si>
  <si>
    <t>已上报资金计划，本月可回款</t>
  </si>
  <si>
    <t>国网新疆电力公司吐鲁番供电公司</t>
  </si>
  <si>
    <t>预作收入，预计2014年4月份发货，未到期</t>
  </si>
  <si>
    <t>由焦艳广专人盯办</t>
  </si>
  <si>
    <t>国网新疆电力公司沙湾县供电公司</t>
  </si>
  <si>
    <t>其中含投运款，项目未投运，剩余质保金2013年7月份发货，未到期</t>
  </si>
  <si>
    <t>未到期，专人盯办</t>
  </si>
  <si>
    <t>国网新疆巴州供电有限责任公司/新疆巴州电力有限责任公司</t>
  </si>
  <si>
    <t>逾期2-6个月</t>
  </si>
  <si>
    <t>本月已收回部分质保金，下月也已上报25.8万元质保金。后期继续跟踪。</t>
  </si>
  <si>
    <t>预计下月可回款</t>
  </si>
  <si>
    <t>国网新疆电力公司木垒县供电公司</t>
  </si>
  <si>
    <t>项目结转2014年，目前正在协调，争取上报3月份资金计划</t>
  </si>
  <si>
    <t>国网新疆伊犁供电有限责任公司/新疆伊犁电力有限责任公司</t>
  </si>
  <si>
    <t>逾期1-5个月</t>
  </si>
  <si>
    <t>此笔款项因上月付款时对方失误将合同金额弄错，现正在与对方协调。后期前往伊犁办理</t>
  </si>
  <si>
    <t>后期前往伊犁专人办理</t>
  </si>
  <si>
    <t>国网新疆电力公司博尔塔拉供电公司</t>
  </si>
  <si>
    <t>国网新疆疆南供电有限责任公司</t>
  </si>
  <si>
    <t>本月已报计划，下月回款月2100万元</t>
  </si>
  <si>
    <t>本月已报计划</t>
  </si>
  <si>
    <t>一月已经支付部分货款（64万），由于天气原因对方施工单位无法施工，对方其余工程未动工无资金付款。</t>
  </si>
  <si>
    <t>宋佳龙专人盯办，本月继续跟踪</t>
  </si>
  <si>
    <t>无锡华能电缆有限公司/法律部</t>
  </si>
  <si>
    <t>将转法律部进行清收</t>
  </si>
  <si>
    <t>新疆光源电力实业总公司</t>
  </si>
  <si>
    <t>钟鼎负责盯办</t>
  </si>
  <si>
    <t>已多次前往收取，资金计划无法上报</t>
  </si>
  <si>
    <t>哈密电力实业开发总公司</t>
  </si>
  <si>
    <t>2013年年底已发货，目前项目未开工、正在协调收款。</t>
  </si>
  <si>
    <t>此款项为多晶三产单位，付款流程复杂，前期已多次前往，先针对材料未付款，后期继续跟踪。</t>
  </si>
  <si>
    <t>此款项为多经三产单位，付款流程复杂，前期已多次前往，先针对材料未付款，后期继续跟踪。</t>
  </si>
  <si>
    <t>新疆喀什电盛有限责任公司莎车分公司</t>
  </si>
  <si>
    <t>新疆喀什电盛有限责任公司岳普湖分公司</t>
  </si>
  <si>
    <t>湘潭水利电力开发有限公司</t>
  </si>
  <si>
    <t>业务员负责盯办年前一直在清收此单位货款，由于此单位资金未到位，此合同时巴州电力公司与此单位合作客户。</t>
  </si>
  <si>
    <t>此欠款本月正在督促清收.</t>
  </si>
  <si>
    <t>国网四川南部县供电有限责任公司</t>
  </si>
  <si>
    <t>客户已退货</t>
  </si>
  <si>
    <t>手续正在办理</t>
  </si>
  <si>
    <t>新疆大明德电力有限公司</t>
  </si>
  <si>
    <t>计划外回款</t>
  </si>
  <si>
    <t>国网甘肃省电力公司/甘肃省电力公司</t>
  </si>
  <si>
    <t>到货款到逾期2个月</t>
  </si>
  <si>
    <t>柳彦军/桑志勇</t>
  </si>
  <si>
    <t>同一办理，资金已上报</t>
  </si>
  <si>
    <t>客户反馈未到期</t>
  </si>
  <si>
    <t>武威电力光明工贸有限责任公司</t>
  </si>
  <si>
    <t>甘肃宏亚建筑工程有限公司</t>
  </si>
  <si>
    <t>国网宁夏电力公司物资公司/宁夏电力公司物资供应公司</t>
  </si>
  <si>
    <t>所有款项逾期3-6个月</t>
  </si>
  <si>
    <t>陈思航</t>
  </si>
  <si>
    <t>特变电工股份有限公司/兰化</t>
  </si>
  <si>
    <t>由桑志勇专人盯办</t>
  </si>
  <si>
    <t>手续正在办理，资金未上报</t>
  </si>
  <si>
    <t>私人/贾全/宁夏电力公司宁东供电局</t>
  </si>
  <si>
    <t>专人跟踪盯办，确保3月份可收回</t>
  </si>
  <si>
    <t>手续已办理，资金已上报</t>
  </si>
  <si>
    <t>宁夏电力公司石嘴山供电局</t>
  </si>
  <si>
    <t>中国电力工程顾问集团西北电力设计院</t>
  </si>
  <si>
    <t>逾期1个月以上</t>
  </si>
  <si>
    <t>刘海龙专人盯办争取3月收回</t>
  </si>
  <si>
    <t>资金未上报，本月上报资金计划</t>
  </si>
  <si>
    <t>国网陕西省电力公司/陕西省电力公司</t>
  </si>
  <si>
    <t>需前往施工现场确认工程是否运行，争取一季度争取收回</t>
  </si>
  <si>
    <t>西藏昌都供电有限公司</t>
  </si>
  <si>
    <t>逾期2个月以上/质保金本月到期</t>
  </si>
  <si>
    <t>张超前往昌都盯办</t>
  </si>
  <si>
    <t>争取3月收回</t>
  </si>
  <si>
    <t>国网西藏电力有限公司/西藏电力有限公司</t>
  </si>
  <si>
    <t>张超专人盯办</t>
  </si>
  <si>
    <t>与西藏对账存在差异</t>
  </si>
  <si>
    <t>质保金款，刘敏专门盯办</t>
  </si>
  <si>
    <t>质保金未到期，刘敏专门盯办，预计3月份收回</t>
  </si>
  <si>
    <t>有色办事处</t>
  </si>
  <si>
    <t>新疆西山电缆厂</t>
  </si>
  <si>
    <t>刘来庆</t>
  </si>
  <si>
    <t>李伟</t>
  </si>
  <si>
    <t>当月发货当月收回款项</t>
  </si>
  <si>
    <t>加紧生产确保回款</t>
  </si>
  <si>
    <t>新疆亿进电线电缆有限公司</t>
  </si>
  <si>
    <t>新疆博源线缆有限公司</t>
  </si>
  <si>
    <t>新疆新博洋线缆制造有限公司</t>
  </si>
  <si>
    <t>节能导线项目公司小计</t>
  </si>
  <si>
    <t>连锁店</t>
  </si>
  <si>
    <t>连锁店现款现货</t>
  </si>
  <si>
    <t>确保可回款300万元</t>
  </si>
  <si>
    <t>各经销商连锁店</t>
  </si>
  <si>
    <t>孙立波</t>
  </si>
  <si>
    <t>曹振艳/马永生/慕慧娟</t>
  </si>
  <si>
    <t>现款现货业务本月发货本月收款</t>
  </si>
  <si>
    <t>通用电线项目公司小计</t>
  </si>
  <si>
    <t>华北二处</t>
  </si>
  <si>
    <t>王斌</t>
  </si>
  <si>
    <t>王品山/李冰大</t>
  </si>
  <si>
    <t>客户已经在审批该笔款项的支付手续。计划月底打款</t>
  </si>
  <si>
    <t>专人与客户沟通</t>
  </si>
  <si>
    <t>暂无</t>
  </si>
  <si>
    <t>中国水电建设集团国际工程有限公司</t>
  </si>
  <si>
    <t>目前我厂已经开具发票并快递至客户，客户正在办理支付流程，计划月底打款</t>
  </si>
  <si>
    <t>专人盯收</t>
  </si>
  <si>
    <t>客户将付款厂家分为优先支付，暂停支付等几级，业务员正在争取，将我厂纳入优先支付等级名单中。</t>
  </si>
  <si>
    <t>重大项目部</t>
  </si>
  <si>
    <t>特变电工股份有限公司//华北油田XL-13-025出口代理</t>
  </si>
  <si>
    <t>与客户沟通完毕，确保月底回款。</t>
  </si>
  <si>
    <t>正在与客户沟通货款事宜</t>
  </si>
  <si>
    <t>边贸部</t>
  </si>
  <si>
    <t>特变电工股份有限公司//吉尔吉斯斯坦克明500kV变电站</t>
  </si>
  <si>
    <t>业务员正在积极沟通，预计2月确保可回。</t>
  </si>
  <si>
    <t>华北一处</t>
  </si>
  <si>
    <t>中国机械设备工程股份有限公司</t>
  </si>
  <si>
    <t>业务员正在积极同客户沟通，目前确认客户月底付款</t>
  </si>
  <si>
    <t>收款耗时较长</t>
  </si>
  <si>
    <t>私人/吴南生/中国石油天然气运输公司新疆国际工程技术服务分公司</t>
  </si>
  <si>
    <t>客户已经在审批支付流程。</t>
  </si>
  <si>
    <t>正在跟踪该笔款项的具体进展</t>
  </si>
  <si>
    <t>由于是代理出口，需等待国外客户的最终回复，支付手续较为繁琐</t>
  </si>
  <si>
    <t>新疆恒隆基业工程技术服务有限公司</t>
  </si>
  <si>
    <t>私人（林伟）/中国有色金属建设股份有限公司/此单位已转入其他应收款无扣款</t>
  </si>
  <si>
    <t>逾期1年以上</t>
  </si>
  <si>
    <t>按照合同实际规定条款，该笔质保金尚未到期。</t>
  </si>
  <si>
    <t>专人跟踪</t>
  </si>
  <si>
    <t>国际贸易部小计</t>
  </si>
  <si>
    <t>项目一处</t>
  </si>
  <si>
    <t>特变电工股份有限公司///郑州地铁</t>
  </si>
  <si>
    <t>逾期2-3个月</t>
  </si>
  <si>
    <t>张朝辉</t>
  </si>
  <si>
    <t>已回款80万，余款争取</t>
  </si>
  <si>
    <t>业务经理积极跟踪，争取全额回款</t>
  </si>
  <si>
    <t>对方运行款到期时间和我厂不一致</t>
  </si>
  <si>
    <t>特变电工股份有限公司／大西铁路（A2013-04-014DXTL）</t>
  </si>
  <si>
    <t>同财务对账，此款尚未到期，计划打报告调整</t>
  </si>
  <si>
    <t>特变电工股份有限公司／新客站（A2013-08-004XK）</t>
  </si>
  <si>
    <t>目前正在办理付款手续，目前尚未运行本月争取回款</t>
  </si>
  <si>
    <t>业务经理积极跟踪，争取本月实现回款</t>
  </si>
  <si>
    <t>大客户一部小计</t>
  </si>
  <si>
    <t>逾期1-2个月</t>
  </si>
  <si>
    <t>确保200万元</t>
  </si>
  <si>
    <t>目前200万元手续已经办理完毕，目前等总部批钱，本月确保，余下200万元正在集中办理手续</t>
  </si>
  <si>
    <t>私人/线宏伟/新疆东方希望碳素有限公司</t>
  </si>
  <si>
    <t>质保金逾期2个月</t>
  </si>
  <si>
    <t>新疆东明塑胶有限公司</t>
  </si>
  <si>
    <t>特变电工股份有限公司/二十一局（A2013-10-002Z）</t>
  </si>
  <si>
    <t>逾期1月以内</t>
  </si>
  <si>
    <t>本月确保回款，等待业主方拨款</t>
  </si>
  <si>
    <t>客户单位已经确认本月可以实现回款</t>
  </si>
  <si>
    <t>乌海中联化工有限公司/资料不全无法起诉债权部转回</t>
  </si>
  <si>
    <t>前期对方单位以电缆未投入到项目为由拒绝付款，且经过债权部的催要对方要求必须支付晚交货违约金，违约金超过欠款金额，无进展</t>
  </si>
  <si>
    <t>业务经理积极跟踪，争取再3月份可以实现回款</t>
  </si>
  <si>
    <t>回款难度较大</t>
  </si>
  <si>
    <t>特变电工股份有限公司/（国投哈密-2013-11-002国投）</t>
  </si>
  <si>
    <t>200万元3月确保，余款在办理四方验收手续，争取</t>
  </si>
  <si>
    <t>余款工厂显示本月到期，对方认为未到期，争取</t>
  </si>
  <si>
    <t>国投吐鲁番风电有限公司</t>
  </si>
  <si>
    <t>瓜州县风润风电有限公司/运行款无兜底时间债权部起草报告一月底转回区域市场清收</t>
  </si>
  <si>
    <t>运行款逾期11个月质保金本月到期</t>
  </si>
  <si>
    <t>原业务员/李建忠</t>
  </si>
  <si>
    <t>张明涛</t>
  </si>
  <si>
    <t>运行款无兜底时间债权部起草报告一月底转回区域市场清收</t>
  </si>
  <si>
    <t>项目二处</t>
  </si>
  <si>
    <t>逾期3-10个月</t>
  </si>
  <si>
    <t>确保120万元</t>
  </si>
  <si>
    <t>3月份确保回款120万元，余款争取</t>
  </si>
  <si>
    <t>3月份争取全部回款</t>
  </si>
  <si>
    <t>出现质量事故</t>
  </si>
  <si>
    <t>乌苏市华泰石油化工有限公司</t>
  </si>
  <si>
    <t>客户单位答应本月付款，目前等待总经理签字付款</t>
  </si>
  <si>
    <t>本月确保可实现回款</t>
  </si>
  <si>
    <t>逾期2-4个月</t>
  </si>
  <si>
    <t>确保51万元</t>
  </si>
  <si>
    <t>3月份新疆部分支付51万元，余款争取</t>
  </si>
  <si>
    <t>中国水利电力物资有限公司</t>
  </si>
  <si>
    <t>逾期3-5个月</t>
  </si>
  <si>
    <t>业主方目前尚未拨款，目前等在等待拨款，本月确保回款</t>
  </si>
  <si>
    <t>本月确保实现回款</t>
  </si>
  <si>
    <t>三峡新能源新疆达坂城风电有限公司/无兜底对方质保金不到期/</t>
  </si>
  <si>
    <t>此款预计7月份收回</t>
  </si>
  <si>
    <t>本月争取收回</t>
  </si>
  <si>
    <t>大唐托克逊风电开发有限公司</t>
  </si>
  <si>
    <t>和客户单位对接，手续已经办理完毕，确保回款</t>
  </si>
  <si>
    <t>和客户单位对接，确保回款</t>
  </si>
  <si>
    <t>国电青松吐鲁番新能源有限公司</t>
  </si>
  <si>
    <t>收据已经寄到对方单位，3月份确保</t>
  </si>
  <si>
    <t>3月份确保回款</t>
  </si>
  <si>
    <t>新疆梅花氨基酸有限责任公司</t>
  </si>
  <si>
    <t>项目三处</t>
  </si>
  <si>
    <t>特变电工股份有限公司/兰新二线（新客站-A2013-07-018疆内）</t>
  </si>
  <si>
    <t>孙建勇</t>
  </si>
  <si>
    <t>客户单位承诺本月可以支付一部分</t>
  </si>
  <si>
    <t>业务经理积极跟踪，争取提前回一部分款</t>
  </si>
  <si>
    <t>青岛碧翠峰实业有限公司</t>
  </si>
  <si>
    <t>到期清收，争取回款</t>
  </si>
  <si>
    <t>项目四处</t>
  </si>
  <si>
    <t>特变电工股份有限公司//京石/债权部协助（C2010-06-033）</t>
  </si>
  <si>
    <t>预计2014年12月到期，计划转债权部</t>
  </si>
  <si>
    <t>计划转债权部</t>
  </si>
  <si>
    <t>宝鸡石油钢管有限责任公司石油输送管分公司</t>
  </si>
  <si>
    <t>2月份通电，3月份办理手续，预计4月份确保收回此款</t>
  </si>
  <si>
    <t>业务经理对接付款时间，争取早日回款</t>
  </si>
  <si>
    <t>根据客户单位核算时间，此单位本月未到期，业务经理目前正在核对账务，并积极做工作清收</t>
  </si>
  <si>
    <t>本月争取实现回款</t>
  </si>
  <si>
    <t>四川金象赛瑞化工股份有限公司</t>
  </si>
  <si>
    <t>新疆金象赛瑞煤化工科技有限公司</t>
  </si>
  <si>
    <t>办理付款申请，3月争取回款</t>
  </si>
  <si>
    <t>特变电工股份有限公司///兰石化</t>
  </si>
  <si>
    <t>中节能(张北)风能有限公司</t>
  </si>
  <si>
    <t>杨辉</t>
  </si>
  <si>
    <t>中铁电气化局集团第三工程有限公司</t>
  </si>
  <si>
    <t>业务经理反馈根据签订合同要求，此款尚不到期，目前正在同客户单位对接，争取回款</t>
  </si>
  <si>
    <t>中铁电气化局集团有限公司电气化公司南广铁路四电集成项目部</t>
  </si>
  <si>
    <t>专人清收</t>
  </si>
  <si>
    <t>争取本月实现回款</t>
  </si>
  <si>
    <t>大客户二部小计</t>
  </si>
  <si>
    <t xml:space="preserve">高光际 </t>
  </si>
  <si>
    <t>工程款审批手续已完成，待甲方资金到帐后支付，因建设方资金原因1月22日只支付了20万，其余年后追踪。</t>
  </si>
  <si>
    <t>以今年开工为条件，派高光际专人驻项目现场清收工程款，按合同规定条款付至相应金额。</t>
  </si>
  <si>
    <t xml:space="preserve"> 因贷款未发放。导致建设方资金困难。具体在监控中。</t>
  </si>
  <si>
    <t>国内工程公司小计</t>
  </si>
  <si>
    <t>乌鲁木齐金美丰铜业有限公司</t>
  </si>
  <si>
    <t>销售二部/乌昌三处/张健</t>
  </si>
  <si>
    <t>新疆电院电力设备有限公司/6月转入/因有后期项目执行当月暂停收取</t>
  </si>
  <si>
    <t>逾期1年以上/质保金1个月逾期</t>
  </si>
  <si>
    <t>原业务员/张健</t>
  </si>
  <si>
    <t>对方以最新的1500万元合同的签订为要挟，拒不支付该64万元货款。经工厂领导审批同意本月暂停收取此款，等合同签订后在执行催款业务.</t>
  </si>
  <si>
    <t>资信</t>
  </si>
  <si>
    <t>太原重工股份有限公司/债权部协助清收</t>
  </si>
  <si>
    <t>目前已清收292万承兑</t>
  </si>
  <si>
    <t>通过2月26日在家领导协商，已转至法律事务部由债权部清收.</t>
  </si>
  <si>
    <t>销售二部/大项目二处</t>
  </si>
  <si>
    <t>彩虹集团电子股份有限公司/</t>
  </si>
  <si>
    <t>逾期8个月</t>
  </si>
  <si>
    <t>原业务员/刘军</t>
  </si>
  <si>
    <t>3月中下旬仲裁开庭，需等待仲裁结果，不能确保收回金额；</t>
  </si>
  <si>
    <t>本月开庭审理</t>
  </si>
  <si>
    <t>特缆公司/伊犁办事处</t>
  </si>
  <si>
    <t>逾期10个月以内</t>
  </si>
  <si>
    <t>原业务员/叶宝江</t>
  </si>
  <si>
    <t>发票已处理后期加紧进行清收</t>
  </si>
  <si>
    <t>销售二部/重大项目一处</t>
  </si>
  <si>
    <t>新疆阜丰生物科技有限公司/10月转入</t>
  </si>
  <si>
    <t>本月到期54.83万元</t>
  </si>
  <si>
    <t>原业务员/窦东</t>
  </si>
  <si>
    <t>2月收回10万元，后期继续清收</t>
  </si>
  <si>
    <t>已与对方沟通，争取本月收回</t>
  </si>
  <si>
    <t>特缆公司/重大项目处</t>
  </si>
  <si>
    <t>内蒙古锋电能源技术有限公司/前期到货款债权部清收现质保金到期12月份转入债权继续清收</t>
  </si>
  <si>
    <t>质保金本月到期/其中11.60万元4月到期</t>
  </si>
  <si>
    <t>原业务员/李健军</t>
  </si>
  <si>
    <t>内蒙锋电由张明涛部长前往现场交涉；</t>
  </si>
  <si>
    <t>特缆公司/乌昌一处</t>
  </si>
  <si>
    <t>重庆齿轮箱有限责任公司/2014年2月转入</t>
  </si>
  <si>
    <t>原业务员/麻再新</t>
  </si>
  <si>
    <t>2月底才转入债权部，正在积极沟通，不能确保收回金额；</t>
  </si>
  <si>
    <t>债权部小计</t>
  </si>
  <si>
    <t>法律部</t>
  </si>
  <si>
    <t>原销售一部/陕西办事处</t>
  </si>
  <si>
    <t>陕西合木实业有限公司/6月转入</t>
  </si>
  <si>
    <t>逾期6-8个月</t>
  </si>
  <si>
    <t>原业务员/魏坤鹏</t>
  </si>
  <si>
    <t>刘建文</t>
  </si>
  <si>
    <t>正在准备执行事宜</t>
  </si>
  <si>
    <t>原销售二部/乌昌一处</t>
  </si>
  <si>
    <t>不到期</t>
  </si>
  <si>
    <t>原业务员/吴长根</t>
  </si>
  <si>
    <t>法律部建项目公司</t>
  </si>
  <si>
    <t>法律部建议转回项目公司</t>
  </si>
  <si>
    <t>原销售二部公司/乌昌一处</t>
  </si>
  <si>
    <t>天立环保工程股份有限公司/11月转入法律部</t>
  </si>
  <si>
    <t>准备起诉</t>
  </si>
  <si>
    <t>由于圣雄业主方未给施工方天立环保付款，因此天立环保以资金短缺为由不给我厂支付货款</t>
  </si>
  <si>
    <t>天立环保工程新疆有限公司/11月转入法律部</t>
  </si>
  <si>
    <t>销售二部/重大项目部/重大项目一处</t>
  </si>
  <si>
    <t>吉木萨尔县天宇华鑫水泥开发有限公司/</t>
  </si>
  <si>
    <t>原业务员/邬玉林</t>
  </si>
  <si>
    <t>合同条款缺陷</t>
  </si>
  <si>
    <t>原销售二部公司/石河子办事处</t>
  </si>
  <si>
    <t xml:space="preserve">奎屯国能电力有限责任公司/11月转入 </t>
  </si>
  <si>
    <t>原业务员/郭瑞吉</t>
  </si>
  <si>
    <t>款项才到期，已沟通</t>
  </si>
  <si>
    <t>法律部小计</t>
  </si>
  <si>
    <t>内部转移（物流公司）</t>
    <phoneticPr fontId="4" type="noConversion"/>
  </si>
  <si>
    <t>保理回款</t>
    <phoneticPr fontId="37" type="noConversion"/>
  </si>
  <si>
    <t>私人/金建国/中国石油天然气股份有限公司吐哈油田分公司</t>
    <phoneticPr fontId="37" type="noConversion"/>
  </si>
  <si>
    <t>计划外现款现货</t>
    <phoneticPr fontId="37" type="noConversion"/>
  </si>
  <si>
    <t>计划外预付款</t>
    <phoneticPr fontId="37" type="noConversion"/>
  </si>
  <si>
    <t>杨辉文</t>
    <phoneticPr fontId="37" type="noConversion"/>
  </si>
  <si>
    <t>阿克陶科邦锰业制造有限公司</t>
    <phoneticPr fontId="37" type="noConversion"/>
  </si>
  <si>
    <t>计划外现款现货</t>
    <phoneticPr fontId="37" type="noConversion"/>
  </si>
  <si>
    <t>特变电工股份有限公司//克石化</t>
    <phoneticPr fontId="37" type="noConversion"/>
  </si>
  <si>
    <t>新疆天业（集团）有限公司</t>
    <phoneticPr fontId="37" type="noConversion"/>
  </si>
  <si>
    <t>未到期安装款款</t>
    <phoneticPr fontId="37" type="noConversion"/>
  </si>
  <si>
    <t>3月份争取回款</t>
    <phoneticPr fontId="37" type="noConversion"/>
  </si>
  <si>
    <t>新疆阿勒泰金昊铁业有限公司</t>
    <phoneticPr fontId="37" type="noConversion"/>
  </si>
  <si>
    <t>现款现货</t>
    <phoneticPr fontId="37" type="noConversion"/>
  </si>
  <si>
    <t>博乐办事处</t>
    <phoneticPr fontId="37" type="noConversion"/>
  </si>
  <si>
    <t>李磊</t>
    <phoneticPr fontId="37" type="noConversion"/>
  </si>
  <si>
    <t>争取信发华兴化工</t>
    <phoneticPr fontId="37" type="noConversion"/>
  </si>
  <si>
    <t>徐国礼</t>
    <phoneticPr fontId="37" type="noConversion"/>
  </si>
  <si>
    <t>特变电工股份有限公司新疆变压器厂</t>
    <phoneticPr fontId="37" type="noConversion"/>
  </si>
  <si>
    <t>争取3月收回</t>
    <phoneticPr fontId="37" type="noConversion"/>
  </si>
  <si>
    <t>逾期应收账款</t>
    <phoneticPr fontId="37" type="noConversion"/>
  </si>
  <si>
    <t>宁夏英力特房地产开发有限公司</t>
    <phoneticPr fontId="37" type="noConversion"/>
  </si>
  <si>
    <t>张杰</t>
    <phoneticPr fontId="37" type="noConversion"/>
  </si>
  <si>
    <t>神华物资集团有限公司</t>
    <phoneticPr fontId="37" type="noConversion"/>
  </si>
  <si>
    <t>私人/李建军/乌鲁木齐金风天翼风电有限公司</t>
    <phoneticPr fontId="37" type="noConversion"/>
  </si>
  <si>
    <t>新疆金风科技股份有限公司</t>
    <phoneticPr fontId="37" type="noConversion"/>
  </si>
  <si>
    <t>计划外回款</t>
    <phoneticPr fontId="37" type="noConversion"/>
  </si>
  <si>
    <t>特变电工股份有限公司/哈密十三间房</t>
    <phoneticPr fontId="37" type="noConversion"/>
  </si>
  <si>
    <t>李建军</t>
    <phoneticPr fontId="37" type="noConversion"/>
  </si>
  <si>
    <t>计划外现款现货</t>
    <phoneticPr fontId="37" type="noConversion"/>
  </si>
  <si>
    <t>阿克苏君鼎商贸有限公司</t>
    <phoneticPr fontId="37" type="noConversion"/>
  </si>
  <si>
    <t>谢丙仁</t>
    <phoneticPr fontId="37" type="noConversion"/>
  </si>
  <si>
    <t>克拉玛依圆瑞商贸有限公司</t>
    <phoneticPr fontId="37" type="noConversion"/>
  </si>
  <si>
    <t>计划外退款</t>
    <phoneticPr fontId="37" type="noConversion"/>
  </si>
  <si>
    <t>库尔勒瑞州石油物资有限公司</t>
    <phoneticPr fontId="37" type="noConversion"/>
  </si>
  <si>
    <t>于培荣</t>
    <phoneticPr fontId="37" type="noConversion"/>
  </si>
  <si>
    <t>计划外预付款</t>
    <phoneticPr fontId="37" type="noConversion"/>
  </si>
  <si>
    <t>国网新疆电力公司</t>
    <phoneticPr fontId="37" type="noConversion"/>
  </si>
  <si>
    <t>新疆喀什电盛有限责任公司麦盖提分公司</t>
    <phoneticPr fontId="37" type="noConversion"/>
  </si>
  <si>
    <t>特变电工股份有限公司/中节能（肃北）</t>
    <phoneticPr fontId="37" type="noConversion"/>
  </si>
  <si>
    <t>柴宗森</t>
    <phoneticPr fontId="37" type="noConversion"/>
  </si>
  <si>
    <t>乌鲁木齐新世明泰电线电缆有限公司</t>
    <phoneticPr fontId="37" type="noConversion"/>
  </si>
  <si>
    <t>现款现货</t>
    <phoneticPr fontId="37" type="noConversion"/>
  </si>
  <si>
    <t>永进电缆集团新疆销售有限公司</t>
    <phoneticPr fontId="37" type="noConversion"/>
  </si>
  <si>
    <t>特变电工股份有限公司新疆变压器厂</t>
    <phoneticPr fontId="37" type="noConversion"/>
  </si>
  <si>
    <t>英语部</t>
    <phoneticPr fontId="37" type="noConversion"/>
  </si>
  <si>
    <t>胡振南</t>
    <phoneticPr fontId="37" type="noConversion"/>
  </si>
  <si>
    <t>新疆昆玉钢铁有限公司</t>
    <phoneticPr fontId="37" type="noConversion"/>
  </si>
  <si>
    <t>预付款</t>
    <phoneticPr fontId="37" type="noConversion"/>
  </si>
  <si>
    <t>西安惠风置业有限公司</t>
    <phoneticPr fontId="37" type="noConversion"/>
  </si>
  <si>
    <t>国际工程公司</t>
    <phoneticPr fontId="37" type="noConversion"/>
  </si>
  <si>
    <t>新疆天助民升建筑有限公司</t>
    <phoneticPr fontId="37" type="noConversion"/>
  </si>
  <si>
    <t>特变物流公司</t>
    <phoneticPr fontId="37" type="noConversion"/>
  </si>
  <si>
    <t>特变物流</t>
    <phoneticPr fontId="37" type="noConversion"/>
  </si>
  <si>
    <t>吴德荣</t>
    <phoneticPr fontId="37" type="noConversion"/>
  </si>
  <si>
    <t>柴学云</t>
    <phoneticPr fontId="37" type="noConversion"/>
  </si>
  <si>
    <t>齐雷</t>
    <phoneticPr fontId="37" type="noConversion"/>
  </si>
  <si>
    <t>正准备起诉材料</t>
    <phoneticPr fontId="37" type="noConversion"/>
  </si>
  <si>
    <t>电力及配套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</si>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</sst>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176" formatCode="0.00_);[Red]\(0.00\)"/>
    <numFmt numFmtId="177" formatCode="#,##0.00_);[Red]\(#,##0.00\)"/>
    <numFmt numFmtId="178" formatCode="0.00_ "/>
    <numFmt numFmtId="179" formatCode="0_);[Red]\(0\)"/>
    <numFmt numFmtId="180" formatCode="0.00_);\(0.00\)"/>
    <numFmt numFmtId="181" formatCode="#,##0.00_ "/>
    <numFmt numFmtId="182" formatCode="[$-10804]#,##0.00"/>
    <numFmt numFmtId="185" formatCode="#,##0_ "/>
    <numFmt numFmtId="189" formatCode="#,##0.00_);\(#,##0.00\)"/>
    <numFmt numFmtId="190" formatCode="0_ "/>
    <numFmt numFmtId="191" formatCode="#,##0_);[Red]\(#,##0\)"/>
  </numFmts>
  <fonts count="5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6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name val="宋体"/>
      <family val="2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indexed="10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name val="新宋体"/>
      <family val="3"/>
      <charset val="134"/>
    </font>
    <font>
      <b/>
      <u/>
      <sz val="12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0"/>
      <color indexed="8"/>
      <name val="新宋体"/>
      <family val="3"/>
      <charset val="134"/>
    </font>
    <font>
      <sz val="11"/>
      <name val="宋体"/>
      <family val="2"/>
      <charset val="134"/>
    </font>
    <font>
      <sz val="9"/>
      <color indexed="81"/>
      <name val="宋体"/>
      <family val="3"/>
      <charset val="134"/>
    </font>
    <font>
      <sz val="10"/>
      <name val="Arial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1"/>
      <color indexed="10"/>
      <name val="宋体"/>
      <family val="3"/>
      <charset val="134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9"/>
        <bgColor indexed="0"/>
      </patternFill>
    </fill>
    <fill>
      <patternFill patternType="solid">
        <fgColor indexed="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3300"/>
        <bgColor indexed="0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8">
    <xf numFmtId="0" fontId="0" fillId="0" borderId="0">
      <alignment vertical="center"/>
    </xf>
    <xf numFmtId="0" fontId="3" fillId="0" borderId="0"/>
    <xf numFmtId="43" fontId="7" fillId="0" borderId="0" applyFont="0" applyFill="0" applyBorder="0" applyAlignment="0" applyProtection="0">
      <alignment vertical="center"/>
    </xf>
    <xf numFmtId="0" fontId="3" fillId="0" borderId="0"/>
    <xf numFmtId="0" fontId="17" fillId="0" borderId="0"/>
    <xf numFmtId="0" fontId="7" fillId="0" borderId="0"/>
    <xf numFmtId="0" fontId="7" fillId="0" borderId="0" applyProtection="0">
      <alignment vertical="center"/>
    </xf>
    <xf numFmtId="0" fontId="17" fillId="0" borderId="0"/>
    <xf numFmtId="0" fontId="8" fillId="0" borderId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3" fillId="0" borderId="0" applyProtection="0"/>
    <xf numFmtId="0" fontId="19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21" fillId="0" borderId="0"/>
    <xf numFmtId="0" fontId="8" fillId="0" borderId="0">
      <alignment vertical="center"/>
    </xf>
    <xf numFmtId="0" fontId="19" fillId="0" borderId="0"/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19" fillId="0" borderId="0"/>
    <xf numFmtId="0" fontId="7" fillId="0" borderId="0" applyProtection="0">
      <alignment vertical="center"/>
    </xf>
    <xf numFmtId="0" fontId="8" fillId="0" borderId="0">
      <alignment vertical="center"/>
    </xf>
    <xf numFmtId="0" fontId="17" fillId="0" borderId="0"/>
    <xf numFmtId="0" fontId="17" fillId="0" borderId="0"/>
    <xf numFmtId="0" fontId="7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9" fillId="0" borderId="0"/>
    <xf numFmtId="43" fontId="19" fillId="0" borderId="0" applyFont="0" applyFill="0" applyBorder="0" applyAlignment="0" applyProtection="0"/>
    <xf numFmtId="0" fontId="7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7" fillId="0" borderId="0"/>
    <xf numFmtId="9" fontId="8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9" fillId="0" borderId="0">
      <protection locked="0"/>
    </xf>
    <xf numFmtId="0" fontId="19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>
      <alignment vertical="center"/>
    </xf>
    <xf numFmtId="9" fontId="19" fillId="0" borderId="0" applyFont="0" applyFill="0" applyBorder="0" applyAlignment="0" applyProtection="0">
      <alignment vertical="center"/>
    </xf>
  </cellStyleXfs>
  <cellXfs count="682">
    <xf numFmtId="0" fontId="0" fillId="0" borderId="0" xfId="0">
      <alignment vertical="center"/>
    </xf>
    <xf numFmtId="177" fontId="8" fillId="0" borderId="6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 wrapText="1"/>
    </xf>
    <xf numFmtId="0" fontId="16" fillId="5" borderId="2" xfId="0" applyFont="1" applyFill="1" applyBorder="1" applyAlignment="1" applyProtection="1">
      <alignment horizontal="left" vertical="center" wrapText="1" readingOrder="1"/>
      <protection locked="0"/>
    </xf>
    <xf numFmtId="0" fontId="16" fillId="0" borderId="2" xfId="19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76" fontId="16" fillId="4" borderId="2" xfId="0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 applyProtection="1">
      <alignment horizontal="left" vertical="center" wrapText="1" readingOrder="1"/>
      <protection locked="0"/>
    </xf>
    <xf numFmtId="0" fontId="16" fillId="5" borderId="10" xfId="0" applyFont="1" applyFill="1" applyBorder="1" applyAlignment="1" applyProtection="1">
      <alignment horizontal="left" vertical="center" wrapText="1" readingOrder="1"/>
      <protection locked="0"/>
    </xf>
    <xf numFmtId="0" fontId="16" fillId="0" borderId="2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0" fillId="0" borderId="13" xfId="33" applyFont="1" applyBorder="1" applyAlignment="1">
      <alignment horizontal="center" vertical="center" wrapText="1"/>
    </xf>
    <xf numFmtId="0" fontId="28" fillId="0" borderId="0" xfId="33" applyFont="1" applyBorder="1" applyAlignment="1">
      <alignment horizontal="center" vertical="center" wrapText="1"/>
    </xf>
    <xf numFmtId="0" fontId="29" fillId="0" borderId="0" xfId="33" applyFont="1" applyAlignment="1">
      <alignment horizontal="center" vertical="center" wrapText="1"/>
    </xf>
    <xf numFmtId="177" fontId="29" fillId="0" borderId="0" xfId="33" applyNumberFormat="1" applyFont="1" applyBorder="1" applyAlignment="1">
      <alignment horizontal="center" vertical="center" wrapText="1"/>
    </xf>
    <xf numFmtId="0" fontId="29" fillId="0" borderId="0" xfId="33" applyFont="1" applyBorder="1" applyAlignment="1">
      <alignment horizontal="center" vertical="center" wrapText="1"/>
    </xf>
    <xf numFmtId="0" fontId="29" fillId="0" borderId="0" xfId="33" applyFont="1" applyBorder="1" applyAlignment="1">
      <alignment horizontal="center" vertical="center"/>
    </xf>
    <xf numFmtId="181" fontId="29" fillId="0" borderId="0" xfId="33" applyNumberFormat="1" applyFont="1" applyAlignment="1">
      <alignment horizontal="center" vertical="center"/>
    </xf>
    <xf numFmtId="0" fontId="29" fillId="0" borderId="2" xfId="33" applyFont="1" applyBorder="1" applyAlignment="1">
      <alignment horizontal="center" vertical="center" wrapText="1"/>
    </xf>
    <xf numFmtId="181" fontId="16" fillId="0" borderId="2" xfId="0" applyNumberFormat="1" applyFont="1" applyFill="1" applyBorder="1" applyAlignment="1">
      <alignment horizontal="right" vertical="center"/>
    </xf>
    <xf numFmtId="177" fontId="16" fillId="0" borderId="5" xfId="0" applyNumberFormat="1" applyFont="1" applyFill="1" applyBorder="1" applyAlignment="1">
      <alignment horizontal="center" vertical="center"/>
    </xf>
    <xf numFmtId="181" fontId="29" fillId="0" borderId="2" xfId="33" applyNumberFormat="1" applyFont="1" applyBorder="1" applyAlignment="1">
      <alignment horizontal="center" vertical="center" wrapText="1"/>
    </xf>
    <xf numFmtId="181" fontId="29" fillId="0" borderId="2" xfId="33" applyNumberFormat="1" applyFont="1" applyBorder="1" applyAlignment="1">
      <alignment horizontal="center" vertical="center"/>
    </xf>
    <xf numFmtId="0" fontId="29" fillId="0" borderId="0" xfId="33" applyFont="1" applyBorder="1" applyAlignment="1">
      <alignment vertical="center" wrapText="1"/>
    </xf>
    <xf numFmtId="181" fontId="29" fillId="0" borderId="0" xfId="33" applyNumberFormat="1" applyFont="1" applyBorder="1" applyAlignment="1">
      <alignment horizontal="left" vertical="center" wrapText="1"/>
    </xf>
    <xf numFmtId="181" fontId="29" fillId="0" borderId="0" xfId="33" applyNumberFormat="1" applyFont="1" applyBorder="1" applyAlignment="1">
      <alignment horizontal="center" vertical="center" wrapText="1"/>
    </xf>
    <xf numFmtId="0" fontId="29" fillId="0" borderId="0" xfId="33" applyFont="1" applyFill="1" applyBorder="1" applyAlignment="1">
      <alignment horizontal="center" vertical="center" wrapText="1"/>
    </xf>
    <xf numFmtId="0" fontId="29" fillId="0" borderId="0" xfId="33" applyFont="1" applyAlignment="1">
      <alignment vertical="center" wrapText="1"/>
    </xf>
    <xf numFmtId="0" fontId="29" fillId="0" borderId="0" xfId="33" applyFont="1" applyAlignment="1">
      <alignment horizontal="left" vertical="center" wrapText="1"/>
    </xf>
    <xf numFmtId="0" fontId="29" fillId="0" borderId="0" xfId="33" applyFont="1" applyFill="1" applyAlignment="1">
      <alignment horizontal="center" vertical="center" wrapText="1"/>
    </xf>
    <xf numFmtId="177" fontId="8" fillId="0" borderId="0" xfId="33" applyNumberFormat="1" applyFont="1" applyFill="1" applyBorder="1" applyAlignment="1">
      <alignment vertical="center" wrapText="1"/>
    </xf>
    <xf numFmtId="181" fontId="29" fillId="0" borderId="0" xfId="33" applyNumberFormat="1" applyFont="1" applyAlignment="1">
      <alignment horizontal="center" vertical="center" wrapText="1"/>
    </xf>
    <xf numFmtId="0" fontId="28" fillId="0" borderId="0" xfId="33" applyFont="1" applyFill="1" applyBorder="1" applyAlignment="1">
      <alignment horizontal="center" vertical="center" wrapText="1"/>
    </xf>
    <xf numFmtId="181" fontId="28" fillId="0" borderId="0" xfId="33" applyNumberFormat="1" applyFont="1" applyBorder="1" applyAlignment="1">
      <alignment horizontal="center" vertical="center" wrapText="1"/>
    </xf>
    <xf numFmtId="178" fontId="5" fillId="0" borderId="0" xfId="33" applyNumberFormat="1" applyFont="1" applyFill="1" applyBorder="1" applyAlignment="1">
      <alignment vertical="center" wrapText="1"/>
    </xf>
    <xf numFmtId="181" fontId="29" fillId="0" borderId="2" xfId="1" applyNumberFormat="1" applyFont="1" applyFill="1" applyBorder="1" applyAlignment="1">
      <alignment horizontal="center" vertical="center" wrapText="1"/>
    </xf>
    <xf numFmtId="178" fontId="5" fillId="0" borderId="0" xfId="33" applyNumberFormat="1" applyFont="1" applyBorder="1" applyAlignment="1">
      <alignment vertical="center" wrapText="1"/>
    </xf>
    <xf numFmtId="176" fontId="29" fillId="0" borderId="0" xfId="33" applyNumberFormat="1" applyFont="1" applyFill="1" applyBorder="1" applyAlignment="1">
      <alignment vertical="center" wrapText="1"/>
    </xf>
    <xf numFmtId="176" fontId="29" fillId="0" borderId="0" xfId="33" applyNumberFormat="1" applyFont="1" applyFill="1" applyBorder="1" applyAlignment="1">
      <alignment horizontal="left" vertical="center" wrapText="1"/>
    </xf>
    <xf numFmtId="178" fontId="29" fillId="0" borderId="0" xfId="33" applyNumberFormat="1" applyFont="1" applyFill="1" applyBorder="1" applyAlignment="1">
      <alignment horizontal="center" vertical="center" wrapText="1"/>
    </xf>
    <xf numFmtId="178" fontId="29" fillId="0" borderId="0" xfId="1" applyNumberFormat="1" applyFont="1" applyFill="1" applyBorder="1" applyAlignment="1">
      <alignment horizontal="center" vertical="center" wrapText="1"/>
    </xf>
    <xf numFmtId="0" fontId="29" fillId="0" borderId="0" xfId="33" applyFont="1" applyBorder="1" applyAlignment="1">
      <alignment horizontal="left" vertical="center" wrapText="1"/>
    </xf>
    <xf numFmtId="0" fontId="20" fillId="0" borderId="1" xfId="34" applyFont="1" applyBorder="1" applyAlignment="1">
      <alignment horizontal="center" vertical="center" wrapText="1"/>
    </xf>
    <xf numFmtId="0" fontId="20" fillId="0" borderId="0" xfId="34" applyFont="1" applyBorder="1" applyAlignment="1">
      <alignment horizontal="center" vertical="center" wrapText="1"/>
    </xf>
    <xf numFmtId="177" fontId="13" fillId="0" borderId="0" xfId="34" applyNumberFormat="1" applyFont="1" applyBorder="1" applyAlignment="1">
      <alignment horizontal="center" vertical="center" wrapText="1"/>
    </xf>
    <xf numFmtId="0" fontId="13" fillId="0" borderId="0" xfId="34" applyFont="1" applyBorder="1" applyAlignment="1">
      <alignment horizontal="center" vertical="center" wrapText="1"/>
    </xf>
    <xf numFmtId="0" fontId="28" fillId="0" borderId="3" xfId="34" applyFont="1" applyBorder="1" applyAlignment="1">
      <alignment horizontal="center" vertical="center" wrapText="1"/>
    </xf>
    <xf numFmtId="0" fontId="28" fillId="0" borderId="5" xfId="34" applyFont="1" applyBorder="1" applyAlignment="1">
      <alignment horizontal="center" vertical="center" wrapText="1"/>
    </xf>
    <xf numFmtId="57" fontId="22" fillId="0" borderId="2" xfId="33" applyNumberFormat="1" applyFont="1" applyBorder="1" applyAlignment="1">
      <alignment horizontal="center" vertical="center"/>
    </xf>
    <xf numFmtId="0" fontId="8" fillId="0" borderId="0" xfId="33">
      <alignment vertical="center"/>
    </xf>
    <xf numFmtId="0" fontId="28" fillId="0" borderId="2" xfId="34" applyFont="1" applyBorder="1" applyAlignment="1">
      <alignment horizontal="center" vertical="center" wrapText="1"/>
    </xf>
    <xf numFmtId="0" fontId="0" fillId="0" borderId="2" xfId="0" applyBorder="1">
      <alignment vertical="center"/>
    </xf>
    <xf numFmtId="181" fontId="29" fillId="0" borderId="2" xfId="34" applyNumberFormat="1" applyFont="1" applyBorder="1" applyAlignment="1">
      <alignment horizontal="center" vertical="center" wrapText="1"/>
    </xf>
    <xf numFmtId="181" fontId="18" fillId="0" borderId="2" xfId="0" applyNumberFormat="1" applyFont="1" applyBorder="1">
      <alignment vertical="center"/>
    </xf>
    <xf numFmtId="181" fontId="6" fillId="0" borderId="2" xfId="0" applyNumberFormat="1" applyFont="1" applyBorder="1">
      <alignment vertical="center"/>
    </xf>
    <xf numFmtId="185" fontId="29" fillId="0" borderId="2" xfId="34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0" fontId="16" fillId="4" borderId="2" xfId="12" applyFont="1" applyFill="1" applyBorder="1" applyAlignment="1">
      <alignment horizontal="left" wrapText="1"/>
    </xf>
    <xf numFmtId="0" fontId="16" fillId="0" borderId="2" xfId="0" applyFont="1" applyBorder="1">
      <alignment vertical="center"/>
    </xf>
    <xf numFmtId="0" fontId="20" fillId="3" borderId="0" xfId="0" applyFont="1" applyFill="1">
      <alignment vertical="center"/>
    </xf>
    <xf numFmtId="0" fontId="23" fillId="3" borderId="0" xfId="0" applyFont="1" applyFill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27" fillId="0" borderId="2" xfId="38" applyFont="1" applyBorder="1" applyAlignment="1">
      <alignment horizontal="center" vertical="center" wrapText="1"/>
    </xf>
    <xf numFmtId="0" fontId="22" fillId="0" borderId="2" xfId="38" applyFont="1" applyBorder="1" applyAlignment="1">
      <alignment horizontal="center" vertical="center"/>
    </xf>
    <xf numFmtId="57" fontId="27" fillId="0" borderId="2" xfId="38" applyNumberFormat="1" applyFont="1" applyBorder="1" applyAlignment="1">
      <alignment horizontal="center" vertical="center" wrapText="1"/>
    </xf>
    <xf numFmtId="43" fontId="39" fillId="0" borderId="2" xfId="32" applyFont="1" applyBorder="1" applyAlignment="1">
      <alignment horizontal="center" vertical="center" wrapText="1"/>
    </xf>
    <xf numFmtId="43" fontId="18" fillId="0" borderId="2" xfId="32" applyFont="1" applyBorder="1" applyAlignment="1">
      <alignment vertical="center"/>
    </xf>
    <xf numFmtId="0" fontId="15" fillId="0" borderId="2" xfId="39" applyFont="1" applyBorder="1" applyAlignment="1">
      <alignment horizontal="center" vertical="center"/>
    </xf>
    <xf numFmtId="0" fontId="27" fillId="0" borderId="2" xfId="38" applyFont="1" applyFill="1" applyBorder="1" applyAlignment="1">
      <alignment horizontal="center" vertical="center" wrapText="1"/>
    </xf>
    <xf numFmtId="0" fontId="27" fillId="0" borderId="0" xfId="38" applyFont="1" applyFill="1" applyBorder="1" applyAlignment="1">
      <alignment horizontal="center" wrapText="1"/>
    </xf>
    <xf numFmtId="10" fontId="18" fillId="0" borderId="0" xfId="40" applyNumberFormat="1" applyFont="1" applyBorder="1" applyAlignment="1">
      <alignment horizontal="center" vertical="center"/>
    </xf>
    <xf numFmtId="10" fontId="8" fillId="0" borderId="0" xfId="40" applyNumberFormat="1" applyFont="1" applyBorder="1" applyAlignment="1">
      <alignment horizontal="center" vertical="center"/>
    </xf>
    <xf numFmtId="0" fontId="40" fillId="0" borderId="2" xfId="39" applyFont="1" applyBorder="1" applyAlignment="1">
      <alignment horizontal="center" wrapText="1"/>
    </xf>
    <xf numFmtId="181" fontId="16" fillId="0" borderId="0" xfId="0" applyNumberFormat="1" applyFont="1" applyFill="1" applyBorder="1" applyAlignment="1">
      <alignment horizontal="center" vertical="center" shrinkToFit="1"/>
    </xf>
    <xf numFmtId="181" fontId="16" fillId="0" borderId="0" xfId="0" applyNumberFormat="1" applyFont="1" applyBorder="1" applyAlignment="1">
      <alignment vertical="center" shrinkToFit="1"/>
    </xf>
    <xf numFmtId="181" fontId="29" fillId="0" borderId="0" xfId="0" applyNumberFormat="1" applyFont="1">
      <alignment vertical="center"/>
    </xf>
    <xf numFmtId="0" fontId="41" fillId="0" borderId="0" xfId="0" applyFont="1">
      <alignment vertical="center"/>
    </xf>
    <xf numFmtId="0" fontId="20" fillId="0" borderId="0" xfId="0" applyFont="1">
      <alignment vertical="center"/>
    </xf>
    <xf numFmtId="176" fontId="22" fillId="0" borderId="0" xfId="39" applyNumberFormat="1" applyFont="1" applyFill="1" applyBorder="1" applyAlignment="1">
      <alignment horizontal="center" vertical="center"/>
    </xf>
    <xf numFmtId="176" fontId="22" fillId="0" borderId="2" xfId="39" applyNumberFormat="1" applyFont="1" applyFill="1" applyBorder="1" applyAlignment="1">
      <alignment horizontal="center" vertical="center"/>
    </xf>
    <xf numFmtId="176" fontId="22" fillId="0" borderId="2" xfId="41" applyNumberFormat="1" applyFont="1" applyFill="1" applyBorder="1" applyAlignment="1">
      <alignment horizontal="center" vertical="center"/>
    </xf>
    <xf numFmtId="10" fontId="22" fillId="0" borderId="2" xfId="42" applyNumberFormat="1" applyFont="1" applyFill="1" applyBorder="1" applyAlignment="1">
      <alignment horizontal="center" vertical="justify"/>
    </xf>
    <xf numFmtId="176" fontId="22" fillId="0" borderId="2" xfId="39" applyNumberFormat="1" applyFont="1" applyFill="1" applyBorder="1" applyAlignment="1">
      <alignment horizontal="center" vertical="justify"/>
    </xf>
    <xf numFmtId="0" fontId="18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2" fillId="0" borderId="2" xfId="0" applyFont="1" applyBorder="1" applyAlignment="1">
      <alignment horizontal="left" vertical="center"/>
    </xf>
    <xf numFmtId="0" fontId="44" fillId="0" borderId="0" xfId="43" applyFont="1" applyAlignment="1" applyProtection="1">
      <alignment vertical="center" wrapText="1"/>
    </xf>
    <xf numFmtId="0" fontId="16" fillId="0" borderId="0" xfId="43" applyFont="1" applyAlignment="1" applyProtection="1">
      <alignment vertical="center"/>
    </xf>
    <xf numFmtId="180" fontId="16" fillId="0" borderId="0" xfId="43" applyNumberFormat="1" applyFont="1" applyAlignment="1" applyProtection="1">
      <alignment vertical="center"/>
    </xf>
    <xf numFmtId="0" fontId="45" fillId="0" borderId="0" xfId="43" applyFont="1" applyAlignment="1" applyProtection="1">
      <alignment horizontal="left" vertical="center"/>
    </xf>
    <xf numFmtId="0" fontId="45" fillId="0" borderId="1" xfId="43" applyFont="1" applyBorder="1" applyAlignment="1" applyProtection="1">
      <alignment horizontal="center" vertical="center"/>
    </xf>
    <xf numFmtId="0" fontId="23" fillId="0" borderId="0" xfId="43" applyFont="1" applyAlignment="1" applyProtection="1">
      <alignment vertical="center"/>
    </xf>
    <xf numFmtId="0" fontId="14" fillId="0" borderId="0" xfId="43" applyFont="1" applyAlignment="1" applyProtection="1">
      <alignment vertical="center" wrapText="1"/>
    </xf>
    <xf numFmtId="0" fontId="7" fillId="6" borderId="14" xfId="43" applyFont="1" applyFill="1" applyBorder="1" applyAlignment="1" applyProtection="1">
      <alignment vertical="center" wrapText="1"/>
    </xf>
    <xf numFmtId="0" fontId="16" fillId="6" borderId="15" xfId="43" applyFont="1" applyFill="1" applyBorder="1" applyAlignment="1" applyProtection="1">
      <alignment vertical="center"/>
    </xf>
    <xf numFmtId="180" fontId="16" fillId="6" borderId="15" xfId="43" applyNumberFormat="1" applyFont="1" applyFill="1" applyBorder="1" applyAlignment="1" applyProtection="1">
      <alignment vertical="center"/>
    </xf>
    <xf numFmtId="0" fontId="13" fillId="0" borderId="17" xfId="43" applyFont="1" applyBorder="1" applyAlignment="1" applyProtection="1">
      <alignment horizontal="center" vertical="center"/>
    </xf>
    <xf numFmtId="0" fontId="16" fillId="0" borderId="19" xfId="43" applyFont="1" applyFill="1" applyBorder="1" applyAlignment="1" applyProtection="1">
      <alignment horizontal="center" vertical="center" wrapText="1"/>
    </xf>
    <xf numFmtId="180" fontId="16" fillId="0" borderId="20" xfId="43" applyNumberFormat="1" applyFont="1" applyFill="1" applyBorder="1" applyAlignment="1" applyProtection="1">
      <alignment horizontal="center" vertical="center" wrapText="1"/>
    </xf>
    <xf numFmtId="0" fontId="16" fillId="0" borderId="20" xfId="43" applyFont="1" applyFill="1" applyBorder="1" applyAlignment="1" applyProtection="1">
      <alignment horizontal="center" vertical="center" wrapText="1"/>
    </xf>
    <xf numFmtId="0" fontId="16" fillId="4" borderId="20" xfId="43" applyFont="1" applyFill="1" applyBorder="1" applyAlignment="1" applyProtection="1">
      <alignment horizontal="center" vertical="center" wrapText="1"/>
    </xf>
    <xf numFmtId="0" fontId="16" fillId="4" borderId="21" xfId="43" applyFont="1" applyFill="1" applyBorder="1" applyAlignment="1" applyProtection="1">
      <alignment horizontal="center" vertical="center" wrapText="1"/>
    </xf>
    <xf numFmtId="0" fontId="16" fillId="0" borderId="0" xfId="43" applyFont="1" applyFill="1" applyBorder="1" applyAlignment="1" applyProtection="1">
      <alignment horizontal="center" vertical="center" wrapText="1"/>
    </xf>
    <xf numFmtId="0" fontId="16" fillId="0" borderId="0" xfId="43" applyFont="1" applyFill="1" applyBorder="1" applyAlignment="1" applyProtection="1">
      <alignment vertical="center" wrapText="1"/>
    </xf>
    <xf numFmtId="43" fontId="13" fillId="0" borderId="2" xfId="2" applyFont="1" applyFill="1" applyBorder="1" applyAlignment="1" applyProtection="1">
      <alignment horizontal="center" vertical="center"/>
    </xf>
    <xf numFmtId="189" fontId="16" fillId="0" borderId="7" xfId="2" applyNumberFormat="1" applyFont="1" applyFill="1" applyBorder="1" applyAlignment="1" applyProtection="1">
      <alignment horizontal="center" vertical="center"/>
    </xf>
    <xf numFmtId="189" fontId="16" fillId="4" borderId="7" xfId="2" applyNumberFormat="1" applyFont="1" applyFill="1" applyBorder="1" applyAlignment="1" applyProtection="1">
      <alignment horizontal="center" vertical="center"/>
    </xf>
    <xf numFmtId="43" fontId="16" fillId="0" borderId="7" xfId="2" applyFont="1" applyFill="1" applyBorder="1" applyAlignment="1" applyProtection="1">
      <alignment horizontal="center" vertical="center"/>
    </xf>
    <xf numFmtId="177" fontId="16" fillId="4" borderId="22" xfId="43" applyNumberFormat="1" applyFont="1" applyFill="1" applyBorder="1" applyAlignment="1" applyProtection="1">
      <alignment horizontal="center" vertical="center"/>
    </xf>
    <xf numFmtId="177" fontId="16" fillId="4" borderId="23" xfId="43" applyNumberFormat="1" applyFont="1" applyFill="1" applyBorder="1" applyAlignment="1" applyProtection="1">
      <alignment vertical="center" wrapText="1"/>
    </xf>
    <xf numFmtId="177" fontId="16" fillId="0" borderId="0" xfId="43" applyNumberFormat="1" applyFont="1" applyFill="1" applyBorder="1" applyAlignment="1" applyProtection="1">
      <alignment horizontal="center" vertical="center"/>
    </xf>
    <xf numFmtId="0" fontId="13" fillId="0" borderId="24" xfId="43" applyFont="1" applyFill="1" applyBorder="1" applyAlignment="1" applyProtection="1">
      <alignment horizontal="center" vertical="center" wrapText="1"/>
    </xf>
    <xf numFmtId="0" fontId="13" fillId="0" borderId="20" xfId="43" applyFont="1" applyFill="1" applyBorder="1" applyAlignment="1" applyProtection="1">
      <alignment horizontal="center" vertical="center" wrapText="1"/>
    </xf>
    <xf numFmtId="0" fontId="16" fillId="0" borderId="21" xfId="43" applyFont="1" applyFill="1" applyBorder="1" applyAlignment="1" applyProtection="1">
      <alignment horizontal="center" vertical="center" wrapText="1"/>
    </xf>
    <xf numFmtId="0" fontId="16" fillId="0" borderId="0" xfId="43" applyFont="1" applyFill="1" applyAlignment="1" applyProtection="1">
      <alignment vertical="center" wrapText="1"/>
    </xf>
    <xf numFmtId="179" fontId="16" fillId="0" borderId="7" xfId="43" applyNumberFormat="1" applyFont="1" applyFill="1" applyBorder="1" applyAlignment="1" applyProtection="1">
      <alignment horizontal="center" vertical="center"/>
    </xf>
    <xf numFmtId="179" fontId="16" fillId="4" borderId="7" xfId="43" applyNumberFormat="1" applyFont="1" applyFill="1" applyBorder="1" applyAlignment="1" applyProtection="1">
      <alignment horizontal="center" vertical="center"/>
    </xf>
    <xf numFmtId="179" fontId="16" fillId="4" borderId="26" xfId="43" applyNumberFormat="1" applyFont="1" applyFill="1" applyBorder="1" applyAlignment="1" applyProtection="1">
      <alignment horizontal="center" vertical="center"/>
    </xf>
    <xf numFmtId="179" fontId="16" fillId="4" borderId="0" xfId="43" applyNumberFormat="1" applyFont="1" applyFill="1" applyBorder="1" applyAlignment="1" applyProtection="1">
      <alignment horizontal="center" vertical="center"/>
    </xf>
    <xf numFmtId="0" fontId="16" fillId="4" borderId="0" xfId="43" applyFont="1" applyFill="1" applyAlignment="1" applyProtection="1">
      <alignment vertical="center" wrapText="1"/>
    </xf>
    <xf numFmtId="180" fontId="16" fillId="4" borderId="20" xfId="43" applyNumberFormat="1" applyFont="1" applyFill="1" applyBorder="1" applyAlignment="1" applyProtection="1">
      <alignment horizontal="center" vertical="center" wrapText="1"/>
    </xf>
    <xf numFmtId="0" fontId="13" fillId="4" borderId="20" xfId="43" applyFont="1" applyFill="1" applyBorder="1" applyAlignment="1" applyProtection="1">
      <alignment horizontal="center" vertical="center" wrapText="1"/>
    </xf>
    <xf numFmtId="180" fontId="16" fillId="4" borderId="22" xfId="2" applyNumberFormat="1" applyFont="1" applyFill="1" applyBorder="1" applyAlignment="1" applyProtection="1">
      <alignment horizontal="center" vertical="center"/>
    </xf>
    <xf numFmtId="43" fontId="16" fillId="4" borderId="22" xfId="2" applyFont="1" applyFill="1" applyBorder="1" applyAlignment="1" applyProtection="1">
      <alignment horizontal="center" vertical="center"/>
    </xf>
    <xf numFmtId="179" fontId="16" fillId="4" borderId="22" xfId="43" applyNumberFormat="1" applyFont="1" applyFill="1" applyBorder="1" applyAlignment="1" applyProtection="1">
      <alignment horizontal="center" vertical="center" wrapText="1"/>
    </xf>
    <xf numFmtId="179" fontId="16" fillId="4" borderId="22" xfId="43" applyNumberFormat="1" applyFont="1" applyFill="1" applyBorder="1" applyAlignment="1" applyProtection="1">
      <alignment horizontal="center" vertical="center"/>
    </xf>
    <xf numFmtId="179" fontId="16" fillId="4" borderId="23" xfId="43" applyNumberFormat="1" applyFont="1" applyFill="1" applyBorder="1" applyAlignment="1" applyProtection="1">
      <alignment horizontal="center" vertical="center"/>
    </xf>
    <xf numFmtId="0" fontId="16" fillId="7" borderId="29" xfId="43" applyFont="1" applyFill="1" applyBorder="1" applyAlignment="1" applyProtection="1">
      <alignment horizontal="center" vertical="center"/>
    </xf>
    <xf numFmtId="0" fontId="16" fillId="7" borderId="30" xfId="43" applyFont="1" applyFill="1" applyBorder="1" applyAlignment="1" applyProtection="1">
      <alignment horizontal="center" vertical="center"/>
    </xf>
    <xf numFmtId="0" fontId="13" fillId="0" borderId="11" xfId="43" applyFont="1" applyFill="1" applyBorder="1" applyAlignment="1" applyProtection="1">
      <alignment horizontal="center" vertical="center"/>
    </xf>
    <xf numFmtId="0" fontId="13" fillId="0" borderId="31" xfId="43" applyFont="1" applyFill="1" applyBorder="1" applyAlignment="1" applyProtection="1">
      <alignment horizontal="center" vertical="center"/>
    </xf>
    <xf numFmtId="0" fontId="13" fillId="0" borderId="32" xfId="43" applyFont="1" applyBorder="1" applyAlignment="1">
      <alignment horizontal="center" vertical="center"/>
      <protection locked="0"/>
    </xf>
    <xf numFmtId="0" fontId="13" fillId="0" borderId="30" xfId="43" applyFont="1" applyBorder="1" applyAlignment="1">
      <alignment horizontal="center" vertical="center"/>
      <protection locked="0"/>
    </xf>
    <xf numFmtId="0" fontId="13" fillId="0" borderId="20" xfId="43" applyFont="1" applyBorder="1" applyAlignment="1">
      <alignment horizontal="center" vertical="center"/>
      <protection locked="0"/>
    </xf>
    <xf numFmtId="0" fontId="13" fillId="0" borderId="29" xfId="43" applyFont="1" applyBorder="1" applyAlignment="1">
      <alignment horizontal="center" vertical="center"/>
      <protection locked="0"/>
    </xf>
    <xf numFmtId="0" fontId="13" fillId="0" borderId="16" xfId="43" applyFont="1" applyBorder="1" applyAlignment="1">
      <alignment horizontal="center" vertical="center"/>
      <protection locked="0"/>
    </xf>
    <xf numFmtId="0" fontId="13" fillId="0" borderId="33" xfId="43" applyFont="1" applyBorder="1" applyAlignment="1">
      <alignment horizontal="center" vertical="center"/>
      <protection locked="0"/>
    </xf>
    <xf numFmtId="0" fontId="13" fillId="0" borderId="34" xfId="43" applyFont="1" applyBorder="1" applyAlignment="1" applyProtection="1">
      <alignment horizontal="center" vertical="center"/>
    </xf>
    <xf numFmtId="0" fontId="13" fillId="0" borderId="35" xfId="43" applyFont="1" applyBorder="1" applyAlignment="1" applyProtection="1">
      <alignment horizontal="center" vertical="center"/>
    </xf>
    <xf numFmtId="0" fontId="16" fillId="4" borderId="36" xfId="43" applyFont="1" applyFill="1" applyBorder="1" applyAlignment="1" applyProtection="1">
      <alignment horizontal="center" vertical="center" wrapText="1"/>
    </xf>
    <xf numFmtId="0" fontId="16" fillId="0" borderId="37" xfId="43" applyFont="1" applyBorder="1" applyAlignment="1" applyProtection="1">
      <alignment horizontal="center" vertical="center"/>
    </xf>
    <xf numFmtId="189" fontId="16" fillId="4" borderId="2" xfId="43" applyNumberFormat="1" applyFont="1" applyFill="1" applyBorder="1" applyAlignment="1" applyProtection="1">
      <alignment horizontal="center" vertical="center"/>
    </xf>
    <xf numFmtId="180" fontId="16" fillId="4" borderId="2" xfId="43" applyNumberFormat="1" applyFont="1" applyFill="1" applyBorder="1" applyAlignment="1" applyProtection="1">
      <alignment horizontal="center" vertical="center"/>
    </xf>
    <xf numFmtId="176" fontId="16" fillId="4" borderId="2" xfId="43" applyNumberFormat="1" applyFont="1" applyFill="1" applyBorder="1" applyAlignment="1" applyProtection="1">
      <alignment horizontal="center" vertical="center"/>
    </xf>
    <xf numFmtId="190" fontId="16" fillId="4" borderId="2" xfId="43" applyNumberFormat="1" applyFont="1" applyFill="1" applyBorder="1" applyAlignment="1" applyProtection="1">
      <alignment horizontal="center" vertical="center"/>
    </xf>
    <xf numFmtId="176" fontId="16" fillId="4" borderId="3" xfId="43" applyNumberFormat="1" applyFont="1" applyFill="1" applyBorder="1" applyAlignment="1" applyProtection="1">
      <alignment horizontal="center" vertical="center"/>
    </xf>
    <xf numFmtId="190" fontId="16" fillId="4" borderId="32" xfId="43" applyNumberFormat="1" applyFont="1" applyFill="1" applyBorder="1" applyAlignment="1" applyProtection="1">
      <alignment horizontal="center" vertical="center"/>
    </xf>
    <xf numFmtId="176" fontId="16" fillId="4" borderId="19" xfId="43" applyNumberFormat="1" applyFont="1" applyFill="1" applyBorder="1" applyAlignment="1" applyProtection="1">
      <alignment horizontal="center" vertical="center"/>
    </xf>
    <xf numFmtId="190" fontId="16" fillId="4" borderId="21" xfId="43" applyNumberFormat="1" applyFont="1" applyFill="1" applyBorder="1" applyAlignment="1" applyProtection="1">
      <alignment horizontal="center" vertical="center"/>
    </xf>
    <xf numFmtId="177" fontId="16" fillId="4" borderId="38" xfId="43" applyNumberFormat="1" applyFont="1" applyFill="1" applyBorder="1" applyAlignment="1" applyProtection="1">
      <alignment horizontal="center" vertical="center"/>
    </xf>
    <xf numFmtId="176" fontId="16" fillId="4" borderId="39" xfId="43" applyNumberFormat="1" applyFont="1" applyFill="1" applyBorder="1" applyAlignment="1" applyProtection="1">
      <alignment horizontal="center" vertical="center" wrapText="1"/>
    </xf>
    <xf numFmtId="178" fontId="16" fillId="4" borderId="3" xfId="43" applyNumberFormat="1" applyFont="1" applyFill="1" applyBorder="1" applyAlignment="1" applyProtection="1">
      <alignment horizontal="center" vertical="center"/>
    </xf>
    <xf numFmtId="190" fontId="16" fillId="4" borderId="40" xfId="43" applyNumberFormat="1" applyFont="1" applyFill="1" applyBorder="1" applyAlignment="1" applyProtection="1">
      <alignment horizontal="center" vertical="center"/>
    </xf>
    <xf numFmtId="190" fontId="16" fillId="4" borderId="37" xfId="43" applyNumberFormat="1" applyFont="1" applyFill="1" applyBorder="1" applyAlignment="1" applyProtection="1">
      <alignment horizontal="center" vertical="center"/>
    </xf>
    <xf numFmtId="190" fontId="16" fillId="4" borderId="41" xfId="43" applyNumberFormat="1" applyFont="1" applyFill="1" applyBorder="1" applyAlignment="1" applyProtection="1">
      <alignment horizontal="center" vertical="center"/>
    </xf>
    <xf numFmtId="177" fontId="16" fillId="4" borderId="42" xfId="43" applyNumberFormat="1" applyFont="1" applyFill="1" applyBorder="1" applyAlignment="1" applyProtection="1">
      <alignment horizontal="center" vertical="center"/>
    </xf>
    <xf numFmtId="176" fontId="16" fillId="4" borderId="43" xfId="43" applyNumberFormat="1" applyFont="1" applyFill="1" applyBorder="1" applyAlignment="1" applyProtection="1">
      <alignment horizontal="center" vertical="center"/>
    </xf>
    <xf numFmtId="0" fontId="16" fillId="0" borderId="45" xfId="43" applyFont="1" applyBorder="1" applyAlignment="1" applyProtection="1">
      <alignment horizontal="center" vertical="center"/>
    </xf>
    <xf numFmtId="189" fontId="16" fillId="4" borderId="22" xfId="43" applyNumberFormat="1" applyFont="1" applyFill="1" applyBorder="1" applyAlignment="1" applyProtection="1">
      <alignment horizontal="center" vertical="center"/>
    </xf>
    <xf numFmtId="180" fontId="16" fillId="0" borderId="22" xfId="43" applyNumberFormat="1" applyFont="1" applyBorder="1" applyAlignment="1" applyProtection="1">
      <alignment horizontal="center" vertical="center"/>
    </xf>
    <xf numFmtId="176" fontId="16" fillId="4" borderId="22" xfId="43" applyNumberFormat="1" applyFont="1" applyFill="1" applyBorder="1" applyAlignment="1" applyProtection="1">
      <alignment horizontal="center" vertical="center"/>
    </xf>
    <xf numFmtId="190" fontId="16" fillId="0" borderId="22" xfId="43" applyNumberFormat="1" applyFont="1" applyBorder="1" applyAlignment="1" applyProtection="1">
      <alignment horizontal="center" vertical="center"/>
    </xf>
    <xf numFmtId="178" fontId="16" fillId="4" borderId="46" xfId="43" applyNumberFormat="1" applyFont="1" applyFill="1" applyBorder="1" applyAlignment="1" applyProtection="1">
      <alignment horizontal="center" vertical="center"/>
    </xf>
    <xf numFmtId="190" fontId="16" fillId="0" borderId="47" xfId="43" applyNumberFormat="1" applyFont="1" applyBorder="1" applyAlignment="1" applyProtection="1">
      <alignment horizontal="center" vertical="center"/>
    </xf>
    <xf numFmtId="190" fontId="16" fillId="4" borderId="45" xfId="43" applyNumberFormat="1" applyFont="1" applyFill="1" applyBorder="1" applyAlignment="1" applyProtection="1">
      <alignment horizontal="center" vertical="center"/>
    </xf>
    <xf numFmtId="190" fontId="16" fillId="4" borderId="23" xfId="43" applyNumberFormat="1" applyFont="1" applyFill="1" applyBorder="1" applyAlignment="1" applyProtection="1">
      <alignment horizontal="center" vertical="center"/>
    </xf>
    <xf numFmtId="177" fontId="16" fillId="4" borderId="48" xfId="43" applyNumberFormat="1" applyFont="1" applyFill="1" applyBorder="1" applyAlignment="1" applyProtection="1">
      <alignment horizontal="center" vertical="center"/>
    </xf>
    <xf numFmtId="176" fontId="16" fillId="0" borderId="49" xfId="43" applyNumberFormat="1" applyFont="1" applyFill="1" applyBorder="1" applyAlignment="1" applyProtection="1">
      <alignment horizontal="center" vertical="center"/>
    </xf>
    <xf numFmtId="0" fontId="5" fillId="6" borderId="18" xfId="43" applyFont="1" applyFill="1" applyBorder="1" applyAlignment="1" applyProtection="1">
      <alignment horizontal="center" vertical="center"/>
    </xf>
    <xf numFmtId="0" fontId="5" fillId="6" borderId="0" xfId="43" applyFont="1" applyFill="1" applyBorder="1" applyAlignment="1" applyProtection="1">
      <alignment horizontal="center" vertical="center"/>
    </xf>
    <xf numFmtId="179" fontId="13" fillId="0" borderId="17" xfId="43" applyNumberFormat="1" applyFont="1" applyBorder="1" applyAlignment="1" applyProtection="1">
      <alignment horizontal="center" vertical="center"/>
    </xf>
    <xf numFmtId="179" fontId="16" fillId="0" borderId="19" xfId="43" applyNumberFormat="1" applyFont="1" applyFill="1" applyBorder="1" applyAlignment="1" applyProtection="1">
      <alignment horizontal="center" vertical="center" wrapText="1"/>
    </xf>
    <xf numFmtId="179" fontId="16" fillId="0" borderId="20" xfId="43" applyNumberFormat="1" applyFont="1" applyFill="1" applyBorder="1" applyAlignment="1" applyProtection="1">
      <alignment horizontal="center" vertical="center" wrapText="1"/>
    </xf>
    <xf numFmtId="179" fontId="16" fillId="0" borderId="21" xfId="43" applyNumberFormat="1" applyFont="1" applyFill="1" applyBorder="1" applyAlignment="1" applyProtection="1">
      <alignment horizontal="center" vertical="center" wrapText="1"/>
    </xf>
    <xf numFmtId="179" fontId="13" fillId="0" borderId="0" xfId="43" applyNumberFormat="1" applyFont="1" applyFill="1" applyBorder="1" applyAlignment="1" applyProtection="1">
      <alignment horizontal="center" vertical="center" wrapText="1"/>
    </xf>
    <xf numFmtId="179" fontId="16" fillId="0" borderId="0" xfId="43" applyNumberFormat="1" applyFont="1" applyFill="1" applyBorder="1" applyAlignment="1" applyProtection="1">
      <alignment horizontal="center" vertical="center" wrapText="1"/>
    </xf>
    <xf numFmtId="179" fontId="16" fillId="0" borderId="0" xfId="43" applyNumberFormat="1" applyFont="1" applyFill="1" applyBorder="1" applyAlignment="1" applyProtection="1">
      <alignment vertical="center" wrapText="1"/>
    </xf>
    <xf numFmtId="181" fontId="43" fillId="0" borderId="2" xfId="0" applyNumberFormat="1" applyFont="1" applyBorder="1" applyAlignment="1">
      <alignment horizontal="center" vertical="center"/>
    </xf>
    <xf numFmtId="180" fontId="16" fillId="4" borderId="7" xfId="2" applyNumberFormat="1" applyFont="1" applyFill="1" applyBorder="1" applyAlignment="1" applyProtection="1">
      <alignment horizontal="center" vertical="center"/>
    </xf>
    <xf numFmtId="43" fontId="16" fillId="4" borderId="7" xfId="2" applyFont="1" applyFill="1" applyBorder="1" applyAlignment="1" applyProtection="1">
      <alignment horizontal="center" vertical="center"/>
    </xf>
    <xf numFmtId="43" fontId="16" fillId="4" borderId="23" xfId="2" applyFont="1" applyFill="1" applyBorder="1" applyAlignment="1" applyProtection="1">
      <alignment horizontal="center" vertical="center"/>
    </xf>
    <xf numFmtId="179" fontId="16" fillId="0" borderId="0" xfId="43" applyNumberFormat="1" applyFont="1" applyFill="1" applyBorder="1" applyAlignment="1" applyProtection="1">
      <alignment horizontal="center" vertical="center"/>
    </xf>
    <xf numFmtId="0" fontId="13" fillId="4" borderId="19" xfId="43" applyFont="1" applyFill="1" applyBorder="1" applyAlignment="1" applyProtection="1">
      <alignment horizontal="center" vertical="center" wrapText="1"/>
    </xf>
    <xf numFmtId="179" fontId="16" fillId="0" borderId="0" xfId="43" applyNumberFormat="1" applyFont="1" applyFill="1" applyAlignment="1" applyProtection="1">
      <alignment vertical="center" wrapText="1"/>
    </xf>
    <xf numFmtId="43" fontId="23" fillId="0" borderId="7" xfId="2" applyFont="1" applyFill="1" applyBorder="1" applyAlignment="1" applyProtection="1">
      <alignment horizontal="center" vertical="center"/>
    </xf>
    <xf numFmtId="43" fontId="29" fillId="0" borderId="7" xfId="2" applyFont="1" applyFill="1" applyBorder="1" applyAlignment="1" applyProtection="1">
      <alignment horizontal="center" vertical="center"/>
    </xf>
    <xf numFmtId="180" fontId="16" fillId="4" borderId="22" xfId="43" applyNumberFormat="1" applyFont="1" applyFill="1" applyBorder="1" applyAlignment="1" applyProtection="1">
      <alignment horizontal="center" vertical="center"/>
    </xf>
    <xf numFmtId="180" fontId="16" fillId="0" borderId="22" xfId="43" applyNumberFormat="1" applyFont="1" applyFill="1" applyBorder="1" applyAlignment="1" applyProtection="1">
      <alignment horizontal="center" vertical="center"/>
    </xf>
    <xf numFmtId="43" fontId="16" fillId="0" borderId="22" xfId="2" applyFont="1" applyFill="1" applyBorder="1" applyAlignment="1" applyProtection="1">
      <alignment horizontal="center" vertical="center"/>
    </xf>
    <xf numFmtId="179" fontId="16" fillId="0" borderId="22" xfId="43" applyNumberFormat="1" applyFont="1" applyFill="1" applyBorder="1" applyAlignment="1" applyProtection="1">
      <alignment horizontal="center" vertical="center"/>
    </xf>
    <xf numFmtId="179" fontId="16" fillId="0" borderId="22" xfId="43" applyNumberFormat="1" applyFont="1" applyFill="1" applyBorder="1" applyAlignment="1" applyProtection="1">
      <alignment horizontal="center" vertical="center" wrapText="1"/>
    </xf>
    <xf numFmtId="179" fontId="16" fillId="4" borderId="2" xfId="43" applyNumberFormat="1" applyFont="1" applyFill="1" applyBorder="1" applyAlignment="1" applyProtection="1">
      <alignment horizontal="center" vertical="center"/>
    </xf>
    <xf numFmtId="179" fontId="16" fillId="7" borderId="29" xfId="43" applyNumberFormat="1" applyFont="1" applyFill="1" applyBorder="1" applyAlignment="1" applyProtection="1">
      <alignment horizontal="center" vertical="center"/>
    </xf>
    <xf numFmtId="179" fontId="16" fillId="7" borderId="30" xfId="43" applyNumberFormat="1" applyFont="1" applyFill="1" applyBorder="1" applyAlignment="1" applyProtection="1">
      <alignment horizontal="center" vertical="center"/>
    </xf>
    <xf numFmtId="179" fontId="16" fillId="7" borderId="1" xfId="43" applyNumberFormat="1" applyFont="1" applyFill="1" applyBorder="1" applyAlignment="1" applyProtection="1">
      <alignment horizontal="center" vertical="center"/>
    </xf>
    <xf numFmtId="179" fontId="13" fillId="0" borderId="11" xfId="43" applyNumberFormat="1" applyFont="1" applyFill="1" applyBorder="1" applyAlignment="1" applyProtection="1">
      <alignment horizontal="center" vertical="center"/>
    </xf>
    <xf numFmtId="179" fontId="13" fillId="0" borderId="31" xfId="43" applyNumberFormat="1" applyFont="1" applyFill="1" applyBorder="1" applyAlignment="1" applyProtection="1">
      <alignment horizontal="center" vertical="center"/>
    </xf>
    <xf numFmtId="179" fontId="13" fillId="0" borderId="32" xfId="43" applyNumberFormat="1" applyFont="1" applyBorder="1" applyAlignment="1">
      <alignment horizontal="center" vertical="center"/>
      <protection locked="0"/>
    </xf>
    <xf numFmtId="179" fontId="13" fillId="0" borderId="30" xfId="43" applyNumberFormat="1" applyFont="1" applyBorder="1" applyAlignment="1">
      <alignment horizontal="center" vertical="center"/>
      <protection locked="0"/>
    </xf>
    <xf numFmtId="179" fontId="13" fillId="0" borderId="20" xfId="43" applyNumberFormat="1" applyFont="1" applyBorder="1" applyAlignment="1">
      <alignment horizontal="center" vertical="center"/>
      <protection locked="0"/>
    </xf>
    <xf numFmtId="0" fontId="13" fillId="0" borderId="2" xfId="43" applyFont="1" applyBorder="1" applyAlignment="1" applyProtection="1">
      <alignment horizontal="center" vertical="center"/>
    </xf>
    <xf numFmtId="0" fontId="13" fillId="4" borderId="2" xfId="43" applyFont="1" applyFill="1" applyBorder="1" applyAlignment="1" applyProtection="1">
      <alignment horizontal="center" vertical="center" wrapText="1"/>
    </xf>
    <xf numFmtId="179" fontId="13" fillId="4" borderId="0" xfId="43" applyNumberFormat="1" applyFont="1" applyFill="1" applyBorder="1" applyAlignment="1" applyProtection="1">
      <alignment horizontal="center" vertical="center"/>
    </xf>
    <xf numFmtId="179" fontId="16" fillId="0" borderId="37" xfId="43" applyNumberFormat="1" applyFont="1" applyBorder="1" applyAlignment="1" applyProtection="1">
      <alignment horizontal="center" vertical="center"/>
    </xf>
    <xf numFmtId="176" fontId="16" fillId="4" borderId="2" xfId="43" applyNumberFormat="1" applyFont="1" applyFill="1" applyBorder="1" applyAlignment="1" applyProtection="1">
      <alignment horizontal="center" vertical="center" wrapText="1"/>
    </xf>
    <xf numFmtId="176" fontId="16" fillId="4" borderId="0" xfId="43" applyNumberFormat="1" applyFont="1" applyFill="1" applyBorder="1" applyAlignment="1" applyProtection="1">
      <alignment horizontal="center" vertical="center"/>
    </xf>
    <xf numFmtId="179" fontId="16" fillId="0" borderId="45" xfId="43" applyNumberFormat="1" applyFont="1" applyBorder="1" applyAlignment="1" applyProtection="1">
      <alignment horizontal="center" vertical="center"/>
    </xf>
    <xf numFmtId="176" fontId="16" fillId="0" borderId="22" xfId="43" applyNumberFormat="1" applyFont="1" applyFill="1" applyBorder="1" applyAlignment="1" applyProtection="1">
      <alignment horizontal="center" vertical="center"/>
    </xf>
    <xf numFmtId="176" fontId="16" fillId="0" borderId="22" xfId="43" applyNumberFormat="1" applyFont="1" applyBorder="1" applyAlignment="1" applyProtection="1">
      <alignment horizontal="center" vertical="center"/>
    </xf>
    <xf numFmtId="179" fontId="16" fillId="0" borderId="2" xfId="43" applyNumberFormat="1" applyFont="1" applyFill="1" applyBorder="1" applyAlignment="1" applyProtection="1">
      <alignment horizontal="center" vertical="center"/>
    </xf>
    <xf numFmtId="179" fontId="14" fillId="8" borderId="18" xfId="43" applyNumberFormat="1" applyFont="1" applyFill="1" applyBorder="1" applyAlignment="1" applyProtection="1">
      <alignment horizontal="center" vertical="center" wrapText="1"/>
    </xf>
    <xf numFmtId="179" fontId="16" fillId="8" borderId="51" xfId="43" applyNumberFormat="1" applyFont="1" applyFill="1" applyBorder="1" applyAlignment="1" applyProtection="1">
      <alignment horizontal="center" vertical="center"/>
    </xf>
    <xf numFmtId="180" fontId="16" fillId="8" borderId="51" xfId="43" applyNumberFormat="1" applyFont="1" applyFill="1" applyBorder="1" applyAlignment="1" applyProtection="1">
      <alignment horizontal="center" vertical="center"/>
    </xf>
    <xf numFmtId="180" fontId="16" fillId="8" borderId="0" xfId="43" applyNumberFormat="1" applyFont="1" applyFill="1" applyBorder="1" applyAlignment="1" applyProtection="1">
      <alignment horizontal="center" vertical="center"/>
    </xf>
    <xf numFmtId="176" fontId="16" fillId="8" borderId="0" xfId="43" applyNumberFormat="1" applyFont="1" applyFill="1" applyBorder="1" applyAlignment="1" applyProtection="1">
      <alignment horizontal="center" vertical="center"/>
    </xf>
    <xf numFmtId="190" fontId="16" fillId="8" borderId="0" xfId="43" applyNumberFormat="1" applyFont="1" applyFill="1" applyBorder="1" applyAlignment="1" applyProtection="1">
      <alignment horizontal="center" vertical="center"/>
    </xf>
    <xf numFmtId="178" fontId="16" fillId="8" borderId="0" xfId="43" applyNumberFormat="1" applyFont="1" applyFill="1" applyBorder="1" applyAlignment="1" applyProtection="1">
      <alignment horizontal="center" vertical="center"/>
    </xf>
    <xf numFmtId="179" fontId="16" fillId="8" borderId="0" xfId="43" applyNumberFormat="1" applyFont="1" applyFill="1" applyBorder="1" applyAlignment="1" applyProtection="1">
      <alignment horizontal="center" vertical="center"/>
    </xf>
    <xf numFmtId="176" fontId="16" fillId="0" borderId="0" xfId="43" applyNumberFormat="1" applyFont="1" applyFill="1" applyBorder="1" applyAlignment="1" applyProtection="1">
      <alignment vertical="center" wrapText="1"/>
    </xf>
    <xf numFmtId="181" fontId="46" fillId="0" borderId="2" xfId="0" applyNumberFormat="1" applyFont="1" applyBorder="1" applyAlignment="1">
      <alignment horizontal="center" vertical="center"/>
    </xf>
    <xf numFmtId="43" fontId="31" fillId="0" borderId="7" xfId="2" applyFont="1" applyFill="1" applyBorder="1" applyAlignment="1" applyProtection="1">
      <alignment horizontal="center" vertical="center"/>
    </xf>
    <xf numFmtId="179" fontId="13" fillId="0" borderId="52" xfId="43" applyNumberFormat="1" applyFont="1" applyBorder="1" applyAlignment="1">
      <alignment horizontal="center" vertical="center"/>
      <protection locked="0"/>
    </xf>
    <xf numFmtId="0" fontId="13" fillId="0" borderId="29" xfId="43" applyFont="1" applyBorder="1" applyAlignment="1" applyProtection="1">
      <alignment horizontal="center" vertical="center"/>
    </xf>
    <xf numFmtId="0" fontId="13" fillId="0" borderId="20" xfId="43" applyFont="1" applyBorder="1" applyAlignment="1" applyProtection="1">
      <alignment horizontal="center" vertical="center"/>
    </xf>
    <xf numFmtId="0" fontId="13" fillId="4" borderId="21" xfId="43" applyFont="1" applyFill="1" applyBorder="1" applyAlignment="1" applyProtection="1">
      <alignment horizontal="center" vertical="center" wrapText="1"/>
    </xf>
    <xf numFmtId="179" fontId="16" fillId="0" borderId="24" xfId="43" applyNumberFormat="1" applyFont="1" applyBorder="1" applyAlignment="1" applyProtection="1">
      <alignment horizontal="center" vertical="center"/>
    </xf>
    <xf numFmtId="190" fontId="16" fillId="4" borderId="3" xfId="43" applyNumberFormat="1" applyFont="1" applyFill="1" applyBorder="1" applyAlignment="1" applyProtection="1">
      <alignment horizontal="center" vertical="center"/>
    </xf>
    <xf numFmtId="177" fontId="16" fillId="4" borderId="2" xfId="43" applyNumberFormat="1" applyFont="1" applyFill="1" applyBorder="1" applyAlignment="1" applyProtection="1">
      <alignment horizontal="center" vertical="center"/>
    </xf>
    <xf numFmtId="176" fontId="16" fillId="4" borderId="41" xfId="43" applyNumberFormat="1" applyFont="1" applyFill="1" applyBorder="1" applyAlignment="1" applyProtection="1">
      <alignment horizontal="center" vertical="center" wrapText="1"/>
    </xf>
    <xf numFmtId="176" fontId="16" fillId="4" borderId="41" xfId="43" applyNumberFormat="1" applyFont="1" applyFill="1" applyBorder="1" applyAlignment="1" applyProtection="1">
      <alignment horizontal="center" vertical="center"/>
    </xf>
    <xf numFmtId="190" fontId="16" fillId="4" borderId="46" xfId="43" applyNumberFormat="1" applyFont="1" applyFill="1" applyBorder="1" applyAlignment="1" applyProtection="1">
      <alignment horizontal="center" vertical="center"/>
    </xf>
    <xf numFmtId="179" fontId="16" fillId="0" borderId="23" xfId="43" applyNumberFormat="1" applyFont="1" applyFill="1" applyBorder="1" applyAlignment="1" applyProtection="1">
      <alignment horizontal="center" vertical="center"/>
    </xf>
    <xf numFmtId="180" fontId="5" fillId="6" borderId="0" xfId="43" applyNumberFormat="1" applyFont="1" applyFill="1" applyBorder="1" applyAlignment="1" applyProtection="1">
      <alignment horizontal="center" vertical="center"/>
    </xf>
    <xf numFmtId="0" fontId="5" fillId="6" borderId="6" xfId="43" applyFont="1" applyFill="1" applyBorder="1" applyAlignment="1" applyProtection="1">
      <alignment horizontal="center" vertical="center"/>
    </xf>
    <xf numFmtId="180" fontId="13" fillId="0" borderId="17" xfId="43" applyNumberFormat="1" applyFont="1" applyBorder="1" applyAlignment="1" applyProtection="1">
      <alignment horizontal="center" vertical="center"/>
    </xf>
    <xf numFmtId="179" fontId="16" fillId="4" borderId="0" xfId="43" applyNumberFormat="1" applyFont="1" applyFill="1" applyBorder="1" applyAlignment="1" applyProtection="1">
      <alignment vertical="center" wrapText="1"/>
    </xf>
    <xf numFmtId="0" fontId="16" fillId="4" borderId="0" xfId="43" applyFont="1" applyFill="1" applyBorder="1" applyAlignment="1" applyProtection="1">
      <alignment horizontal="center" vertical="center" wrapText="1"/>
    </xf>
    <xf numFmtId="179" fontId="16" fillId="4" borderId="0" xfId="43" applyNumberFormat="1" applyFont="1" applyFill="1" applyAlignment="1" applyProtection="1">
      <alignment vertical="center" wrapText="1"/>
    </xf>
    <xf numFmtId="179" fontId="13" fillId="0" borderId="46" xfId="43" applyNumberFormat="1" applyFont="1" applyFill="1" applyBorder="1" applyAlignment="1" applyProtection="1">
      <alignment horizontal="center" vertical="center"/>
    </xf>
    <xf numFmtId="179" fontId="13" fillId="0" borderId="53" xfId="43" applyNumberFormat="1" applyFont="1" applyFill="1" applyBorder="1" applyAlignment="1" applyProtection="1">
      <alignment horizontal="center" vertical="center"/>
    </xf>
    <xf numFmtId="179" fontId="13" fillId="0" borderId="2" xfId="43" applyNumberFormat="1" applyFont="1" applyBorder="1" applyAlignment="1" applyProtection="1">
      <alignment horizontal="center"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 applyAlignment="1">
      <alignment horizontal="center" vertical="center"/>
    </xf>
    <xf numFmtId="180" fontId="5" fillId="4" borderId="0" xfId="0" applyNumberFormat="1" applyFont="1" applyFill="1" applyBorder="1">
      <alignment vertical="center"/>
    </xf>
    <xf numFmtId="0" fontId="5" fillId="6" borderId="50" xfId="43" applyFont="1" applyFill="1" applyBorder="1" applyAlignment="1" applyProtection="1">
      <alignment horizontal="center" vertical="center"/>
    </xf>
    <xf numFmtId="0" fontId="5" fillId="6" borderId="51" xfId="43" applyFont="1" applyFill="1" applyBorder="1" applyAlignment="1" applyProtection="1">
      <alignment horizontal="center" vertical="center"/>
    </xf>
    <xf numFmtId="179" fontId="16" fillId="4" borderId="19" xfId="43" applyNumberFormat="1" applyFont="1" applyFill="1" applyBorder="1" applyAlignment="1" applyProtection="1">
      <alignment horizontal="center" vertical="center" wrapText="1"/>
    </xf>
    <xf numFmtId="180" fontId="16" fillId="0" borderId="7" xfId="2" applyNumberFormat="1" applyFont="1" applyFill="1" applyBorder="1" applyAlignment="1" applyProtection="1">
      <alignment horizontal="center" vertical="center"/>
    </xf>
    <xf numFmtId="180" fontId="16" fillId="3" borderId="7" xfId="2" applyNumberFormat="1" applyFont="1" applyFill="1" applyBorder="1" applyAlignment="1" applyProtection="1">
      <alignment horizontal="center" vertical="center"/>
    </xf>
    <xf numFmtId="179" fontId="13" fillId="0" borderId="20" xfId="43" applyNumberFormat="1" applyFont="1" applyBorder="1" applyAlignment="1" applyProtection="1">
      <alignment horizontal="center" vertical="center"/>
    </xf>
    <xf numFmtId="179" fontId="13" fillId="0" borderId="29" xfId="43" applyNumberFormat="1" applyFont="1" applyBorder="1" applyAlignment="1" applyProtection="1">
      <alignment horizontal="center" vertical="center"/>
    </xf>
    <xf numFmtId="0" fontId="5" fillId="0" borderId="0" xfId="0" applyFont="1">
      <alignment vertical="center"/>
    </xf>
    <xf numFmtId="179" fontId="16" fillId="4" borderId="37" xfId="43" applyNumberFormat="1" applyFont="1" applyFill="1" applyBorder="1" applyAlignment="1" applyProtection="1">
      <alignment horizontal="center" vertical="center"/>
    </xf>
    <xf numFmtId="0" fontId="5" fillId="4" borderId="0" xfId="0" applyFont="1" applyFill="1">
      <alignment vertical="center"/>
    </xf>
    <xf numFmtId="179" fontId="16" fillId="4" borderId="45" xfId="43" applyNumberFormat="1" applyFont="1" applyFill="1" applyBorder="1" applyAlignment="1" applyProtection="1">
      <alignment horizontal="center" vertical="center"/>
    </xf>
    <xf numFmtId="43" fontId="13" fillId="4" borderId="28" xfId="2" applyFont="1" applyFill="1" applyBorder="1" applyAlignment="1" applyProtection="1">
      <alignment horizontal="center" vertical="center" wrapText="1"/>
    </xf>
    <xf numFmtId="179" fontId="13" fillId="0" borderId="21" xfId="43" applyNumberFormat="1" applyFont="1" applyBorder="1" applyAlignment="1" applyProtection="1">
      <alignment horizontal="center" vertical="center"/>
    </xf>
    <xf numFmtId="191" fontId="16" fillId="4" borderId="2" xfId="43" applyNumberFormat="1" applyFont="1" applyFill="1" applyBorder="1" applyAlignment="1" applyProtection="1">
      <alignment horizontal="center" vertical="center"/>
    </xf>
    <xf numFmtId="180" fontId="16" fillId="4" borderId="41" xfId="43" applyNumberFormat="1" applyFont="1" applyFill="1" applyBorder="1" applyAlignment="1" applyProtection="1">
      <alignment horizontal="center" vertical="center"/>
    </xf>
    <xf numFmtId="177" fontId="16" fillId="4" borderId="41" xfId="43" applyNumberFormat="1" applyFont="1" applyFill="1" applyBorder="1" applyAlignment="1" applyProtection="1">
      <alignment horizontal="center" vertical="center"/>
    </xf>
    <xf numFmtId="191" fontId="16" fillId="4" borderId="22" xfId="43" applyNumberFormat="1" applyFont="1" applyFill="1" applyBorder="1" applyAlignment="1" applyProtection="1">
      <alignment horizontal="center" vertical="center"/>
    </xf>
    <xf numFmtId="180" fontId="16" fillId="4" borderId="7" xfId="43" applyNumberFormat="1" applyFont="1" applyFill="1" applyBorder="1" applyAlignment="1" applyProtection="1">
      <alignment horizontal="center" vertical="center"/>
    </xf>
    <xf numFmtId="179" fontId="16" fillId="4" borderId="0" xfId="43" applyNumberFormat="1" applyFont="1" applyFill="1" applyBorder="1" applyAlignment="1" applyProtection="1">
      <alignment horizontal="center" vertical="center" wrapText="1"/>
    </xf>
    <xf numFmtId="43" fontId="13" fillId="4" borderId="27" xfId="2" applyFont="1" applyFill="1" applyBorder="1" applyAlignment="1" applyProtection="1">
      <alignment horizontal="center" vertical="center" wrapText="1"/>
    </xf>
    <xf numFmtId="179" fontId="16" fillId="7" borderId="17" xfId="43" applyNumberFormat="1" applyFont="1" applyFill="1" applyBorder="1" applyAlignment="1" applyProtection="1">
      <alignment horizontal="center" vertical="center"/>
    </xf>
    <xf numFmtId="179" fontId="16" fillId="0" borderId="2" xfId="43" applyNumberFormat="1" applyFont="1" applyBorder="1" applyAlignment="1">
      <alignment horizontal="center" vertical="center"/>
      <protection locked="0"/>
    </xf>
    <xf numFmtId="176" fontId="16" fillId="0" borderId="0" xfId="43" applyNumberFormat="1" applyFont="1" applyBorder="1" applyAlignment="1" applyProtection="1">
      <alignment horizontal="center" vertical="center"/>
    </xf>
    <xf numFmtId="180" fontId="16" fillId="0" borderId="2" xfId="43" applyNumberFormat="1" applyFont="1" applyFill="1" applyBorder="1" applyAlignment="1" applyProtection="1">
      <alignment horizontal="center" vertical="center"/>
    </xf>
    <xf numFmtId="180" fontId="16" fillId="0" borderId="2" xfId="43" applyNumberFormat="1" applyFont="1" applyBorder="1" applyAlignment="1" applyProtection="1">
      <alignment horizontal="center" vertical="center"/>
    </xf>
    <xf numFmtId="176" fontId="16" fillId="0" borderId="2" xfId="43" applyNumberFormat="1" applyFont="1" applyFill="1" applyBorder="1" applyAlignment="1" applyProtection="1">
      <alignment horizontal="center" vertical="center"/>
    </xf>
    <xf numFmtId="176" fontId="16" fillId="0" borderId="2" xfId="43" applyNumberFormat="1" applyFont="1" applyBorder="1" applyAlignment="1" applyProtection="1">
      <alignment horizontal="center" vertical="center"/>
    </xf>
    <xf numFmtId="179" fontId="13" fillId="0" borderId="55" xfId="43" applyNumberFormat="1" applyFont="1" applyFill="1" applyBorder="1" applyAlignment="1" applyProtection="1">
      <alignment horizontal="center" vertical="center" wrapText="1"/>
    </xf>
    <xf numFmtId="0" fontId="13" fillId="0" borderId="56" xfId="43" applyFont="1" applyFill="1" applyBorder="1" applyAlignment="1" applyProtection="1">
      <alignment horizontal="center" vertical="center" wrapText="1"/>
    </xf>
    <xf numFmtId="180" fontId="16" fillId="0" borderId="56" xfId="43" applyNumberFormat="1" applyFont="1" applyFill="1" applyBorder="1" applyAlignment="1" applyProtection="1">
      <alignment horizontal="center" vertical="center" wrapText="1"/>
    </xf>
    <xf numFmtId="180" fontId="13" fillId="0" borderId="56" xfId="43" applyNumberFormat="1" applyFont="1" applyBorder="1" applyAlignment="1">
      <alignment horizontal="center" vertical="center"/>
      <protection locked="0"/>
    </xf>
    <xf numFmtId="179" fontId="13" fillId="0" borderId="34" xfId="43" applyNumberFormat="1" applyFont="1" applyBorder="1" applyAlignment="1">
      <alignment horizontal="center" vertical="center"/>
      <protection locked="0"/>
    </xf>
    <xf numFmtId="0" fontId="16" fillId="0" borderId="6" xfId="0" applyFont="1" applyBorder="1">
      <alignment vertical="center"/>
    </xf>
    <xf numFmtId="178" fontId="32" fillId="0" borderId="2" xfId="0" applyNumberFormat="1" applyFont="1" applyBorder="1">
      <alignment vertical="center"/>
    </xf>
    <xf numFmtId="180" fontId="16" fillId="0" borderId="6" xfId="0" applyNumberFormat="1" applyFont="1" applyBorder="1">
      <alignment vertical="center"/>
    </xf>
    <xf numFmtId="180" fontId="16" fillId="0" borderId="6" xfId="43" applyNumberFormat="1" applyFont="1" applyBorder="1" applyAlignment="1" applyProtection="1">
      <alignment horizontal="center" vertical="center"/>
    </xf>
    <xf numFmtId="43" fontId="5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0" fontId="5" fillId="0" borderId="2" xfId="0" applyNumberFormat="1" applyFont="1" applyBorder="1">
      <alignment vertical="center"/>
    </xf>
    <xf numFmtId="177" fontId="18" fillId="0" borderId="0" xfId="0" applyNumberFormat="1" applyFont="1" applyBorder="1" applyAlignment="1">
      <alignment horizontal="right" vertical="center"/>
    </xf>
    <xf numFmtId="0" fontId="5" fillId="8" borderId="0" xfId="0" applyFont="1" applyFill="1" applyBorder="1" applyAlignment="1">
      <alignment vertical="center" wrapText="1"/>
    </xf>
    <xf numFmtId="0" fontId="5" fillId="8" borderId="0" xfId="0" applyFont="1" applyFill="1" applyBorder="1">
      <alignment vertical="center"/>
    </xf>
    <xf numFmtId="180" fontId="5" fillId="8" borderId="0" xfId="0" applyNumberFormat="1" applyFont="1" applyFill="1" applyBorder="1">
      <alignment vertical="center"/>
    </xf>
    <xf numFmtId="0" fontId="5" fillId="8" borderId="0" xfId="0" applyFont="1" applyFill="1">
      <alignment vertical="center"/>
    </xf>
    <xf numFmtId="179" fontId="13" fillId="0" borderId="57" xfId="43" applyNumberFormat="1" applyFont="1" applyBorder="1" applyAlignment="1">
      <alignment horizontal="center" vertical="center"/>
      <protection locked="0"/>
    </xf>
    <xf numFmtId="176" fontId="16" fillId="4" borderId="6" xfId="43" applyNumberFormat="1" applyFont="1" applyFill="1" applyBorder="1" applyAlignment="1" applyProtection="1">
      <alignment horizontal="center" vertical="center"/>
    </xf>
    <xf numFmtId="181" fontId="16" fillId="0" borderId="6" xfId="0" applyNumberFormat="1" applyFont="1" applyBorder="1">
      <alignment vertical="center"/>
    </xf>
    <xf numFmtId="180" fontId="13" fillId="0" borderId="20" xfId="43" applyNumberFormat="1" applyFont="1" applyFill="1" applyBorder="1" applyAlignment="1" applyProtection="1">
      <alignment horizontal="center" vertical="center" wrapText="1"/>
    </xf>
    <xf numFmtId="180" fontId="16" fillId="0" borderId="2" xfId="0" applyNumberFormat="1" applyFont="1" applyBorder="1" applyAlignment="1">
      <alignment horizontal="center" vertical="center"/>
    </xf>
    <xf numFmtId="0" fontId="20" fillId="0" borderId="1" xfId="34" applyFont="1" applyBorder="1" applyAlignment="1">
      <alignment horizontal="center" vertical="center" wrapText="1"/>
    </xf>
    <xf numFmtId="43" fontId="8" fillId="0" borderId="0" xfId="33" applyNumberFormat="1">
      <alignment vertical="center"/>
    </xf>
    <xf numFmtId="181" fontId="36" fillId="0" borderId="2" xfId="34" applyNumberFormat="1" applyFont="1" applyBorder="1" applyAlignment="1">
      <alignment horizontal="center" vertical="center" wrapText="1"/>
    </xf>
    <xf numFmtId="185" fontId="36" fillId="0" borderId="2" xfId="34" applyNumberFormat="1" applyFont="1" applyBorder="1" applyAlignment="1">
      <alignment horizontal="center" vertical="center" wrapText="1"/>
    </xf>
    <xf numFmtId="181" fontId="32" fillId="0" borderId="2" xfId="0" applyNumberFormat="1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29" fillId="4" borderId="2" xfId="4" applyFont="1" applyFill="1" applyBorder="1" applyAlignment="1" applyProtection="1">
      <alignment horizontal="center" vertical="center" wrapText="1" readingOrder="1"/>
      <protection locked="0"/>
    </xf>
    <xf numFmtId="0" fontId="16" fillId="5" borderId="6" xfId="0" applyFont="1" applyFill="1" applyBorder="1" applyAlignment="1" applyProtection="1">
      <alignment horizontal="left" vertical="center" wrapText="1" readingOrder="1"/>
      <protection locked="0"/>
    </xf>
    <xf numFmtId="0" fontId="16" fillId="5" borderId="2" xfId="0" applyFont="1" applyFill="1" applyBorder="1" applyAlignment="1" applyProtection="1">
      <alignment horizontal="left" vertical="justify" wrapText="1"/>
      <protection locked="0"/>
    </xf>
    <xf numFmtId="176" fontId="13" fillId="0" borderId="2" xfId="3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vertical="center"/>
    </xf>
    <xf numFmtId="0" fontId="16" fillId="4" borderId="2" xfId="0" applyFont="1" applyFill="1" applyBorder="1" applyAlignment="1" applyProtection="1">
      <alignment horizontal="left" vertical="justify" wrapText="1"/>
      <protection locked="0"/>
    </xf>
    <xf numFmtId="0" fontId="16" fillId="4" borderId="2" xfId="3" applyNumberFormat="1" applyFont="1" applyFill="1" applyBorder="1" applyAlignment="1">
      <alignment horizontal="center" vertical="center"/>
    </xf>
    <xf numFmtId="178" fontId="16" fillId="4" borderId="2" xfId="3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/>
    </xf>
    <xf numFmtId="0" fontId="29" fillId="0" borderId="2" xfId="4" applyFont="1" applyFill="1" applyBorder="1" applyAlignment="1" applyProtection="1">
      <alignment horizontal="center" vertical="center" wrapText="1" readingOrder="1"/>
      <protection locked="0"/>
    </xf>
    <xf numFmtId="0" fontId="29" fillId="0" borderId="2" xfId="27" applyFont="1" applyFill="1" applyBorder="1" applyAlignment="1">
      <alignment horizontal="center" vertical="center" wrapText="1"/>
    </xf>
    <xf numFmtId="0" fontId="29" fillId="0" borderId="2" xfId="6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9" fillId="0" borderId="2" xfId="6" applyFont="1" applyFill="1" applyBorder="1" applyAlignment="1">
      <alignment horizontal="center" vertical="center" wrapText="1"/>
    </xf>
    <xf numFmtId="0" fontId="16" fillId="5" borderId="2" xfId="7" applyFont="1" applyFill="1" applyBorder="1" applyAlignment="1" applyProtection="1">
      <alignment horizontal="left" vertical="center" wrapText="1" readingOrder="1"/>
      <protection locked="0"/>
    </xf>
    <xf numFmtId="0" fontId="16" fillId="5" borderId="2" xfId="0" applyFont="1" applyFill="1" applyBorder="1" applyAlignment="1" applyProtection="1">
      <alignment vertical="center" wrapText="1"/>
      <protection locked="0"/>
    </xf>
    <xf numFmtId="0" fontId="16" fillId="4" borderId="2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0" fontId="30" fillId="0" borderId="2" xfId="0" applyFont="1" applyBorder="1">
      <alignment vertical="center"/>
    </xf>
    <xf numFmtId="0" fontId="49" fillId="5" borderId="2" xfId="0" applyFont="1" applyFill="1" applyBorder="1" applyAlignment="1" applyProtection="1">
      <alignment horizontal="left" vertical="top" wrapText="1" readingOrder="1"/>
      <protection locked="0"/>
    </xf>
    <xf numFmtId="180" fontId="16" fillId="4" borderId="2" xfId="0" applyNumberFormat="1" applyFont="1" applyFill="1" applyBorder="1" applyAlignment="1">
      <alignment horizontal="center" vertical="center" wrapText="1"/>
    </xf>
    <xf numFmtId="0" fontId="49" fillId="5" borderId="6" xfId="0" applyFont="1" applyFill="1" applyBorder="1" applyAlignment="1" applyProtection="1">
      <alignment horizontal="left" vertical="top" wrapText="1" readingOrder="1"/>
      <protection locked="0"/>
    </xf>
    <xf numFmtId="180" fontId="16" fillId="4" borderId="6" xfId="0" applyNumberFormat="1" applyFont="1" applyFill="1" applyBorder="1" applyAlignment="1">
      <alignment horizontal="center" vertical="center" wrapText="1"/>
    </xf>
    <xf numFmtId="0" fontId="16" fillId="4" borderId="6" xfId="0" applyNumberFormat="1" applyFont="1" applyFill="1" applyBorder="1" applyAlignment="1">
      <alignment horizontal="center" vertical="center"/>
    </xf>
    <xf numFmtId="0" fontId="16" fillId="4" borderId="6" xfId="0" applyFont="1" applyFill="1" applyBorder="1" applyAlignment="1" applyProtection="1">
      <alignment horizontal="left" vertical="center" wrapText="1"/>
      <protection locked="0"/>
    </xf>
    <xf numFmtId="0" fontId="29" fillId="0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16" fillId="4" borderId="2" xfId="8" applyNumberFormat="1" applyFont="1" applyFill="1" applyBorder="1" applyAlignment="1">
      <alignment horizontal="left" vertical="center" wrapText="1"/>
    </xf>
    <xf numFmtId="0" fontId="16" fillId="5" borderId="2" xfId="0" applyFont="1" applyFill="1" applyBorder="1" applyAlignment="1" applyProtection="1">
      <alignment horizontal="left" vertical="center" wrapText="1"/>
      <protection locked="0"/>
    </xf>
    <xf numFmtId="0" fontId="29" fillId="0" borderId="2" xfId="16" applyFont="1" applyBorder="1" applyAlignment="1">
      <alignment horizontal="center" vertical="center" wrapText="1"/>
    </xf>
    <xf numFmtId="0" fontId="29" fillId="4" borderId="2" xfId="16" applyNumberFormat="1" applyFont="1" applyFill="1" applyBorder="1" applyAlignment="1">
      <alignment horizontal="center" vertical="center" wrapText="1"/>
    </xf>
    <xf numFmtId="0" fontId="49" fillId="5" borderId="2" xfId="0" applyFont="1" applyFill="1" applyBorder="1" applyAlignment="1" applyProtection="1">
      <alignment horizontal="center" vertical="top" wrapText="1"/>
      <protection locked="0"/>
    </xf>
    <xf numFmtId="0" fontId="5" fillId="5" borderId="2" xfId="0" applyFont="1" applyFill="1" applyBorder="1" applyAlignment="1" applyProtection="1">
      <alignment horizontal="center" vertical="top" wrapText="1"/>
      <protection locked="0"/>
    </xf>
    <xf numFmtId="0" fontId="29" fillId="0" borderId="2" xfId="9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left" vertical="center"/>
    </xf>
    <xf numFmtId="0" fontId="26" fillId="4" borderId="2" xfId="8" applyNumberFormat="1" applyFont="1" applyFill="1" applyBorder="1" applyAlignment="1">
      <alignment horizontal="left" vertical="center" wrapText="1"/>
    </xf>
    <xf numFmtId="0" fontId="26" fillId="0" borderId="2" xfId="0" applyFont="1" applyBorder="1">
      <alignment vertical="center"/>
    </xf>
    <xf numFmtId="0" fontId="26" fillId="0" borderId="2" xfId="0" applyFont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178" fontId="26" fillId="4" borderId="2" xfId="3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wrapText="1"/>
    </xf>
    <xf numFmtId="0" fontId="16" fillId="4" borderId="2" xfId="10" applyFont="1" applyFill="1" applyBorder="1" applyAlignment="1">
      <alignment horizontal="left" vertical="justify" wrapText="1"/>
    </xf>
    <xf numFmtId="0" fontId="16" fillId="4" borderId="2" xfId="0" applyFont="1" applyFill="1" applyBorder="1">
      <alignment vertical="center"/>
    </xf>
    <xf numFmtId="0" fontId="16" fillId="5" borderId="2" xfId="0" applyFont="1" applyFill="1" applyBorder="1" applyAlignment="1" applyProtection="1">
      <alignment horizontal="center" vertical="top" wrapText="1"/>
      <protection locked="0"/>
    </xf>
    <xf numFmtId="0" fontId="4" fillId="4" borderId="2" xfId="11" applyNumberFormat="1" applyFont="1" applyFill="1" applyBorder="1" applyAlignment="1">
      <alignment horizontal="center" vertical="center" wrapText="1"/>
    </xf>
    <xf numFmtId="0" fontId="16" fillId="4" borderId="2" xfId="12" applyFont="1" applyFill="1" applyBorder="1" applyAlignment="1">
      <alignment horizontal="center" vertical="center"/>
    </xf>
    <xf numFmtId="0" fontId="29" fillId="4" borderId="2" xfId="27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2" xfId="9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left" vertical="center" wrapText="1"/>
    </xf>
    <xf numFmtId="176" fontId="16" fillId="4" borderId="7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justify" wrapText="1"/>
    </xf>
    <xf numFmtId="0" fontId="16" fillId="4" borderId="9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 applyProtection="1">
      <alignment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 readingOrder="1"/>
      <protection locked="0"/>
    </xf>
    <xf numFmtId="0" fontId="34" fillId="0" borderId="2" xfId="9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47" fillId="4" borderId="2" xfId="0" applyFont="1" applyFill="1" applyBorder="1">
      <alignment vertical="center"/>
    </xf>
    <xf numFmtId="0" fontId="38" fillId="4" borderId="2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vertical="center" wrapText="1"/>
    </xf>
    <xf numFmtId="0" fontId="26" fillId="4" borderId="2" xfId="0" applyFont="1" applyFill="1" applyBorder="1" applyAlignment="1" applyProtection="1">
      <alignment vertical="justify" wrapText="1"/>
      <protection locked="0"/>
    </xf>
    <xf numFmtId="0" fontId="50" fillId="0" borderId="2" xfId="0" applyFont="1" applyBorder="1">
      <alignment vertical="center"/>
    </xf>
    <xf numFmtId="176" fontId="26" fillId="4" borderId="2" xfId="0" applyNumberFormat="1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26" fillId="4" borderId="2" xfId="27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vertical="center" wrapText="1"/>
    </xf>
    <xf numFmtId="0" fontId="16" fillId="4" borderId="2" xfId="0" applyFont="1" applyFill="1" applyBorder="1" applyAlignment="1" applyProtection="1">
      <alignment vertical="justify" wrapText="1"/>
      <protection locked="0"/>
    </xf>
    <xf numFmtId="0" fontId="41" fillId="4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 applyProtection="1">
      <alignment vertical="justify" wrapText="1"/>
      <protection locked="0"/>
    </xf>
    <xf numFmtId="0" fontId="16" fillId="0" borderId="2" xfId="0" applyFont="1" applyFill="1" applyBorder="1" applyAlignment="1" applyProtection="1">
      <alignment horizontal="center" vertical="top" wrapText="1"/>
      <protection locked="0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Fill="1" applyBorder="1">
      <alignment vertical="center"/>
    </xf>
    <xf numFmtId="0" fontId="16" fillId="0" borderId="2" xfId="0" applyNumberFormat="1" applyFont="1" applyFill="1" applyBorder="1" applyAlignment="1">
      <alignment horizontal="center" vertical="center"/>
    </xf>
    <xf numFmtId="178" fontId="16" fillId="0" borderId="2" xfId="3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13" fillId="9" borderId="2" xfId="0" applyFont="1" applyFill="1" applyBorder="1" applyAlignment="1" applyProtection="1">
      <alignment horizontal="left" vertical="center" wrapText="1"/>
      <protection locked="0"/>
    </xf>
    <xf numFmtId="0" fontId="13" fillId="9" borderId="2" xfId="0" applyFont="1" applyFill="1" applyBorder="1" applyAlignment="1" applyProtection="1">
      <alignment vertical="center" wrapText="1"/>
      <protection locked="0"/>
    </xf>
    <xf numFmtId="0" fontId="13" fillId="9" borderId="2" xfId="0" applyFont="1" applyFill="1" applyBorder="1" applyAlignment="1" applyProtection="1">
      <alignment horizontal="left" vertical="justify" wrapText="1"/>
      <protection locked="0"/>
    </xf>
    <xf numFmtId="176" fontId="13" fillId="10" borderId="2" xfId="0" applyNumberFormat="1" applyFont="1" applyFill="1" applyBorder="1" applyAlignment="1">
      <alignment horizontal="center" vertical="center"/>
    </xf>
    <xf numFmtId="0" fontId="13" fillId="1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 wrapText="1"/>
    </xf>
    <xf numFmtId="178" fontId="13" fillId="10" borderId="2" xfId="3" applyNumberFormat="1" applyFont="1" applyFill="1" applyBorder="1" applyAlignment="1">
      <alignment horizontal="center" vertical="center"/>
    </xf>
    <xf numFmtId="0" fontId="41" fillId="10" borderId="2" xfId="0" applyFont="1" applyFill="1" applyBorder="1" applyAlignment="1">
      <alignment vertical="center"/>
    </xf>
    <xf numFmtId="0" fontId="41" fillId="10" borderId="2" xfId="0" applyFont="1" applyFill="1" applyBorder="1">
      <alignment vertical="center"/>
    </xf>
    <xf numFmtId="0" fontId="41" fillId="10" borderId="2" xfId="0" applyFont="1" applyFill="1" applyBorder="1" applyAlignment="1">
      <alignment horizontal="center" vertical="center"/>
    </xf>
    <xf numFmtId="0" fontId="16" fillId="4" borderId="2" xfId="12" applyFont="1" applyFill="1" applyBorder="1" applyAlignment="1">
      <alignment wrapText="1"/>
    </xf>
    <xf numFmtId="0" fontId="13" fillId="4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 applyProtection="1">
      <alignment horizontal="left" vertical="center" wrapText="1" readingOrder="1"/>
      <protection locked="0"/>
    </xf>
    <xf numFmtId="0" fontId="16" fillId="4" borderId="2" xfId="12" applyFont="1" applyFill="1" applyBorder="1" applyAlignment="1">
      <alignment horizontal="center"/>
    </xf>
    <xf numFmtId="0" fontId="16" fillId="4" borderId="2" xfId="12" applyFont="1" applyFill="1" applyBorder="1" applyAlignment="1"/>
    <xf numFmtId="181" fontId="16" fillId="4" borderId="2" xfId="0" applyNumberFormat="1" applyFont="1" applyFill="1" applyBorder="1" applyAlignment="1">
      <alignment horizontal="center" vertical="center"/>
    </xf>
    <xf numFmtId="0" fontId="16" fillId="0" borderId="2" xfId="13" applyFont="1" applyFill="1" applyBorder="1" applyAlignment="1">
      <alignment horizontal="center" vertical="center" wrapText="1"/>
    </xf>
    <xf numFmtId="0" fontId="16" fillId="0" borderId="2" xfId="28" applyFont="1" applyFill="1" applyBorder="1" applyAlignment="1">
      <alignment horizontal="center" vertical="center" wrapText="1"/>
    </xf>
    <xf numFmtId="0" fontId="49" fillId="5" borderId="2" xfId="0" applyFont="1" applyFill="1" applyBorder="1" applyAlignment="1" applyProtection="1">
      <alignment vertical="top" wrapText="1"/>
      <protection locked="0"/>
    </xf>
    <xf numFmtId="176" fontId="16" fillId="4" borderId="2" xfId="0" applyNumberFormat="1" applyFont="1" applyFill="1" applyBorder="1" applyAlignment="1">
      <alignment vertical="center" wrapText="1"/>
    </xf>
    <xf numFmtId="176" fontId="16" fillId="4" borderId="2" xfId="0" applyNumberFormat="1" applyFont="1" applyFill="1" applyBorder="1" applyAlignment="1">
      <alignment horizontal="center" vertical="center" wrapText="1"/>
    </xf>
    <xf numFmtId="0" fontId="16" fillId="5" borderId="2" xfId="12" applyFont="1" applyFill="1" applyBorder="1" applyAlignment="1" applyProtection="1">
      <alignment horizontal="center" vertical="center" wrapText="1"/>
      <protection locked="0"/>
    </xf>
    <xf numFmtId="0" fontId="41" fillId="4" borderId="2" xfId="0" applyFont="1" applyFill="1" applyBorder="1">
      <alignment vertical="center"/>
    </xf>
    <xf numFmtId="0" fontId="16" fillId="0" borderId="2" xfId="14" applyFont="1" applyFill="1" applyBorder="1" applyAlignment="1">
      <alignment horizontal="center" vertical="center" wrapText="1"/>
    </xf>
    <xf numFmtId="0" fontId="16" fillId="5" borderId="2" xfId="0" applyFont="1" applyFill="1" applyBorder="1" applyAlignment="1" applyProtection="1">
      <alignment horizontal="center" vertical="center" wrapText="1"/>
      <protection locked="0"/>
    </xf>
    <xf numFmtId="182" fontId="1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28" applyFont="1" applyFill="1" applyBorder="1" applyAlignment="1">
      <alignment horizontal="center" vertical="center" wrapText="1"/>
    </xf>
    <xf numFmtId="0" fontId="4" fillId="4" borderId="2" xfId="28" applyFont="1" applyFill="1" applyBorder="1" applyAlignment="1">
      <alignment horizontal="center" vertical="center" wrapText="1"/>
    </xf>
    <xf numFmtId="0" fontId="16" fillId="4" borderId="0" xfId="13" applyFont="1" applyFill="1" applyBorder="1" applyAlignment="1">
      <alignment horizontal="center" vertical="center" wrapText="1"/>
    </xf>
    <xf numFmtId="0" fontId="0" fillId="4" borderId="2" xfId="0" applyFill="1" applyBorder="1">
      <alignment vertical="center"/>
    </xf>
    <xf numFmtId="0" fontId="16" fillId="0" borderId="0" xfId="13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6" fillId="4" borderId="2" xfId="15" applyFont="1" applyFill="1" applyBorder="1" applyAlignment="1">
      <alignment vertical="center" wrapText="1"/>
    </xf>
    <xf numFmtId="0" fontId="16" fillId="5" borderId="2" xfId="0" applyFont="1" applyFill="1" applyBorder="1" applyAlignment="1" applyProtection="1">
      <alignment vertical="justify" wrapText="1"/>
      <protection locked="0"/>
    </xf>
    <xf numFmtId="49" fontId="16" fillId="4" borderId="1" xfId="0" applyNumberFormat="1" applyFont="1" applyFill="1" applyBorder="1" applyAlignment="1" applyProtection="1">
      <alignment horizontal="left" vertical="center" wrapText="1"/>
      <protection locked="0"/>
    </xf>
    <xf numFmtId="0" fontId="4" fillId="4" borderId="2" xfId="16" applyFont="1" applyFill="1" applyBorder="1" applyAlignment="1">
      <alignment horizontal="center" vertical="center"/>
    </xf>
    <xf numFmtId="0" fontId="4" fillId="4" borderId="2" xfId="16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/>
    </xf>
    <xf numFmtId="0" fontId="4" fillId="4" borderId="2" xfId="16" applyFont="1" applyFill="1" applyBorder="1" applyAlignment="1">
      <alignment horizontal="left" vertical="center"/>
    </xf>
    <xf numFmtId="49" fontId="16" fillId="4" borderId="2" xfId="0" applyNumberFormat="1" applyFont="1" applyFill="1" applyBorder="1" applyAlignment="1" applyProtection="1">
      <alignment horizontal="left" vertical="center" wrapText="1"/>
      <protection locked="0"/>
    </xf>
    <xf numFmtId="0" fontId="16" fillId="4" borderId="2" xfId="0" applyFont="1" applyFill="1" applyBorder="1" applyAlignment="1">
      <alignment horizontal="left" vertical="justify"/>
    </xf>
    <xf numFmtId="0" fontId="16" fillId="4" borderId="2" xfId="2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left" vertical="justify"/>
    </xf>
    <xf numFmtId="0" fontId="16" fillId="4" borderId="3" xfId="0" applyFont="1" applyFill="1" applyBorder="1" applyAlignment="1">
      <alignment vertical="center"/>
    </xf>
    <xf numFmtId="0" fontId="52" fillId="11" borderId="2" xfId="0" applyFont="1" applyFill="1" applyBorder="1" applyAlignment="1">
      <alignment vertical="center" wrapText="1" readingOrder="1"/>
    </xf>
    <xf numFmtId="0" fontId="16" fillId="4" borderId="6" xfId="0" applyFont="1" applyFill="1" applyBorder="1" applyAlignment="1">
      <alignment horizontal="left" vertical="justify"/>
    </xf>
    <xf numFmtId="0" fontId="16" fillId="5" borderId="3" xfId="0" applyFont="1" applyFill="1" applyBorder="1" applyAlignment="1" applyProtection="1">
      <alignment vertical="center" wrapText="1"/>
      <protection locked="0"/>
    </xf>
    <xf numFmtId="0" fontId="16" fillId="4" borderId="3" xfId="17" applyFont="1" applyFill="1" applyBorder="1" applyAlignment="1" applyProtection="1">
      <alignment horizontal="left" vertical="center" wrapText="1"/>
      <protection locked="0"/>
    </xf>
    <xf numFmtId="178" fontId="16" fillId="4" borderId="2" xfId="19" applyNumberFormat="1" applyFont="1" applyFill="1" applyBorder="1" applyAlignment="1">
      <alignment horizontal="center" vertical="center"/>
    </xf>
    <xf numFmtId="178" fontId="16" fillId="4" borderId="2" xfId="18" applyNumberFormat="1" applyFont="1" applyFill="1" applyBorder="1" applyAlignment="1">
      <alignment horizontal="center" vertical="center"/>
    </xf>
    <xf numFmtId="0" fontId="16" fillId="4" borderId="2" xfId="21" applyFont="1" applyFill="1" applyBorder="1">
      <alignment vertical="center"/>
    </xf>
    <xf numFmtId="0" fontId="33" fillId="10" borderId="2" xfId="0" applyFont="1" applyFill="1" applyBorder="1" applyAlignment="1">
      <alignment horizontal="center" vertical="center" wrapText="1"/>
    </xf>
    <xf numFmtId="176" fontId="16" fillId="10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1" fillId="0" borderId="2" xfId="0" applyFont="1" applyBorder="1" applyAlignment="1">
      <alignment horizontal="center" vertical="center"/>
    </xf>
    <xf numFmtId="178" fontId="36" fillId="0" borderId="2" xfId="0" applyNumberFormat="1" applyFont="1" applyBorder="1">
      <alignment vertical="center"/>
    </xf>
    <xf numFmtId="0" fontId="16" fillId="10" borderId="2" xfId="0" applyNumberFormat="1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76" fontId="16" fillId="4" borderId="2" xfId="0" applyNumberFormat="1" applyFont="1" applyFill="1" applyBorder="1" applyAlignment="1">
      <alignment horizontal="right" vertical="center" wrapText="1"/>
    </xf>
    <xf numFmtId="0" fontId="29" fillId="0" borderId="2" xfId="0" applyFont="1" applyFill="1" applyBorder="1" applyAlignment="1">
      <alignment vertical="center" wrapText="1"/>
    </xf>
    <xf numFmtId="0" fontId="33" fillId="10" borderId="2" xfId="0" applyFont="1" applyFill="1" applyBorder="1" applyAlignment="1">
      <alignment vertical="center"/>
    </xf>
    <xf numFmtId="0" fontId="33" fillId="10" borderId="2" xfId="0" applyFont="1" applyFill="1" applyBorder="1">
      <alignment vertical="center"/>
    </xf>
    <xf numFmtId="0" fontId="33" fillId="10" borderId="2" xfId="0" applyFont="1" applyFill="1" applyBorder="1" applyAlignment="1">
      <alignment horizontal="center" vertical="center"/>
    </xf>
    <xf numFmtId="0" fontId="4" fillId="0" borderId="2" xfId="2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6" fillId="4" borderId="2" xfId="23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10" borderId="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41" fillId="4" borderId="2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 applyProtection="1">
      <alignment horizontal="left" vertical="justify" wrapText="1"/>
      <protection locked="0"/>
    </xf>
    <xf numFmtId="0" fontId="5" fillId="4" borderId="2" xfId="0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77" fontId="16" fillId="4" borderId="2" xfId="0" applyNumberFormat="1" applyFont="1" applyFill="1" applyBorder="1" applyAlignment="1">
      <alignment horizontal="center" vertical="center"/>
    </xf>
    <xf numFmtId="0" fontId="16" fillId="4" borderId="2" xfId="11" applyNumberFormat="1" applyFont="1" applyFill="1" applyBorder="1" applyAlignment="1">
      <alignment horizontal="center" vertical="center" wrapText="1"/>
    </xf>
    <xf numFmtId="0" fontId="16" fillId="5" borderId="8" xfId="26" applyFont="1" applyFill="1" applyBorder="1" applyAlignment="1" applyProtection="1">
      <alignment horizontal="left" vertical="center" wrapText="1" readingOrder="1"/>
      <protection locked="0"/>
    </xf>
    <xf numFmtId="0" fontId="16" fillId="5" borderId="0" xfId="26" applyFont="1" applyFill="1" applyBorder="1" applyAlignment="1" applyProtection="1">
      <alignment horizontal="left" vertical="center" wrapText="1" readingOrder="1"/>
      <protection locked="0"/>
    </xf>
    <xf numFmtId="0" fontId="16" fillId="4" borderId="2" xfId="0" applyFont="1" applyFill="1" applyBorder="1" applyAlignment="1">
      <alignment vertical="justify"/>
    </xf>
    <xf numFmtId="0" fontId="26" fillId="4" borderId="2" xfId="0" applyFont="1" applyFill="1" applyBorder="1" applyAlignment="1">
      <alignment vertical="justify"/>
    </xf>
    <xf numFmtId="176" fontId="26" fillId="4" borderId="7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0" fillId="10" borderId="2" xfId="0" applyFill="1" applyBorder="1" applyAlignment="1">
      <alignment horizontal="left" vertical="center"/>
    </xf>
    <xf numFmtId="0" fontId="0" fillId="10" borderId="2" xfId="0" applyFill="1" applyBorder="1">
      <alignment vertical="center"/>
    </xf>
    <xf numFmtId="176" fontId="28" fillId="10" borderId="2" xfId="0" applyNumberFormat="1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30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0" fillId="10" borderId="2" xfId="0" applyFont="1" applyFill="1" applyBorder="1">
      <alignment vertical="center"/>
    </xf>
    <xf numFmtId="0" fontId="29" fillId="4" borderId="2" xfId="0" applyFont="1" applyFill="1" applyBorder="1">
      <alignment vertical="center"/>
    </xf>
    <xf numFmtId="176" fontId="28" fillId="4" borderId="2" xfId="0" applyNumberFormat="1" applyFont="1" applyFill="1" applyBorder="1">
      <alignment vertical="center"/>
    </xf>
    <xf numFmtId="176" fontId="29" fillId="4" borderId="2" xfId="0" applyNumberFormat="1" applyFont="1" applyFill="1" applyBorder="1">
      <alignment vertical="center"/>
    </xf>
    <xf numFmtId="176" fontId="29" fillId="4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51" fillId="0" borderId="2" xfId="22" applyFont="1" applyFill="1" applyBorder="1" applyAlignment="1">
      <alignment horizontal="center" vertical="center" wrapText="1"/>
    </xf>
    <xf numFmtId="0" fontId="51" fillId="0" borderId="2" xfId="22" applyFont="1" applyFill="1" applyBorder="1" applyAlignment="1">
      <alignment horizontal="left" vertical="center" wrapText="1"/>
    </xf>
    <xf numFmtId="178" fontId="13" fillId="4" borderId="2" xfId="0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left" vertical="center"/>
    </xf>
    <xf numFmtId="0" fontId="10" fillId="10" borderId="2" xfId="0" applyFont="1" applyFill="1" applyBorder="1">
      <alignment vertical="center"/>
    </xf>
    <xf numFmtId="0" fontId="9" fillId="10" borderId="2" xfId="0" applyFont="1" applyFill="1" applyBorder="1">
      <alignment vertical="center"/>
    </xf>
    <xf numFmtId="0" fontId="53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53" fillId="10" borderId="2" xfId="0" applyFont="1" applyFill="1" applyBorder="1">
      <alignment vertical="center"/>
    </xf>
    <xf numFmtId="176" fontId="13" fillId="10" borderId="2" xfId="0" applyNumberFormat="1" applyFont="1" applyFill="1" applyBorder="1">
      <alignment vertical="center"/>
    </xf>
    <xf numFmtId="0" fontId="16" fillId="11" borderId="2" xfId="0" applyFont="1" applyFill="1" applyBorder="1" applyAlignment="1">
      <alignment horizontal="left" vertical="center"/>
    </xf>
    <xf numFmtId="0" fontId="16" fillId="11" borderId="2" xfId="0" applyFont="1" applyFill="1" applyBorder="1">
      <alignment vertical="center"/>
    </xf>
    <xf numFmtId="176" fontId="16" fillId="11" borderId="2" xfId="0" applyNumberFormat="1" applyFont="1" applyFill="1" applyBorder="1">
      <alignment vertical="center"/>
    </xf>
    <xf numFmtId="176" fontId="16" fillId="11" borderId="7" xfId="0" applyNumberFormat="1" applyFont="1" applyFill="1" applyBorder="1">
      <alignment vertical="center"/>
    </xf>
    <xf numFmtId="0" fontId="16" fillId="11" borderId="3" xfId="0" applyFont="1" applyFill="1" applyBorder="1">
      <alignment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5" xfId="0" applyFont="1" applyFill="1" applyBorder="1">
      <alignment vertical="center"/>
    </xf>
    <xf numFmtId="176" fontId="28" fillId="10" borderId="7" xfId="0" applyNumberFormat="1" applyFont="1" applyFill="1" applyBorder="1">
      <alignment vertical="center"/>
    </xf>
    <xf numFmtId="0" fontId="9" fillId="10" borderId="3" xfId="0" applyFont="1" applyFill="1" applyBorder="1">
      <alignment vertical="center"/>
    </xf>
    <xf numFmtId="0" fontId="10" fillId="10" borderId="5" xfId="0" applyFont="1" applyFill="1" applyBorder="1">
      <alignment vertical="center"/>
    </xf>
    <xf numFmtId="0" fontId="16" fillId="5" borderId="2" xfId="0" applyFont="1" applyFill="1" applyBorder="1" applyAlignment="1" applyProtection="1">
      <alignment vertical="center" wrapText="1" readingOrder="1"/>
      <protection locked="0"/>
    </xf>
    <xf numFmtId="0" fontId="4" fillId="0" borderId="58" xfId="30" applyFont="1" applyFill="1" applyBorder="1" applyAlignment="1">
      <alignment horizontal="center" vertical="center" wrapText="1"/>
    </xf>
    <xf numFmtId="0" fontId="16" fillId="0" borderId="2" xfId="24" applyFont="1" applyFill="1" applyBorder="1" applyAlignment="1">
      <alignment horizontal="center" vertical="center" wrapText="1"/>
    </xf>
    <xf numFmtId="0" fontId="16" fillId="0" borderId="2" xfId="26" applyFont="1" applyFill="1" applyBorder="1" applyAlignment="1" applyProtection="1">
      <alignment horizontal="center" vertical="center" wrapText="1"/>
      <protection locked="0"/>
    </xf>
    <xf numFmtId="0" fontId="16" fillId="5" borderId="3" xfId="0" applyFont="1" applyFill="1" applyBorder="1" applyAlignment="1" applyProtection="1">
      <alignment horizontal="left" vertical="justify" wrapText="1"/>
      <protection locked="0"/>
    </xf>
    <xf numFmtId="0" fontId="47" fillId="0" borderId="2" xfId="0" applyFont="1" applyBorder="1">
      <alignment vertical="center"/>
    </xf>
    <xf numFmtId="0" fontId="16" fillId="0" borderId="2" xfId="27" applyNumberFormat="1" applyFont="1" applyFill="1" applyBorder="1" applyAlignment="1">
      <alignment vertical="center" wrapText="1" readingOrder="1"/>
    </xf>
    <xf numFmtId="0" fontId="16" fillId="0" borderId="2" xfId="27" applyFont="1" applyBorder="1" applyAlignment="1">
      <alignment horizontal="left" vertical="top" wrapText="1"/>
    </xf>
    <xf numFmtId="0" fontId="16" fillId="0" borderId="2" xfId="27" applyFont="1" applyBorder="1" applyAlignment="1">
      <alignment horizontal="justify" vertical="top" wrapText="1"/>
    </xf>
    <xf numFmtId="0" fontId="13" fillId="10" borderId="2" xfId="0" applyFont="1" applyFill="1" applyBorder="1" applyAlignment="1">
      <alignment horizontal="left" vertical="justify" wrapText="1"/>
    </xf>
    <xf numFmtId="0" fontId="13" fillId="10" borderId="2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vertical="center" readingOrder="1"/>
    </xf>
    <xf numFmtId="0" fontId="26" fillId="4" borderId="2" xfId="0" applyFont="1" applyFill="1" applyBorder="1" applyAlignment="1">
      <alignment horizontal="left" vertical="center" wrapText="1"/>
    </xf>
    <xf numFmtId="0" fontId="26" fillId="4" borderId="2" xfId="12" applyFont="1" applyFill="1" applyBorder="1" applyAlignment="1">
      <alignment horizontal="left" wrapText="1"/>
    </xf>
    <xf numFmtId="0" fontId="26" fillId="0" borderId="3" xfId="0" applyFont="1" applyBorder="1" applyAlignment="1">
      <alignment horizontal="left" vertical="center" wrapText="1"/>
    </xf>
    <xf numFmtId="0" fontId="26" fillId="4" borderId="3" xfId="0" applyFont="1" applyFill="1" applyBorder="1" applyAlignment="1">
      <alignment horizontal="left" vertical="center" wrapText="1"/>
    </xf>
    <xf numFmtId="0" fontId="26" fillId="5" borderId="2" xfId="0" applyFont="1" applyFill="1" applyBorder="1" applyAlignment="1" applyProtection="1">
      <alignment horizontal="left" vertical="center" wrapText="1"/>
      <protection locked="0"/>
    </xf>
    <xf numFmtId="49" fontId="16" fillId="4" borderId="2" xfId="0" applyNumberFormat="1" applyFont="1" applyFill="1" applyBorder="1" applyAlignment="1">
      <alignment horizontal="left" vertical="center" wrapText="1"/>
    </xf>
    <xf numFmtId="0" fontId="51" fillId="4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horizontal="left" vertical="center" wrapText="1"/>
    </xf>
    <xf numFmtId="0" fontId="13" fillId="10" borderId="2" xfId="0" applyNumberFormat="1" applyFont="1" applyFill="1" applyBorder="1" applyAlignment="1">
      <alignment horizontal="center" vertical="center" wrapText="1"/>
    </xf>
    <xf numFmtId="176" fontId="13" fillId="10" borderId="2" xfId="0" applyNumberFormat="1" applyFont="1" applyFill="1" applyBorder="1" applyAlignment="1">
      <alignment horizontal="center" vertical="center" wrapText="1"/>
    </xf>
    <xf numFmtId="176" fontId="33" fillId="10" borderId="2" xfId="0" applyNumberFormat="1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vertical="center"/>
    </xf>
    <xf numFmtId="0" fontId="27" fillId="10" borderId="2" xfId="0" applyFont="1" applyFill="1" applyBorder="1">
      <alignment vertical="center"/>
    </xf>
    <xf numFmtId="0" fontId="27" fillId="1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176" fontId="13" fillId="2" borderId="2" xfId="0" applyNumberFormat="1" applyFont="1" applyFill="1" applyBorder="1" applyAlignment="1">
      <alignment horizontal="center" vertical="justify"/>
    </xf>
    <xf numFmtId="176" fontId="13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176" fontId="33" fillId="2" borderId="2" xfId="0" applyNumberFormat="1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vertical="center"/>
    </xf>
    <xf numFmtId="0" fontId="41" fillId="2" borderId="2" xfId="0" applyFont="1" applyFill="1" applyBorder="1">
      <alignment vertical="center"/>
    </xf>
    <xf numFmtId="0" fontId="41" fillId="2" borderId="2" xfId="0" applyFont="1" applyFill="1" applyBorder="1" applyAlignment="1">
      <alignment horizontal="center" vertical="center"/>
    </xf>
    <xf numFmtId="180" fontId="16" fillId="3" borderId="7" xfId="43" applyNumberFormat="1" applyFont="1" applyFill="1" applyBorder="1" applyAlignment="1" applyProtection="1">
      <alignment horizontal="center" vertical="center"/>
    </xf>
    <xf numFmtId="189" fontId="16" fillId="4" borderId="22" xfId="2" applyNumberFormat="1" applyFont="1" applyFill="1" applyBorder="1" applyAlignment="1" applyProtection="1">
      <alignment horizontal="center" vertical="center"/>
    </xf>
    <xf numFmtId="189" fontId="16" fillId="3" borderId="7" xfId="2" applyNumberFormat="1" applyFont="1" applyFill="1" applyBorder="1" applyAlignment="1" applyProtection="1">
      <alignment horizontal="center" vertical="center"/>
    </xf>
    <xf numFmtId="177" fontId="16" fillId="0" borderId="22" xfId="43" applyNumberFormat="1" applyFont="1" applyFill="1" applyBorder="1" applyAlignment="1" applyProtection="1">
      <alignment horizontal="center" vertical="center"/>
    </xf>
    <xf numFmtId="177" fontId="16" fillId="0" borderId="22" xfId="43" applyNumberFormat="1" applyFont="1" applyBorder="1" applyAlignment="1" applyProtection="1">
      <alignment horizontal="center" vertical="center"/>
    </xf>
    <xf numFmtId="177" fontId="29" fillId="0" borderId="22" xfId="43" applyNumberFormat="1" applyFont="1" applyFill="1" applyBorder="1" applyAlignment="1" applyProtection="1">
      <alignment horizontal="center" vertical="center"/>
    </xf>
    <xf numFmtId="177" fontId="16" fillId="0" borderId="22" xfId="2" applyNumberFormat="1" applyFont="1" applyFill="1" applyBorder="1" applyAlignment="1" applyProtection="1">
      <alignment horizontal="center" vertical="center"/>
    </xf>
    <xf numFmtId="177" fontId="16" fillId="0" borderId="22" xfId="43" applyNumberFormat="1" applyFont="1" applyFill="1" applyBorder="1" applyAlignment="1" applyProtection="1">
      <alignment horizontal="center" vertical="center" wrapText="1"/>
    </xf>
    <xf numFmtId="177" fontId="16" fillId="4" borderId="22" xfId="43" applyNumberFormat="1" applyFont="1" applyFill="1" applyBorder="1" applyAlignment="1" applyProtection="1">
      <alignment horizontal="center" vertical="center" wrapText="1"/>
    </xf>
    <xf numFmtId="177" fontId="16" fillId="4" borderId="2" xfId="43" applyNumberFormat="1" applyFont="1" applyFill="1" applyBorder="1" applyAlignment="1" applyProtection="1">
      <alignment vertical="center"/>
    </xf>
    <xf numFmtId="177" fontId="18" fillId="0" borderId="0" xfId="0" applyNumberFormat="1" applyFont="1" applyBorder="1" applyAlignment="1">
      <alignment vertical="center"/>
    </xf>
    <xf numFmtId="177" fontId="16" fillId="4" borderId="22" xfId="43" applyNumberFormat="1" applyFont="1" applyFill="1" applyBorder="1" applyAlignment="1" applyProtection="1">
      <alignment vertical="center"/>
    </xf>
    <xf numFmtId="177" fontId="16" fillId="4" borderId="7" xfId="2" applyNumberFormat="1" applyFont="1" applyFill="1" applyBorder="1" applyAlignment="1" applyProtection="1">
      <alignment horizontal="center" vertical="center"/>
    </xf>
    <xf numFmtId="177" fontId="16" fillId="3" borderId="7" xfId="2" applyNumberFormat="1" applyFont="1" applyFill="1" applyBorder="1" applyAlignment="1" applyProtection="1">
      <alignment horizontal="center" vertical="center"/>
    </xf>
    <xf numFmtId="177" fontId="16" fillId="4" borderId="7" xfId="43" applyNumberFormat="1" applyFont="1" applyFill="1" applyBorder="1" applyAlignment="1" applyProtection="1">
      <alignment horizontal="center" vertical="center"/>
    </xf>
    <xf numFmtId="177" fontId="16" fillId="4" borderId="26" xfId="43" applyNumberFormat="1" applyFont="1" applyFill="1" applyBorder="1" applyAlignment="1" applyProtection="1">
      <alignment horizontal="center" vertical="center"/>
    </xf>
    <xf numFmtId="177" fontId="16" fillId="4" borderId="23" xfId="43" applyNumberFormat="1" applyFont="1" applyFill="1" applyBorder="1" applyAlignment="1" applyProtection="1">
      <alignment horizontal="center" vertical="center"/>
    </xf>
    <xf numFmtId="177" fontId="16" fillId="4" borderId="2" xfId="43" applyNumberFormat="1" applyFont="1" applyFill="1" applyBorder="1" applyAlignment="1" applyProtection="1">
      <alignment horizontal="center" vertical="center" wrapText="1"/>
    </xf>
    <xf numFmtId="177" fontId="16" fillId="4" borderId="3" xfId="43" applyNumberFormat="1" applyFont="1" applyFill="1" applyBorder="1" applyAlignment="1" applyProtection="1">
      <alignment horizontal="center" vertical="center"/>
    </xf>
    <xf numFmtId="177" fontId="31" fillId="0" borderId="7" xfId="2" applyNumberFormat="1" applyFont="1" applyFill="1" applyBorder="1" applyAlignment="1" applyProtection="1">
      <alignment horizontal="center" vertical="center"/>
    </xf>
    <xf numFmtId="177" fontId="16" fillId="0" borderId="7" xfId="2" applyNumberFormat="1" applyFont="1" applyFill="1" applyBorder="1" applyAlignment="1" applyProtection="1">
      <alignment horizontal="center" vertical="center"/>
    </xf>
    <xf numFmtId="177" fontId="16" fillId="4" borderId="2" xfId="2" applyNumberFormat="1" applyFont="1" applyFill="1" applyBorder="1" applyAlignment="1">
      <alignment horizontal="center"/>
    </xf>
    <xf numFmtId="177" fontId="16" fillId="4" borderId="23" xfId="2" applyNumberFormat="1" applyFont="1" applyFill="1" applyBorder="1" applyAlignment="1" applyProtection="1">
      <alignment horizontal="center" vertical="center"/>
    </xf>
    <xf numFmtId="189" fontId="16" fillId="0" borderId="2" xfId="43" applyNumberFormat="1" applyFont="1" applyFill="1" applyBorder="1" applyAlignment="1" applyProtection="1">
      <alignment horizontal="center" vertical="center"/>
    </xf>
    <xf numFmtId="189" fontId="16" fillId="0" borderId="22" xfId="43" applyNumberFormat="1" applyFont="1" applyFill="1" applyBorder="1" applyAlignment="1" applyProtection="1">
      <alignment horizontal="center" vertical="center"/>
    </xf>
    <xf numFmtId="177" fontId="16" fillId="0" borderId="2" xfId="43" applyNumberFormat="1" applyFont="1" applyFill="1" applyBorder="1" applyAlignment="1" applyProtection="1">
      <alignment horizontal="center" vertical="center"/>
    </xf>
    <xf numFmtId="177" fontId="16" fillId="3" borderId="22" xfId="43" applyNumberFormat="1" applyFont="1" applyFill="1" applyBorder="1" applyAlignment="1" applyProtection="1">
      <alignment horizontal="center" vertical="center"/>
    </xf>
    <xf numFmtId="0" fontId="13" fillId="12" borderId="2" xfId="0" applyFont="1" applyFill="1" applyBorder="1" applyAlignment="1" applyProtection="1">
      <alignment horizontal="left" vertical="center" wrapText="1"/>
      <protection locked="0"/>
    </xf>
    <xf numFmtId="0" fontId="13" fillId="12" borderId="2" xfId="0" applyFont="1" applyFill="1" applyBorder="1" applyAlignment="1" applyProtection="1">
      <alignment vertical="center" wrapText="1"/>
      <protection locked="0"/>
    </xf>
    <xf numFmtId="0" fontId="13" fillId="12" borderId="2" xfId="0" applyFont="1" applyFill="1" applyBorder="1" applyAlignment="1" applyProtection="1">
      <alignment horizontal="left" vertical="justify" wrapText="1"/>
      <protection locked="0"/>
    </xf>
    <xf numFmtId="0" fontId="16" fillId="0" borderId="2" xfId="5" applyFont="1" applyBorder="1" applyAlignment="1">
      <alignment horizontal="center" vertical="center"/>
    </xf>
    <xf numFmtId="10" fontId="29" fillId="0" borderId="2" xfId="67" applyNumberFormat="1" applyFont="1" applyBorder="1" applyAlignment="1">
      <alignment horizontal="center" vertical="center"/>
    </xf>
    <xf numFmtId="0" fontId="29" fillId="0" borderId="2" xfId="5" applyFont="1" applyBorder="1" applyAlignment="1">
      <alignment horizontal="center" wrapText="1"/>
    </xf>
    <xf numFmtId="0" fontId="29" fillId="0" borderId="2" xfId="5" applyFont="1" applyBorder="1" applyAlignment="1">
      <alignment horizontal="center" vertical="center"/>
    </xf>
    <xf numFmtId="4" fontId="29" fillId="0" borderId="2" xfId="5" applyNumberFormat="1" applyFont="1" applyBorder="1" applyAlignment="1">
      <alignment horizontal="center" vertical="center"/>
    </xf>
    <xf numFmtId="0" fontId="29" fillId="0" borderId="2" xfId="5" applyFont="1" applyBorder="1" applyAlignment="1">
      <alignment horizontal="center" vertical="center" wrapText="1"/>
    </xf>
    <xf numFmtId="0" fontId="54" fillId="0" borderId="2" xfId="0" applyFont="1" applyBorder="1" applyAlignment="1"/>
    <xf numFmtId="178" fontId="32" fillId="0" borderId="2" xfId="0" applyNumberFormat="1" applyFont="1" applyBorder="1" applyAlignment="1"/>
    <xf numFmtId="10" fontId="32" fillId="0" borderId="2" xfId="42" applyNumberFormat="1" applyFont="1" applyBorder="1"/>
    <xf numFmtId="0" fontId="32" fillId="0" borderId="2" xfId="0" applyFont="1" applyBorder="1" applyAlignment="1"/>
    <xf numFmtId="0" fontId="28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right" vertical="center"/>
    </xf>
    <xf numFmtId="178" fontId="28" fillId="0" borderId="2" xfId="0" applyNumberFormat="1" applyFont="1" applyBorder="1" applyAlignment="1">
      <alignment horizontal="right" vertical="center"/>
    </xf>
    <xf numFmtId="10" fontId="28" fillId="0" borderId="2" xfId="0" applyNumberFormat="1" applyFont="1" applyBorder="1" applyAlignment="1">
      <alignment horizontal="right" vertical="center"/>
    </xf>
    <xf numFmtId="0" fontId="28" fillId="0" borderId="2" xfId="0" applyFont="1" applyBorder="1" applyAlignment="1">
      <alignment horizontal="justify" vertical="center"/>
    </xf>
    <xf numFmtId="0" fontId="20" fillId="0" borderId="16" xfId="43" applyFont="1" applyBorder="1" applyAlignment="1" applyProtection="1">
      <alignment horizontal="center" vertical="center"/>
    </xf>
    <xf numFmtId="0" fontId="20" fillId="0" borderId="17" xfId="43" applyFont="1" applyBorder="1" applyAlignment="1" applyProtection="1">
      <alignment horizontal="center" vertical="center"/>
    </xf>
    <xf numFmtId="0" fontId="14" fillId="0" borderId="18" xfId="43" applyFont="1" applyBorder="1" applyAlignment="1" applyProtection="1">
      <alignment horizontal="center" vertical="center" wrapText="1"/>
    </xf>
    <xf numFmtId="0" fontId="14" fillId="0" borderId="44" xfId="43" applyFont="1" applyBorder="1" applyAlignment="1" applyProtection="1">
      <alignment horizontal="center" vertical="center" wrapText="1"/>
    </xf>
    <xf numFmtId="177" fontId="13" fillId="0" borderId="25" xfId="2" applyNumberFormat="1" applyFont="1" applyFill="1" applyBorder="1" applyAlignment="1" applyProtection="1">
      <alignment horizontal="center" vertical="center" wrapText="1"/>
    </xf>
    <xf numFmtId="177" fontId="13" fillId="0" borderId="27" xfId="2" applyNumberFormat="1" applyFont="1" applyFill="1" applyBorder="1" applyAlignment="1" applyProtection="1">
      <alignment horizontal="center" vertical="center" wrapText="1"/>
    </xf>
    <xf numFmtId="177" fontId="13" fillId="0" borderId="28" xfId="2" applyNumberFormat="1" applyFont="1" applyFill="1" applyBorder="1" applyAlignment="1" applyProtection="1">
      <alignment horizontal="center" vertical="center" wrapText="1"/>
    </xf>
    <xf numFmtId="179" fontId="14" fillId="0" borderId="16" xfId="43" applyNumberFormat="1" applyFont="1" applyBorder="1" applyAlignment="1" applyProtection="1">
      <alignment horizontal="center" vertical="center" wrapText="1"/>
    </xf>
    <xf numFmtId="179" fontId="14" fillId="0" borderId="18" xfId="43" applyNumberFormat="1" applyFont="1" applyBorder="1" applyAlignment="1" applyProtection="1">
      <alignment horizontal="center" vertical="center" wrapText="1"/>
    </xf>
    <xf numFmtId="179" fontId="14" fillId="0" borderId="50" xfId="43" applyNumberFormat="1" applyFont="1" applyBorder="1" applyAlignment="1" applyProtection="1">
      <alignment horizontal="center" vertical="center" wrapText="1"/>
    </xf>
    <xf numFmtId="179" fontId="13" fillId="0" borderId="15" xfId="43" applyNumberFormat="1" applyFont="1" applyBorder="1" applyAlignment="1" applyProtection="1">
      <alignment horizontal="center" vertical="center"/>
    </xf>
    <xf numFmtId="181" fontId="16" fillId="4" borderId="25" xfId="2" applyNumberFormat="1" applyFont="1" applyFill="1" applyBorder="1" applyAlignment="1" applyProtection="1">
      <alignment horizontal="center" vertical="center" wrapText="1"/>
    </xf>
    <xf numFmtId="181" fontId="16" fillId="4" borderId="27" xfId="2" applyNumberFormat="1" applyFont="1" applyFill="1" applyBorder="1" applyAlignment="1" applyProtection="1">
      <alignment horizontal="center" vertical="center" wrapText="1"/>
    </xf>
    <xf numFmtId="181" fontId="16" fillId="4" borderId="28" xfId="2" applyNumberFormat="1" applyFont="1" applyFill="1" applyBorder="1" applyAlignment="1" applyProtection="1">
      <alignment horizontal="center" vertical="center" wrapText="1"/>
    </xf>
    <xf numFmtId="43" fontId="16" fillId="4" borderId="25" xfId="2" applyFont="1" applyFill="1" applyBorder="1" applyAlignment="1" applyProtection="1">
      <alignment horizontal="center" vertical="center" wrapText="1"/>
    </xf>
    <xf numFmtId="43" fontId="16" fillId="4" borderId="27" xfId="2" applyFont="1" applyFill="1" applyBorder="1" applyAlignment="1" applyProtection="1">
      <alignment horizontal="center" vertical="center" wrapText="1"/>
    </xf>
    <xf numFmtId="43" fontId="16" fillId="4" borderId="28" xfId="2" applyFont="1" applyFill="1" applyBorder="1" applyAlignment="1" applyProtection="1">
      <alignment horizontal="center" vertical="center" wrapText="1"/>
    </xf>
    <xf numFmtId="0" fontId="14" fillId="0" borderId="16" xfId="43" applyFont="1" applyBorder="1" applyAlignment="1" applyProtection="1">
      <alignment horizontal="center" vertical="center" wrapText="1"/>
    </xf>
    <xf numFmtId="0" fontId="13" fillId="0" borderId="15" xfId="43" applyFont="1" applyBorder="1" applyAlignment="1" applyProtection="1">
      <alignment horizontal="center" vertical="center"/>
    </xf>
    <xf numFmtId="43" fontId="16" fillId="4" borderId="25" xfId="2" applyFont="1" applyFill="1" applyBorder="1" applyAlignment="1" applyProtection="1">
      <alignment vertical="center" wrapText="1"/>
    </xf>
    <xf numFmtId="43" fontId="16" fillId="4" borderId="27" xfId="2" applyFont="1" applyFill="1" applyBorder="1" applyAlignment="1" applyProtection="1">
      <alignment vertical="center" wrapText="1"/>
    </xf>
    <xf numFmtId="43" fontId="16" fillId="4" borderId="28" xfId="2" applyFont="1" applyFill="1" applyBorder="1" applyAlignment="1" applyProtection="1">
      <alignment vertical="center" wrapText="1"/>
    </xf>
    <xf numFmtId="179" fontId="14" fillId="0" borderId="44" xfId="43" applyNumberFormat="1" applyFont="1" applyBorder="1" applyAlignment="1" applyProtection="1">
      <alignment horizontal="center" vertical="center" wrapText="1"/>
    </xf>
    <xf numFmtId="177" fontId="43" fillId="0" borderId="2" xfId="0" applyNumberFormat="1" applyFont="1" applyBorder="1" applyAlignment="1">
      <alignment horizontal="center" vertical="center"/>
    </xf>
    <xf numFmtId="0" fontId="14" fillId="0" borderId="17" xfId="43" applyFont="1" applyBorder="1" applyAlignment="1" applyProtection="1">
      <alignment horizontal="center" vertical="center" wrapText="1"/>
    </xf>
    <xf numFmtId="0" fontId="14" fillId="0" borderId="0" xfId="43" applyFont="1" applyBorder="1" applyAlignment="1" applyProtection="1">
      <alignment horizontal="center" vertical="center" wrapText="1"/>
    </xf>
    <xf numFmtId="0" fontId="14" fillId="0" borderId="1" xfId="43" applyFont="1" applyBorder="1" applyAlignment="1" applyProtection="1">
      <alignment horizontal="center" vertical="center" wrapText="1"/>
    </xf>
    <xf numFmtId="0" fontId="14" fillId="0" borderId="54" xfId="43" applyFont="1" applyBorder="1" applyAlignment="1" applyProtection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 wrapText="1"/>
    </xf>
    <xf numFmtId="0" fontId="13" fillId="0" borderId="7" xfId="3" applyFont="1" applyFill="1" applyBorder="1" applyAlignment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176" fontId="13" fillId="0" borderId="2" xfId="3" applyNumberFormat="1" applyFont="1" applyFill="1" applyBorder="1" applyAlignment="1">
      <alignment horizontal="center" vertical="center"/>
    </xf>
    <xf numFmtId="0" fontId="13" fillId="0" borderId="2" xfId="3" applyNumberFormat="1" applyFont="1" applyFill="1" applyBorder="1" applyAlignment="1">
      <alignment horizontal="center" vertical="center" wrapText="1"/>
    </xf>
    <xf numFmtId="176" fontId="13" fillId="0" borderId="2" xfId="3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4" borderId="5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 wrapText="1"/>
    </xf>
    <xf numFmtId="0" fontId="20" fillId="0" borderId="1" xfId="33" applyFont="1" applyBorder="1" applyAlignment="1">
      <alignment horizontal="center" vertical="center" wrapText="1"/>
    </xf>
    <xf numFmtId="0" fontId="20" fillId="0" borderId="12" xfId="33" applyFont="1" applyBorder="1" applyAlignment="1">
      <alignment horizontal="center" vertical="center" wrapText="1"/>
    </xf>
    <xf numFmtId="0" fontId="29" fillId="0" borderId="3" xfId="33" applyFont="1" applyBorder="1" applyAlignment="1">
      <alignment horizontal="center" vertical="center" wrapText="1"/>
    </xf>
    <xf numFmtId="0" fontId="29" fillId="0" borderId="4" xfId="33" applyFont="1" applyBorder="1" applyAlignment="1">
      <alignment horizontal="center" vertical="center" wrapText="1"/>
    </xf>
    <xf numFmtId="0" fontId="29" fillId="0" borderId="5" xfId="33" applyFont="1" applyBorder="1" applyAlignment="1">
      <alignment horizontal="center" vertical="center" wrapText="1"/>
    </xf>
    <xf numFmtId="0" fontId="20" fillId="0" borderId="1" xfId="34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20" fillId="0" borderId="1" xfId="0" applyFont="1" applyFill="1" applyBorder="1" applyAlignment="1">
      <alignment horizontal="left" wrapText="1"/>
    </xf>
    <xf numFmtId="0" fontId="40" fillId="0" borderId="2" xfId="39" applyFont="1" applyBorder="1" applyAlignment="1">
      <alignment horizontal="center" wrapText="1"/>
    </xf>
    <xf numFmtId="176" fontId="22" fillId="0" borderId="2" xfId="39" applyNumberFormat="1" applyFont="1" applyFill="1" applyBorder="1" applyAlignment="1">
      <alignment horizontal="center" vertical="center"/>
    </xf>
    <xf numFmtId="176" fontId="22" fillId="0" borderId="2" xfId="41" applyNumberFormat="1" applyFont="1" applyFill="1" applyBorder="1" applyAlignment="1">
      <alignment horizontal="center" vertical="center"/>
    </xf>
    <xf numFmtId="176" fontId="22" fillId="0" borderId="2" xfId="39" applyNumberFormat="1" applyFont="1" applyFill="1" applyBorder="1" applyAlignment="1">
      <alignment horizontal="distributed" vertical="distributed"/>
    </xf>
    <xf numFmtId="0" fontId="13" fillId="0" borderId="7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76" fontId="26" fillId="0" borderId="2" xfId="27" applyNumberFormat="1" applyFont="1" applyFill="1" applyBorder="1" applyAlignment="1">
      <alignment horizontal="left" vertical="center" wrapText="1"/>
    </xf>
    <xf numFmtId="0" fontId="26" fillId="0" borderId="2" xfId="9" applyFont="1" applyFill="1" applyBorder="1" applyAlignment="1">
      <alignment horizontal="left" vertical="center" wrapText="1"/>
    </xf>
    <xf numFmtId="0" fontId="26" fillId="4" borderId="3" xfId="12" applyFont="1" applyFill="1" applyBorder="1" applyAlignment="1">
      <alignment horizontal="left" wrapText="1"/>
    </xf>
    <xf numFmtId="0" fontId="26" fillId="4" borderId="5" xfId="12" applyFont="1" applyFill="1" applyBorder="1" applyAlignment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left" vertical="center" wrapText="1"/>
    </xf>
    <xf numFmtId="0" fontId="26" fillId="4" borderId="5" xfId="0" applyFont="1" applyFill="1" applyBorder="1" applyAlignment="1">
      <alignment horizontal="left" vertical="center" wrapText="1"/>
    </xf>
    <xf numFmtId="0" fontId="26" fillId="4" borderId="3" xfId="27" applyFont="1" applyFill="1" applyBorder="1" applyAlignment="1">
      <alignment horizontal="left" wrapText="1"/>
    </xf>
    <xf numFmtId="0" fontId="26" fillId="4" borderId="5" xfId="27" applyFont="1" applyFill="1" applyBorder="1" applyAlignment="1">
      <alignment horizontal="left" wrapText="1"/>
    </xf>
    <xf numFmtId="0" fontId="35" fillId="4" borderId="7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28" fillId="4" borderId="7" xfId="0" applyFont="1" applyFill="1" applyBorder="1" applyAlignment="1">
      <alignment vertical="center"/>
    </xf>
    <xf numFmtId="0" fontId="28" fillId="4" borderId="6" xfId="0" applyFont="1" applyFill="1" applyBorder="1" applyAlignment="1">
      <alignment vertical="center"/>
    </xf>
    <xf numFmtId="0" fontId="28" fillId="4" borderId="2" xfId="0" applyFont="1" applyFill="1" applyBorder="1" applyAlignment="1">
      <alignment horizontal="center" vertical="center"/>
    </xf>
  </cellXfs>
  <cellStyles count="68">
    <cellStyle name=" 3]_x000d_&#10;Zoomed=1_x000d_&#10;Row=0_x000d_&#10;Column=0_x000d_&#10;Height=300_x000d_&#10;Width=300_x000d_&#10;FontName=細明體_x000d_&#10;FontStyle=0_x000d_&#10;FontSize=9_x000d_&#10;PrtFontName=Co" xfId="44"/>
    <cellStyle name="??" xfId="43"/>
    <cellStyle name="_ET_STYLE_NoName_00_" xfId="1"/>
    <cellStyle name="0,0_x000d_&#10;NA_x000d_&#10;" xfId="34"/>
    <cellStyle name="百分比 12 4" xfId="11"/>
    <cellStyle name="百分比 2" xfId="29"/>
    <cellStyle name="百分比 3" xfId="67"/>
    <cellStyle name="百分比 3 19" xfId="40"/>
    <cellStyle name="百分比 4" xfId="42"/>
    <cellStyle name="常规" xfId="0" builtinId="0"/>
    <cellStyle name="常规 10 10 2 2" xfId="6"/>
    <cellStyle name="常规 10 10 2 2 2 2 2" xfId="17"/>
    <cellStyle name="常规 10 10 2 2_Sheet1" xfId="31"/>
    <cellStyle name="常规 10 10 2 3 2" xfId="24"/>
    <cellStyle name="常规 11" xfId="5"/>
    <cellStyle name="常规 11 10 3" xfId="27"/>
    <cellStyle name="常规 11 16" xfId="39"/>
    <cellStyle name="常规 13" xfId="20"/>
    <cellStyle name="常规 136 8 2 3" xfId="8"/>
    <cellStyle name="常规 19" xfId="23"/>
    <cellStyle name="常规 2" xfId="16"/>
    <cellStyle name="常规 2 10 2" xfId="26"/>
    <cellStyle name="常规 2 10 5 2 4" xfId="21"/>
    <cellStyle name="常规 2 15" xfId="53"/>
    <cellStyle name="常规 2 16" xfId="52"/>
    <cellStyle name="常规 2 17" xfId="54"/>
    <cellStyle name="常规 2 18" xfId="55"/>
    <cellStyle name="常规 2 19" xfId="56"/>
    <cellStyle name="常规 2 20" xfId="57"/>
    <cellStyle name="常规 2 21" xfId="58"/>
    <cellStyle name="常规 2 22" xfId="59"/>
    <cellStyle name="常规 2 23" xfId="60"/>
    <cellStyle name="常规 2 23 2" xfId="14"/>
    <cellStyle name="常规 2 25" xfId="62"/>
    <cellStyle name="常规 2 27" xfId="61"/>
    <cellStyle name="常规 2 3" xfId="19"/>
    <cellStyle name="常规 2 30" xfId="63"/>
    <cellStyle name="常规 2 31" xfId="64"/>
    <cellStyle name="常规 2 32" xfId="65"/>
    <cellStyle name="常规 2 35" xfId="47"/>
    <cellStyle name="常规 2 36" xfId="48"/>
    <cellStyle name="常规 2 37" xfId="49"/>
    <cellStyle name="常规 2 4 2 10" xfId="45"/>
    <cellStyle name="常规 2 4 2 2" xfId="30"/>
    <cellStyle name="常规 2 5" xfId="13"/>
    <cellStyle name="常规 2 7" xfId="50"/>
    <cellStyle name="常规 2 8" xfId="51"/>
    <cellStyle name="常规 2 9" xfId="22"/>
    <cellStyle name="常规 22 15" xfId="66"/>
    <cellStyle name="常规 28" xfId="25"/>
    <cellStyle name="常规 3" xfId="4"/>
    <cellStyle name="常规 3 10" xfId="46"/>
    <cellStyle name="常规 3 10 11" xfId="33"/>
    <cellStyle name="常规 3 143 2 2" xfId="36"/>
    <cellStyle name="常规 32" xfId="18"/>
    <cellStyle name="常规 4" xfId="28"/>
    <cellStyle name="常规 4 10 10 2" xfId="37"/>
    <cellStyle name="常规 48" xfId="15"/>
    <cellStyle name="常规 5 10 2 2" xfId="38"/>
    <cellStyle name="常规 7" xfId="12"/>
    <cellStyle name="常规 7 2 2 17" xfId="9"/>
    <cellStyle name="常规 7 2 3 2 8" xfId="10"/>
    <cellStyle name="常规_4、4月回款明细" xfId="7"/>
    <cellStyle name="常规_Sheet1" xfId="3"/>
    <cellStyle name="千位分隔" xfId="32" builtinId="3"/>
    <cellStyle name="千位分隔 2" xfId="35"/>
    <cellStyle name="千位分隔 3" xfId="2"/>
    <cellStyle name="千位分隔 8 11 2" xfId="41"/>
  </cellStyles>
  <dxfs count="0"/>
  <tableStyles count="0" defaultTableStyle="TableStyleMedium9" defaultPivotStyle="PivotStyleLight16"/>
  <colors>
    <mruColors>
      <color rgb="FFCC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5"/>
  <sheetViews>
    <sheetView workbookViewId="0">
      <selection activeCell="E23" sqref="E23"/>
    </sheetView>
  </sheetViews>
  <sheetFormatPr defaultRowHeight="13.5"/>
  <cols>
    <col min="2" max="2" width="13.25" customWidth="1"/>
    <col min="3" max="3" width="12.625" customWidth="1"/>
    <col min="4" max="4" width="13.375" customWidth="1"/>
    <col min="5" max="5" width="12.375" customWidth="1"/>
    <col min="6" max="6" width="15.5" customWidth="1"/>
    <col min="7" max="7" width="11.5" customWidth="1"/>
    <col min="8" max="8" width="10.625" bestFit="1" customWidth="1"/>
    <col min="9" max="9" width="10.5" bestFit="1" customWidth="1"/>
    <col min="10" max="10" width="9.625" bestFit="1" customWidth="1"/>
    <col min="11" max="11" width="10.375" bestFit="1" customWidth="1"/>
    <col min="12" max="12" width="9.75" customWidth="1"/>
    <col min="13" max="13" width="10.25" bestFit="1" customWidth="1"/>
  </cols>
  <sheetData>
    <row r="1" spans="1:13" ht="20.25">
      <c r="A1" s="94"/>
      <c r="B1" s="95"/>
      <c r="C1" s="96"/>
      <c r="D1" s="96"/>
      <c r="E1" s="97" t="s">
        <v>158</v>
      </c>
      <c r="F1" s="98">
        <v>4</v>
      </c>
      <c r="G1" s="97" t="s">
        <v>159</v>
      </c>
      <c r="H1" s="97"/>
      <c r="I1" s="99"/>
      <c r="J1" s="95"/>
      <c r="K1" s="95"/>
      <c r="L1" s="95"/>
      <c r="M1" s="95"/>
    </row>
    <row r="2" spans="1:13" ht="15" thickBot="1">
      <c r="A2" s="100"/>
      <c r="B2" s="95"/>
      <c r="C2" s="96"/>
      <c r="D2" s="96"/>
      <c r="E2" s="95"/>
      <c r="F2" s="95"/>
      <c r="G2" s="95"/>
      <c r="H2" s="95"/>
      <c r="I2" s="95"/>
      <c r="J2" s="95"/>
      <c r="K2" s="95"/>
      <c r="L2" s="95"/>
      <c r="M2" s="95"/>
    </row>
    <row r="3" spans="1:13" ht="9" customHeight="1" thickBot="1">
      <c r="A3" s="101"/>
      <c r="B3" s="102"/>
      <c r="C3" s="103"/>
      <c r="D3" s="103"/>
      <c r="E3" s="102"/>
      <c r="F3" s="102"/>
      <c r="G3" s="102"/>
      <c r="H3" s="102"/>
      <c r="I3" s="102"/>
      <c r="J3" s="102"/>
      <c r="K3" s="102"/>
      <c r="L3" s="102"/>
      <c r="M3" s="102"/>
    </row>
    <row r="4" spans="1:13" ht="14.25" thickBot="1">
      <c r="A4" s="608" t="s">
        <v>160</v>
      </c>
      <c r="B4" s="609"/>
      <c r="C4" s="609"/>
      <c r="D4" s="609"/>
      <c r="E4" s="609"/>
      <c r="F4" s="104"/>
      <c r="G4" s="104"/>
      <c r="H4" s="104"/>
      <c r="I4" s="104"/>
      <c r="J4" s="104"/>
      <c r="K4" s="104"/>
      <c r="L4" s="104"/>
      <c r="M4" s="104"/>
    </row>
    <row r="5" spans="1:13" ht="24">
      <c r="A5" s="610" t="s">
        <v>161</v>
      </c>
      <c r="B5" s="105" t="s">
        <v>162</v>
      </c>
      <c r="C5" s="106" t="s">
        <v>163</v>
      </c>
      <c r="D5" s="106" t="s">
        <v>164</v>
      </c>
      <c r="E5" s="107" t="s">
        <v>165</v>
      </c>
      <c r="F5" s="108" t="s">
        <v>166</v>
      </c>
      <c r="G5" s="109" t="s">
        <v>167</v>
      </c>
      <c r="H5" s="110"/>
      <c r="I5" s="111"/>
      <c r="J5" s="111"/>
      <c r="K5" s="111"/>
      <c r="L5" s="111"/>
      <c r="M5" s="111"/>
    </row>
    <row r="6" spans="1:13" ht="14.25" thickBot="1">
      <c r="A6" s="610"/>
      <c r="B6" s="112">
        <f>B20+B34+B49+B63+B77+B91+B105+B118+B131++B153</f>
        <v>0</v>
      </c>
      <c r="C6" s="113">
        <f>C20+C49+C77+C91+C105+C34+C63+B155</f>
        <v>25074</v>
      </c>
      <c r="D6" s="114">
        <f>(B6+C6)/F1*12*15%</f>
        <v>11283.3</v>
      </c>
      <c r="E6" s="115">
        <f>E20+E34+E49+E63+E77+E91+E105+E118+E131</f>
        <v>39500</v>
      </c>
      <c r="F6" s="116">
        <f>K14</f>
        <v>31300.16</v>
      </c>
      <c r="G6" s="117">
        <f>L28+L42+L57+L70</f>
        <v>8000</v>
      </c>
      <c r="H6" s="118"/>
      <c r="I6" s="111"/>
      <c r="J6" s="111"/>
      <c r="K6" s="111"/>
      <c r="L6" s="111"/>
      <c r="M6" s="111"/>
    </row>
    <row r="7" spans="1:13" ht="24">
      <c r="A7" s="610"/>
      <c r="B7" s="119" t="s">
        <v>168</v>
      </c>
      <c r="C7" s="106" t="s">
        <v>169</v>
      </c>
      <c r="D7" s="106" t="s">
        <v>170</v>
      </c>
      <c r="E7" s="108" t="s">
        <v>171</v>
      </c>
      <c r="F7" s="107" t="s">
        <v>172</v>
      </c>
      <c r="G7" s="120" t="s">
        <v>173</v>
      </c>
      <c r="H7" s="107" t="s">
        <v>174</v>
      </c>
      <c r="I7" s="121" t="s">
        <v>175</v>
      </c>
      <c r="J7" s="110"/>
      <c r="K7" s="110"/>
      <c r="L7" s="122"/>
      <c r="M7" s="122"/>
    </row>
    <row r="8" spans="1:13" ht="14.25" thickBot="1">
      <c r="A8" s="610"/>
      <c r="B8" s="612">
        <f>B22+B36+B51+B65+B79+B93+B107+B120+B133+C143+C148+C153</f>
        <v>57607.199999999997</v>
      </c>
      <c r="C8" s="113">
        <f>C22+C36+C51+C79+C107+C120+C133</f>
        <v>19660</v>
      </c>
      <c r="D8" s="113">
        <f>D22+D36+D51+D65+D79+D93+D107+D120+D133+D143+D148</f>
        <v>21672.11</v>
      </c>
      <c r="E8" s="123">
        <f>E22+E36+E51+E65+E79+E93</f>
        <v>0</v>
      </c>
      <c r="F8" s="115">
        <f>F22+F36+F93+F107+F65+F51</f>
        <v>1283.47</v>
      </c>
      <c r="G8" s="124">
        <f>B8+C8-D8+E8-F8</f>
        <v>54311.619999999995</v>
      </c>
      <c r="H8" s="124">
        <f>G8-D6</f>
        <v>43028.319999999992</v>
      </c>
      <c r="I8" s="125">
        <f>G8-E6</f>
        <v>14811.619999999995</v>
      </c>
      <c r="J8" s="126"/>
      <c r="K8" s="126"/>
      <c r="L8" s="127"/>
      <c r="M8" s="127"/>
    </row>
    <row r="9" spans="1:13" ht="48">
      <c r="A9" s="610"/>
      <c r="B9" s="613"/>
      <c r="C9" s="106" t="s">
        <v>176</v>
      </c>
      <c r="D9" s="128" t="s">
        <v>177</v>
      </c>
      <c r="E9" s="108" t="s">
        <v>178</v>
      </c>
      <c r="F9" s="107" t="s">
        <v>179</v>
      </c>
      <c r="G9" s="108" t="s">
        <v>180</v>
      </c>
      <c r="H9" s="129" t="s">
        <v>181</v>
      </c>
      <c r="I9" s="108" t="s">
        <v>182</v>
      </c>
      <c r="J9" s="108" t="s">
        <v>183</v>
      </c>
      <c r="K9" s="129" t="s">
        <v>184</v>
      </c>
      <c r="L9" s="108" t="s">
        <v>174</v>
      </c>
      <c r="M9" s="109" t="s">
        <v>175</v>
      </c>
    </row>
    <row r="10" spans="1:13" ht="14.25" thickBot="1">
      <c r="A10" s="610"/>
      <c r="B10" s="614"/>
      <c r="C10" s="130">
        <f>C24+C38+C53+C67+C81+C95+C109</f>
        <v>392.89</v>
      </c>
      <c r="D10" s="564">
        <f>D24+D38+D53+D67+D81+D95+D109+D155</f>
        <v>1246.1600000000001</v>
      </c>
      <c r="E10" s="131">
        <f>E24+E53+E67+E81+E95+E109+E38</f>
        <v>4838</v>
      </c>
      <c r="F10" s="131">
        <f>F24+F53+F67+F81+F95+F109+F38</f>
        <v>0</v>
      </c>
      <c r="G10" s="132">
        <v>0</v>
      </c>
      <c r="H10" s="132">
        <f>B8-C10+D10+E10+F10+G10</f>
        <v>63298.47</v>
      </c>
      <c r="I10" s="133">
        <f>C8</f>
        <v>19660</v>
      </c>
      <c r="J10" s="133">
        <f>D8</f>
        <v>21672.11</v>
      </c>
      <c r="K10" s="133">
        <f>H10+I10-J10</f>
        <v>61286.36</v>
      </c>
      <c r="L10" s="133">
        <f>K10-D6</f>
        <v>50003.06</v>
      </c>
      <c r="M10" s="134">
        <f>K10-E6</f>
        <v>21786.36</v>
      </c>
    </row>
    <row r="11" spans="1:13" ht="2.25" customHeight="1">
      <c r="A11" s="610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1:13" ht="14.25" thickBot="1">
      <c r="A12" s="610"/>
      <c r="B12" s="137" t="s">
        <v>185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13" ht="24.75" thickBot="1">
      <c r="A13" s="610"/>
      <c r="B13" s="139" t="s">
        <v>157</v>
      </c>
      <c r="C13" s="140"/>
      <c r="D13" s="141" t="s">
        <v>186</v>
      </c>
      <c r="E13" s="141"/>
      <c r="F13" s="141" t="s">
        <v>187</v>
      </c>
      <c r="G13" s="142"/>
      <c r="H13" s="143" t="s">
        <v>188</v>
      </c>
      <c r="I13" s="144"/>
      <c r="J13" s="145" t="s">
        <v>156</v>
      </c>
      <c r="K13" s="146"/>
      <c r="L13" s="147" t="s">
        <v>167</v>
      </c>
    </row>
    <row r="14" spans="1:13">
      <c r="A14" s="610"/>
      <c r="B14" s="148" t="s">
        <v>189</v>
      </c>
      <c r="C14" s="149">
        <f>C15+C16</f>
        <v>21272.11</v>
      </c>
      <c r="D14" s="150" t="s">
        <v>189</v>
      </c>
      <c r="E14" s="151">
        <f>SUM(E15:E16)</f>
        <v>10028.049999999999</v>
      </c>
      <c r="F14" s="152" t="s">
        <v>189</v>
      </c>
      <c r="G14" s="153">
        <f>SUM(G15:G16)</f>
        <v>0</v>
      </c>
      <c r="H14" s="154" t="s">
        <v>189</v>
      </c>
      <c r="I14" s="155"/>
      <c r="J14" s="156" t="s">
        <v>189</v>
      </c>
      <c r="K14" s="157">
        <f>SUM(K15:K16)</f>
        <v>31300.16</v>
      </c>
      <c r="L14" s="158">
        <f>L15+L16</f>
        <v>7800</v>
      </c>
    </row>
    <row r="15" spans="1:13">
      <c r="A15" s="610"/>
      <c r="B15" s="148" t="s">
        <v>190</v>
      </c>
      <c r="C15" s="149">
        <f>C29+C43+C58+C86+C100+C113+C126+C139+F144+F149</f>
        <v>7950.329999999999</v>
      </c>
      <c r="D15" s="150" t="s">
        <v>190</v>
      </c>
      <c r="E15" s="151">
        <f>E29+E43+E58+E71+E86+E100+E113+E126+E139</f>
        <v>6652.04</v>
      </c>
      <c r="F15" s="152" t="s">
        <v>190</v>
      </c>
      <c r="G15" s="159">
        <f>G29+G58+G71+G86+G100+G113</f>
        <v>0</v>
      </c>
      <c r="H15" s="160" t="s">
        <v>190</v>
      </c>
      <c r="I15" s="161"/>
      <c r="J15" s="162" t="s">
        <v>190</v>
      </c>
      <c r="K15" s="163">
        <f>G15+I15+E15+C15</f>
        <v>14602.369999999999</v>
      </c>
      <c r="L15" s="164">
        <f>L29+L43+L58+L71</f>
        <v>3500</v>
      </c>
    </row>
    <row r="16" spans="1:13" ht="14.25" thickBot="1">
      <c r="A16" s="611"/>
      <c r="B16" s="165" t="s">
        <v>191</v>
      </c>
      <c r="C16" s="166">
        <f>C30+C44+C59+C72+C87+C101+C114+C127+C140+F145+F150</f>
        <v>13321.780000000002</v>
      </c>
      <c r="D16" s="167" t="s">
        <v>191</v>
      </c>
      <c r="E16" s="168">
        <f>E30+E59+E72+E87+E44</f>
        <v>3376.01</v>
      </c>
      <c r="F16" s="169" t="s">
        <v>191</v>
      </c>
      <c r="G16" s="170">
        <f>G30+G59+G72+G87+G101+G114</f>
        <v>0</v>
      </c>
      <c r="H16" s="171" t="s">
        <v>191</v>
      </c>
      <c r="I16" s="172">
        <f>I30+I59+I72+I87+I101+I114</f>
        <v>0</v>
      </c>
      <c r="J16" s="173" t="s">
        <v>191</v>
      </c>
      <c r="K16" s="174">
        <f>C16+E16+G16+I16</f>
        <v>16697.79</v>
      </c>
      <c r="L16" s="175">
        <f>L30+L44+L59+L71</f>
        <v>4300</v>
      </c>
    </row>
    <row r="17" spans="1:13" ht="3.75" customHeight="1" thickBot="1">
      <c r="A17" s="176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ht="14.25" thickBot="1">
      <c r="A18" s="615" t="s">
        <v>192</v>
      </c>
      <c r="B18" s="618" t="s">
        <v>160</v>
      </c>
      <c r="C18" s="618"/>
      <c r="D18" s="178"/>
      <c r="E18" s="178"/>
      <c r="F18" s="178"/>
      <c r="G18" s="178"/>
      <c r="H18" s="178"/>
      <c r="I18" s="178"/>
      <c r="J18" s="178"/>
      <c r="K18" s="178"/>
      <c r="L18" s="178"/>
      <c r="M18" s="178"/>
    </row>
    <row r="19" spans="1:13" ht="24">
      <c r="A19" s="616"/>
      <c r="B19" s="179" t="s">
        <v>162</v>
      </c>
      <c r="C19" s="106" t="s">
        <v>163</v>
      </c>
      <c r="D19" s="106" t="s">
        <v>164</v>
      </c>
      <c r="E19" s="180" t="s">
        <v>165</v>
      </c>
      <c r="F19" s="181" t="s">
        <v>166</v>
      </c>
      <c r="G19" s="182"/>
      <c r="H19" s="183"/>
      <c r="I19" s="184"/>
      <c r="J19" s="184"/>
      <c r="K19" s="184"/>
      <c r="L19" s="184"/>
      <c r="M19" s="184"/>
    </row>
    <row r="20" spans="1:13" ht="14.25" thickBot="1">
      <c r="A20" s="616"/>
      <c r="B20" s="185"/>
      <c r="C20" s="114">
        <v>4376</v>
      </c>
      <c r="D20" s="114">
        <f>(B20+C20)/F1*12*15%</f>
        <v>1969.1999999999998</v>
      </c>
      <c r="E20" s="187">
        <v>12500</v>
      </c>
      <c r="F20" s="188">
        <f>M28</f>
        <v>0</v>
      </c>
      <c r="G20" s="184"/>
      <c r="H20" s="189"/>
      <c r="I20" s="184"/>
      <c r="J20" s="184"/>
      <c r="K20" s="184"/>
      <c r="L20" s="184"/>
      <c r="M20" s="184"/>
    </row>
    <row r="21" spans="1:13" ht="24">
      <c r="A21" s="616"/>
      <c r="B21" s="190" t="s">
        <v>168</v>
      </c>
      <c r="C21" s="128" t="s">
        <v>169</v>
      </c>
      <c r="D21" s="106" t="s">
        <v>170</v>
      </c>
      <c r="E21" s="107" t="s">
        <v>206</v>
      </c>
      <c r="F21" s="107" t="s">
        <v>172</v>
      </c>
      <c r="G21" s="120" t="s">
        <v>173</v>
      </c>
      <c r="H21" s="107" t="s">
        <v>174</v>
      </c>
      <c r="I21" s="121" t="s">
        <v>175</v>
      </c>
      <c r="J21" s="110"/>
      <c r="K21" s="110"/>
      <c r="L21" s="191"/>
      <c r="M21" s="191"/>
    </row>
    <row r="22" spans="1:13" ht="14.25" thickBot="1">
      <c r="A22" s="616"/>
      <c r="B22" s="619">
        <v>9943.84</v>
      </c>
      <c r="C22" s="114">
        <v>4920</v>
      </c>
      <c r="D22" s="565">
        <v>3885.05</v>
      </c>
      <c r="E22" s="192"/>
      <c r="F22" s="193">
        <v>283.47000000000003</v>
      </c>
      <c r="G22" s="124">
        <f>B22+C22-D22+E22-F22</f>
        <v>10695.320000000002</v>
      </c>
      <c r="H22" s="124">
        <f>G22-D20</f>
        <v>8726.1200000000026</v>
      </c>
      <c r="I22" s="125">
        <f>G22-E20</f>
        <v>-1804.6799999999985</v>
      </c>
      <c r="J22" s="126"/>
      <c r="K22" s="126"/>
      <c r="L22" s="191"/>
      <c r="M22" s="191"/>
    </row>
    <row r="23" spans="1:13" ht="48">
      <c r="A23" s="616"/>
      <c r="B23" s="620"/>
      <c r="C23" s="128" t="s">
        <v>176</v>
      </c>
      <c r="D23" s="106" t="s">
        <v>177</v>
      </c>
      <c r="E23" s="107" t="s">
        <v>193</v>
      </c>
      <c r="F23" s="107" t="s">
        <v>179</v>
      </c>
      <c r="G23" s="107" t="s">
        <v>180</v>
      </c>
      <c r="H23" s="120" t="s">
        <v>181</v>
      </c>
      <c r="I23" s="107" t="s">
        <v>182</v>
      </c>
      <c r="J23" s="107" t="s">
        <v>183</v>
      </c>
      <c r="K23" s="120" t="s">
        <v>184</v>
      </c>
      <c r="L23" s="107" t="s">
        <v>174</v>
      </c>
      <c r="M23" s="121" t="s">
        <v>175</v>
      </c>
    </row>
    <row r="24" spans="1:13" ht="14.25" thickBot="1">
      <c r="A24" s="616"/>
      <c r="B24" s="621"/>
      <c r="C24" s="194">
        <v>13.26</v>
      </c>
      <c r="D24" s="195">
        <v>108.12</v>
      </c>
      <c r="E24" s="196"/>
      <c r="F24" s="197"/>
      <c r="G24" s="198">
        <v>0</v>
      </c>
      <c r="H24" s="132">
        <f>B22-C24+D24+E24+F24+G24</f>
        <v>10038.700000000001</v>
      </c>
      <c r="I24" s="133">
        <f>C22</f>
        <v>4920</v>
      </c>
      <c r="J24" s="133">
        <f>D22</f>
        <v>3885.05</v>
      </c>
      <c r="K24" s="199">
        <f>H24+I24-J24</f>
        <v>11073.650000000001</v>
      </c>
      <c r="L24" s="199">
        <f>K24-D20</f>
        <v>9104.4500000000007</v>
      </c>
      <c r="M24" s="199">
        <f>K24-E20</f>
        <v>-1426.3499999999985</v>
      </c>
    </row>
    <row r="25" spans="1:13" ht="1.5" customHeight="1">
      <c r="A25" s="616"/>
      <c r="B25" s="200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2"/>
    </row>
    <row r="26" spans="1:13" ht="14.25" thickBot="1">
      <c r="A26" s="616"/>
      <c r="B26" s="203" t="s">
        <v>185</v>
      </c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</row>
    <row r="27" spans="1:13" ht="24">
      <c r="A27" s="616"/>
      <c r="B27" s="205" t="s">
        <v>157</v>
      </c>
      <c r="C27" s="206"/>
      <c r="D27" s="207" t="s">
        <v>186</v>
      </c>
      <c r="E27" s="207"/>
      <c r="F27" s="207" t="s">
        <v>187</v>
      </c>
      <c r="G27" s="207"/>
      <c r="H27" s="207" t="s">
        <v>188</v>
      </c>
      <c r="I27" s="207"/>
      <c r="J27" s="208" t="s">
        <v>156</v>
      </c>
      <c r="K27" s="208"/>
      <c r="L27" s="209" t="s">
        <v>194</v>
      </c>
      <c r="M27" s="210"/>
    </row>
    <row r="28" spans="1:13">
      <c r="A28" s="616"/>
      <c r="B28" s="211" t="s">
        <v>189</v>
      </c>
      <c r="C28" s="235">
        <f>C29+C30</f>
        <v>3885.05</v>
      </c>
      <c r="D28" s="235" t="s">
        <v>189</v>
      </c>
      <c r="E28" s="235">
        <f>SUM(E29:E30)</f>
        <v>1462.04</v>
      </c>
      <c r="F28" s="235" t="s">
        <v>189</v>
      </c>
      <c r="G28" s="235">
        <f>G29+G30</f>
        <v>0</v>
      </c>
      <c r="H28" s="235" t="s">
        <v>189</v>
      </c>
      <c r="I28" s="235">
        <f>I29+I30</f>
        <v>0</v>
      </c>
      <c r="J28" s="235" t="s">
        <v>189</v>
      </c>
      <c r="K28" s="235">
        <f>SUM(K29:K30)</f>
        <v>5347.09</v>
      </c>
      <c r="L28" s="212">
        <f>L29</f>
        <v>0</v>
      </c>
      <c r="M28" s="213"/>
    </row>
    <row r="29" spans="1:13">
      <c r="A29" s="616"/>
      <c r="B29" s="211" t="s">
        <v>190</v>
      </c>
      <c r="C29" s="235">
        <v>2658.03</v>
      </c>
      <c r="D29" s="235" t="s">
        <v>190</v>
      </c>
      <c r="E29" s="235">
        <v>1392.04</v>
      </c>
      <c r="F29" s="235" t="s">
        <v>190</v>
      </c>
      <c r="G29" s="235"/>
      <c r="H29" s="235" t="s">
        <v>190</v>
      </c>
      <c r="I29" s="235"/>
      <c r="J29" s="235" t="s">
        <v>190</v>
      </c>
      <c r="K29" s="235">
        <f>I29+G29+E29+C29</f>
        <v>4050.07</v>
      </c>
      <c r="L29" s="151"/>
      <c r="M29" s="213"/>
    </row>
    <row r="30" spans="1:13" ht="14.25" thickBot="1">
      <c r="A30" s="617"/>
      <c r="B30" s="214" t="s">
        <v>191</v>
      </c>
      <c r="C30" s="566">
        <v>1227.02</v>
      </c>
      <c r="D30" s="567" t="s">
        <v>191</v>
      </c>
      <c r="E30" s="566">
        <v>70</v>
      </c>
      <c r="F30" s="567" t="s">
        <v>191</v>
      </c>
      <c r="G30" s="566"/>
      <c r="H30" s="567" t="s">
        <v>191</v>
      </c>
      <c r="I30" s="566"/>
      <c r="J30" s="235" t="s">
        <v>191</v>
      </c>
      <c r="K30" s="235">
        <f>I30+G30+E30+C30</f>
        <v>1297.02</v>
      </c>
      <c r="L30" s="217">
        <v>800</v>
      </c>
      <c r="M30" s="213"/>
    </row>
    <row r="31" spans="1:13" ht="4.5" customHeight="1" thickBot="1">
      <c r="A31" s="218"/>
      <c r="B31" s="219"/>
      <c r="C31" s="220"/>
      <c r="D31" s="221"/>
      <c r="E31" s="222"/>
      <c r="F31" s="222"/>
      <c r="G31" s="222"/>
      <c r="H31" s="222"/>
      <c r="I31" s="222"/>
      <c r="J31" s="223"/>
      <c r="K31" s="224"/>
      <c r="L31" s="225"/>
      <c r="M31" s="222"/>
    </row>
    <row r="32" spans="1:13" ht="14.25" thickBot="1">
      <c r="A32" s="615" t="s">
        <v>195</v>
      </c>
      <c r="B32" s="618" t="s">
        <v>160</v>
      </c>
      <c r="C32" s="618"/>
      <c r="D32" s="178"/>
      <c r="E32" s="178"/>
      <c r="F32" s="178"/>
      <c r="G32" s="178"/>
      <c r="H32" s="178"/>
      <c r="I32" s="178"/>
      <c r="J32" s="178"/>
      <c r="K32" s="178"/>
      <c r="L32" s="178"/>
      <c r="M32" s="178"/>
    </row>
    <row r="33" spans="1:13" ht="24">
      <c r="A33" s="616"/>
      <c r="B33" s="179" t="s">
        <v>162</v>
      </c>
      <c r="C33" s="106" t="s">
        <v>163</v>
      </c>
      <c r="D33" s="106" t="s">
        <v>164</v>
      </c>
      <c r="E33" s="180" t="s">
        <v>165</v>
      </c>
      <c r="F33" s="181" t="s">
        <v>166</v>
      </c>
      <c r="G33" s="182"/>
      <c r="H33" s="183"/>
      <c r="I33" s="184"/>
      <c r="J33" s="226"/>
      <c r="K33" s="184"/>
      <c r="L33" s="184"/>
      <c r="M33" s="184"/>
    </row>
    <row r="34" spans="1:13" ht="14.25" thickBot="1">
      <c r="A34" s="616"/>
      <c r="B34" s="227"/>
      <c r="C34" s="186">
        <v>3020</v>
      </c>
      <c r="D34" s="114">
        <f>(B34+C34)/F1*12*15%</f>
        <v>1359</v>
      </c>
      <c r="E34" s="187">
        <v>8500</v>
      </c>
      <c r="F34" s="188">
        <f>M42</f>
        <v>0</v>
      </c>
      <c r="G34" s="184"/>
      <c r="H34" s="189"/>
      <c r="I34" s="184"/>
      <c r="J34" s="184"/>
      <c r="K34" s="184"/>
      <c r="L34" s="184"/>
      <c r="M34" s="184"/>
    </row>
    <row r="35" spans="1:13" ht="24">
      <c r="A35" s="616"/>
      <c r="B35" s="190" t="s">
        <v>168</v>
      </c>
      <c r="C35" s="128" t="s">
        <v>169</v>
      </c>
      <c r="D35" s="106" t="s">
        <v>170</v>
      </c>
      <c r="E35" s="107" t="s">
        <v>171</v>
      </c>
      <c r="F35" s="107" t="s">
        <v>172</v>
      </c>
      <c r="G35" s="120" t="s">
        <v>173</v>
      </c>
      <c r="H35" s="107" t="s">
        <v>174</v>
      </c>
      <c r="I35" s="121" t="s">
        <v>175</v>
      </c>
      <c r="J35" s="110"/>
      <c r="K35" s="110"/>
      <c r="L35" s="191"/>
      <c r="M35" s="191"/>
    </row>
    <row r="36" spans="1:13" ht="14.25" thickBot="1">
      <c r="A36" s="616"/>
      <c r="B36" s="622">
        <v>9268.01</v>
      </c>
      <c r="C36" s="186">
        <v>3540</v>
      </c>
      <c r="D36" s="256">
        <v>3648.71</v>
      </c>
      <c r="E36" s="228"/>
      <c r="F36" s="193"/>
      <c r="G36" s="124">
        <f>B36+C36-D36+E36-F36</f>
        <v>9159.2999999999993</v>
      </c>
      <c r="H36" s="124">
        <f>G36-D34</f>
        <v>7800.2999999999993</v>
      </c>
      <c r="I36" s="125">
        <f>G36-E34</f>
        <v>659.29999999999927</v>
      </c>
      <c r="J36" s="126"/>
      <c r="K36" s="126"/>
      <c r="L36" s="191"/>
      <c r="M36" s="191"/>
    </row>
    <row r="37" spans="1:13" ht="48">
      <c r="A37" s="616"/>
      <c r="B37" s="623"/>
      <c r="C37" s="128" t="s">
        <v>176</v>
      </c>
      <c r="D37" s="106" t="s">
        <v>177</v>
      </c>
      <c r="E37" s="107" t="s">
        <v>193</v>
      </c>
      <c r="F37" s="107" t="s">
        <v>179</v>
      </c>
      <c r="G37" s="107" t="s">
        <v>180</v>
      </c>
      <c r="H37" s="120" t="s">
        <v>181</v>
      </c>
      <c r="I37" s="107" t="s">
        <v>182</v>
      </c>
      <c r="J37" s="107" t="s">
        <v>183</v>
      </c>
      <c r="K37" s="120" t="s">
        <v>184</v>
      </c>
      <c r="L37" s="107" t="s">
        <v>174</v>
      </c>
      <c r="M37" s="121" t="s">
        <v>175</v>
      </c>
    </row>
    <row r="38" spans="1:13" ht="14.25" thickBot="1">
      <c r="A38" s="616"/>
      <c r="B38" s="624"/>
      <c r="C38" s="116">
        <v>3.48</v>
      </c>
      <c r="D38" s="568">
        <f>729.95+234.88</f>
        <v>964.83</v>
      </c>
      <c r="E38" s="569"/>
      <c r="F38" s="566"/>
      <c r="G38" s="570">
        <v>0</v>
      </c>
      <c r="H38" s="571">
        <f>B36-C38+D38+E38+F38+G38</f>
        <v>10229.36</v>
      </c>
      <c r="I38" s="116">
        <f>C36</f>
        <v>3540</v>
      </c>
      <c r="J38" s="116">
        <f>D36</f>
        <v>3648.71</v>
      </c>
      <c r="K38" s="235">
        <f>H38+I38-J38</f>
        <v>10120.650000000001</v>
      </c>
      <c r="L38" s="235">
        <f>K38-D34</f>
        <v>8761.6500000000015</v>
      </c>
      <c r="M38" s="235">
        <f>K38-E34</f>
        <v>1620.6500000000015</v>
      </c>
    </row>
    <row r="39" spans="1:13" ht="5.25" customHeight="1">
      <c r="A39" s="616"/>
      <c r="B39" s="200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2"/>
    </row>
    <row r="40" spans="1:13" ht="14.25" thickBot="1">
      <c r="A40" s="616"/>
      <c r="B40" s="203" t="s">
        <v>185</v>
      </c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</row>
    <row r="41" spans="1:13" ht="24.75" thickBot="1">
      <c r="A41" s="616"/>
      <c r="B41" s="229" t="s">
        <v>157</v>
      </c>
      <c r="C41" s="206"/>
      <c r="D41" s="207" t="s">
        <v>186</v>
      </c>
      <c r="E41" s="207"/>
      <c r="F41" s="207" t="s">
        <v>187</v>
      </c>
      <c r="G41" s="207"/>
      <c r="H41" s="207" t="s">
        <v>188</v>
      </c>
      <c r="I41" s="207"/>
      <c r="J41" s="230" t="s">
        <v>156</v>
      </c>
      <c r="K41" s="231"/>
      <c r="L41" s="232" t="s">
        <v>194</v>
      </c>
      <c r="M41" s="210"/>
    </row>
    <row r="42" spans="1:13">
      <c r="A42" s="616"/>
      <c r="B42" s="233" t="s">
        <v>189</v>
      </c>
      <c r="C42" s="572">
        <f>C44+C43</f>
        <v>3628.81</v>
      </c>
      <c r="D42" s="235" t="s">
        <v>189</v>
      </c>
      <c r="E42" s="235">
        <f>E43+E44</f>
        <v>366.01</v>
      </c>
      <c r="F42" s="151" t="s">
        <v>189</v>
      </c>
      <c r="G42" s="54"/>
      <c r="H42" s="151" t="s">
        <v>189</v>
      </c>
      <c r="I42" s="151">
        <f>I43+I44</f>
        <v>0</v>
      </c>
      <c r="J42" s="234" t="s">
        <v>189</v>
      </c>
      <c r="K42" s="235">
        <f>K43+K44</f>
        <v>3994.8199999999997</v>
      </c>
      <c r="L42" s="236">
        <f>L43</f>
        <v>0</v>
      </c>
      <c r="M42" s="213"/>
    </row>
    <row r="43" spans="1:13">
      <c r="A43" s="616"/>
      <c r="B43" s="211" t="s">
        <v>190</v>
      </c>
      <c r="C43" s="573">
        <v>2727.45</v>
      </c>
      <c r="D43" s="235" t="s">
        <v>190</v>
      </c>
      <c r="E43" s="235">
        <v>60</v>
      </c>
      <c r="F43" s="151" t="s">
        <v>190</v>
      </c>
      <c r="G43" s="54"/>
      <c r="H43" s="151" t="s">
        <v>190</v>
      </c>
      <c r="I43" s="151"/>
      <c r="J43" s="234" t="s">
        <v>190</v>
      </c>
      <c r="K43" s="235">
        <f>E43+C43</f>
        <v>2787.45</v>
      </c>
      <c r="L43" s="237"/>
      <c r="M43" s="213"/>
    </row>
    <row r="44" spans="1:13" ht="14.25" thickBot="1">
      <c r="A44" s="616"/>
      <c r="B44" s="214" t="s">
        <v>191</v>
      </c>
      <c r="C44" s="574">
        <v>901.36</v>
      </c>
      <c r="D44" s="567" t="s">
        <v>191</v>
      </c>
      <c r="E44" s="566">
        <v>306.01</v>
      </c>
      <c r="F44" s="216" t="s">
        <v>191</v>
      </c>
      <c r="G44" s="215"/>
      <c r="H44" s="216" t="s">
        <v>191</v>
      </c>
      <c r="I44" s="215"/>
      <c r="J44" s="238" t="s">
        <v>191</v>
      </c>
      <c r="K44" s="116">
        <f>E44+C44</f>
        <v>1207.3699999999999</v>
      </c>
      <c r="L44" s="239"/>
      <c r="M44" s="213"/>
    </row>
    <row r="45" spans="1:13" ht="3" customHeight="1">
      <c r="A45" s="218"/>
      <c r="B45" s="177"/>
      <c r="C45" s="240"/>
      <c r="D45" s="240"/>
      <c r="E45" s="177"/>
      <c r="F45" s="177"/>
      <c r="G45" s="177"/>
      <c r="H45" s="177"/>
      <c r="I45" s="177"/>
      <c r="J45" s="177"/>
      <c r="K45" s="241"/>
      <c r="L45" s="177"/>
      <c r="M45" s="177"/>
    </row>
    <row r="46" spans="1:13" ht="4.5" customHeight="1" thickBot="1">
      <c r="A46" s="176"/>
      <c r="B46" s="177"/>
      <c r="C46" s="240"/>
      <c r="D46" s="240"/>
      <c r="E46" s="177"/>
      <c r="F46" s="177"/>
      <c r="G46" s="177"/>
      <c r="H46" s="177"/>
      <c r="I46" s="177"/>
      <c r="J46" s="177"/>
      <c r="K46" s="177"/>
      <c r="L46" s="177"/>
      <c r="M46" s="177"/>
    </row>
    <row r="47" spans="1:13" ht="14.25" thickBot="1">
      <c r="A47" s="625" t="s">
        <v>196</v>
      </c>
      <c r="B47" s="626" t="s">
        <v>160</v>
      </c>
      <c r="C47" s="626"/>
      <c r="D47" s="104"/>
      <c r="E47" s="104"/>
      <c r="F47" s="104"/>
      <c r="G47" s="104"/>
      <c r="H47" s="104"/>
      <c r="I47" s="242"/>
      <c r="J47" s="104"/>
      <c r="K47" s="104"/>
      <c r="L47" s="104"/>
      <c r="M47" s="104"/>
    </row>
    <row r="48" spans="1:13" ht="24">
      <c r="A48" s="610"/>
      <c r="B48" s="179" t="s">
        <v>162</v>
      </c>
      <c r="C48" s="106" t="s">
        <v>163</v>
      </c>
      <c r="D48" s="106" t="s">
        <v>164</v>
      </c>
      <c r="E48" s="180" t="s">
        <v>165</v>
      </c>
      <c r="F48" s="181" t="s">
        <v>166</v>
      </c>
      <c r="G48" s="182"/>
      <c r="H48" s="183"/>
      <c r="I48" s="184"/>
      <c r="J48" s="184"/>
      <c r="K48" s="183"/>
      <c r="L48" s="184"/>
      <c r="M48" s="184"/>
    </row>
    <row r="49" spans="1:13" ht="14.25" thickBot="1">
      <c r="A49" s="610"/>
      <c r="B49" s="227"/>
      <c r="C49" s="114">
        <v>5770</v>
      </c>
      <c r="D49" s="114">
        <f>(B49+C49)/F1*12*15%</f>
        <v>2596.5</v>
      </c>
      <c r="E49" s="187">
        <v>8500</v>
      </c>
      <c r="F49" s="188">
        <f>K57</f>
        <v>10933.95</v>
      </c>
      <c r="G49" s="243"/>
      <c r="H49" s="126"/>
      <c r="I49" s="243"/>
      <c r="J49" s="243"/>
      <c r="K49" s="243"/>
      <c r="L49" s="243"/>
      <c r="M49" s="243"/>
    </row>
    <row r="50" spans="1:13" ht="24">
      <c r="A50" s="610"/>
      <c r="B50" s="190" t="s">
        <v>168</v>
      </c>
      <c r="C50" s="128" t="s">
        <v>169</v>
      </c>
      <c r="D50" s="128" t="s">
        <v>170</v>
      </c>
      <c r="E50" s="108" t="s">
        <v>171</v>
      </c>
      <c r="F50" s="108" t="s">
        <v>172</v>
      </c>
      <c r="G50" s="129" t="s">
        <v>173</v>
      </c>
      <c r="H50" s="108" t="s">
        <v>174</v>
      </c>
      <c r="I50" s="109" t="s">
        <v>175</v>
      </c>
      <c r="J50" s="244"/>
      <c r="K50" s="244"/>
      <c r="L50" s="245"/>
      <c r="M50" s="245"/>
    </row>
    <row r="51" spans="1:13" ht="14.25" thickBot="1">
      <c r="A51" s="610"/>
      <c r="B51" s="627">
        <v>15865.24</v>
      </c>
      <c r="C51" s="575">
        <v>6750</v>
      </c>
      <c r="D51" s="576">
        <v>7714.05</v>
      </c>
      <c r="E51" s="575">
        <v>0</v>
      </c>
      <c r="F51" s="577">
        <v>0</v>
      </c>
      <c r="G51" s="577">
        <f>B51+C51-D51+E51-F51</f>
        <v>14901.189999999999</v>
      </c>
      <c r="H51" s="577">
        <f>G51-D49</f>
        <v>12304.689999999999</v>
      </c>
      <c r="I51" s="578">
        <f>G51-E49</f>
        <v>6401.1899999999987</v>
      </c>
      <c r="J51" s="126"/>
      <c r="K51" s="126"/>
      <c r="L51" s="245"/>
      <c r="M51" s="245"/>
    </row>
    <row r="52" spans="1:13" ht="48">
      <c r="A52" s="610"/>
      <c r="B52" s="628"/>
      <c r="C52" s="128" t="s">
        <v>176</v>
      </c>
      <c r="D52" s="128" t="s">
        <v>177</v>
      </c>
      <c r="E52" s="108" t="s">
        <v>193</v>
      </c>
      <c r="F52" s="108" t="s">
        <v>179</v>
      </c>
      <c r="G52" s="108" t="s">
        <v>180</v>
      </c>
      <c r="H52" s="129" t="s">
        <v>181</v>
      </c>
      <c r="I52" s="108" t="s">
        <v>182</v>
      </c>
      <c r="J52" s="108" t="s">
        <v>183</v>
      </c>
      <c r="K52" s="129" t="s">
        <v>184</v>
      </c>
      <c r="L52" s="108" t="s">
        <v>174</v>
      </c>
      <c r="M52" s="109" t="s">
        <v>175</v>
      </c>
    </row>
    <row r="53" spans="1:13" ht="14.25" thickBot="1">
      <c r="A53" s="610"/>
      <c r="B53" s="629"/>
      <c r="C53" s="116">
        <v>336.38</v>
      </c>
      <c r="D53" s="589">
        <v>59.37</v>
      </c>
      <c r="E53" s="116">
        <v>0</v>
      </c>
      <c r="F53" s="116"/>
      <c r="G53" s="571">
        <v>0</v>
      </c>
      <c r="H53" s="571">
        <f>B51-C53+D53+E53+F53+G53</f>
        <v>15588.230000000001</v>
      </c>
      <c r="I53" s="116">
        <f>C51</f>
        <v>6750</v>
      </c>
      <c r="J53" s="116">
        <f>D51</f>
        <v>7714.05</v>
      </c>
      <c r="K53" s="116">
        <f>H53+I53-J53</f>
        <v>14624.180000000004</v>
      </c>
      <c r="L53" s="116">
        <f>K53-D49</f>
        <v>12027.680000000004</v>
      </c>
      <c r="M53" s="579">
        <f>K53-E49</f>
        <v>6124.1800000000039</v>
      </c>
    </row>
    <row r="54" spans="1:13" ht="4.5" customHeight="1">
      <c r="A54" s="610"/>
      <c r="B54" s="200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</row>
    <row r="55" spans="1:13" ht="14.25" thickBot="1">
      <c r="A55" s="610"/>
      <c r="B55" s="246" t="s">
        <v>185</v>
      </c>
      <c r="C55" s="247"/>
      <c r="D55" s="247"/>
      <c r="E55" s="247"/>
      <c r="F55" s="247"/>
      <c r="G55" s="247"/>
      <c r="H55" s="247"/>
      <c r="I55" s="247"/>
      <c r="J55" s="204"/>
      <c r="K55" s="204"/>
      <c r="L55" s="204"/>
      <c r="M55" s="204"/>
    </row>
    <row r="56" spans="1:13" ht="24">
      <c r="A56" s="610"/>
      <c r="B56" s="205" t="s">
        <v>157</v>
      </c>
      <c r="C56" s="206"/>
      <c r="D56" s="207" t="s">
        <v>186</v>
      </c>
      <c r="E56" s="207"/>
      <c r="F56" s="207" t="s">
        <v>187</v>
      </c>
      <c r="G56" s="207"/>
      <c r="H56" s="207" t="s">
        <v>188</v>
      </c>
      <c r="I56" s="207"/>
      <c r="J56" s="248" t="s">
        <v>156</v>
      </c>
      <c r="K56" s="248"/>
      <c r="L56" s="209" t="s">
        <v>194</v>
      </c>
      <c r="M56" s="249"/>
    </row>
    <row r="57" spans="1:13">
      <c r="A57" s="610"/>
      <c r="B57" s="211" t="s">
        <v>189</v>
      </c>
      <c r="C57" s="235">
        <f>C58+C59</f>
        <v>7733.95</v>
      </c>
      <c r="D57" s="235" t="s">
        <v>189</v>
      </c>
      <c r="E57" s="235">
        <f>E58+E59</f>
        <v>3200</v>
      </c>
      <c r="F57" s="199" t="s">
        <v>189</v>
      </c>
      <c r="G57" s="151"/>
      <c r="H57" s="199" t="s">
        <v>189</v>
      </c>
      <c r="I57" s="151">
        <f>SUM(I58:I59)</f>
        <v>0</v>
      </c>
      <c r="J57" s="199" t="s">
        <v>189</v>
      </c>
      <c r="K57" s="235">
        <f>K58+K59</f>
        <v>10933.95</v>
      </c>
      <c r="L57" s="580">
        <f>L58+L59</f>
        <v>3000</v>
      </c>
      <c r="M57" s="249"/>
    </row>
    <row r="58" spans="1:13">
      <c r="A58" s="610"/>
      <c r="B58" s="211" t="s">
        <v>190</v>
      </c>
      <c r="C58" s="235">
        <v>537.11</v>
      </c>
      <c r="D58" s="235" t="s">
        <v>190</v>
      </c>
      <c r="E58" s="235">
        <v>3200</v>
      </c>
      <c r="F58" s="199" t="s">
        <v>190</v>
      </c>
      <c r="G58" s="250"/>
      <c r="H58" s="199" t="s">
        <v>190</v>
      </c>
      <c r="I58" s="151"/>
      <c r="J58" s="199" t="s">
        <v>190</v>
      </c>
      <c r="K58" s="235">
        <f>E58+C58</f>
        <v>3737.11</v>
      </c>
      <c r="L58" s="235">
        <v>1500</v>
      </c>
      <c r="M58" s="251"/>
    </row>
    <row r="59" spans="1:13" ht="14.25" thickBot="1">
      <c r="A59" s="611"/>
      <c r="B59" s="214" t="s">
        <v>191</v>
      </c>
      <c r="C59" s="116">
        <v>7196.84</v>
      </c>
      <c r="D59" s="116" t="s">
        <v>191</v>
      </c>
      <c r="E59" s="116"/>
      <c r="F59" s="133" t="s">
        <v>191</v>
      </c>
      <c r="G59" s="168"/>
      <c r="H59" s="133" t="s">
        <v>191</v>
      </c>
      <c r="I59" s="133"/>
      <c r="J59" s="199" t="s">
        <v>191</v>
      </c>
      <c r="K59" s="235">
        <f>E59+C59</f>
        <v>7196.84</v>
      </c>
      <c r="L59" s="235">
        <v>1500</v>
      </c>
      <c r="M59" s="249"/>
    </row>
    <row r="60" spans="1:13" ht="4.5" customHeight="1" thickBot="1">
      <c r="A60" s="252"/>
      <c r="B60" s="253"/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</row>
    <row r="61" spans="1:13" ht="14.25" thickBot="1">
      <c r="A61" s="625" t="s">
        <v>197</v>
      </c>
      <c r="B61" s="626" t="s">
        <v>160</v>
      </c>
      <c r="C61" s="626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1:13" ht="24">
      <c r="A62" s="610"/>
      <c r="B62" s="254" t="s">
        <v>162</v>
      </c>
      <c r="C62" s="128" t="s">
        <v>163</v>
      </c>
      <c r="D62" s="128" t="s">
        <v>164</v>
      </c>
      <c r="E62" s="180" t="s">
        <v>165</v>
      </c>
      <c r="F62" s="181" t="s">
        <v>166</v>
      </c>
      <c r="G62" s="182"/>
      <c r="H62" s="183"/>
      <c r="I62" s="184"/>
      <c r="J62" s="184"/>
      <c r="K62" s="184"/>
      <c r="L62" s="184"/>
      <c r="M62" s="184"/>
    </row>
    <row r="63" spans="1:13" ht="14.25" thickBot="1">
      <c r="A63" s="610"/>
      <c r="B63" s="227"/>
      <c r="C63" s="255">
        <v>3000</v>
      </c>
      <c r="D63" s="114">
        <f>(B63+C63)/F1*12*0%</f>
        <v>0</v>
      </c>
      <c r="E63" s="187"/>
      <c r="F63" s="188">
        <f>K70</f>
        <v>5000</v>
      </c>
      <c r="G63" s="184"/>
      <c r="H63" s="189"/>
      <c r="I63" s="184"/>
      <c r="J63" s="184"/>
      <c r="K63" s="184"/>
      <c r="L63" s="184"/>
      <c r="M63" s="184"/>
    </row>
    <row r="64" spans="1:13" ht="24">
      <c r="A64" s="610"/>
      <c r="B64" s="190" t="s">
        <v>168</v>
      </c>
      <c r="C64" s="128" t="s">
        <v>169</v>
      </c>
      <c r="D64" s="128" t="s">
        <v>170</v>
      </c>
      <c r="E64" s="107" t="s">
        <v>171</v>
      </c>
      <c r="F64" s="107" t="s">
        <v>172</v>
      </c>
      <c r="G64" s="120" t="s">
        <v>173</v>
      </c>
      <c r="H64" s="107" t="s">
        <v>174</v>
      </c>
      <c r="I64" s="121" t="s">
        <v>175</v>
      </c>
      <c r="J64" s="110"/>
      <c r="K64" s="110"/>
      <c r="L64" s="191"/>
      <c r="M64" s="191"/>
    </row>
    <row r="65" spans="1:13" ht="14.25" thickBot="1">
      <c r="A65" s="610"/>
      <c r="B65" s="627">
        <v>393.55</v>
      </c>
      <c r="C65" s="256">
        <v>0</v>
      </c>
      <c r="D65" s="186">
        <v>400</v>
      </c>
      <c r="E65" s="89"/>
      <c r="F65" s="123">
        <v>1000</v>
      </c>
      <c r="G65" s="124">
        <f>B65+C65-D65+C63-F65</f>
        <v>1993.5500000000002</v>
      </c>
      <c r="H65" s="124">
        <f>G65-D63</f>
        <v>1993.5500000000002</v>
      </c>
      <c r="I65" s="125">
        <f>G65-E63</f>
        <v>1993.5500000000002</v>
      </c>
      <c r="J65" s="126"/>
      <c r="K65" s="126"/>
      <c r="L65" s="245"/>
      <c r="M65" s="245"/>
    </row>
    <row r="66" spans="1:13" ht="48">
      <c r="A66" s="610"/>
      <c r="B66" s="628"/>
      <c r="C66" s="128" t="s">
        <v>176</v>
      </c>
      <c r="D66" s="128" t="s">
        <v>177</v>
      </c>
      <c r="E66" s="107" t="s">
        <v>193</v>
      </c>
      <c r="F66" s="107" t="s">
        <v>179</v>
      </c>
      <c r="G66" s="108" t="s">
        <v>180</v>
      </c>
      <c r="H66" s="129" t="s">
        <v>181</v>
      </c>
      <c r="I66" s="108" t="s">
        <v>182</v>
      </c>
      <c r="J66" s="108" t="s">
        <v>183</v>
      </c>
      <c r="K66" s="129" t="s">
        <v>184</v>
      </c>
      <c r="L66" s="108" t="s">
        <v>174</v>
      </c>
      <c r="M66" s="109" t="s">
        <v>175</v>
      </c>
    </row>
    <row r="67" spans="1:13" ht="14.25" thickBot="1">
      <c r="A67" s="610"/>
      <c r="B67" s="629"/>
      <c r="C67" s="194">
        <v>39.770000000000003</v>
      </c>
      <c r="D67" s="194">
        <v>9.6999999999999993</v>
      </c>
      <c r="E67" s="196">
        <v>0</v>
      </c>
      <c r="F67" s="197">
        <v>0</v>
      </c>
      <c r="G67" s="132">
        <v>0</v>
      </c>
      <c r="H67" s="132">
        <f>B65-C67+D67+E67+F67+G67</f>
        <v>363.48</v>
      </c>
      <c r="I67" s="133">
        <f>C65</f>
        <v>0</v>
      </c>
      <c r="J67" s="133">
        <f>D65</f>
        <v>400</v>
      </c>
      <c r="K67" s="133">
        <f>H67+I67-J67</f>
        <v>-36.519999999999982</v>
      </c>
      <c r="L67" s="133">
        <f>K67-D63</f>
        <v>-36.519999999999982</v>
      </c>
      <c r="M67" s="134">
        <f>K67-E63</f>
        <v>-36.519999999999982</v>
      </c>
    </row>
    <row r="68" spans="1:13" ht="5.25" customHeight="1" thickBot="1">
      <c r="A68" s="610"/>
      <c r="B68" s="200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</row>
    <row r="69" spans="1:13">
      <c r="A69" s="610"/>
      <c r="B69" s="205" t="s">
        <v>157</v>
      </c>
      <c r="C69" s="206"/>
      <c r="D69" s="207" t="s">
        <v>186</v>
      </c>
      <c r="E69" s="207"/>
      <c r="F69" s="207" t="s">
        <v>187</v>
      </c>
      <c r="G69" s="207"/>
      <c r="H69" s="207" t="s">
        <v>188</v>
      </c>
      <c r="I69" s="207"/>
      <c r="J69" s="257" t="s">
        <v>156</v>
      </c>
      <c r="K69" s="258"/>
      <c r="L69" s="12" t="s">
        <v>198</v>
      </c>
      <c r="M69" s="259"/>
    </row>
    <row r="70" spans="1:13">
      <c r="A70" s="610"/>
      <c r="B70" s="260" t="s">
        <v>189</v>
      </c>
      <c r="C70" s="150">
        <f>C71+C72</f>
        <v>0</v>
      </c>
      <c r="D70" s="150" t="s">
        <v>189</v>
      </c>
      <c r="E70" s="235">
        <f>SUM(E71:E72)</f>
        <v>5000</v>
      </c>
      <c r="F70" s="199" t="s">
        <v>189</v>
      </c>
      <c r="G70" s="151"/>
      <c r="H70" s="199" t="s">
        <v>189</v>
      </c>
      <c r="I70" s="235">
        <f>SUM(I71:I72)</f>
        <v>0</v>
      </c>
      <c r="J70" s="199" t="s">
        <v>189</v>
      </c>
      <c r="K70" s="581">
        <f>K71+K72</f>
        <v>5000</v>
      </c>
      <c r="L70" s="485">
        <f>L71+L72</f>
        <v>5000</v>
      </c>
      <c r="M70" s="261"/>
    </row>
    <row r="71" spans="1:13">
      <c r="A71" s="610"/>
      <c r="B71" s="260" t="s">
        <v>190</v>
      </c>
      <c r="C71" s="150"/>
      <c r="D71" s="150" t="s">
        <v>190</v>
      </c>
      <c r="E71" s="235">
        <v>2000</v>
      </c>
      <c r="F71" s="199" t="s">
        <v>190</v>
      </c>
      <c r="G71" s="151"/>
      <c r="H71" s="199" t="s">
        <v>190</v>
      </c>
      <c r="I71" s="235"/>
      <c r="J71" s="199" t="s">
        <v>190</v>
      </c>
      <c r="K71" s="581">
        <f>I71+G71+E71+C71</f>
        <v>2000</v>
      </c>
      <c r="L71" s="485">
        <f>K71</f>
        <v>2000</v>
      </c>
      <c r="M71" s="261"/>
    </row>
    <row r="72" spans="1:13" ht="14.25" thickBot="1">
      <c r="A72" s="611"/>
      <c r="B72" s="262" t="s">
        <v>191</v>
      </c>
      <c r="C72" s="194"/>
      <c r="D72" s="194" t="s">
        <v>191</v>
      </c>
      <c r="E72" s="116">
        <v>3000</v>
      </c>
      <c r="F72" s="133" t="s">
        <v>191</v>
      </c>
      <c r="G72" s="168"/>
      <c r="H72" s="133" t="s">
        <v>191</v>
      </c>
      <c r="I72" s="116"/>
      <c r="J72" s="133" t="s">
        <v>191</v>
      </c>
      <c r="K72" s="581">
        <f>I72+G72+E72+C72</f>
        <v>3000</v>
      </c>
      <c r="L72" s="485">
        <f>K72</f>
        <v>3000</v>
      </c>
      <c r="M72" s="261"/>
    </row>
    <row r="73" spans="1:13" ht="6.75" customHeight="1" thickBot="1">
      <c r="A73" s="176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</row>
    <row r="74" spans="1:13" ht="14.25" hidden="1" thickBot="1">
      <c r="A74" s="176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</row>
    <row r="75" spans="1:13" ht="14.25" thickBot="1">
      <c r="A75" s="615" t="s">
        <v>199</v>
      </c>
      <c r="B75" s="618" t="s">
        <v>160</v>
      </c>
      <c r="C75" s="618"/>
      <c r="D75" s="618"/>
      <c r="E75" s="178"/>
      <c r="F75" s="178"/>
      <c r="G75" s="178"/>
      <c r="H75" s="178"/>
      <c r="I75" s="178"/>
      <c r="J75" s="178"/>
      <c r="K75" s="178"/>
      <c r="L75" s="178"/>
      <c r="M75" s="178"/>
    </row>
    <row r="76" spans="1:13" ht="24">
      <c r="A76" s="616"/>
      <c r="B76" s="179" t="s">
        <v>162</v>
      </c>
      <c r="C76" s="106" t="s">
        <v>163</v>
      </c>
      <c r="D76" s="106" t="s">
        <v>164</v>
      </c>
      <c r="E76" s="180" t="s">
        <v>165</v>
      </c>
      <c r="F76" s="181" t="s">
        <v>166</v>
      </c>
      <c r="G76" s="182"/>
      <c r="H76" s="183"/>
      <c r="I76" s="184"/>
      <c r="J76" s="184"/>
      <c r="K76" s="184"/>
      <c r="L76" s="184"/>
      <c r="M76" s="184"/>
    </row>
    <row r="77" spans="1:13" ht="14.25" thickBot="1">
      <c r="A77" s="616"/>
      <c r="B77" s="227"/>
      <c r="C77" s="584">
        <v>3300</v>
      </c>
      <c r="D77" s="575">
        <f>(B77+C77)/F1*12*15%</f>
        <v>1485</v>
      </c>
      <c r="E77" s="583">
        <v>2000</v>
      </c>
      <c r="F77" s="585">
        <f>K85</f>
        <v>1192.46</v>
      </c>
      <c r="G77" s="184"/>
      <c r="H77" s="189"/>
      <c r="I77" s="184"/>
      <c r="J77" s="184"/>
      <c r="K77" s="184"/>
      <c r="L77" s="184"/>
      <c r="M77" s="184"/>
    </row>
    <row r="78" spans="1:13" ht="24">
      <c r="A78" s="616"/>
      <c r="B78" s="190" t="s">
        <v>168</v>
      </c>
      <c r="C78" s="128" t="s">
        <v>169</v>
      </c>
      <c r="D78" s="128" t="s">
        <v>170</v>
      </c>
      <c r="E78" s="107" t="s">
        <v>171</v>
      </c>
      <c r="F78" s="107" t="s">
        <v>172</v>
      </c>
      <c r="G78" s="120" t="s">
        <v>173</v>
      </c>
      <c r="H78" s="107" t="s">
        <v>174</v>
      </c>
      <c r="I78" s="121" t="s">
        <v>175</v>
      </c>
      <c r="J78" s="110"/>
      <c r="K78" s="110"/>
      <c r="L78" s="191"/>
      <c r="M78" s="191"/>
    </row>
    <row r="79" spans="1:13" ht="14.25" thickBot="1">
      <c r="A79" s="616"/>
      <c r="B79" s="622">
        <v>3641.67</v>
      </c>
      <c r="C79" s="575">
        <v>3900</v>
      </c>
      <c r="D79" s="575">
        <v>1192.46</v>
      </c>
      <c r="E79" s="582"/>
      <c r="F79" s="583"/>
      <c r="G79" s="577">
        <f>B79+C79-D79+E79-F79</f>
        <v>6349.21</v>
      </c>
      <c r="H79" s="577">
        <f>G79-D77</f>
        <v>4864.21</v>
      </c>
      <c r="I79" s="578">
        <f>G79-E77</f>
        <v>4349.21</v>
      </c>
      <c r="J79" s="126"/>
      <c r="K79" s="126"/>
      <c r="L79" s="245"/>
      <c r="M79" s="245"/>
    </row>
    <row r="80" spans="1:13" ht="48">
      <c r="A80" s="616"/>
      <c r="B80" s="623"/>
      <c r="C80" s="128" t="s">
        <v>176</v>
      </c>
      <c r="D80" s="128" t="s">
        <v>177</v>
      </c>
      <c r="E80" s="107" t="s">
        <v>193</v>
      </c>
      <c r="F80" s="107" t="s">
        <v>179</v>
      </c>
      <c r="G80" s="108" t="s">
        <v>180</v>
      </c>
      <c r="H80" s="129" t="s">
        <v>181</v>
      </c>
      <c r="I80" s="108" t="s">
        <v>182</v>
      </c>
      <c r="J80" s="108" t="s">
        <v>183</v>
      </c>
      <c r="K80" s="129" t="s">
        <v>184</v>
      </c>
      <c r="L80" s="108" t="s">
        <v>174</v>
      </c>
      <c r="M80" s="109" t="s">
        <v>175</v>
      </c>
    </row>
    <row r="81" spans="1:13" ht="14.25" thickBot="1">
      <c r="A81" s="616"/>
      <c r="B81" s="263"/>
      <c r="C81" s="194"/>
      <c r="D81" s="589">
        <v>98.76</v>
      </c>
      <c r="E81" s="569"/>
      <c r="F81" s="566"/>
      <c r="G81" s="571">
        <v>0</v>
      </c>
      <c r="H81" s="571">
        <f>B79-C81+D81+E81+F81+G81</f>
        <v>3740.4300000000003</v>
      </c>
      <c r="I81" s="116">
        <f>C79</f>
        <v>3900</v>
      </c>
      <c r="J81" s="116">
        <f>D79</f>
        <v>1192.46</v>
      </c>
      <c r="K81" s="116">
        <f>H81+I81-J81</f>
        <v>6447.97</v>
      </c>
      <c r="L81" s="116">
        <f>K81-D77</f>
        <v>4962.97</v>
      </c>
      <c r="M81" s="579">
        <f>K81-E77</f>
        <v>4447.97</v>
      </c>
    </row>
    <row r="82" spans="1:13" ht="6" customHeight="1">
      <c r="A82" s="616"/>
      <c r="B82" s="200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</row>
    <row r="83" spans="1:13" ht="14.25" thickBot="1">
      <c r="A83" s="616"/>
      <c r="B83" s="203" t="s">
        <v>185</v>
      </c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</row>
    <row r="84" spans="1:13">
      <c r="A84" s="616"/>
      <c r="B84" s="205" t="s">
        <v>157</v>
      </c>
      <c r="C84" s="206"/>
      <c r="D84" s="207" t="s">
        <v>186</v>
      </c>
      <c r="E84" s="207"/>
      <c r="F84" s="207" t="s">
        <v>187</v>
      </c>
      <c r="G84" s="207"/>
      <c r="H84" s="207" t="s">
        <v>188</v>
      </c>
      <c r="I84" s="207"/>
      <c r="J84" s="257" t="s">
        <v>156</v>
      </c>
      <c r="K84" s="264"/>
      <c r="L84" s="259"/>
      <c r="M84" s="259"/>
    </row>
    <row r="85" spans="1:13">
      <c r="A85" s="616"/>
      <c r="B85" s="211" t="s">
        <v>189</v>
      </c>
      <c r="C85" s="150">
        <f>C86+C87</f>
        <v>1192.46</v>
      </c>
      <c r="D85" s="150" t="s">
        <v>189</v>
      </c>
      <c r="E85" s="235">
        <f>E86+E87</f>
        <v>0</v>
      </c>
      <c r="F85" s="265" t="s">
        <v>189</v>
      </c>
      <c r="G85" s="235"/>
      <c r="H85" s="265" t="s">
        <v>189</v>
      </c>
      <c r="I85" s="265"/>
      <c r="J85" s="265" t="s">
        <v>189</v>
      </c>
      <c r="K85" s="266">
        <f>K86+K87</f>
        <v>1192.46</v>
      </c>
      <c r="L85" s="259"/>
      <c r="M85" s="259"/>
    </row>
    <row r="86" spans="1:13">
      <c r="A86" s="616"/>
      <c r="B86" s="211" t="s">
        <v>190</v>
      </c>
      <c r="C86" s="150">
        <v>976.57</v>
      </c>
      <c r="D86" s="150" t="s">
        <v>190</v>
      </c>
      <c r="E86" s="235"/>
      <c r="F86" s="265" t="s">
        <v>190</v>
      </c>
      <c r="G86" s="235"/>
      <c r="H86" s="265" t="s">
        <v>190</v>
      </c>
      <c r="I86" s="265"/>
      <c r="J86" s="265" t="s">
        <v>190</v>
      </c>
      <c r="K86" s="267">
        <f>I86+G86+E86+C86</f>
        <v>976.57</v>
      </c>
      <c r="L86" s="259"/>
      <c r="M86" s="259"/>
    </row>
    <row r="87" spans="1:13" ht="14.25" thickBot="1">
      <c r="A87" s="630"/>
      <c r="B87" s="214" t="s">
        <v>191</v>
      </c>
      <c r="C87" s="194">
        <v>215.89</v>
      </c>
      <c r="D87" s="194" t="s">
        <v>191</v>
      </c>
      <c r="E87" s="268"/>
      <c r="F87" s="268" t="s">
        <v>191</v>
      </c>
      <c r="G87" s="116"/>
      <c r="H87" s="268" t="s">
        <v>191</v>
      </c>
      <c r="I87" s="268"/>
      <c r="J87" s="268" t="s">
        <v>191</v>
      </c>
      <c r="K87" s="267">
        <f>I87+G87+E87+C87</f>
        <v>215.89</v>
      </c>
      <c r="L87" s="259"/>
      <c r="M87" s="259"/>
    </row>
    <row r="88" spans="1:13" ht="4.5" customHeight="1" thickBot="1">
      <c r="A88" s="176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</row>
    <row r="89" spans="1:13" ht="14.25" thickBot="1">
      <c r="A89" s="625" t="s">
        <v>200</v>
      </c>
      <c r="B89" s="626" t="s">
        <v>160</v>
      </c>
      <c r="C89" s="626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1:13" ht="24">
      <c r="A90" s="610"/>
      <c r="B90" s="179" t="s">
        <v>162</v>
      </c>
      <c r="C90" s="106" t="s">
        <v>163</v>
      </c>
      <c r="D90" s="106" t="s">
        <v>164</v>
      </c>
      <c r="E90" s="180" t="s">
        <v>165</v>
      </c>
      <c r="F90" s="181" t="s">
        <v>166</v>
      </c>
      <c r="G90" s="182"/>
      <c r="H90" s="183"/>
      <c r="I90" s="184"/>
      <c r="J90" s="184"/>
      <c r="K90" s="184"/>
      <c r="L90" s="184"/>
      <c r="M90" s="184"/>
    </row>
    <row r="91" spans="1:13" ht="14.25" thickBot="1">
      <c r="A91" s="610"/>
      <c r="B91" s="227"/>
      <c r="C91" s="186">
        <v>0</v>
      </c>
      <c r="D91" s="186">
        <f>(B91+C91)/F1*12*2%</f>
        <v>0</v>
      </c>
      <c r="E91" s="187">
        <v>3000</v>
      </c>
      <c r="F91" s="188">
        <f>K99</f>
        <v>568.51</v>
      </c>
      <c r="G91" s="243"/>
      <c r="H91" s="126"/>
      <c r="I91" s="243"/>
      <c r="J91" s="243"/>
      <c r="K91" s="243"/>
      <c r="L91" s="243"/>
      <c r="M91" s="243"/>
    </row>
    <row r="92" spans="1:13" ht="24">
      <c r="A92" s="610"/>
      <c r="B92" s="190" t="s">
        <v>168</v>
      </c>
      <c r="C92" s="128" t="s">
        <v>169</v>
      </c>
      <c r="D92" s="128" t="s">
        <v>170</v>
      </c>
      <c r="E92" s="108" t="s">
        <v>171</v>
      </c>
      <c r="F92" s="108" t="s">
        <v>172</v>
      </c>
      <c r="G92" s="129" t="s">
        <v>173</v>
      </c>
      <c r="H92" s="108" t="s">
        <v>174</v>
      </c>
      <c r="I92" s="109" t="s">
        <v>175</v>
      </c>
      <c r="J92" s="244"/>
      <c r="K92" s="244"/>
      <c r="L92" s="245"/>
      <c r="M92" s="245"/>
    </row>
    <row r="93" spans="1:13" ht="14.25" thickBot="1">
      <c r="A93" s="610"/>
      <c r="B93" s="627">
        <v>3518.62</v>
      </c>
      <c r="C93" s="269">
        <v>0</v>
      </c>
      <c r="D93" s="563">
        <v>568.51</v>
      </c>
      <c r="E93" s="124"/>
      <c r="F93" s="124"/>
      <c r="G93" s="124">
        <f>B93+C93-D93+E93-F93</f>
        <v>2950.1099999999997</v>
      </c>
      <c r="H93" s="124">
        <f>G93-D91</f>
        <v>2950.1099999999997</v>
      </c>
      <c r="I93" s="125">
        <f>G93-E91</f>
        <v>-49.890000000000327</v>
      </c>
      <c r="J93" s="126"/>
      <c r="K93" s="126"/>
      <c r="L93" s="245"/>
      <c r="M93" s="245"/>
    </row>
    <row r="94" spans="1:13" ht="48">
      <c r="A94" s="610"/>
      <c r="B94" s="628"/>
      <c r="C94" s="128" t="s">
        <v>176</v>
      </c>
      <c r="D94" s="128" t="s">
        <v>177</v>
      </c>
      <c r="E94" s="108" t="s">
        <v>193</v>
      </c>
      <c r="F94" s="108" t="s">
        <v>179</v>
      </c>
      <c r="G94" s="108" t="s">
        <v>180</v>
      </c>
      <c r="H94" s="129" t="s">
        <v>181</v>
      </c>
      <c r="I94" s="108" t="s">
        <v>182</v>
      </c>
      <c r="J94" s="108" t="s">
        <v>183</v>
      </c>
      <c r="K94" s="129" t="s">
        <v>184</v>
      </c>
      <c r="L94" s="108" t="s">
        <v>174</v>
      </c>
      <c r="M94" s="109" t="s">
        <v>175</v>
      </c>
    </row>
    <row r="95" spans="1:13" ht="14.25" thickBot="1">
      <c r="A95" s="610"/>
      <c r="B95" s="629"/>
      <c r="C95" s="194"/>
      <c r="D95" s="194"/>
      <c r="E95" s="133">
        <v>0</v>
      </c>
      <c r="F95" s="133"/>
      <c r="G95" s="132">
        <v>0</v>
      </c>
      <c r="H95" s="132">
        <f>B93-C95+D95+E95+F95+G95</f>
        <v>3518.62</v>
      </c>
      <c r="I95" s="133">
        <v>0</v>
      </c>
      <c r="J95" s="133">
        <f>D93</f>
        <v>568.51</v>
      </c>
      <c r="K95" s="133">
        <f>H95+I95-J95</f>
        <v>2950.1099999999997</v>
      </c>
      <c r="L95" s="133">
        <f>K95-D91</f>
        <v>2950.1099999999997</v>
      </c>
      <c r="M95" s="134">
        <f>K95-E91</f>
        <v>-49.890000000000327</v>
      </c>
    </row>
    <row r="96" spans="1:13" ht="6" customHeight="1">
      <c r="A96" s="610"/>
      <c r="B96" s="200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</row>
    <row r="97" spans="1:13" ht="14.25" thickBot="1">
      <c r="A97" s="610"/>
      <c r="B97" s="246" t="s">
        <v>185</v>
      </c>
      <c r="C97" s="247"/>
      <c r="D97" s="247"/>
      <c r="E97" s="247"/>
      <c r="F97" s="247"/>
      <c r="G97" s="247"/>
      <c r="H97" s="247"/>
      <c r="I97" s="247"/>
      <c r="J97" s="247"/>
      <c r="K97" s="204"/>
      <c r="L97" s="204"/>
      <c r="M97" s="247"/>
    </row>
    <row r="98" spans="1:13">
      <c r="A98" s="610"/>
      <c r="B98" s="205" t="s">
        <v>157</v>
      </c>
      <c r="C98" s="206"/>
      <c r="D98" s="207" t="s">
        <v>186</v>
      </c>
      <c r="E98" s="207"/>
      <c r="F98" s="207" t="s">
        <v>187</v>
      </c>
      <c r="G98" s="207"/>
      <c r="H98" s="207" t="s">
        <v>188</v>
      </c>
      <c r="I98" s="207"/>
      <c r="J98" s="257" t="s">
        <v>156</v>
      </c>
      <c r="K98" s="248"/>
      <c r="L98" s="244"/>
      <c r="M98" s="259"/>
    </row>
    <row r="99" spans="1:13">
      <c r="A99" s="610"/>
      <c r="B99" s="211" t="s">
        <v>189</v>
      </c>
      <c r="C99" s="150">
        <f>C100+C101</f>
        <v>568.51</v>
      </c>
      <c r="D99" s="150" t="s">
        <v>189</v>
      </c>
      <c r="E99" s="150">
        <f>E100+E101</f>
        <v>0</v>
      </c>
      <c r="F99" s="199" t="s">
        <v>189</v>
      </c>
      <c r="G99" s="150">
        <f>G100+G101</f>
        <v>0</v>
      </c>
      <c r="H99" s="199" t="s">
        <v>189</v>
      </c>
      <c r="I99" s="150">
        <f>I100+I101</f>
        <v>0</v>
      </c>
      <c r="J99" s="151" t="s">
        <v>189</v>
      </c>
      <c r="K99" s="150">
        <f>K100+K101</f>
        <v>568.51</v>
      </c>
      <c r="L99" s="270"/>
      <c r="M99" s="259"/>
    </row>
    <row r="100" spans="1:13">
      <c r="A100" s="610"/>
      <c r="B100" s="211" t="s">
        <v>190</v>
      </c>
      <c r="C100" s="150">
        <v>182.33</v>
      </c>
      <c r="D100" s="150" t="s">
        <v>190</v>
      </c>
      <c r="E100" s="199"/>
      <c r="F100" s="199" t="s">
        <v>190</v>
      </c>
      <c r="G100" s="199"/>
      <c r="H100" s="199" t="s">
        <v>190</v>
      </c>
      <c r="I100" s="151"/>
      <c r="J100" s="151" t="s">
        <v>190</v>
      </c>
      <c r="K100" s="151">
        <f>C100+E100</f>
        <v>182.33</v>
      </c>
      <c r="L100" s="189"/>
      <c r="M100" s="259"/>
    </row>
    <row r="101" spans="1:13" ht="14.25" thickBot="1">
      <c r="A101" s="611"/>
      <c r="B101" s="214" t="s">
        <v>191</v>
      </c>
      <c r="C101" s="194">
        <v>386.18</v>
      </c>
      <c r="D101" s="194" t="s">
        <v>191</v>
      </c>
      <c r="E101" s="133">
        <v>0</v>
      </c>
      <c r="F101" s="133" t="s">
        <v>191</v>
      </c>
      <c r="G101" s="133">
        <v>0</v>
      </c>
      <c r="H101" s="133" t="s">
        <v>191</v>
      </c>
      <c r="I101" s="133">
        <v>0</v>
      </c>
      <c r="J101" s="133" t="s">
        <v>191</v>
      </c>
      <c r="K101" s="199">
        <f>C101+E101+G101+I101</f>
        <v>386.18</v>
      </c>
      <c r="L101" s="189"/>
      <c r="M101" s="259"/>
    </row>
    <row r="102" spans="1:13" ht="4.5" customHeight="1" thickBot="1">
      <c r="A102" s="252"/>
      <c r="B102" s="253"/>
      <c r="C102" s="253"/>
      <c r="D102" s="253"/>
      <c r="E102" s="253"/>
      <c r="F102" s="253"/>
      <c r="G102" s="253"/>
      <c r="H102" s="253"/>
      <c r="I102" s="253"/>
      <c r="J102" s="253"/>
      <c r="K102" s="253"/>
      <c r="L102" s="253"/>
      <c r="M102" s="253"/>
    </row>
    <row r="103" spans="1:13" ht="14.25" thickBot="1">
      <c r="A103" s="625" t="s">
        <v>201</v>
      </c>
      <c r="B103" s="626" t="s">
        <v>160</v>
      </c>
      <c r="C103" s="626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1:13" ht="24">
      <c r="A104" s="610"/>
      <c r="B104" s="179" t="s">
        <v>162</v>
      </c>
      <c r="C104" s="106" t="s">
        <v>163</v>
      </c>
      <c r="D104" s="106" t="s">
        <v>164</v>
      </c>
      <c r="E104" s="180" t="s">
        <v>165</v>
      </c>
      <c r="F104" s="181" t="s">
        <v>166</v>
      </c>
      <c r="G104" s="182"/>
      <c r="H104" s="183"/>
      <c r="I104" s="184"/>
      <c r="J104" s="184"/>
      <c r="K104" s="184"/>
      <c r="L104" s="184"/>
      <c r="M104" s="184"/>
    </row>
    <row r="105" spans="1:13" ht="14.25" thickBot="1">
      <c r="A105" s="610"/>
      <c r="B105" s="227"/>
      <c r="C105" s="186">
        <v>480</v>
      </c>
      <c r="D105" s="186">
        <f>(B105+C105)/F1*12*0%</f>
        <v>0</v>
      </c>
      <c r="E105" s="187">
        <v>4000</v>
      </c>
      <c r="F105" s="188">
        <f>M113</f>
        <v>0</v>
      </c>
      <c r="G105" s="243"/>
      <c r="H105" s="126"/>
      <c r="I105" s="243"/>
      <c r="J105" s="243"/>
      <c r="K105" s="243"/>
      <c r="L105" s="243"/>
      <c r="M105" s="243"/>
    </row>
    <row r="106" spans="1:13" ht="24">
      <c r="A106" s="610"/>
      <c r="B106" s="190" t="s">
        <v>168</v>
      </c>
      <c r="C106" s="128" t="s">
        <v>169</v>
      </c>
      <c r="D106" s="128" t="s">
        <v>170</v>
      </c>
      <c r="E106" s="108" t="s">
        <v>171</v>
      </c>
      <c r="F106" s="108" t="s">
        <v>172</v>
      </c>
      <c r="G106" s="129" t="s">
        <v>173</v>
      </c>
      <c r="H106" s="108" t="s">
        <v>174</v>
      </c>
      <c r="I106" s="109" t="s">
        <v>175</v>
      </c>
      <c r="J106" s="244"/>
      <c r="K106" s="244"/>
      <c r="L106" s="245"/>
      <c r="M106" s="245"/>
    </row>
    <row r="107" spans="1:13" ht="14.25" thickBot="1">
      <c r="A107" s="610"/>
      <c r="B107" s="631">
        <v>12560.43</v>
      </c>
      <c r="C107" s="269">
        <v>550</v>
      </c>
      <c r="D107" s="269">
        <v>3149.27</v>
      </c>
      <c r="E107" s="124"/>
      <c r="F107" s="124"/>
      <c r="G107" s="124">
        <f>B107+C107-D107+E107-F107</f>
        <v>9961.16</v>
      </c>
      <c r="H107" s="124">
        <f>G107-D105</f>
        <v>9961.16</v>
      </c>
      <c r="I107" s="125">
        <f>G107-E105</f>
        <v>5961.16</v>
      </c>
      <c r="J107" s="126"/>
      <c r="K107" s="126"/>
      <c r="L107" s="245"/>
      <c r="M107" s="245"/>
    </row>
    <row r="108" spans="1:13" ht="48">
      <c r="A108" s="610"/>
      <c r="B108" s="631"/>
      <c r="C108" s="128" t="s">
        <v>176</v>
      </c>
      <c r="D108" s="128" t="s">
        <v>177</v>
      </c>
      <c r="E108" s="108" t="s">
        <v>193</v>
      </c>
      <c r="F108" s="108" t="s">
        <v>179</v>
      </c>
      <c r="G108" s="108" t="s">
        <v>180</v>
      </c>
      <c r="H108" s="129" t="s">
        <v>181</v>
      </c>
      <c r="I108" s="108" t="s">
        <v>182</v>
      </c>
      <c r="J108" s="108" t="s">
        <v>183</v>
      </c>
      <c r="K108" s="129" t="s">
        <v>184</v>
      </c>
      <c r="L108" s="108" t="s">
        <v>174</v>
      </c>
      <c r="M108" s="109" t="s">
        <v>175</v>
      </c>
    </row>
    <row r="109" spans="1:13" ht="14.25" thickBot="1">
      <c r="A109" s="610"/>
      <c r="B109" s="271"/>
      <c r="C109" s="194"/>
      <c r="D109" s="194">
        <v>5.38</v>
      </c>
      <c r="E109" s="133">
        <v>4838</v>
      </c>
      <c r="F109" s="133"/>
      <c r="G109" s="132">
        <v>0</v>
      </c>
      <c r="H109" s="571">
        <f>B107-C109+D109+E109+F109+G109</f>
        <v>17403.809999999998</v>
      </c>
      <c r="I109" s="116">
        <v>0</v>
      </c>
      <c r="J109" s="116">
        <v>0</v>
      </c>
      <c r="K109" s="116">
        <f>H109+I109-J109</f>
        <v>17403.809999999998</v>
      </c>
      <c r="L109" s="116">
        <f>K109-D105</f>
        <v>17403.809999999998</v>
      </c>
      <c r="M109" s="579">
        <f>K109-E105</f>
        <v>13403.809999999998</v>
      </c>
    </row>
    <row r="110" spans="1:13" ht="6.75" customHeight="1" thickBot="1">
      <c r="A110" s="610"/>
      <c r="B110" s="200"/>
      <c r="C110" s="201"/>
      <c r="D110" s="201"/>
      <c r="E110" s="201"/>
      <c r="F110" s="201"/>
      <c r="G110" s="201"/>
      <c r="H110" s="201"/>
      <c r="I110" s="201"/>
      <c r="J110" s="272"/>
      <c r="K110" s="272"/>
      <c r="L110" s="272"/>
      <c r="M110" s="272"/>
    </row>
    <row r="111" spans="1:13">
      <c r="A111" s="610"/>
      <c r="B111" s="205" t="s">
        <v>157</v>
      </c>
      <c r="C111" s="206"/>
      <c r="D111" s="207" t="s">
        <v>186</v>
      </c>
      <c r="E111" s="207"/>
      <c r="F111" s="207" t="s">
        <v>187</v>
      </c>
      <c r="G111" s="207"/>
      <c r="H111" s="207" t="s">
        <v>188</v>
      </c>
      <c r="I111" s="207"/>
      <c r="J111" s="273" t="s">
        <v>156</v>
      </c>
      <c r="K111" s="273"/>
      <c r="L111" s="244"/>
      <c r="M111" s="210"/>
    </row>
    <row r="112" spans="1:13">
      <c r="A112" s="610"/>
      <c r="B112" s="211" t="s">
        <v>189</v>
      </c>
      <c r="C112" s="149">
        <f>C113+C114</f>
        <v>3149.27</v>
      </c>
      <c r="D112" s="150" t="s">
        <v>189</v>
      </c>
      <c r="E112" s="151">
        <f>SUM(E113:E114)</f>
        <v>0</v>
      </c>
      <c r="F112" s="151" t="s">
        <v>189</v>
      </c>
      <c r="G112" s="151"/>
      <c r="H112" s="151" t="s">
        <v>189</v>
      </c>
      <c r="I112" s="151">
        <f>SUM(I113:I114)</f>
        <v>0</v>
      </c>
      <c r="J112" s="151" t="s">
        <v>189</v>
      </c>
      <c r="K112" s="235">
        <f>K113+K114</f>
        <v>3149.27</v>
      </c>
      <c r="L112" s="274"/>
      <c r="M112" s="213"/>
    </row>
    <row r="113" spans="1:13">
      <c r="A113" s="610"/>
      <c r="B113" s="211" t="s">
        <v>190</v>
      </c>
      <c r="C113" s="586">
        <f>973.19-104.35</f>
        <v>868.84</v>
      </c>
      <c r="D113" s="276" t="s">
        <v>190</v>
      </c>
      <c r="E113" s="277">
        <v>0</v>
      </c>
      <c r="F113" s="278" t="s">
        <v>190</v>
      </c>
      <c r="G113" s="277"/>
      <c r="H113" s="278" t="s">
        <v>190</v>
      </c>
      <c r="I113" s="277"/>
      <c r="J113" s="278" t="s">
        <v>190</v>
      </c>
      <c r="K113" s="588">
        <f>E113+C113</f>
        <v>868.84</v>
      </c>
      <c r="L113" s="274"/>
      <c r="M113" s="213"/>
    </row>
    <row r="114" spans="1:13" ht="14.25" thickBot="1">
      <c r="A114" s="611"/>
      <c r="B114" s="214" t="s">
        <v>191</v>
      </c>
      <c r="C114" s="587">
        <f>2176.08+104.35</f>
        <v>2280.4299999999998</v>
      </c>
      <c r="D114" s="167" t="s">
        <v>191</v>
      </c>
      <c r="E114" s="215">
        <v>0</v>
      </c>
      <c r="F114" s="216" t="s">
        <v>191</v>
      </c>
      <c r="G114" s="215">
        <v>0</v>
      </c>
      <c r="H114" s="216" t="s">
        <v>191</v>
      </c>
      <c r="I114" s="215">
        <v>0</v>
      </c>
      <c r="J114" s="216" t="s">
        <v>191</v>
      </c>
      <c r="K114" s="588">
        <f>E114+C114</f>
        <v>2280.4299999999998</v>
      </c>
      <c r="L114" s="274"/>
      <c r="M114" s="213"/>
    </row>
    <row r="115" spans="1:13" ht="3.75" customHeight="1" thickBot="1">
      <c r="A115" s="252"/>
      <c r="B115" s="253"/>
      <c r="C115" s="253"/>
      <c r="D115" s="253"/>
      <c r="E115" s="253"/>
      <c r="F115" s="253"/>
      <c r="G115" s="253"/>
      <c r="H115" s="253"/>
      <c r="I115" s="253"/>
      <c r="J115" s="253"/>
      <c r="K115" s="253"/>
      <c r="L115" s="253"/>
      <c r="M115" s="253"/>
    </row>
    <row r="116" spans="1:13" ht="14.25" thickBot="1">
      <c r="A116" s="635" t="s">
        <v>202</v>
      </c>
      <c r="B116" s="626" t="s">
        <v>160</v>
      </c>
      <c r="C116" s="626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</row>
    <row r="117" spans="1:13" ht="24">
      <c r="A117" s="610"/>
      <c r="B117" s="179" t="s">
        <v>162</v>
      </c>
      <c r="C117" s="106" t="s">
        <v>163</v>
      </c>
      <c r="D117" s="106" t="s">
        <v>164</v>
      </c>
      <c r="E117" s="180" t="s">
        <v>165</v>
      </c>
      <c r="F117" s="181" t="s">
        <v>166</v>
      </c>
      <c r="G117" s="182"/>
      <c r="H117" s="183"/>
      <c r="I117" s="184"/>
      <c r="J117" s="184"/>
      <c r="K117" s="184"/>
      <c r="L117" s="184"/>
      <c r="M117" s="184"/>
    </row>
    <row r="118" spans="1:13" ht="14.25" thickBot="1">
      <c r="A118" s="610"/>
      <c r="B118" s="227">
        <v>0</v>
      </c>
      <c r="C118" s="186"/>
      <c r="D118" s="186">
        <f>(B118+C118)/F1*12*0%</f>
        <v>0</v>
      </c>
      <c r="E118" s="187">
        <v>500</v>
      </c>
      <c r="F118" s="188">
        <f>M126</f>
        <v>0</v>
      </c>
      <c r="G118" s="243"/>
      <c r="H118" s="126"/>
      <c r="I118" s="243"/>
      <c r="J118" s="243"/>
      <c r="K118" s="243"/>
      <c r="L118" s="243"/>
      <c r="M118" s="243"/>
    </row>
    <row r="119" spans="1:13" ht="24">
      <c r="A119" s="610"/>
      <c r="B119" s="190" t="s">
        <v>168</v>
      </c>
      <c r="C119" s="128" t="s">
        <v>169</v>
      </c>
      <c r="D119" s="128" t="s">
        <v>170</v>
      </c>
      <c r="E119" s="108" t="s">
        <v>171</v>
      </c>
      <c r="F119" s="108" t="s">
        <v>172</v>
      </c>
      <c r="G119" s="129" t="s">
        <v>173</v>
      </c>
      <c r="H119" s="108" t="s">
        <v>174</v>
      </c>
      <c r="I119" s="109" t="s">
        <v>175</v>
      </c>
      <c r="J119" s="244"/>
      <c r="K119" s="244"/>
      <c r="L119" s="245"/>
      <c r="M119" s="245"/>
    </row>
    <row r="120" spans="1:13" ht="14.25" thickBot="1">
      <c r="A120" s="610"/>
      <c r="B120" s="631">
        <v>13.02</v>
      </c>
      <c r="C120" s="269"/>
      <c r="D120" s="269"/>
      <c r="E120" s="124">
        <v>0</v>
      </c>
      <c r="F120" s="124">
        <v>0</v>
      </c>
      <c r="G120" s="124">
        <f>B120+C120-D120+E120-F120</f>
        <v>13.02</v>
      </c>
      <c r="H120" s="124">
        <f>G120-D118</f>
        <v>13.02</v>
      </c>
      <c r="I120" s="125">
        <f>G120-E118</f>
        <v>-486.98</v>
      </c>
      <c r="J120" s="126"/>
      <c r="K120" s="126"/>
      <c r="L120" s="245"/>
      <c r="M120" s="245"/>
    </row>
    <row r="121" spans="1:13" ht="48">
      <c r="A121" s="610"/>
      <c r="B121" s="631"/>
      <c r="C121" s="128" t="s">
        <v>176</v>
      </c>
      <c r="D121" s="128" t="s">
        <v>177</v>
      </c>
      <c r="E121" s="108" t="s">
        <v>193</v>
      </c>
      <c r="F121" s="108" t="s">
        <v>179</v>
      </c>
      <c r="G121" s="108" t="s">
        <v>180</v>
      </c>
      <c r="H121" s="129" t="s">
        <v>181</v>
      </c>
      <c r="I121" s="108" t="s">
        <v>182</v>
      </c>
      <c r="J121" s="108" t="s">
        <v>183</v>
      </c>
      <c r="K121" s="129" t="s">
        <v>184</v>
      </c>
      <c r="L121" s="108" t="s">
        <v>174</v>
      </c>
      <c r="M121" s="109" t="s">
        <v>175</v>
      </c>
    </row>
    <row r="122" spans="1:13" ht="14.25" thickBot="1">
      <c r="A122" s="610"/>
      <c r="B122" s="271"/>
      <c r="C122" s="194"/>
      <c r="D122" s="194"/>
      <c r="E122" s="133">
        <v>0</v>
      </c>
      <c r="F122" s="133"/>
      <c r="G122" s="132">
        <v>0</v>
      </c>
      <c r="H122" s="132">
        <f>B120-C122+D122+E122+F122+G122</f>
        <v>13.02</v>
      </c>
      <c r="I122" s="133">
        <v>0</v>
      </c>
      <c r="J122" s="133">
        <v>0</v>
      </c>
      <c r="K122" s="133">
        <f>H122+I122-J122</f>
        <v>13.02</v>
      </c>
      <c r="L122" s="133">
        <f>K122-D118</f>
        <v>13.02</v>
      </c>
      <c r="M122" s="134">
        <f>K122-E118</f>
        <v>-486.98</v>
      </c>
    </row>
    <row r="123" spans="1:13" ht="3.75" customHeight="1" thickBot="1">
      <c r="A123" s="610"/>
      <c r="B123" s="200"/>
      <c r="C123" s="201"/>
      <c r="D123" s="201"/>
      <c r="E123" s="201"/>
      <c r="F123" s="201"/>
      <c r="G123" s="201"/>
      <c r="H123" s="201"/>
      <c r="I123" s="201"/>
      <c r="J123" s="272"/>
      <c r="K123" s="272"/>
      <c r="L123" s="272"/>
      <c r="M123" s="272"/>
    </row>
    <row r="124" spans="1:13">
      <c r="A124" s="610"/>
      <c r="B124" s="205" t="s">
        <v>157</v>
      </c>
      <c r="C124" s="206"/>
      <c r="D124" s="207" t="s">
        <v>186</v>
      </c>
      <c r="E124" s="207"/>
      <c r="F124" s="207" t="s">
        <v>187</v>
      </c>
      <c r="G124" s="207"/>
      <c r="H124" s="207" t="s">
        <v>188</v>
      </c>
      <c r="I124" s="207"/>
      <c r="J124" s="273" t="s">
        <v>156</v>
      </c>
      <c r="K124" s="273"/>
      <c r="L124" s="244"/>
      <c r="M124" s="210"/>
    </row>
    <row r="125" spans="1:13">
      <c r="A125" s="610"/>
      <c r="B125" s="211" t="s">
        <v>189</v>
      </c>
      <c r="C125" s="150">
        <f>C126+C127</f>
        <v>0</v>
      </c>
      <c r="D125" s="150" t="s">
        <v>189</v>
      </c>
      <c r="E125" s="151">
        <f>SUM(E126:E127)</f>
        <v>0</v>
      </c>
      <c r="F125" s="151" t="s">
        <v>189</v>
      </c>
      <c r="G125" s="151"/>
      <c r="H125" s="151" t="s">
        <v>189</v>
      </c>
      <c r="I125" s="151">
        <f>SUM(I126:I127)</f>
        <v>0</v>
      </c>
      <c r="J125" s="151" t="s">
        <v>189</v>
      </c>
      <c r="K125" s="151"/>
      <c r="L125" s="274"/>
      <c r="M125" s="213"/>
    </row>
    <row r="126" spans="1:13">
      <c r="A126" s="610"/>
      <c r="B126" s="211" t="s">
        <v>190</v>
      </c>
      <c r="C126" s="275"/>
      <c r="D126" s="276" t="s">
        <v>190</v>
      </c>
      <c r="E126" s="277">
        <v>0</v>
      </c>
      <c r="F126" s="278" t="s">
        <v>190</v>
      </c>
      <c r="G126" s="277"/>
      <c r="H126" s="278" t="s">
        <v>190</v>
      </c>
      <c r="I126" s="277"/>
      <c r="J126" s="278" t="s">
        <v>190</v>
      </c>
      <c r="K126" s="277">
        <f>C126+E126</f>
        <v>0</v>
      </c>
      <c r="L126" s="274"/>
      <c r="M126" s="213"/>
    </row>
    <row r="127" spans="1:13" ht="14.25" thickBot="1">
      <c r="A127" s="610"/>
      <c r="B127" s="214" t="s">
        <v>191</v>
      </c>
      <c r="C127" s="195"/>
      <c r="D127" s="167" t="s">
        <v>191</v>
      </c>
      <c r="E127" s="215">
        <v>0</v>
      </c>
      <c r="F127" s="216" t="s">
        <v>191</v>
      </c>
      <c r="G127" s="215">
        <v>0</v>
      </c>
      <c r="H127" s="216" t="s">
        <v>191</v>
      </c>
      <c r="I127" s="215">
        <v>0</v>
      </c>
      <c r="J127" s="216" t="s">
        <v>191</v>
      </c>
      <c r="K127" s="277"/>
      <c r="L127" s="274"/>
      <c r="M127" s="213"/>
    </row>
    <row r="128" spans="1:13" ht="4.5" customHeight="1" thickBot="1">
      <c r="A128" s="252"/>
      <c r="B128" s="253"/>
      <c r="C128" s="253"/>
      <c r="D128" s="253"/>
      <c r="E128" s="253"/>
      <c r="F128" s="253"/>
      <c r="G128" s="253"/>
      <c r="H128" s="253"/>
      <c r="I128" s="253"/>
      <c r="J128" s="253"/>
      <c r="K128" s="253"/>
      <c r="L128" s="253"/>
      <c r="M128" s="253"/>
    </row>
    <row r="129" spans="1:15" ht="14.25" thickBot="1">
      <c r="A129" s="635" t="s">
        <v>203</v>
      </c>
      <c r="B129" s="626" t="s">
        <v>160</v>
      </c>
      <c r="C129" s="626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3"/>
      <c r="O129" s="13"/>
    </row>
    <row r="130" spans="1:15" ht="24">
      <c r="A130" s="610"/>
      <c r="B130" s="179" t="s">
        <v>162</v>
      </c>
      <c r="C130" s="106" t="s">
        <v>163</v>
      </c>
      <c r="D130" s="106" t="s">
        <v>164</v>
      </c>
      <c r="E130" s="180" t="s">
        <v>165</v>
      </c>
      <c r="F130" s="181" t="s">
        <v>166</v>
      </c>
      <c r="G130" s="182"/>
      <c r="H130" s="183"/>
      <c r="I130" s="184"/>
      <c r="J130" s="184"/>
      <c r="K130" s="184"/>
      <c r="L130" s="184"/>
      <c r="M130" s="184"/>
      <c r="N130" s="13"/>
      <c r="O130" s="13"/>
    </row>
    <row r="131" spans="1:15" ht="14.25" thickBot="1">
      <c r="A131" s="610"/>
      <c r="B131" s="227"/>
      <c r="C131" s="186"/>
      <c r="D131" s="186">
        <f>(B131+C131)/F1*12*0%</f>
        <v>0</v>
      </c>
      <c r="E131" s="187">
        <v>500</v>
      </c>
      <c r="F131" s="188">
        <f>M139</f>
        <v>0</v>
      </c>
      <c r="G131" s="243"/>
      <c r="H131" s="126"/>
      <c r="I131" s="243"/>
      <c r="J131" s="243"/>
      <c r="K131" s="243"/>
      <c r="L131" s="243"/>
      <c r="M131" s="243"/>
      <c r="N131" s="13"/>
      <c r="O131" s="13"/>
    </row>
    <row r="132" spans="1:15" ht="24">
      <c r="A132" s="610"/>
      <c r="B132" s="190" t="s">
        <v>168</v>
      </c>
      <c r="C132" s="128" t="s">
        <v>169</v>
      </c>
      <c r="D132" s="128" t="s">
        <v>170</v>
      </c>
      <c r="E132" s="108" t="s">
        <v>171</v>
      </c>
      <c r="F132" s="108" t="s">
        <v>172</v>
      </c>
      <c r="G132" s="129" t="s">
        <v>173</v>
      </c>
      <c r="H132" s="108" t="s">
        <v>174</v>
      </c>
      <c r="I132" s="109" t="s">
        <v>175</v>
      </c>
      <c r="J132" s="244"/>
      <c r="K132" s="244"/>
      <c r="L132" s="245"/>
      <c r="M132" s="245"/>
      <c r="N132" s="13"/>
      <c r="O132" s="13"/>
    </row>
    <row r="133" spans="1:15" ht="14.25" thickBot="1">
      <c r="A133" s="610"/>
      <c r="B133" s="631">
        <v>564.26</v>
      </c>
      <c r="C133" s="269"/>
      <c r="D133" s="269">
        <v>150</v>
      </c>
      <c r="E133" s="124">
        <v>0</v>
      </c>
      <c r="F133" s="124">
        <v>0</v>
      </c>
      <c r="G133" s="124">
        <f>B133+C133-D133+E133-F133</f>
        <v>414.26</v>
      </c>
      <c r="H133" s="124">
        <f>G133-D131</f>
        <v>414.26</v>
      </c>
      <c r="I133" s="125">
        <f>G133-E131</f>
        <v>-85.740000000000009</v>
      </c>
      <c r="J133" s="126"/>
      <c r="K133" s="126"/>
      <c r="L133" s="245"/>
      <c r="M133" s="245"/>
      <c r="N133" s="13"/>
      <c r="O133" s="13"/>
    </row>
    <row r="134" spans="1:15" ht="48">
      <c r="A134" s="610"/>
      <c r="B134" s="631"/>
      <c r="C134" s="128" t="s">
        <v>176</v>
      </c>
      <c r="D134" s="128" t="s">
        <v>177</v>
      </c>
      <c r="E134" s="108" t="s">
        <v>193</v>
      </c>
      <c r="F134" s="108" t="s">
        <v>179</v>
      </c>
      <c r="G134" s="108" t="s">
        <v>180</v>
      </c>
      <c r="H134" s="129" t="s">
        <v>181</v>
      </c>
      <c r="I134" s="108" t="s">
        <v>182</v>
      </c>
      <c r="J134" s="108" t="s">
        <v>183</v>
      </c>
      <c r="K134" s="129" t="s">
        <v>184</v>
      </c>
      <c r="L134" s="108" t="s">
        <v>174</v>
      </c>
      <c r="M134" s="109" t="s">
        <v>175</v>
      </c>
      <c r="N134" s="13"/>
      <c r="O134" s="13"/>
    </row>
    <row r="135" spans="1:15" ht="14.25" thickBot="1">
      <c r="A135" s="610"/>
      <c r="B135" s="271"/>
      <c r="C135" s="194"/>
      <c r="D135" s="194"/>
      <c r="E135" s="133">
        <v>0</v>
      </c>
      <c r="F135" s="133"/>
      <c r="G135" s="132">
        <v>0</v>
      </c>
      <c r="H135" s="132">
        <f>B133-C135+D135+E135+F135+G135</f>
        <v>564.26</v>
      </c>
      <c r="I135" s="133">
        <v>0</v>
      </c>
      <c r="J135" s="133">
        <v>0</v>
      </c>
      <c r="K135" s="133">
        <f>H135+I135-J135</f>
        <v>564.26</v>
      </c>
      <c r="L135" s="133">
        <f>K135-D131</f>
        <v>564.26</v>
      </c>
      <c r="M135" s="134">
        <f>K135-E131</f>
        <v>64.259999999999991</v>
      </c>
      <c r="N135" s="13"/>
      <c r="O135" s="13"/>
    </row>
    <row r="136" spans="1:15" ht="5.25" customHeight="1" thickBot="1">
      <c r="A136" s="610"/>
      <c r="B136" s="200"/>
      <c r="C136" s="201"/>
      <c r="D136" s="201"/>
      <c r="E136" s="201"/>
      <c r="F136" s="201"/>
      <c r="G136" s="201"/>
      <c r="H136" s="201"/>
      <c r="I136" s="201"/>
      <c r="J136" s="272"/>
      <c r="K136" s="272"/>
      <c r="L136" s="272"/>
      <c r="M136" s="272"/>
      <c r="N136" s="13"/>
      <c r="O136" s="13"/>
    </row>
    <row r="137" spans="1:15">
      <c r="A137" s="610"/>
      <c r="B137" s="205" t="s">
        <v>157</v>
      </c>
      <c r="C137" s="206"/>
      <c r="D137" s="207" t="s">
        <v>186</v>
      </c>
      <c r="E137" s="207"/>
      <c r="F137" s="207" t="s">
        <v>187</v>
      </c>
      <c r="G137" s="207"/>
      <c r="H137" s="207" t="s">
        <v>188</v>
      </c>
      <c r="I137" s="207"/>
      <c r="J137" s="273" t="s">
        <v>156</v>
      </c>
      <c r="K137" s="273"/>
      <c r="L137" s="244"/>
      <c r="M137" s="210"/>
      <c r="N137" s="13"/>
      <c r="O137" s="13"/>
    </row>
    <row r="138" spans="1:15">
      <c r="A138" s="610"/>
      <c r="B138" s="211" t="s">
        <v>189</v>
      </c>
      <c r="C138" s="150">
        <f>C139+C140</f>
        <v>150</v>
      </c>
      <c r="D138" s="150" t="s">
        <v>189</v>
      </c>
      <c r="E138" s="151">
        <f>SUM(E139:E140)</f>
        <v>0</v>
      </c>
      <c r="F138" s="151" t="s">
        <v>189</v>
      </c>
      <c r="G138" s="151"/>
      <c r="H138" s="151" t="s">
        <v>189</v>
      </c>
      <c r="I138" s="151">
        <f>SUM(I139:I140)</f>
        <v>0</v>
      </c>
      <c r="J138" s="151" t="s">
        <v>189</v>
      </c>
      <c r="K138" s="151"/>
      <c r="L138" s="274"/>
      <c r="M138" s="213"/>
      <c r="N138" s="13"/>
      <c r="O138" s="13"/>
    </row>
    <row r="139" spans="1:15">
      <c r="A139" s="610"/>
      <c r="B139" s="211" t="s">
        <v>190</v>
      </c>
      <c r="C139" s="275"/>
      <c r="D139" s="276" t="s">
        <v>190</v>
      </c>
      <c r="E139" s="277"/>
      <c r="F139" s="278" t="s">
        <v>190</v>
      </c>
      <c r="G139" s="277"/>
      <c r="H139" s="278" t="s">
        <v>190</v>
      </c>
      <c r="I139" s="277"/>
      <c r="J139" s="278" t="s">
        <v>190</v>
      </c>
      <c r="K139" s="277">
        <f>C139+E139</f>
        <v>0</v>
      </c>
      <c r="L139" s="274"/>
      <c r="M139" s="213"/>
      <c r="N139" s="13"/>
      <c r="O139" s="13"/>
    </row>
    <row r="140" spans="1:15" ht="14.25" thickBot="1">
      <c r="A140" s="610"/>
      <c r="B140" s="214" t="s">
        <v>191</v>
      </c>
      <c r="C140" s="195">
        <v>150</v>
      </c>
      <c r="D140" s="167" t="s">
        <v>191</v>
      </c>
      <c r="E140" s="215">
        <v>0</v>
      </c>
      <c r="F140" s="216" t="s">
        <v>191</v>
      </c>
      <c r="G140" s="215">
        <v>0</v>
      </c>
      <c r="H140" s="216" t="s">
        <v>191</v>
      </c>
      <c r="I140" s="215">
        <v>0</v>
      </c>
      <c r="J140" s="216" t="s">
        <v>191</v>
      </c>
      <c r="K140" s="277"/>
      <c r="L140" s="274"/>
      <c r="M140" s="213"/>
    </row>
    <row r="141" spans="1:15" ht="6.75" customHeight="1" thickBot="1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</row>
    <row r="142" spans="1:15" ht="24.75" thickBot="1">
      <c r="A142" s="632" t="s">
        <v>204</v>
      </c>
      <c r="B142" s="279" t="s">
        <v>162</v>
      </c>
      <c r="C142" s="280" t="s">
        <v>168</v>
      </c>
      <c r="D142" s="281" t="s">
        <v>170</v>
      </c>
      <c r="E142" s="282" t="s">
        <v>157</v>
      </c>
      <c r="F142" s="283" t="s">
        <v>156</v>
      </c>
      <c r="G142" s="259"/>
      <c r="H142" s="259"/>
      <c r="I142" s="259"/>
      <c r="J142" s="259"/>
      <c r="K142" s="259"/>
      <c r="L142" s="259"/>
      <c r="M142" s="259"/>
    </row>
    <row r="143" spans="1:15">
      <c r="A143" s="633"/>
      <c r="B143" s="284"/>
      <c r="C143" s="285">
        <v>1081.5</v>
      </c>
      <c r="D143" s="286">
        <v>208.61</v>
      </c>
      <c r="E143" s="287" t="s">
        <v>189</v>
      </c>
      <c r="F143" s="151">
        <f>F144+F145</f>
        <v>208.61</v>
      </c>
      <c r="G143" s="288"/>
      <c r="H143" s="259"/>
      <c r="I143" s="259"/>
      <c r="J143" s="259"/>
      <c r="K143" s="259"/>
      <c r="L143" s="259"/>
      <c r="M143" s="259"/>
    </row>
    <row r="144" spans="1:15">
      <c r="A144" s="633"/>
      <c r="B144" s="289"/>
      <c r="C144" s="289"/>
      <c r="D144" s="290"/>
      <c r="E144" s="276" t="s">
        <v>190</v>
      </c>
      <c r="F144" s="151"/>
      <c r="G144" s="291"/>
      <c r="H144" s="259"/>
      <c r="I144" s="259"/>
      <c r="J144" s="259"/>
      <c r="K144" s="259"/>
      <c r="L144" s="259"/>
      <c r="M144" s="259"/>
    </row>
    <row r="145" spans="1:13">
      <c r="A145" s="634"/>
      <c r="B145" s="289"/>
      <c r="C145" s="289"/>
      <c r="D145" s="290"/>
      <c r="E145" s="276" t="s">
        <v>191</v>
      </c>
      <c r="F145" s="151">
        <v>208.61</v>
      </c>
      <c r="G145" s="259"/>
      <c r="H145" s="259"/>
      <c r="I145" s="259"/>
      <c r="J145" s="259"/>
      <c r="K145" s="259"/>
      <c r="L145" s="259"/>
      <c r="M145" s="259"/>
    </row>
    <row r="146" spans="1:13" ht="5.25" customHeight="1" thickBot="1">
      <c r="A146" s="292"/>
      <c r="B146" s="293"/>
      <c r="C146" s="293"/>
      <c r="D146" s="294"/>
      <c r="E146" s="221"/>
      <c r="F146" s="222"/>
      <c r="G146" s="295"/>
      <c r="H146" s="295"/>
      <c r="I146" s="295"/>
      <c r="J146" s="295"/>
      <c r="K146" s="295"/>
      <c r="L146" s="295"/>
      <c r="M146" s="295"/>
    </row>
    <row r="147" spans="1:13" ht="24.75" thickBot="1">
      <c r="A147" s="632" t="s">
        <v>205</v>
      </c>
      <c r="B147" s="279" t="s">
        <v>162</v>
      </c>
      <c r="C147" s="280" t="s">
        <v>168</v>
      </c>
      <c r="D147" s="281" t="s">
        <v>170</v>
      </c>
      <c r="E147" s="282" t="s">
        <v>157</v>
      </c>
      <c r="F147" s="296" t="s">
        <v>156</v>
      </c>
      <c r="G147" s="259"/>
      <c r="H147" s="259"/>
      <c r="I147" s="259"/>
      <c r="J147" s="259"/>
      <c r="K147" s="259"/>
      <c r="L147" s="259"/>
      <c r="M147" s="259"/>
    </row>
    <row r="148" spans="1:13">
      <c r="A148" s="633"/>
      <c r="B148" s="284"/>
      <c r="C148" s="285">
        <v>757.06</v>
      </c>
      <c r="D148" s="286">
        <v>755.45</v>
      </c>
      <c r="E148" s="287" t="s">
        <v>189</v>
      </c>
      <c r="F148" s="297">
        <f>F149+F150</f>
        <v>755.45</v>
      </c>
      <c r="G148" s="259"/>
      <c r="H148" s="259"/>
      <c r="I148" s="259"/>
      <c r="J148" s="259"/>
      <c r="K148" s="259"/>
      <c r="L148" s="259"/>
      <c r="M148" s="259"/>
    </row>
    <row r="149" spans="1:13">
      <c r="A149" s="633"/>
      <c r="B149" s="289"/>
      <c r="C149" s="289"/>
      <c r="D149" s="290"/>
      <c r="E149" s="276" t="s">
        <v>190</v>
      </c>
      <c r="F149" s="151"/>
      <c r="G149" s="259"/>
      <c r="H149" s="259"/>
      <c r="I149" s="259"/>
      <c r="J149" s="259"/>
      <c r="K149" s="259"/>
      <c r="L149" s="259"/>
      <c r="M149" s="259"/>
    </row>
    <row r="150" spans="1:13">
      <c r="A150" s="634"/>
      <c r="B150" s="289"/>
      <c r="C150" s="289"/>
      <c r="D150" s="290"/>
      <c r="E150" s="276" t="s">
        <v>191</v>
      </c>
      <c r="F150" s="151">
        <v>755.45</v>
      </c>
      <c r="G150" s="259"/>
      <c r="H150" s="259"/>
      <c r="I150" s="259"/>
      <c r="J150" s="259"/>
      <c r="K150" s="259"/>
      <c r="L150" s="259"/>
      <c r="M150" s="259"/>
    </row>
    <row r="151" spans="1:13" ht="5.25" customHeight="1" thickBot="1">
      <c r="A151" s="292"/>
      <c r="B151" s="293"/>
      <c r="C151" s="294"/>
      <c r="D151" s="221"/>
      <c r="E151" s="222"/>
      <c r="F151" s="295"/>
      <c r="G151" s="295"/>
      <c r="H151" s="295"/>
      <c r="I151" s="295"/>
      <c r="J151" s="295"/>
      <c r="K151" s="295"/>
      <c r="L151" s="295"/>
      <c r="M151" s="295"/>
    </row>
    <row r="152" spans="1:13" ht="24.75" thickBot="1">
      <c r="A152" s="632" t="s">
        <v>848</v>
      </c>
      <c r="B152" s="279" t="s">
        <v>162</v>
      </c>
      <c r="C152" s="280" t="s">
        <v>168</v>
      </c>
      <c r="D152" s="281" t="s">
        <v>170</v>
      </c>
      <c r="E152" s="282" t="s">
        <v>157</v>
      </c>
      <c r="F152" s="296" t="s">
        <v>156</v>
      </c>
    </row>
    <row r="153" spans="1:13" ht="14.25" thickBot="1">
      <c r="A153" s="633"/>
      <c r="B153" s="56"/>
      <c r="C153" s="298"/>
      <c r="D153" s="286"/>
      <c r="E153" s="287" t="s">
        <v>189</v>
      </c>
      <c r="F153" s="297">
        <f>F154+F155</f>
        <v>0</v>
      </c>
    </row>
    <row r="154" spans="1:13" ht="36">
      <c r="A154" s="633"/>
      <c r="B154" s="299" t="s">
        <v>163</v>
      </c>
      <c r="C154" s="289"/>
      <c r="D154" s="128" t="s">
        <v>177</v>
      </c>
      <c r="E154" s="276" t="s">
        <v>190</v>
      </c>
      <c r="F154" s="151"/>
    </row>
    <row r="155" spans="1:13">
      <c r="A155" s="634"/>
      <c r="B155" s="12">
        <v>5128</v>
      </c>
      <c r="C155" s="289"/>
      <c r="D155" s="300"/>
      <c r="E155" s="276" t="s">
        <v>191</v>
      </c>
      <c r="F155" s="151"/>
    </row>
  </sheetData>
  <mergeCells count="33">
    <mergeCell ref="A142:A145"/>
    <mergeCell ref="A147:A150"/>
    <mergeCell ref="A152:A155"/>
    <mergeCell ref="A116:A127"/>
    <mergeCell ref="B116:C116"/>
    <mergeCell ref="B120:B121"/>
    <mergeCell ref="A129:A140"/>
    <mergeCell ref="B129:C129"/>
    <mergeCell ref="B133:B134"/>
    <mergeCell ref="A89:A101"/>
    <mergeCell ref="B89:C89"/>
    <mergeCell ref="B93:B95"/>
    <mergeCell ref="A103:A114"/>
    <mergeCell ref="B103:C103"/>
    <mergeCell ref="B107:B108"/>
    <mergeCell ref="A61:A72"/>
    <mergeCell ref="B61:C61"/>
    <mergeCell ref="B65:B67"/>
    <mergeCell ref="A75:A87"/>
    <mergeCell ref="B75:D75"/>
    <mergeCell ref="B79:B80"/>
    <mergeCell ref="A32:A44"/>
    <mergeCell ref="B32:C32"/>
    <mergeCell ref="B36:B38"/>
    <mergeCell ref="A47:A59"/>
    <mergeCell ref="B47:C47"/>
    <mergeCell ref="B51:B53"/>
    <mergeCell ref="A4:E4"/>
    <mergeCell ref="A5:A16"/>
    <mergeCell ref="B8:B10"/>
    <mergeCell ref="A18:A30"/>
    <mergeCell ref="B18:C18"/>
    <mergeCell ref="B22:B24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3"/>
  <sheetViews>
    <sheetView tabSelected="1" topLeftCell="A9" workbookViewId="0">
      <selection activeCell="K18" sqref="K18"/>
    </sheetView>
  </sheetViews>
  <sheetFormatPr defaultRowHeight="13.5"/>
  <cols>
    <col min="1" max="1" width="12.875" customWidth="1"/>
    <col min="2" max="2" width="14.125" customWidth="1"/>
    <col min="3" max="3" width="12.375" customWidth="1"/>
    <col min="4" max="4" width="13.75" customWidth="1"/>
    <col min="5" max="5" width="16.625" customWidth="1"/>
    <col min="6" max="6" width="14.375" customWidth="1"/>
    <col min="7" max="7" width="15.875" customWidth="1"/>
    <col min="8" max="8" width="14" customWidth="1"/>
    <col min="9" max="9" width="15.25" customWidth="1"/>
    <col min="10" max="10" width="12.125" customWidth="1"/>
    <col min="11" max="11" width="16.625" customWidth="1"/>
    <col min="12" max="12" width="11.5" customWidth="1"/>
  </cols>
  <sheetData>
    <row r="3" spans="1:14">
      <c r="A3" s="648" t="s">
        <v>212</v>
      </c>
      <c r="B3" s="648"/>
      <c r="C3" s="648"/>
      <c r="D3" s="649"/>
      <c r="E3" s="14"/>
      <c r="F3" s="15"/>
      <c r="G3" s="15"/>
      <c r="H3" s="15"/>
      <c r="I3" s="15"/>
      <c r="J3" s="16"/>
      <c r="K3" s="17"/>
      <c r="L3" s="18"/>
      <c r="M3" s="19"/>
      <c r="N3" s="20"/>
    </row>
    <row r="4" spans="1:14">
      <c r="A4" s="21" t="s">
        <v>81</v>
      </c>
      <c r="B4" s="21" t="s">
        <v>76</v>
      </c>
      <c r="C4" s="21" t="s">
        <v>82</v>
      </c>
      <c r="D4" s="21" t="s">
        <v>83</v>
      </c>
      <c r="E4" s="21" t="s">
        <v>80</v>
      </c>
      <c r="F4" s="15"/>
      <c r="G4" s="15"/>
      <c r="H4" s="15"/>
      <c r="I4" s="15"/>
      <c r="J4" s="16"/>
      <c r="K4" s="17"/>
      <c r="L4" s="18"/>
      <c r="M4" s="19"/>
      <c r="N4" s="20"/>
    </row>
    <row r="5" spans="1:14">
      <c r="A5" s="22"/>
      <c r="B5" s="23"/>
      <c r="C5" s="24"/>
      <c r="D5" s="25"/>
      <c r="E5" s="24">
        <v>23626.84</v>
      </c>
      <c r="F5" s="18"/>
      <c r="G5" s="18"/>
      <c r="H5" s="18"/>
      <c r="I5" s="18"/>
      <c r="J5" s="16"/>
      <c r="K5" s="17"/>
      <c r="L5" s="18"/>
      <c r="M5" s="19"/>
      <c r="N5" s="20"/>
    </row>
    <row r="6" spans="1:14">
      <c r="A6" s="26"/>
      <c r="B6" s="27"/>
      <c r="C6" s="28"/>
      <c r="D6" s="18"/>
      <c r="E6" s="18"/>
      <c r="F6" s="18"/>
      <c r="G6" s="28"/>
      <c r="H6" s="18"/>
      <c r="I6" s="18"/>
      <c r="J6" s="16"/>
      <c r="K6" s="17"/>
      <c r="L6" s="18"/>
      <c r="M6" s="19"/>
      <c r="N6" s="20"/>
    </row>
    <row r="7" spans="1:14">
      <c r="A7" s="26"/>
      <c r="B7" s="27"/>
      <c r="C7" s="28"/>
      <c r="D7" s="18"/>
      <c r="E7" s="18"/>
      <c r="F7" s="29"/>
      <c r="G7" s="29"/>
      <c r="H7" s="18"/>
      <c r="I7" s="18"/>
      <c r="J7" s="16"/>
      <c r="K7" s="17"/>
      <c r="L7" s="18"/>
      <c r="M7" s="19"/>
      <c r="N7" s="20"/>
    </row>
    <row r="8" spans="1:14">
      <c r="A8" s="30"/>
      <c r="B8" s="31"/>
      <c r="C8" s="30"/>
      <c r="D8" s="30"/>
      <c r="E8" s="16"/>
      <c r="F8" s="32"/>
      <c r="G8" s="33"/>
      <c r="H8" s="34"/>
      <c r="I8" s="34"/>
      <c r="J8" s="34"/>
      <c r="K8" s="34"/>
      <c r="L8" s="34"/>
      <c r="M8" s="34"/>
      <c r="N8" s="34"/>
    </row>
    <row r="9" spans="1:14">
      <c r="A9" s="648" t="s">
        <v>213</v>
      </c>
      <c r="B9" s="648"/>
      <c r="C9" s="648"/>
      <c r="D9" s="649"/>
      <c r="E9" s="14"/>
      <c r="F9" s="35"/>
      <c r="G9" s="33"/>
      <c r="H9" s="36"/>
      <c r="I9" s="36"/>
      <c r="J9" s="34"/>
      <c r="K9" s="36"/>
      <c r="L9" s="34"/>
      <c r="M9" s="36"/>
      <c r="N9" s="34"/>
    </row>
    <row r="10" spans="1:14">
      <c r="A10" s="650" t="s">
        <v>84</v>
      </c>
      <c r="B10" s="651"/>
      <c r="C10" s="652"/>
      <c r="D10" s="21" t="s">
        <v>85</v>
      </c>
      <c r="E10" s="21" t="s">
        <v>86</v>
      </c>
      <c r="F10" s="33"/>
      <c r="G10" s="37"/>
      <c r="H10" s="36"/>
      <c r="I10" s="36"/>
      <c r="J10" s="34"/>
      <c r="K10" s="36"/>
      <c r="L10" s="34"/>
      <c r="M10" s="36"/>
      <c r="N10" s="34"/>
    </row>
    <row r="11" spans="1:14">
      <c r="A11" s="21" t="s">
        <v>87</v>
      </c>
      <c r="B11" s="21" t="s">
        <v>88</v>
      </c>
      <c r="C11" s="21" t="s">
        <v>80</v>
      </c>
      <c r="D11" s="21"/>
      <c r="E11" s="21"/>
      <c r="F11" s="33"/>
      <c r="G11" s="37"/>
      <c r="H11" s="36"/>
      <c r="I11" s="36"/>
      <c r="J11" s="20"/>
      <c r="K11" s="36"/>
      <c r="L11" s="20"/>
      <c r="M11" s="36"/>
      <c r="N11" s="20"/>
    </row>
    <row r="12" spans="1:14">
      <c r="A12" s="1">
        <v>14602.369999999999</v>
      </c>
      <c r="B12" s="2">
        <v>16697.490000000002</v>
      </c>
      <c r="C12" s="24">
        <f>B12+A12</f>
        <v>31299.86</v>
      </c>
      <c r="D12" s="38">
        <v>35000</v>
      </c>
      <c r="E12" s="24">
        <v>35000</v>
      </c>
      <c r="F12" s="39"/>
      <c r="G12" s="39"/>
      <c r="H12" s="28"/>
      <c r="I12" s="28"/>
      <c r="J12" s="20"/>
      <c r="K12" s="28"/>
      <c r="L12" s="20"/>
      <c r="M12" s="28"/>
      <c r="N12" s="20"/>
    </row>
    <row r="13" spans="1:14">
      <c r="A13" s="40"/>
      <c r="B13" s="41"/>
      <c r="C13" s="42"/>
      <c r="D13" s="43"/>
      <c r="E13" s="29"/>
      <c r="F13" s="39"/>
      <c r="G13" s="39"/>
      <c r="H13" s="28"/>
      <c r="I13" s="28"/>
      <c r="J13" s="20"/>
      <c r="K13" s="28"/>
      <c r="L13" s="20"/>
      <c r="M13" s="28"/>
      <c r="N13" s="20"/>
    </row>
    <row r="14" spans="1:14">
      <c r="A14" s="40"/>
      <c r="B14" s="41"/>
      <c r="C14" s="42"/>
      <c r="D14" s="43"/>
      <c r="E14" s="29"/>
      <c r="F14" s="18"/>
      <c r="G14" s="39"/>
      <c r="H14" s="28"/>
      <c r="I14" s="28"/>
      <c r="J14" s="20"/>
      <c r="K14" s="28"/>
      <c r="L14" s="20"/>
      <c r="M14" s="28"/>
      <c r="N14" s="20"/>
    </row>
    <row r="15" spans="1:14">
      <c r="A15" s="26"/>
      <c r="B15" s="44"/>
      <c r="C15" s="26"/>
      <c r="D15" s="26"/>
      <c r="E15" s="18"/>
      <c r="F15" s="16"/>
      <c r="G15" s="18"/>
      <c r="H15" s="16"/>
      <c r="I15" s="16"/>
      <c r="J15" s="16"/>
      <c r="K15" s="17"/>
      <c r="L15" s="18"/>
      <c r="M15" s="19"/>
      <c r="N15" s="20"/>
    </row>
    <row r="16" spans="1:14">
      <c r="A16" s="653" t="s">
        <v>214</v>
      </c>
      <c r="B16" s="653"/>
      <c r="C16" s="653"/>
      <c r="D16" s="653"/>
      <c r="E16" s="653"/>
      <c r="F16" s="45"/>
      <c r="G16" s="45"/>
      <c r="H16" s="45"/>
      <c r="I16" s="45"/>
      <c r="J16" s="46"/>
      <c r="K16" s="47"/>
      <c r="L16" s="48"/>
      <c r="M16" s="19"/>
      <c r="N16" s="20"/>
    </row>
    <row r="17" spans="1:14">
      <c r="A17" s="49" t="s">
        <v>89</v>
      </c>
      <c r="B17" s="50"/>
      <c r="C17" s="51">
        <v>41731</v>
      </c>
      <c r="D17" s="51">
        <v>41760</v>
      </c>
      <c r="E17" s="51">
        <v>41791</v>
      </c>
      <c r="F17" s="51">
        <v>41821</v>
      </c>
      <c r="G17" s="51">
        <v>41852</v>
      </c>
      <c r="H17" s="51">
        <v>41883</v>
      </c>
      <c r="I17" s="51" t="s">
        <v>229</v>
      </c>
      <c r="J17" s="3" t="s">
        <v>90</v>
      </c>
      <c r="K17" s="52"/>
      <c r="L17" s="19"/>
      <c r="M17" s="19"/>
      <c r="N17" s="20"/>
    </row>
    <row r="18" spans="1:14" ht="24">
      <c r="A18" s="53" t="s">
        <v>91</v>
      </c>
      <c r="B18" s="53" t="s">
        <v>92</v>
      </c>
      <c r="C18" s="59">
        <v>4489.4399999999996</v>
      </c>
      <c r="D18" s="303"/>
      <c r="E18" s="305">
        <v>5510.56</v>
      </c>
      <c r="F18" s="305"/>
      <c r="G18" s="305">
        <v>3283.47</v>
      </c>
      <c r="H18" s="305">
        <v>2500</v>
      </c>
      <c r="I18" s="305"/>
      <c r="J18" s="57">
        <f>E18+C18+F18+G18+H18</f>
        <v>15783.47</v>
      </c>
      <c r="K18" s="302" t="e">
        <f>#REF!+#REF!</f>
        <v>#REF!</v>
      </c>
      <c r="L18" s="19"/>
      <c r="M18" s="19"/>
      <c r="N18" s="20"/>
    </row>
    <row r="19" spans="1:14">
      <c r="A19" s="53"/>
      <c r="B19" s="53" t="s">
        <v>93</v>
      </c>
      <c r="C19" s="59">
        <v>2</v>
      </c>
      <c r="D19" s="304"/>
      <c r="E19" s="59">
        <v>2</v>
      </c>
      <c r="F19" s="59"/>
      <c r="G19" s="59">
        <v>3</v>
      </c>
      <c r="H19" s="59">
        <v>2</v>
      </c>
      <c r="I19" s="59">
        <v>1</v>
      </c>
      <c r="J19" s="54"/>
      <c r="K19" s="52"/>
      <c r="L19" s="19"/>
      <c r="M19" s="19"/>
      <c r="N19" s="20"/>
    </row>
    <row r="20" spans="1:14">
      <c r="A20" s="653" t="s">
        <v>230</v>
      </c>
      <c r="B20" s="653"/>
      <c r="C20" s="653"/>
      <c r="D20" s="653"/>
      <c r="E20" s="653"/>
      <c r="F20" s="301"/>
      <c r="G20" s="301"/>
      <c r="H20" s="301"/>
      <c r="I20" s="301"/>
      <c r="J20" s="46"/>
      <c r="K20" s="17"/>
      <c r="L20" s="18"/>
      <c r="M20" s="19"/>
      <c r="N20" s="20"/>
    </row>
    <row r="21" spans="1:14">
      <c r="A21" s="49" t="s">
        <v>89</v>
      </c>
      <c r="B21" s="50"/>
      <c r="C21" s="51">
        <v>41731</v>
      </c>
      <c r="D21" s="51">
        <v>41760</v>
      </c>
      <c r="E21" s="51">
        <v>41791</v>
      </c>
      <c r="F21" s="51">
        <v>41821</v>
      </c>
      <c r="G21" s="51">
        <v>41852</v>
      </c>
      <c r="H21" s="51">
        <v>41883</v>
      </c>
      <c r="I21" s="51" t="s">
        <v>229</v>
      </c>
      <c r="J21" s="3" t="s">
        <v>90</v>
      </c>
      <c r="K21" s="17"/>
      <c r="L21" s="18"/>
      <c r="M21" s="19"/>
      <c r="N21" s="20"/>
    </row>
    <row r="22" spans="1:14" ht="24">
      <c r="A22" s="53" t="s">
        <v>91</v>
      </c>
      <c r="B22" s="53" t="s">
        <v>92</v>
      </c>
      <c r="C22" s="54"/>
      <c r="D22" s="55">
        <v>913.17</v>
      </c>
      <c r="E22" s="56"/>
      <c r="F22" s="56">
        <v>1000</v>
      </c>
      <c r="G22" s="56"/>
      <c r="H22" s="56">
        <v>2500</v>
      </c>
      <c r="I22" s="56">
        <v>2041.05</v>
      </c>
      <c r="J22" s="57">
        <f>E22+C22+F22+G22+H22+D22+I22</f>
        <v>6454.22</v>
      </c>
      <c r="K22" s="17"/>
      <c r="L22" s="18"/>
      <c r="M22" s="19"/>
      <c r="N22" s="20"/>
    </row>
    <row r="23" spans="1:14">
      <c r="A23" s="53"/>
      <c r="B23" s="53" t="s">
        <v>93</v>
      </c>
      <c r="C23" s="54"/>
      <c r="D23" s="58">
        <v>1</v>
      </c>
      <c r="E23" s="7"/>
      <c r="F23" s="7"/>
      <c r="G23" s="7"/>
      <c r="H23" s="7">
        <v>1</v>
      </c>
      <c r="I23" s="7">
        <v>1</v>
      </c>
      <c r="J23" s="54"/>
      <c r="K23" s="17"/>
      <c r="L23" s="18"/>
      <c r="M23" s="19"/>
      <c r="N23" s="20"/>
    </row>
  </sheetData>
  <mergeCells count="5">
    <mergeCell ref="A3:D3"/>
    <mergeCell ref="A9:D9"/>
    <mergeCell ref="A10:C10"/>
    <mergeCell ref="A16:E16"/>
    <mergeCell ref="A20:E20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G52" sqref="G52"/>
    </sheetView>
  </sheetViews>
  <sheetFormatPr defaultRowHeight="13.5"/>
  <cols>
    <col min="1" max="1" width="14.375" customWidth="1"/>
    <col min="2" max="2" width="14.5" customWidth="1"/>
    <col min="3" max="3" width="11.375" customWidth="1"/>
    <col min="4" max="4" width="16.375" customWidth="1"/>
    <col min="5" max="5" width="11.125" customWidth="1"/>
    <col min="7" max="7" width="13.5" customWidth="1"/>
  </cols>
  <sheetData>
    <row r="1" spans="1:12">
      <c r="A1" s="63" t="s">
        <v>215</v>
      </c>
      <c r="B1" s="64"/>
      <c r="C1" s="65"/>
      <c r="D1" s="66"/>
      <c r="E1" s="65"/>
      <c r="F1" s="65"/>
      <c r="G1" s="65"/>
      <c r="H1" s="65"/>
      <c r="I1" s="65"/>
      <c r="J1" s="65"/>
      <c r="K1" s="65"/>
      <c r="L1" s="67"/>
    </row>
    <row r="2" spans="1:12" ht="24">
      <c r="A2" s="68" t="s">
        <v>106</v>
      </c>
      <c r="B2" s="68" t="s">
        <v>107</v>
      </c>
      <c r="C2" s="68" t="s">
        <v>108</v>
      </c>
      <c r="D2" s="68" t="s">
        <v>109</v>
      </c>
      <c r="E2" s="68" t="s">
        <v>110</v>
      </c>
      <c r="F2" s="69" t="s">
        <v>111</v>
      </c>
      <c r="G2" s="69" t="s">
        <v>112</v>
      </c>
      <c r="I2" s="65"/>
      <c r="J2" s="65"/>
      <c r="K2" s="65"/>
      <c r="L2" s="67"/>
    </row>
    <row r="3" spans="1:12">
      <c r="A3" s="70">
        <v>41307</v>
      </c>
      <c r="B3" s="71">
        <v>2187.42</v>
      </c>
      <c r="C3" s="71">
        <v>4173.76</v>
      </c>
      <c r="D3" s="71">
        <v>2656.4600000000009</v>
      </c>
      <c r="E3" s="71">
        <v>1300.2300000000002</v>
      </c>
      <c r="F3" s="71">
        <v>268.15999999999997</v>
      </c>
      <c r="G3" s="72">
        <v>101.3</v>
      </c>
      <c r="I3" s="65"/>
      <c r="J3" s="65"/>
      <c r="K3" s="65"/>
      <c r="L3" s="67"/>
    </row>
    <row r="4" spans="1:12">
      <c r="A4" s="70">
        <v>41609</v>
      </c>
      <c r="B4" s="73">
        <v>1804.1799999999996</v>
      </c>
      <c r="C4" s="73">
        <v>1771.2999999999997</v>
      </c>
      <c r="D4" s="73">
        <v>1827.4800000000002</v>
      </c>
      <c r="E4" s="73">
        <v>2085.48</v>
      </c>
      <c r="F4" s="73">
        <v>148.15</v>
      </c>
      <c r="G4" s="73">
        <v>50.56</v>
      </c>
      <c r="I4" s="65"/>
      <c r="J4" s="65"/>
      <c r="K4" s="65"/>
      <c r="L4" s="67"/>
    </row>
    <row r="5" spans="1:12">
      <c r="A5" s="70">
        <v>41640</v>
      </c>
      <c r="B5" s="73">
        <v>3224.47</v>
      </c>
      <c r="C5" s="73">
        <v>3335.6600000000003</v>
      </c>
      <c r="D5" s="73">
        <v>2709.0399999999991</v>
      </c>
      <c r="E5" s="73">
        <v>1022.7100000000002</v>
      </c>
      <c r="F5" s="73">
        <v>399.87</v>
      </c>
      <c r="G5" s="73">
        <v>69.240000000000009</v>
      </c>
      <c r="I5" s="65"/>
      <c r="J5" s="65"/>
      <c r="K5" s="65"/>
      <c r="L5" s="67"/>
    </row>
    <row r="6" spans="1:12">
      <c r="A6" s="70">
        <v>41672</v>
      </c>
      <c r="B6" s="593">
        <v>3570.95</v>
      </c>
      <c r="C6" s="593">
        <v>4890.2299999999996</v>
      </c>
      <c r="D6" s="593">
        <v>2473.1799999999998</v>
      </c>
      <c r="E6" s="593">
        <v>3661.82</v>
      </c>
      <c r="F6" s="593">
        <v>457.31</v>
      </c>
      <c r="G6" s="593">
        <v>10.130000000000001</v>
      </c>
      <c r="I6" s="65"/>
      <c r="J6" s="65"/>
      <c r="K6" s="65"/>
      <c r="L6" s="67"/>
    </row>
    <row r="7" spans="1:12">
      <c r="A7" s="70">
        <v>41701</v>
      </c>
      <c r="B7" s="593">
        <v>3539.5699999999988</v>
      </c>
      <c r="C7" s="593">
        <v>4889.2200000000012</v>
      </c>
      <c r="D7" s="593">
        <v>2068.2900000000013</v>
      </c>
      <c r="E7" s="593">
        <v>3276.03</v>
      </c>
      <c r="F7" s="593">
        <v>461.36</v>
      </c>
      <c r="G7" s="593">
        <v>22.15</v>
      </c>
      <c r="I7" s="65"/>
      <c r="J7" s="65"/>
      <c r="K7" s="65"/>
      <c r="L7" s="67"/>
    </row>
    <row r="8" spans="1:12">
      <c r="A8" s="74" t="s">
        <v>113</v>
      </c>
      <c r="B8" s="594">
        <v>0.24827553796061039</v>
      </c>
      <c r="C8" s="594">
        <v>0.34294383942336959</v>
      </c>
      <c r="D8" s="594">
        <v>0.14507576129545435</v>
      </c>
      <c r="E8" s="594">
        <v>0.22979009049830876</v>
      </c>
      <c r="F8" s="594">
        <v>3.236110662976216E-2</v>
      </c>
      <c r="G8" s="594">
        <v>1.5536641924944333E-3</v>
      </c>
      <c r="I8" s="65"/>
      <c r="J8" s="65"/>
      <c r="K8" s="65"/>
      <c r="L8" s="67"/>
    </row>
    <row r="9" spans="1:12">
      <c r="A9" s="75"/>
      <c r="B9" s="76"/>
      <c r="C9" s="76"/>
      <c r="D9" s="76"/>
      <c r="E9" s="76"/>
      <c r="F9" s="76"/>
      <c r="G9" s="77"/>
      <c r="I9" s="65"/>
      <c r="J9" s="65"/>
      <c r="K9" s="65"/>
      <c r="L9" s="67"/>
    </row>
    <row r="10" spans="1:12">
      <c r="A10" s="75"/>
      <c r="B10" s="76"/>
      <c r="C10" s="76"/>
      <c r="D10" s="76"/>
      <c r="E10" s="76"/>
      <c r="F10" s="76"/>
      <c r="G10" s="77"/>
      <c r="I10" s="65"/>
      <c r="J10" s="65"/>
      <c r="K10" s="65"/>
      <c r="L10" s="67"/>
    </row>
    <row r="11" spans="1:12">
      <c r="A11" s="656" t="s">
        <v>216</v>
      </c>
      <c r="B11" s="656"/>
      <c r="C11" s="656"/>
      <c r="D11" s="656"/>
      <c r="E11" s="65"/>
      <c r="F11" s="65"/>
      <c r="G11" s="65"/>
      <c r="H11" s="65"/>
      <c r="I11" s="65"/>
      <c r="J11" s="65"/>
      <c r="K11" s="65"/>
      <c r="L11" s="67"/>
    </row>
    <row r="12" spans="1:12">
      <c r="A12" s="657" t="s">
        <v>114</v>
      </c>
      <c r="B12" s="657"/>
      <c r="C12" s="78" t="s">
        <v>115</v>
      </c>
      <c r="D12" s="78" t="s">
        <v>116</v>
      </c>
      <c r="E12" s="78" t="s">
        <v>117</v>
      </c>
      <c r="F12" s="78" t="s">
        <v>118</v>
      </c>
      <c r="G12" s="78" t="s">
        <v>119</v>
      </c>
      <c r="H12" s="78" t="s">
        <v>40</v>
      </c>
      <c r="I12" s="78" t="s">
        <v>120</v>
      </c>
      <c r="J12" s="65"/>
      <c r="K12" s="79"/>
      <c r="L12" s="67"/>
    </row>
    <row r="13" spans="1:12">
      <c r="A13" s="657" t="s">
        <v>121</v>
      </c>
      <c r="B13" s="78" t="s">
        <v>122</v>
      </c>
      <c r="C13" s="595">
        <v>7</v>
      </c>
      <c r="D13" s="595">
        <v>16</v>
      </c>
      <c r="E13" s="595">
        <v>1</v>
      </c>
      <c r="F13" s="595"/>
      <c r="G13" s="595">
        <v>7</v>
      </c>
      <c r="H13" s="595">
        <v>105</v>
      </c>
      <c r="I13" s="595">
        <v>15</v>
      </c>
      <c r="J13" s="65"/>
      <c r="K13" s="80"/>
      <c r="L13" s="67"/>
    </row>
    <row r="14" spans="1:12">
      <c r="A14" s="657"/>
      <c r="B14" s="78" t="s">
        <v>92</v>
      </c>
      <c r="C14" s="596">
        <v>2017.21</v>
      </c>
      <c r="D14" s="597">
        <v>1136.3800000000001</v>
      </c>
      <c r="E14" s="596">
        <v>433.34</v>
      </c>
      <c r="F14" s="598"/>
      <c r="G14" s="596">
        <v>877.87</v>
      </c>
      <c r="H14" s="597">
        <v>9024.75</v>
      </c>
      <c r="I14" s="596">
        <v>767.07</v>
      </c>
      <c r="J14" s="65"/>
      <c r="K14" s="81"/>
      <c r="L14" s="67"/>
    </row>
    <row r="15" spans="1:12">
      <c r="A15" s="657" t="s">
        <v>123</v>
      </c>
      <c r="B15" s="78" t="s">
        <v>122</v>
      </c>
      <c r="C15" s="595">
        <v>4</v>
      </c>
      <c r="D15" s="595"/>
      <c r="E15" s="595"/>
      <c r="F15" s="595"/>
      <c r="G15" s="595"/>
      <c r="H15" s="595"/>
      <c r="I15" s="595"/>
      <c r="J15" s="65"/>
      <c r="K15" s="65"/>
      <c r="L15" s="67"/>
    </row>
    <row r="16" spans="1:12">
      <c r="A16" s="657"/>
      <c r="B16" s="78" t="s">
        <v>92</v>
      </c>
      <c r="C16" s="596">
        <v>570.82000000000005</v>
      </c>
      <c r="D16" s="595"/>
      <c r="E16" s="595"/>
      <c r="F16" s="595"/>
      <c r="G16" s="595"/>
      <c r="H16" s="595"/>
      <c r="I16" s="595"/>
      <c r="J16" s="81"/>
      <c r="K16" s="65"/>
      <c r="L16" s="67"/>
    </row>
    <row r="17" spans="1:12">
      <c r="A17" s="82"/>
      <c r="B17" s="65"/>
      <c r="C17" s="65"/>
      <c r="D17" s="66"/>
      <c r="E17" s="65"/>
      <c r="F17" s="65"/>
      <c r="G17" s="65"/>
      <c r="H17" s="65"/>
      <c r="I17" s="65"/>
      <c r="J17" s="65"/>
      <c r="K17" s="65"/>
      <c r="L17" s="67"/>
    </row>
    <row r="18" spans="1:12">
      <c r="A18" s="65"/>
      <c r="B18" s="65"/>
      <c r="C18" s="65"/>
      <c r="D18" s="66"/>
      <c r="E18" s="65"/>
      <c r="F18" s="65"/>
      <c r="G18" s="65"/>
      <c r="H18" s="65"/>
      <c r="I18" s="65"/>
      <c r="J18" s="65"/>
      <c r="K18" s="65"/>
      <c r="L18" s="67"/>
    </row>
    <row r="19" spans="1:12">
      <c r="A19" s="83" t="s">
        <v>217</v>
      </c>
      <c r="B19" s="65"/>
      <c r="C19" s="65"/>
      <c r="D19" s="66"/>
      <c r="E19" s="65"/>
      <c r="F19" s="65"/>
      <c r="G19" s="65"/>
      <c r="H19" s="65"/>
      <c r="I19" s="65"/>
      <c r="J19" s="65"/>
      <c r="K19" s="65"/>
      <c r="L19" s="67"/>
    </row>
    <row r="20" spans="1:12">
      <c r="A20" s="658" t="s">
        <v>45</v>
      </c>
      <c r="B20" s="658"/>
      <c r="C20" s="658" t="s">
        <v>124</v>
      </c>
      <c r="D20" s="658"/>
      <c r="E20" s="658" t="s">
        <v>125</v>
      </c>
      <c r="F20" s="658"/>
      <c r="G20" s="658"/>
      <c r="H20" s="658"/>
      <c r="I20" s="658"/>
      <c r="J20" s="658"/>
      <c r="K20" s="658"/>
      <c r="L20" s="84"/>
    </row>
    <row r="21" spans="1:12">
      <c r="A21" s="658"/>
      <c r="B21" s="658"/>
      <c r="C21" s="658"/>
      <c r="D21" s="658"/>
      <c r="E21" s="658" t="s">
        <v>126</v>
      </c>
      <c r="F21" s="658"/>
      <c r="G21" s="658"/>
      <c r="H21" s="658"/>
      <c r="I21" s="658"/>
      <c r="J21" s="85"/>
      <c r="K21" s="659" t="s">
        <v>76</v>
      </c>
      <c r="L21" s="660" t="s">
        <v>127</v>
      </c>
    </row>
    <row r="22" spans="1:12" ht="24">
      <c r="A22" s="658"/>
      <c r="B22" s="658"/>
      <c r="C22" s="86" t="s">
        <v>92</v>
      </c>
      <c r="D22" s="87" t="s">
        <v>128</v>
      </c>
      <c r="E22" s="88" t="s">
        <v>107</v>
      </c>
      <c r="F22" s="88" t="s">
        <v>129</v>
      </c>
      <c r="G22" s="88" t="s">
        <v>130</v>
      </c>
      <c r="H22" s="88" t="s">
        <v>131</v>
      </c>
      <c r="I22" s="88" t="s">
        <v>132</v>
      </c>
      <c r="J22" s="88" t="s">
        <v>112</v>
      </c>
      <c r="K22" s="659"/>
      <c r="L22" s="660"/>
    </row>
    <row r="23" spans="1:12">
      <c r="A23" s="661" t="s">
        <v>906</v>
      </c>
      <c r="B23" s="599" t="s">
        <v>134</v>
      </c>
      <c r="C23" s="600">
        <v>4462.9363849999991</v>
      </c>
      <c r="D23" s="601">
        <f>C23/C37</f>
        <v>7.7471858814403549E-2</v>
      </c>
      <c r="E23" s="602">
        <v>181.83999999999997</v>
      </c>
      <c r="F23" s="602">
        <v>622.23</v>
      </c>
      <c r="G23" s="602">
        <v>169.64</v>
      </c>
      <c r="H23" s="602">
        <v>115.44</v>
      </c>
      <c r="I23" s="602">
        <v>35.520000000000003</v>
      </c>
      <c r="J23" s="602">
        <v>0</v>
      </c>
      <c r="K23" s="602">
        <v>2067.39</v>
      </c>
      <c r="L23" s="602">
        <v>1270.8800000000001</v>
      </c>
    </row>
    <row r="24" spans="1:12">
      <c r="A24" s="662"/>
      <c r="B24" s="599" t="s">
        <v>135</v>
      </c>
      <c r="C24" s="600">
        <v>3438.6011859999999</v>
      </c>
      <c r="D24" s="601">
        <f>C24/C37</f>
        <v>5.9690482368556688E-2</v>
      </c>
      <c r="E24" s="602">
        <v>429.58999999999992</v>
      </c>
      <c r="F24" s="602">
        <v>319.12</v>
      </c>
      <c r="G24" s="602">
        <v>127.16</v>
      </c>
      <c r="H24" s="602">
        <v>528.66</v>
      </c>
      <c r="I24" s="602">
        <v>64.17</v>
      </c>
      <c r="J24" s="602">
        <v>0</v>
      </c>
      <c r="K24" s="602">
        <v>1341.2800000000002</v>
      </c>
      <c r="L24" s="602">
        <v>628.62000000000012</v>
      </c>
    </row>
    <row r="25" spans="1:12">
      <c r="A25" s="662"/>
      <c r="B25" s="599" t="s">
        <v>133</v>
      </c>
      <c r="C25" s="600">
        <v>41.232182999999992</v>
      </c>
      <c r="D25" s="601">
        <f>C25/C37</f>
        <v>7.1574711903173366E-4</v>
      </c>
      <c r="E25" s="602">
        <v>0</v>
      </c>
      <c r="F25" s="602">
        <v>0</v>
      </c>
      <c r="G25" s="602">
        <v>40.25</v>
      </c>
      <c r="H25" s="602">
        <v>0</v>
      </c>
      <c r="I25" s="602">
        <v>0</v>
      </c>
      <c r="J25" s="602">
        <v>0</v>
      </c>
      <c r="K25" s="602">
        <v>0</v>
      </c>
      <c r="L25" s="602">
        <v>0.98</v>
      </c>
    </row>
    <row r="26" spans="1:12">
      <c r="A26" s="663"/>
      <c r="B26" s="599" t="s">
        <v>136</v>
      </c>
      <c r="C26" s="600">
        <v>9839.9127310000003</v>
      </c>
      <c r="D26" s="601">
        <f>C26/C37</f>
        <v>0.17081048531281814</v>
      </c>
      <c r="E26" s="602">
        <v>62.370000000000005</v>
      </c>
      <c r="F26" s="602">
        <v>216.53</v>
      </c>
      <c r="G26" s="602">
        <v>11.899999999999999</v>
      </c>
      <c r="H26" s="602">
        <v>0</v>
      </c>
      <c r="I26" s="602">
        <v>0.04</v>
      </c>
      <c r="J26" s="602">
        <v>0</v>
      </c>
      <c r="K26" s="602">
        <v>5558.78</v>
      </c>
      <c r="L26" s="602">
        <v>3990.29</v>
      </c>
    </row>
    <row r="27" spans="1:12">
      <c r="A27" s="654" t="s">
        <v>137</v>
      </c>
      <c r="B27" s="655"/>
      <c r="C27" s="600">
        <v>6305.2833890000002</v>
      </c>
      <c r="D27" s="601">
        <f>C27/C37</f>
        <v>0.10945305564722094</v>
      </c>
      <c r="E27" s="602">
        <v>0</v>
      </c>
      <c r="F27" s="602">
        <v>0</v>
      </c>
      <c r="G27" s="602">
        <v>0</v>
      </c>
      <c r="H27" s="602">
        <v>0</v>
      </c>
      <c r="I27" s="602">
        <v>0</v>
      </c>
      <c r="J27" s="602">
        <v>0</v>
      </c>
      <c r="K27" s="602">
        <v>6305.28</v>
      </c>
      <c r="L27" s="602">
        <v>0</v>
      </c>
    </row>
    <row r="28" spans="1:12">
      <c r="A28" s="654" t="s">
        <v>138</v>
      </c>
      <c r="B28" s="655"/>
      <c r="C28" s="600">
        <v>1724.8693170000001</v>
      </c>
      <c r="D28" s="601">
        <f>C28/C37</f>
        <v>2.9941908347394183E-2</v>
      </c>
      <c r="E28" s="602">
        <v>53.5</v>
      </c>
      <c r="F28" s="602">
        <v>9.82</v>
      </c>
      <c r="G28" s="602">
        <v>86.51</v>
      </c>
      <c r="H28" s="602">
        <v>63.35</v>
      </c>
      <c r="I28" s="602">
        <v>0</v>
      </c>
      <c r="J28" s="602">
        <v>0</v>
      </c>
      <c r="K28" s="602">
        <v>631.74</v>
      </c>
      <c r="L28" s="602">
        <v>879.95</v>
      </c>
    </row>
    <row r="29" spans="1:12">
      <c r="A29" s="654" t="s">
        <v>139</v>
      </c>
      <c r="B29" s="655"/>
      <c r="C29" s="600">
        <v>3746.9571779999997</v>
      </c>
      <c r="D29" s="601">
        <f>C29/C37</f>
        <v>6.5043216491563763E-2</v>
      </c>
      <c r="E29" s="602">
        <v>157.03</v>
      </c>
      <c r="F29" s="602">
        <v>427.85</v>
      </c>
      <c r="G29" s="602">
        <v>65.710000000000008</v>
      </c>
      <c r="H29" s="602">
        <v>124.86</v>
      </c>
      <c r="I29" s="602">
        <v>0</v>
      </c>
      <c r="J29" s="602">
        <v>0</v>
      </c>
      <c r="K29" s="602">
        <v>2212.3599999999997</v>
      </c>
      <c r="L29" s="602">
        <v>759.15</v>
      </c>
    </row>
    <row r="30" spans="1:12">
      <c r="A30" s="654" t="s">
        <v>140</v>
      </c>
      <c r="B30" s="655"/>
      <c r="C30" s="600">
        <v>513.88650900000005</v>
      </c>
      <c r="D30" s="601">
        <f>C30/C37</f>
        <v>8.9205266751465756E-3</v>
      </c>
      <c r="E30" s="602">
        <v>4.82</v>
      </c>
      <c r="F30" s="602">
        <v>7.15</v>
      </c>
      <c r="G30" s="602">
        <v>146.99</v>
      </c>
      <c r="H30" s="602">
        <v>0</v>
      </c>
      <c r="I30" s="602">
        <v>0</v>
      </c>
      <c r="J30" s="602">
        <v>0</v>
      </c>
      <c r="K30" s="602">
        <v>284.52000000000004</v>
      </c>
      <c r="L30" s="602">
        <v>70.41</v>
      </c>
    </row>
    <row r="31" spans="1:12">
      <c r="A31" s="654" t="s">
        <v>141</v>
      </c>
      <c r="B31" s="655"/>
      <c r="C31" s="600">
        <v>1933.5897580000001</v>
      </c>
      <c r="D31" s="601">
        <f>C31/C37</f>
        <v>3.3565074608777501E-2</v>
      </c>
      <c r="E31" s="602">
        <v>506.44</v>
      </c>
      <c r="F31" s="602">
        <v>0</v>
      </c>
      <c r="G31" s="602">
        <v>17.34</v>
      </c>
      <c r="H31" s="602">
        <v>138.98000000000002</v>
      </c>
      <c r="I31" s="602">
        <v>9.9599999999999991</v>
      </c>
      <c r="J31" s="602">
        <v>5.52</v>
      </c>
      <c r="K31" s="602">
        <v>441.58</v>
      </c>
      <c r="L31" s="602">
        <v>813.77</v>
      </c>
    </row>
    <row r="32" spans="1:12">
      <c r="A32" s="654" t="s">
        <v>142</v>
      </c>
      <c r="B32" s="655"/>
      <c r="C32" s="600">
        <v>15178.667451000001</v>
      </c>
      <c r="D32" s="601">
        <f>C32/C37</f>
        <v>0.26348562477989584</v>
      </c>
      <c r="E32" s="602">
        <v>1478.1</v>
      </c>
      <c r="F32" s="602">
        <v>2460.7200000000003</v>
      </c>
      <c r="G32" s="602">
        <v>981.65000000000009</v>
      </c>
      <c r="H32" s="602">
        <v>1564.4599999999998</v>
      </c>
      <c r="I32" s="602">
        <v>111.52000000000001</v>
      </c>
      <c r="J32" s="602">
        <v>8.08</v>
      </c>
      <c r="K32" s="602">
        <v>5930.2</v>
      </c>
      <c r="L32" s="602">
        <v>2643.94</v>
      </c>
    </row>
    <row r="33" spans="1:12">
      <c r="A33" s="654" t="s">
        <v>143</v>
      </c>
      <c r="B33" s="655"/>
      <c r="C33" s="600">
        <v>1771.0754160000001</v>
      </c>
      <c r="D33" s="601">
        <f>C33/C37</f>
        <v>3.0743997391307891E-2</v>
      </c>
      <c r="E33" s="602">
        <v>380.12</v>
      </c>
      <c r="F33" s="602">
        <v>49.28</v>
      </c>
      <c r="G33" s="602">
        <v>8.69</v>
      </c>
      <c r="H33" s="602">
        <v>175.79</v>
      </c>
      <c r="I33" s="602">
        <v>0.53</v>
      </c>
      <c r="J33" s="602">
        <v>3.49</v>
      </c>
      <c r="K33" s="602">
        <v>1110.75</v>
      </c>
      <c r="L33" s="602">
        <v>42.429999999999993</v>
      </c>
    </row>
    <row r="34" spans="1:12">
      <c r="A34" s="654" t="s">
        <v>144</v>
      </c>
      <c r="B34" s="655"/>
      <c r="C34" s="600">
        <v>413.84393999999998</v>
      </c>
      <c r="D34" s="601">
        <f>C34/C37</f>
        <v>7.1838934112157405E-3</v>
      </c>
      <c r="E34" s="602">
        <v>0</v>
      </c>
      <c r="F34" s="602">
        <v>0</v>
      </c>
      <c r="G34" s="602">
        <v>22.7</v>
      </c>
      <c r="H34" s="602">
        <v>0</v>
      </c>
      <c r="I34" s="602">
        <v>239.62</v>
      </c>
      <c r="J34" s="602">
        <v>5.0599999999999996</v>
      </c>
      <c r="K34" s="602">
        <v>0</v>
      </c>
      <c r="L34" s="602">
        <v>146.46</v>
      </c>
    </row>
    <row r="35" spans="1:12">
      <c r="A35" s="654" t="s">
        <v>145</v>
      </c>
      <c r="B35" s="655"/>
      <c r="C35" s="600">
        <v>5771.7530300000008</v>
      </c>
      <c r="D35" s="601">
        <f>C35/C37</f>
        <v>0.10019153249744697</v>
      </c>
      <c r="E35" s="602">
        <v>197.44</v>
      </c>
      <c r="F35" s="602">
        <v>463.65999999999997</v>
      </c>
      <c r="G35" s="602">
        <v>258.38</v>
      </c>
      <c r="H35" s="602">
        <v>560.35</v>
      </c>
      <c r="I35" s="602">
        <v>0</v>
      </c>
      <c r="J35" s="602">
        <v>0</v>
      </c>
      <c r="K35" s="602">
        <v>3123.78</v>
      </c>
      <c r="L35" s="602">
        <v>1168.1400000000001</v>
      </c>
    </row>
    <row r="36" spans="1:12">
      <c r="A36" s="654" t="s">
        <v>146</v>
      </c>
      <c r="B36" s="655"/>
      <c r="C36" s="600">
        <v>2464.5853299999999</v>
      </c>
      <c r="D36" s="601">
        <f>C36/C37</f>
        <v>4.278259653522043E-2</v>
      </c>
      <c r="E36" s="602">
        <v>88.32</v>
      </c>
      <c r="F36" s="602">
        <v>312.86</v>
      </c>
      <c r="G36" s="602">
        <v>131.37</v>
      </c>
      <c r="H36" s="602">
        <v>4.1399999999999997</v>
      </c>
      <c r="I36" s="602">
        <v>0</v>
      </c>
      <c r="J36" s="602">
        <v>0</v>
      </c>
      <c r="K36" s="602">
        <v>1293.92</v>
      </c>
      <c r="L36" s="602">
        <v>633.97</v>
      </c>
    </row>
    <row r="37" spans="1:12">
      <c r="A37" s="665" t="s">
        <v>907</v>
      </c>
      <c r="B37" s="655"/>
      <c r="C37" s="600">
        <f>SUM(C23:C36)</f>
        <v>57607.193803000002</v>
      </c>
      <c r="D37" s="601">
        <f t="shared" ref="D37:L37" si="0">SUM(D23:D36)</f>
        <v>0.99999999999999978</v>
      </c>
      <c r="E37" s="602">
        <f t="shared" si="0"/>
        <v>3539.5699999999997</v>
      </c>
      <c r="F37" s="602">
        <f t="shared" si="0"/>
        <v>4889.22</v>
      </c>
      <c r="G37" s="602">
        <f t="shared" si="0"/>
        <v>2068.29</v>
      </c>
      <c r="H37" s="602">
        <f t="shared" si="0"/>
        <v>3276.0299999999997</v>
      </c>
      <c r="I37" s="602">
        <f t="shared" si="0"/>
        <v>461.36</v>
      </c>
      <c r="J37" s="602">
        <f t="shared" si="0"/>
        <v>22.15</v>
      </c>
      <c r="K37" s="602">
        <f t="shared" si="0"/>
        <v>30301.58</v>
      </c>
      <c r="L37" s="602">
        <f t="shared" si="0"/>
        <v>13048.989999999998</v>
      </c>
    </row>
    <row r="38" spans="1:12">
      <c r="A38" s="67"/>
      <c r="B38" s="67"/>
      <c r="C38" s="67"/>
      <c r="D38" s="89"/>
      <c r="E38" s="67"/>
      <c r="F38" s="67"/>
      <c r="G38" s="67"/>
      <c r="H38" s="67"/>
      <c r="I38" s="67"/>
      <c r="J38" s="67"/>
      <c r="K38" s="67"/>
      <c r="L38" s="67"/>
    </row>
    <row r="39" spans="1:12">
      <c r="A39" s="90" t="s">
        <v>218</v>
      </c>
      <c r="B39" s="67"/>
      <c r="C39" s="67"/>
      <c r="D39" s="89"/>
      <c r="E39" s="67"/>
      <c r="F39" s="67"/>
      <c r="G39" s="67"/>
      <c r="H39" s="67"/>
      <c r="I39" s="67"/>
      <c r="J39" s="67"/>
      <c r="K39" s="67"/>
      <c r="L39" s="67"/>
    </row>
    <row r="40" spans="1:12">
      <c r="A40" s="664" t="s">
        <v>147</v>
      </c>
      <c r="B40" s="91" t="s">
        <v>77</v>
      </c>
      <c r="C40" s="91" t="s">
        <v>148</v>
      </c>
      <c r="D40" s="91" t="s">
        <v>149</v>
      </c>
      <c r="E40" s="91" t="s">
        <v>150</v>
      </c>
      <c r="F40" s="67"/>
      <c r="G40" s="67"/>
      <c r="H40" s="67"/>
      <c r="I40" s="67"/>
      <c r="J40" s="67"/>
      <c r="K40" s="67"/>
      <c r="L40" s="67"/>
    </row>
    <row r="41" spans="1:12">
      <c r="A41" s="664"/>
      <c r="B41" s="92" t="s">
        <v>82</v>
      </c>
      <c r="C41" s="603"/>
      <c r="D41" s="603"/>
      <c r="E41" s="603"/>
      <c r="F41" s="67"/>
      <c r="G41" s="67"/>
      <c r="H41" s="67"/>
      <c r="I41" s="67"/>
      <c r="J41" s="67"/>
      <c r="K41" s="67"/>
      <c r="L41" s="67"/>
    </row>
    <row r="42" spans="1:12">
      <c r="A42" s="664"/>
      <c r="B42" s="92" t="s">
        <v>151</v>
      </c>
      <c r="C42" s="604">
        <v>18952.03</v>
      </c>
      <c r="D42" s="605">
        <v>6059.2</v>
      </c>
      <c r="E42" s="606">
        <f>D42/C42</f>
        <v>0.3197124529667798</v>
      </c>
      <c r="F42" s="67"/>
      <c r="G42" s="67"/>
      <c r="H42" s="67"/>
      <c r="I42" s="67"/>
      <c r="J42" s="67"/>
      <c r="K42" s="67"/>
      <c r="L42" s="67"/>
    </row>
    <row r="43" spans="1:12">
      <c r="A43" s="664"/>
      <c r="B43" s="92" t="s">
        <v>76</v>
      </c>
      <c r="C43" s="603"/>
      <c r="D43" s="605"/>
      <c r="E43" s="606"/>
      <c r="F43" s="67"/>
      <c r="G43" s="67"/>
      <c r="H43" s="67"/>
      <c r="I43" s="67"/>
      <c r="J43" s="67"/>
      <c r="K43" s="67"/>
      <c r="L43" s="67"/>
    </row>
    <row r="44" spans="1:12">
      <c r="A44" s="664"/>
      <c r="B44" s="92" t="s">
        <v>79</v>
      </c>
      <c r="C44" s="605">
        <v>4541.8100000000004</v>
      </c>
      <c r="D44" s="605">
        <v>2157.83</v>
      </c>
      <c r="E44" s="606">
        <f t="shared" ref="E44" si="1">D44/C44</f>
        <v>0.47510353801678179</v>
      </c>
      <c r="F44" s="67"/>
      <c r="G44" s="67"/>
      <c r="H44" s="67"/>
      <c r="I44" s="67"/>
      <c r="J44" s="67"/>
      <c r="K44" s="67"/>
      <c r="L44" s="67"/>
    </row>
    <row r="45" spans="1:12">
      <c r="A45" s="664" t="s">
        <v>152</v>
      </c>
      <c r="B45" s="92" t="s">
        <v>87</v>
      </c>
      <c r="C45" s="604">
        <v>8350.4500000000007</v>
      </c>
      <c r="D45" s="604">
        <v>6114.84</v>
      </c>
      <c r="E45" s="606">
        <f>D45/C45</f>
        <v>0.73227670365070141</v>
      </c>
      <c r="F45" s="67"/>
      <c r="G45" s="67"/>
      <c r="H45" s="67"/>
      <c r="I45" s="67"/>
      <c r="J45" s="67"/>
      <c r="K45" s="67"/>
      <c r="L45" s="67"/>
    </row>
    <row r="46" spans="1:12">
      <c r="A46" s="664"/>
      <c r="B46" s="92" t="s">
        <v>88</v>
      </c>
      <c r="C46" s="604">
        <v>15143.39</v>
      </c>
      <c r="D46" s="604">
        <v>2102.19</v>
      </c>
      <c r="E46" s="606">
        <f>D46/C46</f>
        <v>0.13881898306785997</v>
      </c>
      <c r="F46" s="67"/>
      <c r="G46" s="67"/>
      <c r="H46" s="67"/>
      <c r="I46" s="67"/>
      <c r="J46" s="67"/>
      <c r="K46" s="67"/>
      <c r="L46" s="67"/>
    </row>
    <row r="47" spans="1:12">
      <c r="A47" s="92" t="s">
        <v>153</v>
      </c>
      <c r="B47" s="92"/>
      <c r="C47" s="604">
        <f>SUM(C45:C46)</f>
        <v>23493.84</v>
      </c>
      <c r="D47" s="604">
        <f>SUM(D45:D46)</f>
        <v>8217.0300000000007</v>
      </c>
      <c r="E47" s="606">
        <f>D47/C47</f>
        <v>0.34975253087617864</v>
      </c>
      <c r="F47" s="67"/>
      <c r="G47" s="67"/>
      <c r="H47" s="67"/>
      <c r="I47" s="67"/>
      <c r="J47" s="67"/>
      <c r="K47" s="67"/>
      <c r="L47" s="67"/>
    </row>
    <row r="48" spans="1:12">
      <c r="A48" s="93"/>
      <c r="B48" s="92" t="s">
        <v>154</v>
      </c>
      <c r="C48" s="604">
        <v>3300</v>
      </c>
      <c r="D48" s="604">
        <v>6012.57</v>
      </c>
      <c r="E48" s="606">
        <f>D48/C48</f>
        <v>1.821990909090909</v>
      </c>
      <c r="F48" s="67"/>
      <c r="G48" s="67"/>
      <c r="H48" s="67"/>
      <c r="I48" s="67"/>
      <c r="J48" s="67"/>
      <c r="K48" s="67"/>
      <c r="L48" s="67"/>
    </row>
    <row r="49" spans="1:12">
      <c r="A49" s="93"/>
      <c r="B49" s="92" t="s">
        <v>155</v>
      </c>
      <c r="C49" s="607"/>
      <c r="D49" s="604">
        <v>259.49</v>
      </c>
      <c r="E49" s="606"/>
      <c r="F49" s="67"/>
      <c r="G49" s="67"/>
      <c r="H49" s="67"/>
      <c r="I49" s="67"/>
      <c r="J49" s="67"/>
      <c r="K49" s="67"/>
      <c r="L49" s="67"/>
    </row>
    <row r="50" spans="1:12">
      <c r="A50" s="92" t="s">
        <v>80</v>
      </c>
      <c r="B50" s="92"/>
      <c r="C50" s="604">
        <f>SUM(C47:C49)</f>
        <v>26793.84</v>
      </c>
      <c r="D50" s="604">
        <f>SUM(D47:D49)</f>
        <v>14489.09</v>
      </c>
      <c r="E50" s="606">
        <f>D50/C50</f>
        <v>0.54076198111207652</v>
      </c>
      <c r="F50" s="67"/>
      <c r="G50" s="67"/>
      <c r="H50" s="67"/>
      <c r="I50" s="67"/>
      <c r="J50" s="67"/>
      <c r="K50" s="67"/>
      <c r="L50" s="67"/>
    </row>
  </sheetData>
  <protectedRanges>
    <protectedRange sqref="K13" name="区域1_1"/>
  </protectedRanges>
  <mergeCells count="24">
    <mergeCell ref="A45:A46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0:A44"/>
    <mergeCell ref="E20:K20"/>
    <mergeCell ref="E21:I21"/>
    <mergeCell ref="K21:K22"/>
    <mergeCell ref="L21:L22"/>
    <mergeCell ref="A23:A26"/>
    <mergeCell ref="A27:B27"/>
    <mergeCell ref="A11:D11"/>
    <mergeCell ref="A12:B12"/>
    <mergeCell ref="A13:A14"/>
    <mergeCell ref="A15:A16"/>
    <mergeCell ref="A20:B22"/>
    <mergeCell ref="C20:D21"/>
  </mergeCells>
  <phoneticPr fontId="1" type="noConversion"/>
  <dataValidations count="1">
    <dataValidation type="decimal" allowBlank="1" showInputMessage="1" showErrorMessage="1" error="你输入的金额有误，可能是单位错误，请检查" sqref="K13">
      <formula1>0</formula1>
      <formula2>1000000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45"/>
  <sheetViews>
    <sheetView workbookViewId="0">
      <selection activeCell="K248" sqref="K248"/>
    </sheetView>
  </sheetViews>
  <sheetFormatPr defaultRowHeight="13.5"/>
  <cols>
    <col min="1" max="1" width="13" customWidth="1"/>
    <col min="2" max="2" width="13.75" customWidth="1"/>
    <col min="3" max="3" width="15.5" customWidth="1"/>
    <col min="22" max="22" width="10.625" customWidth="1"/>
  </cols>
  <sheetData>
    <row r="1" spans="1:23" ht="20.25" customHeight="1">
      <c r="A1" s="671" t="s">
        <v>266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671"/>
      <c r="M1" s="671"/>
      <c r="N1" s="671"/>
      <c r="O1" s="671"/>
      <c r="P1" s="671"/>
      <c r="Q1" s="671"/>
      <c r="R1" s="313"/>
      <c r="S1" s="314"/>
      <c r="T1" s="82"/>
      <c r="U1" s="315"/>
      <c r="V1" s="316"/>
    </row>
    <row r="2" spans="1:23" ht="13.5" customHeight="1">
      <c r="A2" s="636" t="s">
        <v>43</v>
      </c>
      <c r="B2" s="638" t="s">
        <v>94</v>
      </c>
      <c r="C2" s="639" t="s">
        <v>95</v>
      </c>
      <c r="D2" s="641" t="s">
        <v>98</v>
      </c>
      <c r="E2" s="641"/>
      <c r="F2" s="641"/>
      <c r="G2" s="641"/>
      <c r="H2" s="641"/>
      <c r="I2" s="641"/>
      <c r="J2" s="641"/>
      <c r="K2" s="641"/>
      <c r="L2" s="642" t="s">
        <v>267</v>
      </c>
      <c r="M2" s="643" t="s">
        <v>0</v>
      </c>
      <c r="N2" s="644" t="s">
        <v>77</v>
      </c>
      <c r="O2" s="681" t="s">
        <v>268</v>
      </c>
      <c r="P2" s="645" t="s">
        <v>44</v>
      </c>
      <c r="Q2" s="646" t="s">
        <v>263</v>
      </c>
      <c r="R2" s="678" t="s">
        <v>207</v>
      </c>
      <c r="S2" s="679" t="s">
        <v>269</v>
      </c>
      <c r="T2" s="681" t="s">
        <v>270</v>
      </c>
      <c r="U2" s="676" t="s">
        <v>271</v>
      </c>
      <c r="V2" s="647" t="s">
        <v>272</v>
      </c>
      <c r="W2" s="666" t="s">
        <v>849</v>
      </c>
    </row>
    <row r="3" spans="1:23" ht="24">
      <c r="A3" s="637"/>
      <c r="B3" s="638"/>
      <c r="C3" s="640"/>
      <c r="D3" s="4" t="s">
        <v>273</v>
      </c>
      <c r="E3" s="4" t="s">
        <v>274</v>
      </c>
      <c r="F3" s="4" t="s">
        <v>275</v>
      </c>
      <c r="G3" s="4" t="s">
        <v>232</v>
      </c>
      <c r="H3" s="4" t="s">
        <v>276</v>
      </c>
      <c r="I3" s="4" t="s">
        <v>277</v>
      </c>
      <c r="J3" s="4" t="s">
        <v>78</v>
      </c>
      <c r="K3" s="311" t="s">
        <v>153</v>
      </c>
      <c r="L3" s="642"/>
      <c r="M3" s="643"/>
      <c r="N3" s="644"/>
      <c r="O3" s="681"/>
      <c r="P3" s="645"/>
      <c r="Q3" s="646"/>
      <c r="R3" s="678"/>
      <c r="S3" s="680"/>
      <c r="T3" s="681"/>
      <c r="U3" s="677"/>
      <c r="V3" s="647"/>
      <c r="W3" s="666"/>
    </row>
    <row r="4" spans="1:23" ht="12" customHeight="1">
      <c r="A4" s="317" t="s">
        <v>1</v>
      </c>
      <c r="B4" s="318" t="s">
        <v>278</v>
      </c>
      <c r="C4" s="319" t="s">
        <v>279</v>
      </c>
      <c r="D4" s="306"/>
      <c r="E4" s="306"/>
      <c r="F4" s="306"/>
      <c r="G4" s="318">
        <v>5.03</v>
      </c>
      <c r="H4" s="306"/>
      <c r="I4" s="306"/>
      <c r="J4" s="306">
        <f>5.26+3.68</f>
        <v>8.94</v>
      </c>
      <c r="K4" s="306">
        <f t="shared" ref="K4" si="0">J4+I4+H4+G4+F4+E4+D4</f>
        <v>13.969999999999999</v>
      </c>
      <c r="L4" s="320">
        <v>1</v>
      </c>
      <c r="M4" s="321" t="s">
        <v>280</v>
      </c>
      <c r="N4" s="322" t="s">
        <v>83</v>
      </c>
      <c r="O4" s="323" t="s">
        <v>88</v>
      </c>
      <c r="P4" s="324" t="s">
        <v>281</v>
      </c>
      <c r="Q4" s="306" t="s">
        <v>282</v>
      </c>
      <c r="R4" s="306" t="s">
        <v>283</v>
      </c>
      <c r="S4" s="325" t="s">
        <v>284</v>
      </c>
      <c r="T4" s="325" t="s">
        <v>285</v>
      </c>
      <c r="U4" s="325" t="s">
        <v>286</v>
      </c>
      <c r="V4" s="8">
        <v>5.04</v>
      </c>
      <c r="W4" s="54"/>
    </row>
    <row r="5" spans="1:23" ht="12" customHeight="1">
      <c r="A5" s="317" t="s">
        <v>1</v>
      </c>
      <c r="B5" s="318" t="s">
        <v>278</v>
      </c>
      <c r="C5" s="319" t="s">
        <v>287</v>
      </c>
      <c r="D5" s="306"/>
      <c r="E5" s="306"/>
      <c r="F5" s="306"/>
      <c r="G5" s="306">
        <v>198</v>
      </c>
      <c r="H5" s="306"/>
      <c r="I5" s="306"/>
      <c r="J5" s="306"/>
      <c r="K5" s="306">
        <f>J5+I5+H5+G5+F5+E5+D5</f>
        <v>198</v>
      </c>
      <c r="L5" s="320">
        <v>1</v>
      </c>
      <c r="M5" s="321" t="s">
        <v>288</v>
      </c>
      <c r="N5" s="322" t="s">
        <v>83</v>
      </c>
      <c r="O5" s="323" t="s">
        <v>88</v>
      </c>
      <c r="P5" s="324" t="s">
        <v>281</v>
      </c>
      <c r="Q5" s="306" t="s">
        <v>282</v>
      </c>
      <c r="R5" s="306" t="s">
        <v>283</v>
      </c>
      <c r="S5" s="326" t="s">
        <v>289</v>
      </c>
      <c r="T5" s="327" t="s">
        <v>290</v>
      </c>
      <c r="U5" s="328" t="s">
        <v>291</v>
      </c>
      <c r="V5" s="8"/>
      <c r="W5" s="54"/>
    </row>
    <row r="6" spans="1:23" ht="12" customHeight="1">
      <c r="A6" s="317" t="s">
        <v>1</v>
      </c>
      <c r="B6" s="318" t="s">
        <v>278</v>
      </c>
      <c r="C6" s="319" t="s">
        <v>292</v>
      </c>
      <c r="D6" s="306"/>
      <c r="E6" s="306"/>
      <c r="F6" s="306"/>
      <c r="G6" s="306">
        <v>6.45</v>
      </c>
      <c r="H6" s="306"/>
      <c r="I6" s="306"/>
      <c r="J6" s="306"/>
      <c r="K6" s="306">
        <f>J6+I6+H6+G6+F6+E6+D6</f>
        <v>6.45</v>
      </c>
      <c r="L6" s="320">
        <v>1</v>
      </c>
      <c r="M6" s="306" t="s">
        <v>280</v>
      </c>
      <c r="N6" s="322" t="s">
        <v>83</v>
      </c>
      <c r="O6" s="323" t="s">
        <v>88</v>
      </c>
      <c r="P6" s="324" t="s">
        <v>281</v>
      </c>
      <c r="Q6" s="306" t="s">
        <v>282</v>
      </c>
      <c r="R6" s="306" t="s">
        <v>283</v>
      </c>
      <c r="S6" s="326" t="s">
        <v>293</v>
      </c>
      <c r="T6" s="326" t="s">
        <v>294</v>
      </c>
      <c r="U6" s="326" t="s">
        <v>291</v>
      </c>
      <c r="V6" s="8"/>
      <c r="W6" s="54"/>
    </row>
    <row r="7" spans="1:23" ht="12" customHeight="1">
      <c r="A7" s="317" t="s">
        <v>1</v>
      </c>
      <c r="B7" s="318" t="s">
        <v>278</v>
      </c>
      <c r="C7" s="319" t="s">
        <v>295</v>
      </c>
      <c r="D7" s="306"/>
      <c r="E7" s="306"/>
      <c r="F7" s="306"/>
      <c r="G7" s="306">
        <f>22.23</f>
        <v>22.23</v>
      </c>
      <c r="H7" s="306"/>
      <c r="I7" s="306"/>
      <c r="J7" s="306"/>
      <c r="K7" s="306">
        <f>J7+I7+H7+G7+F7+E7+D7</f>
        <v>22.23</v>
      </c>
      <c r="L7" s="320">
        <v>1</v>
      </c>
      <c r="M7" s="306" t="s">
        <v>280</v>
      </c>
      <c r="N7" s="322" t="s">
        <v>83</v>
      </c>
      <c r="O7" s="323" t="s">
        <v>88</v>
      </c>
      <c r="P7" s="324" t="s">
        <v>281</v>
      </c>
      <c r="Q7" s="306" t="s">
        <v>282</v>
      </c>
      <c r="R7" s="306" t="s">
        <v>283</v>
      </c>
      <c r="S7" s="326" t="s">
        <v>296</v>
      </c>
      <c r="T7" s="327" t="s">
        <v>297</v>
      </c>
      <c r="U7" s="328" t="s">
        <v>291</v>
      </c>
      <c r="V7" s="8"/>
      <c r="W7" s="54"/>
    </row>
    <row r="8" spans="1:23" ht="12" customHeight="1">
      <c r="A8" s="317" t="s">
        <v>1</v>
      </c>
      <c r="B8" s="318" t="s">
        <v>278</v>
      </c>
      <c r="C8" s="5" t="s">
        <v>850</v>
      </c>
      <c r="D8" s="306"/>
      <c r="E8" s="306"/>
      <c r="F8" s="306">
        <v>200</v>
      </c>
      <c r="G8" s="306">
        <v>2.25</v>
      </c>
      <c r="H8" s="306"/>
      <c r="I8" s="306"/>
      <c r="J8" s="306"/>
      <c r="K8" s="306">
        <f>J8+I8+H8+G8+F8+E8+D8</f>
        <v>202.25</v>
      </c>
      <c r="L8" s="320">
        <v>1</v>
      </c>
      <c r="M8" s="306" t="s">
        <v>298</v>
      </c>
      <c r="N8" s="322" t="s">
        <v>83</v>
      </c>
      <c r="O8" s="323" t="s">
        <v>88</v>
      </c>
      <c r="P8" s="324" t="s">
        <v>281</v>
      </c>
      <c r="Q8" s="306" t="s">
        <v>282</v>
      </c>
      <c r="R8" s="306" t="s">
        <v>283</v>
      </c>
      <c r="S8" s="326" t="s">
        <v>299</v>
      </c>
      <c r="T8" s="329" t="s">
        <v>300</v>
      </c>
      <c r="U8" s="328" t="s">
        <v>291</v>
      </c>
      <c r="V8" s="8"/>
      <c r="W8" s="54"/>
    </row>
    <row r="9" spans="1:23" ht="12" customHeight="1">
      <c r="A9" s="317" t="s">
        <v>1</v>
      </c>
      <c r="B9" s="318" t="s">
        <v>278</v>
      </c>
      <c r="C9" s="5" t="s">
        <v>211</v>
      </c>
      <c r="D9" s="306"/>
      <c r="E9" s="306"/>
      <c r="F9" s="306"/>
      <c r="G9" s="306"/>
      <c r="H9" s="306"/>
      <c r="I9" s="306"/>
      <c r="J9" s="306"/>
      <c r="K9" s="306"/>
      <c r="L9" s="320">
        <v>2</v>
      </c>
      <c r="M9" s="306" t="s">
        <v>851</v>
      </c>
      <c r="N9" s="322"/>
      <c r="O9" s="323"/>
      <c r="P9" s="324" t="s">
        <v>281</v>
      </c>
      <c r="Q9" s="306" t="s">
        <v>282</v>
      </c>
      <c r="R9" s="306" t="s">
        <v>283</v>
      </c>
      <c r="S9" s="326"/>
      <c r="T9" s="329"/>
      <c r="U9" s="328"/>
      <c r="V9" s="8">
        <v>14.57</v>
      </c>
      <c r="W9" s="54"/>
    </row>
    <row r="10" spans="1:23" ht="12" customHeight="1">
      <c r="A10" s="317" t="s">
        <v>1</v>
      </c>
      <c r="B10" s="318" t="s">
        <v>278</v>
      </c>
      <c r="C10" s="5" t="s">
        <v>301</v>
      </c>
      <c r="D10" s="306"/>
      <c r="E10" s="306"/>
      <c r="F10" s="306"/>
      <c r="G10" s="306"/>
      <c r="H10" s="306"/>
      <c r="I10" s="306"/>
      <c r="J10" s="306"/>
      <c r="K10" s="306"/>
      <c r="L10" s="320">
        <v>2</v>
      </c>
      <c r="M10" s="306" t="s">
        <v>851</v>
      </c>
      <c r="N10" s="322"/>
      <c r="O10" s="323"/>
      <c r="P10" s="324" t="s">
        <v>281</v>
      </c>
      <c r="Q10" s="306" t="s">
        <v>282</v>
      </c>
      <c r="R10" s="306" t="s">
        <v>283</v>
      </c>
      <c r="S10" s="326"/>
      <c r="T10" s="329"/>
      <c r="U10" s="328"/>
      <c r="V10" s="8">
        <v>1.25</v>
      </c>
      <c r="W10" s="54"/>
    </row>
    <row r="11" spans="1:23" ht="12" customHeight="1">
      <c r="A11" s="317" t="s">
        <v>1</v>
      </c>
      <c r="B11" s="318" t="s">
        <v>302</v>
      </c>
      <c r="C11" s="330" t="s">
        <v>59</v>
      </c>
      <c r="D11" s="306"/>
      <c r="E11" s="306"/>
      <c r="F11" s="306"/>
      <c r="G11" s="306"/>
      <c r="H11" s="306"/>
      <c r="I11" s="306"/>
      <c r="J11" s="306">
        <v>1.67</v>
      </c>
      <c r="K11" s="306">
        <v>1.67</v>
      </c>
      <c r="L11" s="320">
        <v>1</v>
      </c>
      <c r="M11" s="306" t="s">
        <v>210</v>
      </c>
      <c r="N11" s="322" t="s">
        <v>83</v>
      </c>
      <c r="O11" s="323" t="s">
        <v>88</v>
      </c>
      <c r="P11" s="324" t="s">
        <v>58</v>
      </c>
      <c r="Q11" s="306" t="s">
        <v>282</v>
      </c>
      <c r="R11" s="306" t="s">
        <v>283</v>
      </c>
      <c r="S11" s="325" t="s">
        <v>303</v>
      </c>
      <c r="T11" s="325" t="s">
        <v>304</v>
      </c>
      <c r="U11" s="325" t="s">
        <v>40</v>
      </c>
      <c r="V11" s="8"/>
      <c r="W11" s="54"/>
    </row>
    <row r="12" spans="1:23" ht="12" customHeight="1">
      <c r="A12" s="317" t="s">
        <v>1</v>
      </c>
      <c r="B12" s="318" t="s">
        <v>302</v>
      </c>
      <c r="C12" s="330" t="s">
        <v>305</v>
      </c>
      <c r="D12" s="306"/>
      <c r="E12" s="306"/>
      <c r="F12" s="306">
        <v>142</v>
      </c>
      <c r="G12" s="306"/>
      <c r="H12" s="306"/>
      <c r="I12" s="306"/>
      <c r="J12" s="306"/>
      <c r="K12" s="306">
        <v>142</v>
      </c>
      <c r="L12" s="320">
        <v>1</v>
      </c>
      <c r="M12" s="322" t="s">
        <v>306</v>
      </c>
      <c r="N12" s="322" t="s">
        <v>83</v>
      </c>
      <c r="O12" s="323" t="s">
        <v>87</v>
      </c>
      <c r="P12" s="324" t="s">
        <v>58</v>
      </c>
      <c r="Q12" s="306" t="s">
        <v>282</v>
      </c>
      <c r="R12" s="306" t="s">
        <v>283</v>
      </c>
      <c r="S12" s="325" t="s">
        <v>307</v>
      </c>
      <c r="T12" s="325" t="s">
        <v>308</v>
      </c>
      <c r="U12" s="325" t="s">
        <v>291</v>
      </c>
      <c r="V12" s="8">
        <f>10+11.27+6.91+46.13+71.92+2.11</f>
        <v>148.34000000000003</v>
      </c>
      <c r="W12" s="54"/>
    </row>
    <row r="13" spans="1:23" ht="12" customHeight="1">
      <c r="A13" s="317" t="s">
        <v>1</v>
      </c>
      <c r="B13" s="318" t="s">
        <v>302</v>
      </c>
      <c r="C13" s="330" t="s">
        <v>309</v>
      </c>
      <c r="D13" s="306"/>
      <c r="E13" s="306"/>
      <c r="F13" s="306"/>
      <c r="G13" s="306"/>
      <c r="H13" s="306"/>
      <c r="I13" s="306"/>
      <c r="J13" s="306"/>
      <c r="K13" s="306"/>
      <c r="L13" s="320">
        <v>2</v>
      </c>
      <c r="M13" s="322" t="s">
        <v>852</v>
      </c>
      <c r="N13" s="322"/>
      <c r="O13" s="323"/>
      <c r="P13" s="324" t="s">
        <v>853</v>
      </c>
      <c r="Q13" s="306" t="s">
        <v>282</v>
      </c>
      <c r="R13" s="306" t="s">
        <v>283</v>
      </c>
      <c r="S13" s="325"/>
      <c r="T13" s="325"/>
      <c r="U13" s="325"/>
      <c r="V13" s="8">
        <v>13.06</v>
      </c>
      <c r="W13" s="54"/>
    </row>
    <row r="14" spans="1:23" ht="12" customHeight="1">
      <c r="A14" s="317" t="s">
        <v>1</v>
      </c>
      <c r="B14" s="331" t="s">
        <v>249</v>
      </c>
      <c r="C14" s="310" t="s">
        <v>310</v>
      </c>
      <c r="D14" s="306"/>
      <c r="E14" s="306"/>
      <c r="F14" s="306"/>
      <c r="G14" s="306">
        <v>0.39</v>
      </c>
      <c r="H14" s="306"/>
      <c r="I14" s="306"/>
      <c r="J14" s="306"/>
      <c r="K14" s="306">
        <f>J14+I14+H14+G14+F14+E14+D14</f>
        <v>0.39</v>
      </c>
      <c r="L14" s="332">
        <v>1</v>
      </c>
      <c r="M14" s="306" t="s">
        <v>30</v>
      </c>
      <c r="N14" s="306" t="s">
        <v>83</v>
      </c>
      <c r="O14" s="323" t="s">
        <v>88</v>
      </c>
      <c r="P14" s="306" t="s">
        <v>250</v>
      </c>
      <c r="Q14" s="306" t="s">
        <v>282</v>
      </c>
      <c r="R14" s="306" t="s">
        <v>283</v>
      </c>
      <c r="S14" s="326" t="s">
        <v>311</v>
      </c>
      <c r="T14" s="329" t="s">
        <v>312</v>
      </c>
      <c r="U14" s="333" t="s">
        <v>313</v>
      </c>
      <c r="V14" s="8"/>
      <c r="W14" s="334"/>
    </row>
    <row r="15" spans="1:23" ht="12" customHeight="1">
      <c r="A15" s="317" t="s">
        <v>1</v>
      </c>
      <c r="B15" s="331" t="s">
        <v>249</v>
      </c>
      <c r="C15" s="5" t="s">
        <v>314</v>
      </c>
      <c r="D15" s="335"/>
      <c r="E15" s="336"/>
      <c r="F15" s="336"/>
      <c r="G15" s="336"/>
      <c r="H15" s="336"/>
      <c r="I15" s="336"/>
      <c r="J15" s="336">
        <v>1.5</v>
      </c>
      <c r="K15" s="323">
        <f t="shared" ref="K15" si="1">D15+E15+F15+G15+H15+I15+J15</f>
        <v>1.5</v>
      </c>
      <c r="L15" s="332">
        <v>1</v>
      </c>
      <c r="M15" s="321" t="s">
        <v>210</v>
      </c>
      <c r="N15" s="306" t="s">
        <v>83</v>
      </c>
      <c r="O15" s="323" t="s">
        <v>88</v>
      </c>
      <c r="P15" s="306" t="s">
        <v>250</v>
      </c>
      <c r="Q15" s="306" t="s">
        <v>282</v>
      </c>
      <c r="R15" s="306" t="s">
        <v>283</v>
      </c>
      <c r="S15" s="326" t="s">
        <v>315</v>
      </c>
      <c r="T15" s="326" t="s">
        <v>316</v>
      </c>
      <c r="U15" s="328" t="s">
        <v>291</v>
      </c>
      <c r="V15" s="8"/>
      <c r="W15" s="54"/>
    </row>
    <row r="16" spans="1:23" ht="12" customHeight="1">
      <c r="A16" s="317" t="s">
        <v>1</v>
      </c>
      <c r="B16" s="331" t="s">
        <v>249</v>
      </c>
      <c r="C16" s="309" t="s">
        <v>317</v>
      </c>
      <c r="D16" s="337"/>
      <c r="E16" s="338"/>
      <c r="F16" s="338"/>
      <c r="G16" s="338"/>
      <c r="H16" s="338"/>
      <c r="I16" s="338"/>
      <c r="J16" s="338">
        <v>32.28</v>
      </c>
      <c r="K16" s="323">
        <v>32.28</v>
      </c>
      <c r="L16" s="339">
        <v>1</v>
      </c>
      <c r="M16" s="321" t="s">
        <v>318</v>
      </c>
      <c r="N16" s="306" t="s">
        <v>83</v>
      </c>
      <c r="O16" s="323" t="s">
        <v>88</v>
      </c>
      <c r="P16" s="306" t="s">
        <v>250</v>
      </c>
      <c r="Q16" s="306" t="s">
        <v>282</v>
      </c>
      <c r="R16" s="306" t="s">
        <v>283</v>
      </c>
      <c r="S16" s="326" t="s">
        <v>319</v>
      </c>
      <c r="T16" s="326" t="s">
        <v>320</v>
      </c>
      <c r="U16" s="328"/>
      <c r="V16" s="8"/>
      <c r="W16" s="54"/>
    </row>
    <row r="17" spans="1:23" ht="12" customHeight="1">
      <c r="A17" s="317" t="s">
        <v>1</v>
      </c>
      <c r="B17" s="318" t="s">
        <v>321</v>
      </c>
      <c r="C17" s="340" t="s">
        <v>57</v>
      </c>
      <c r="D17" s="338"/>
      <c r="E17" s="338"/>
      <c r="F17" s="338"/>
      <c r="G17" s="338"/>
      <c r="H17" s="338"/>
      <c r="I17" s="338"/>
      <c r="J17" s="338">
        <v>18.3</v>
      </c>
      <c r="K17" s="323">
        <f t="shared" ref="K17" si="2">D17+E17+F17+G17+H17+I17+J17</f>
        <v>18.3</v>
      </c>
      <c r="L17" s="339">
        <v>1</v>
      </c>
      <c r="M17" s="321" t="s">
        <v>322</v>
      </c>
      <c r="N17" s="306" t="s">
        <v>83</v>
      </c>
      <c r="O17" s="323" t="s">
        <v>88</v>
      </c>
      <c r="P17" s="306" t="s">
        <v>56</v>
      </c>
      <c r="Q17" s="306" t="s">
        <v>282</v>
      </c>
      <c r="R17" s="306" t="s">
        <v>283</v>
      </c>
      <c r="S17" s="326" t="s">
        <v>323</v>
      </c>
      <c r="T17" s="333" t="s">
        <v>324</v>
      </c>
      <c r="U17" s="328" t="s">
        <v>291</v>
      </c>
      <c r="V17" s="8"/>
      <c r="W17" s="54"/>
    </row>
    <row r="18" spans="1:23" ht="12" customHeight="1">
      <c r="A18" s="317" t="s">
        <v>1</v>
      </c>
      <c r="B18" s="318" t="s">
        <v>321</v>
      </c>
      <c r="C18" s="340" t="s">
        <v>325</v>
      </c>
      <c r="D18" s="338"/>
      <c r="E18" s="338"/>
      <c r="F18" s="338"/>
      <c r="G18" s="338">
        <v>7.2</v>
      </c>
      <c r="H18" s="338"/>
      <c r="I18" s="338"/>
      <c r="J18" s="338"/>
      <c r="K18" s="323">
        <f>D18+E18+F18+G18+H18+I18+J18</f>
        <v>7.2</v>
      </c>
      <c r="L18" s="339">
        <v>1</v>
      </c>
      <c r="M18" s="321" t="s">
        <v>29</v>
      </c>
      <c r="N18" s="306" t="s">
        <v>83</v>
      </c>
      <c r="O18" s="323" t="s">
        <v>88</v>
      </c>
      <c r="P18" s="306" t="s">
        <v>56</v>
      </c>
      <c r="Q18" s="306" t="s">
        <v>282</v>
      </c>
      <c r="R18" s="306" t="s">
        <v>283</v>
      </c>
      <c r="S18" s="325" t="s">
        <v>326</v>
      </c>
      <c r="T18" s="325" t="s">
        <v>326</v>
      </c>
      <c r="U18" s="325" t="s">
        <v>327</v>
      </c>
      <c r="V18" s="8"/>
      <c r="W18" s="54"/>
    </row>
    <row r="19" spans="1:23" ht="12" customHeight="1">
      <c r="A19" s="317" t="s">
        <v>1</v>
      </c>
      <c r="B19" s="318" t="s">
        <v>321</v>
      </c>
      <c r="C19" s="340" t="s">
        <v>854</v>
      </c>
      <c r="D19" s="338"/>
      <c r="E19" s="338"/>
      <c r="F19" s="338"/>
      <c r="G19" s="338">
        <v>197.92</v>
      </c>
      <c r="H19" s="338"/>
      <c r="I19" s="338"/>
      <c r="J19" s="338">
        <v>85</v>
      </c>
      <c r="K19" s="323">
        <f>D19+E19+F19+G19+H19+I19+J19</f>
        <v>282.91999999999996</v>
      </c>
      <c r="L19" s="339">
        <v>1</v>
      </c>
      <c r="M19" s="321" t="s">
        <v>210</v>
      </c>
      <c r="N19" s="306" t="s">
        <v>83</v>
      </c>
      <c r="O19" s="323" t="s">
        <v>88</v>
      </c>
      <c r="P19" s="306" t="s">
        <v>56</v>
      </c>
      <c r="Q19" s="306" t="s">
        <v>282</v>
      </c>
      <c r="R19" s="306" t="s">
        <v>283</v>
      </c>
      <c r="S19" s="326" t="s">
        <v>328</v>
      </c>
      <c r="T19" s="333" t="s">
        <v>329</v>
      </c>
      <c r="U19" s="333" t="s">
        <v>330</v>
      </c>
      <c r="V19" s="8">
        <v>283.48</v>
      </c>
      <c r="W19" s="54"/>
    </row>
    <row r="20" spans="1:23" ht="12" customHeight="1">
      <c r="A20" s="317" t="s">
        <v>1</v>
      </c>
      <c r="B20" s="318" t="s">
        <v>321</v>
      </c>
      <c r="C20" s="5" t="s">
        <v>55</v>
      </c>
      <c r="D20" s="338"/>
      <c r="E20" s="338"/>
      <c r="F20" s="338"/>
      <c r="G20" s="338"/>
      <c r="H20" s="338"/>
      <c r="I20" s="338"/>
      <c r="J20" s="338">
        <v>61.31</v>
      </c>
      <c r="K20" s="323">
        <f>D20+E20+F20+G20+H20+I20+J20</f>
        <v>61.31</v>
      </c>
      <c r="L20" s="339">
        <v>1</v>
      </c>
      <c r="M20" s="321" t="s">
        <v>107</v>
      </c>
      <c r="N20" s="306" t="s">
        <v>83</v>
      </c>
      <c r="O20" s="323" t="s">
        <v>88</v>
      </c>
      <c r="P20" s="306" t="s">
        <v>56</v>
      </c>
      <c r="Q20" s="306" t="s">
        <v>282</v>
      </c>
      <c r="R20" s="306" t="s">
        <v>283</v>
      </c>
      <c r="S20" s="341" t="s">
        <v>331</v>
      </c>
      <c r="T20" s="341" t="s">
        <v>332</v>
      </c>
      <c r="U20" s="328" t="s">
        <v>291</v>
      </c>
      <c r="V20" s="8"/>
      <c r="W20" s="54"/>
    </row>
    <row r="21" spans="1:23" ht="12" customHeight="1">
      <c r="A21" s="317" t="s">
        <v>1</v>
      </c>
      <c r="B21" s="318" t="s">
        <v>321</v>
      </c>
      <c r="C21" s="5" t="s">
        <v>27</v>
      </c>
      <c r="D21" s="338"/>
      <c r="E21" s="338"/>
      <c r="F21" s="338"/>
      <c r="G21" s="338"/>
      <c r="H21" s="338"/>
      <c r="I21" s="338"/>
      <c r="J21" s="338">
        <v>40.82</v>
      </c>
      <c r="K21" s="323">
        <f>D21+E21+F21+G21+H21+I21+J21</f>
        <v>40.82</v>
      </c>
      <c r="L21" s="339">
        <v>1</v>
      </c>
      <c r="M21" s="321" t="s">
        <v>318</v>
      </c>
      <c r="N21" s="306" t="s">
        <v>83</v>
      </c>
      <c r="O21" s="323" t="s">
        <v>88</v>
      </c>
      <c r="P21" s="306" t="s">
        <v>56</v>
      </c>
      <c r="Q21" s="306" t="s">
        <v>282</v>
      </c>
      <c r="R21" s="306" t="s">
        <v>283</v>
      </c>
      <c r="S21" s="341" t="s">
        <v>331</v>
      </c>
      <c r="T21" s="341" t="s">
        <v>333</v>
      </c>
      <c r="U21" s="328"/>
      <c r="V21" s="8">
        <v>20</v>
      </c>
      <c r="W21" s="54"/>
    </row>
    <row r="22" spans="1:23" ht="12" customHeight="1">
      <c r="A22" s="317" t="s">
        <v>1</v>
      </c>
      <c r="B22" s="318" t="s">
        <v>321</v>
      </c>
      <c r="C22" s="5" t="s">
        <v>334</v>
      </c>
      <c r="D22" s="338"/>
      <c r="E22" s="338"/>
      <c r="F22" s="338"/>
      <c r="G22" s="338"/>
      <c r="H22" s="338"/>
      <c r="I22" s="338"/>
      <c r="J22" s="338"/>
      <c r="K22" s="323"/>
      <c r="L22" s="339">
        <v>2</v>
      </c>
      <c r="M22" s="321" t="s">
        <v>855</v>
      </c>
      <c r="N22" s="306"/>
      <c r="O22" s="323"/>
      <c r="P22" s="306" t="s">
        <v>56</v>
      </c>
      <c r="Q22" s="306" t="s">
        <v>282</v>
      </c>
      <c r="R22" s="306" t="s">
        <v>283</v>
      </c>
      <c r="S22" s="341"/>
      <c r="T22" s="341"/>
      <c r="U22" s="328"/>
      <c r="V22" s="8">
        <v>10</v>
      </c>
      <c r="W22" s="54"/>
    </row>
    <row r="23" spans="1:23" ht="12" customHeight="1">
      <c r="A23" s="317" t="s">
        <v>1</v>
      </c>
      <c r="B23" s="318" t="s">
        <v>321</v>
      </c>
      <c r="C23" s="319" t="s">
        <v>335</v>
      </c>
      <c r="D23" s="342"/>
      <c r="E23" s="343"/>
      <c r="F23" s="343"/>
      <c r="G23" s="306">
        <v>1.43</v>
      </c>
      <c r="H23" s="342"/>
      <c r="I23" s="342"/>
      <c r="J23" s="342"/>
      <c r="K23" s="323">
        <f>D23+E23+F23+G23+H23+I23+J23</f>
        <v>1.43</v>
      </c>
      <c r="L23" s="332">
        <v>1</v>
      </c>
      <c r="M23" s="321" t="s">
        <v>29</v>
      </c>
      <c r="N23" s="306" t="s">
        <v>83</v>
      </c>
      <c r="O23" s="323" t="s">
        <v>88</v>
      </c>
      <c r="P23" s="324" t="s">
        <v>32</v>
      </c>
      <c r="Q23" s="306" t="s">
        <v>282</v>
      </c>
      <c r="R23" s="306" t="s">
        <v>283</v>
      </c>
      <c r="S23" s="326" t="s">
        <v>336</v>
      </c>
      <c r="T23" s="326" t="s">
        <v>337</v>
      </c>
      <c r="U23" s="328" t="s">
        <v>291</v>
      </c>
      <c r="V23" s="8"/>
      <c r="W23" s="54"/>
    </row>
    <row r="24" spans="1:23" ht="12" customHeight="1">
      <c r="A24" s="317" t="s">
        <v>1</v>
      </c>
      <c r="B24" s="344" t="s">
        <v>2</v>
      </c>
      <c r="C24" s="345" t="s">
        <v>338</v>
      </c>
      <c r="D24" s="336"/>
      <c r="E24" s="336"/>
      <c r="F24" s="336"/>
      <c r="G24" s="336"/>
      <c r="H24" s="336"/>
      <c r="I24" s="336"/>
      <c r="J24" s="336">
        <v>0.6</v>
      </c>
      <c r="K24" s="306">
        <f t="shared" ref="K24" si="3">J24+I24+H24+G24+F24+E24+D24</f>
        <v>0.6</v>
      </c>
      <c r="L24" s="320">
        <v>1</v>
      </c>
      <c r="M24" s="321" t="s">
        <v>29</v>
      </c>
      <c r="N24" s="306" t="s">
        <v>83</v>
      </c>
      <c r="O24" s="323" t="s">
        <v>88</v>
      </c>
      <c r="P24" s="324" t="s">
        <v>264</v>
      </c>
      <c r="Q24" s="321" t="s">
        <v>339</v>
      </c>
      <c r="R24" s="306" t="s">
        <v>283</v>
      </c>
      <c r="S24" s="346" t="s">
        <v>340</v>
      </c>
      <c r="T24" s="347" t="s">
        <v>341</v>
      </c>
      <c r="U24" s="328" t="s">
        <v>291</v>
      </c>
      <c r="V24" s="8"/>
      <c r="W24" s="54"/>
    </row>
    <row r="25" spans="1:23" ht="12" customHeight="1">
      <c r="A25" s="317" t="s">
        <v>1</v>
      </c>
      <c r="B25" s="345" t="s">
        <v>2</v>
      </c>
      <c r="C25" s="345" t="s">
        <v>342</v>
      </c>
      <c r="D25" s="348"/>
      <c r="E25" s="306"/>
      <c r="F25" s="306"/>
      <c r="G25" s="306">
        <v>7.7</v>
      </c>
      <c r="H25" s="306"/>
      <c r="I25" s="306"/>
      <c r="J25" s="306"/>
      <c r="K25" s="306">
        <f>J25+I25+H25+G25+F25+E25+D25</f>
        <v>7.7</v>
      </c>
      <c r="L25" s="332">
        <v>1</v>
      </c>
      <c r="M25" s="321" t="s">
        <v>280</v>
      </c>
      <c r="N25" s="306" t="s">
        <v>83</v>
      </c>
      <c r="O25" s="323" t="s">
        <v>88</v>
      </c>
      <c r="P25" s="324" t="s">
        <v>264</v>
      </c>
      <c r="Q25" s="321" t="s">
        <v>339</v>
      </c>
      <c r="R25" s="306" t="s">
        <v>283</v>
      </c>
      <c r="S25" s="346" t="s">
        <v>343</v>
      </c>
      <c r="T25" s="347" t="s">
        <v>344</v>
      </c>
      <c r="U25" s="328" t="s">
        <v>291</v>
      </c>
      <c r="V25" s="8"/>
      <c r="W25" s="54"/>
    </row>
    <row r="26" spans="1:23" ht="12" customHeight="1">
      <c r="A26" s="317" t="s">
        <v>1</v>
      </c>
      <c r="B26" s="345" t="s">
        <v>2</v>
      </c>
      <c r="C26" s="345" t="s">
        <v>345</v>
      </c>
      <c r="D26" s="348"/>
      <c r="E26" s="306"/>
      <c r="F26" s="306"/>
      <c r="G26" s="306">
        <f>6.07+1.85</f>
        <v>7.92</v>
      </c>
      <c r="H26" s="306"/>
      <c r="I26" s="306"/>
      <c r="J26" s="306"/>
      <c r="K26" s="306">
        <f>J26+I26+H26+G26+F26+E26+D26</f>
        <v>7.92</v>
      </c>
      <c r="L26" s="332">
        <v>1</v>
      </c>
      <c r="M26" s="321" t="s">
        <v>288</v>
      </c>
      <c r="N26" s="306" t="s">
        <v>83</v>
      </c>
      <c r="O26" s="323" t="s">
        <v>88</v>
      </c>
      <c r="P26" s="324" t="s">
        <v>264</v>
      </c>
      <c r="Q26" s="321" t="s">
        <v>339</v>
      </c>
      <c r="R26" s="306" t="s">
        <v>283</v>
      </c>
      <c r="S26" s="326"/>
      <c r="T26" s="326"/>
      <c r="U26" s="328"/>
      <c r="V26" s="8"/>
      <c r="W26" s="54"/>
    </row>
    <row r="27" spans="1:23" ht="12" customHeight="1">
      <c r="A27" s="317" t="s">
        <v>1</v>
      </c>
      <c r="B27" s="345" t="s">
        <v>2</v>
      </c>
      <c r="C27" s="345" t="s">
        <v>856</v>
      </c>
      <c r="D27" s="348"/>
      <c r="E27" s="306"/>
      <c r="F27" s="306"/>
      <c r="G27" s="306">
        <v>1.58</v>
      </c>
      <c r="H27" s="306"/>
      <c r="I27" s="306"/>
      <c r="J27" s="306"/>
      <c r="K27" s="306">
        <v>1.58</v>
      </c>
      <c r="L27" s="332">
        <v>1</v>
      </c>
      <c r="M27" s="321" t="s">
        <v>288</v>
      </c>
      <c r="N27" s="306" t="s">
        <v>83</v>
      </c>
      <c r="O27" s="323" t="s">
        <v>88</v>
      </c>
      <c r="P27" s="324" t="s">
        <v>264</v>
      </c>
      <c r="Q27" s="321" t="s">
        <v>339</v>
      </c>
      <c r="R27" s="306" t="s">
        <v>283</v>
      </c>
      <c r="S27" s="326"/>
      <c r="T27" s="326"/>
      <c r="U27" s="328"/>
      <c r="V27" s="8">
        <f>0.15+1.47</f>
        <v>1.6199999999999999</v>
      </c>
      <c r="W27" s="54"/>
    </row>
    <row r="28" spans="1:23" ht="12" customHeight="1">
      <c r="A28" s="317" t="s">
        <v>1</v>
      </c>
      <c r="B28" s="345" t="s">
        <v>2</v>
      </c>
      <c r="C28" s="5" t="s">
        <v>346</v>
      </c>
      <c r="D28" s="349"/>
      <c r="E28" s="306"/>
      <c r="F28" s="306"/>
      <c r="G28" s="306">
        <v>69.94</v>
      </c>
      <c r="H28" s="306"/>
      <c r="I28" s="306"/>
      <c r="J28" s="306"/>
      <c r="K28" s="306">
        <f t="shared" ref="K28" si="4">J28+I28+H28+G28+F28+E28+D28</f>
        <v>69.94</v>
      </c>
      <c r="L28" s="320">
        <v>1</v>
      </c>
      <c r="M28" s="321" t="s">
        <v>288</v>
      </c>
      <c r="N28" s="306" t="s">
        <v>83</v>
      </c>
      <c r="O28" s="323" t="s">
        <v>88</v>
      </c>
      <c r="P28" s="324" t="s">
        <v>264</v>
      </c>
      <c r="Q28" s="321" t="s">
        <v>339</v>
      </c>
      <c r="R28" s="306" t="s">
        <v>283</v>
      </c>
      <c r="S28" s="326"/>
      <c r="T28" s="326"/>
      <c r="U28" s="328"/>
      <c r="V28" s="8"/>
      <c r="W28" s="54"/>
    </row>
    <row r="29" spans="1:23" ht="12" customHeight="1">
      <c r="A29" s="317" t="s">
        <v>1</v>
      </c>
      <c r="B29" s="344" t="s">
        <v>2</v>
      </c>
      <c r="C29" s="345" t="s">
        <v>347</v>
      </c>
      <c r="D29" s="336"/>
      <c r="E29" s="336"/>
      <c r="F29" s="336"/>
      <c r="G29" s="336"/>
      <c r="H29" s="336"/>
      <c r="I29" s="336"/>
      <c r="J29" s="336">
        <v>20.45</v>
      </c>
      <c r="K29" s="306">
        <f>J29+I29+H29+G29+F29+E29+D29</f>
        <v>20.45</v>
      </c>
      <c r="L29" s="320">
        <v>1</v>
      </c>
      <c r="M29" s="321" t="s">
        <v>30</v>
      </c>
      <c r="N29" s="306" t="s">
        <v>83</v>
      </c>
      <c r="O29" s="323" t="s">
        <v>88</v>
      </c>
      <c r="P29" s="324" t="s">
        <v>264</v>
      </c>
      <c r="Q29" s="321" t="s">
        <v>339</v>
      </c>
      <c r="R29" s="306" t="s">
        <v>283</v>
      </c>
      <c r="S29" s="346" t="s">
        <v>343</v>
      </c>
      <c r="T29" s="347" t="s">
        <v>344</v>
      </c>
      <c r="U29" s="328" t="s">
        <v>291</v>
      </c>
      <c r="V29" s="8"/>
      <c r="W29" s="54"/>
    </row>
    <row r="30" spans="1:23" ht="12" customHeight="1">
      <c r="A30" s="317" t="s">
        <v>1</v>
      </c>
      <c r="B30" s="344" t="s">
        <v>2</v>
      </c>
      <c r="C30" s="345" t="s">
        <v>348</v>
      </c>
      <c r="D30" s="336"/>
      <c r="E30" s="336"/>
      <c r="F30" s="336"/>
      <c r="G30" s="336">
        <v>2.14</v>
      </c>
      <c r="H30" s="336"/>
      <c r="I30" s="336"/>
      <c r="J30" s="336">
        <v>2.14</v>
      </c>
      <c r="K30" s="306">
        <f>J30+I30+H30+G30+F30+E30+D30</f>
        <v>4.28</v>
      </c>
      <c r="L30" s="320">
        <v>1</v>
      </c>
      <c r="M30" s="321" t="s">
        <v>210</v>
      </c>
      <c r="N30" s="306" t="s">
        <v>83</v>
      </c>
      <c r="O30" s="323" t="s">
        <v>88</v>
      </c>
      <c r="P30" s="324" t="s">
        <v>264</v>
      </c>
      <c r="Q30" s="321" t="s">
        <v>339</v>
      </c>
      <c r="R30" s="306" t="s">
        <v>283</v>
      </c>
      <c r="S30" s="326"/>
      <c r="T30" s="326"/>
      <c r="U30" s="350"/>
      <c r="V30" s="8"/>
      <c r="W30" s="54"/>
    </row>
    <row r="31" spans="1:23" ht="12" customHeight="1">
      <c r="A31" s="317" t="s">
        <v>1</v>
      </c>
      <c r="B31" s="344" t="s">
        <v>2</v>
      </c>
      <c r="C31" s="345" t="s">
        <v>349</v>
      </c>
      <c r="D31" s="336"/>
      <c r="E31" s="336"/>
      <c r="F31" s="336"/>
      <c r="G31" s="336"/>
      <c r="H31" s="336"/>
      <c r="I31" s="336"/>
      <c r="J31" s="336">
        <v>0.01</v>
      </c>
      <c r="K31" s="306">
        <f>J31+I31+H31+G31+F31+E31+D31</f>
        <v>0.01</v>
      </c>
      <c r="L31" s="320">
        <v>1</v>
      </c>
      <c r="M31" s="321" t="s">
        <v>288</v>
      </c>
      <c r="N31" s="306" t="s">
        <v>83</v>
      </c>
      <c r="O31" s="323" t="s">
        <v>88</v>
      </c>
      <c r="P31" s="324" t="s">
        <v>264</v>
      </c>
      <c r="Q31" s="321" t="s">
        <v>339</v>
      </c>
      <c r="R31" s="306" t="s">
        <v>283</v>
      </c>
      <c r="S31" s="326"/>
      <c r="T31" s="326"/>
      <c r="U31" s="350"/>
      <c r="V31" s="8">
        <v>0.02</v>
      </c>
      <c r="W31" s="54"/>
    </row>
    <row r="32" spans="1:23" ht="12" customHeight="1">
      <c r="A32" s="317" t="s">
        <v>1</v>
      </c>
      <c r="B32" s="344" t="s">
        <v>2</v>
      </c>
      <c r="C32" s="345" t="s">
        <v>350</v>
      </c>
      <c r="D32" s="336"/>
      <c r="E32" s="336"/>
      <c r="F32" s="336"/>
      <c r="G32" s="336">
        <v>2.4700000000000002</v>
      </c>
      <c r="H32" s="336"/>
      <c r="I32" s="336"/>
      <c r="J32" s="336"/>
      <c r="K32" s="306">
        <v>2.4700000000000002</v>
      </c>
      <c r="L32" s="320">
        <v>1</v>
      </c>
      <c r="M32" s="321" t="s">
        <v>288</v>
      </c>
      <c r="N32" s="306" t="s">
        <v>83</v>
      </c>
      <c r="O32" s="323" t="s">
        <v>87</v>
      </c>
      <c r="P32" s="306" t="s">
        <v>54</v>
      </c>
      <c r="Q32" s="321" t="s">
        <v>339</v>
      </c>
      <c r="R32" s="306" t="s">
        <v>283</v>
      </c>
      <c r="S32" s="346" t="s">
        <v>351</v>
      </c>
      <c r="T32" s="347" t="s">
        <v>39</v>
      </c>
      <c r="U32" s="350"/>
      <c r="V32" s="8">
        <v>2.48</v>
      </c>
      <c r="W32" s="54"/>
    </row>
    <row r="33" spans="1:23" ht="12" customHeight="1">
      <c r="A33" s="351" t="s">
        <v>1</v>
      </c>
      <c r="B33" s="352" t="s">
        <v>352</v>
      </c>
      <c r="C33" s="353" t="s">
        <v>857</v>
      </c>
      <c r="D33" s="353"/>
      <c r="E33" s="353"/>
      <c r="F33" s="353"/>
      <c r="G33" s="354">
        <v>200</v>
      </c>
      <c r="H33" s="353"/>
      <c r="I33" s="353"/>
      <c r="J33" s="353"/>
      <c r="K33" s="354">
        <v>200</v>
      </c>
      <c r="L33" s="354">
        <v>1</v>
      </c>
      <c r="M33" s="354" t="s">
        <v>858</v>
      </c>
      <c r="N33" s="355" t="s">
        <v>83</v>
      </c>
      <c r="O33" s="356" t="s">
        <v>88</v>
      </c>
      <c r="P33" s="355" t="s">
        <v>353</v>
      </c>
      <c r="Q33" s="357" t="s">
        <v>339</v>
      </c>
      <c r="R33" s="355" t="s">
        <v>283</v>
      </c>
      <c r="S33" s="354" t="s">
        <v>859</v>
      </c>
      <c r="T33" s="353"/>
      <c r="U33" s="353"/>
      <c r="V33" s="8">
        <f>0.61+3+4.2</f>
        <v>7.8100000000000005</v>
      </c>
      <c r="W33" s="353"/>
    </row>
    <row r="34" spans="1:23" ht="12" customHeight="1">
      <c r="A34" s="317" t="s">
        <v>1</v>
      </c>
      <c r="B34" s="344" t="s">
        <v>352</v>
      </c>
      <c r="C34" s="345" t="s">
        <v>354</v>
      </c>
      <c r="D34" s="336"/>
      <c r="E34" s="336"/>
      <c r="F34" s="336">
        <v>20</v>
      </c>
      <c r="G34" s="336"/>
      <c r="H34" s="336"/>
      <c r="I34" s="336"/>
      <c r="J34" s="336"/>
      <c r="K34" s="306">
        <f t="shared" ref="K34:K50" si="5">J34+I34+H34+G34+F34+E34+D34</f>
        <v>20</v>
      </c>
      <c r="L34" s="320">
        <v>2</v>
      </c>
      <c r="M34" s="321" t="s">
        <v>355</v>
      </c>
      <c r="N34" s="306" t="s">
        <v>83</v>
      </c>
      <c r="O34" s="323" t="s">
        <v>88</v>
      </c>
      <c r="P34" s="306" t="s">
        <v>353</v>
      </c>
      <c r="Q34" s="321" t="s">
        <v>339</v>
      </c>
      <c r="R34" s="306" t="s">
        <v>283</v>
      </c>
      <c r="S34" s="326"/>
      <c r="T34" s="326"/>
      <c r="U34" s="350"/>
      <c r="V34" s="8">
        <f>0.24+2+0.28+1</f>
        <v>3.5200000000000005</v>
      </c>
      <c r="W34" s="54"/>
    </row>
    <row r="35" spans="1:23" ht="12" customHeight="1">
      <c r="A35" s="317" t="s">
        <v>1</v>
      </c>
      <c r="B35" s="318" t="s">
        <v>239</v>
      </c>
      <c r="C35" s="310" t="s">
        <v>52</v>
      </c>
      <c r="D35" s="306"/>
      <c r="E35" s="306"/>
      <c r="F35" s="306"/>
      <c r="G35" s="306">
        <v>5.51</v>
      </c>
      <c r="H35" s="306"/>
      <c r="I35" s="306"/>
      <c r="J35" s="306">
        <v>54.2</v>
      </c>
      <c r="K35" s="306">
        <f t="shared" si="5"/>
        <v>59.71</v>
      </c>
      <c r="L35" s="320">
        <v>1</v>
      </c>
      <c r="M35" s="321" t="s">
        <v>28</v>
      </c>
      <c r="N35" s="306" t="s">
        <v>83</v>
      </c>
      <c r="O35" s="323" t="s">
        <v>88</v>
      </c>
      <c r="P35" s="306" t="s">
        <v>51</v>
      </c>
      <c r="Q35" s="321" t="s">
        <v>339</v>
      </c>
      <c r="R35" s="306" t="s">
        <v>283</v>
      </c>
      <c r="S35" s="346" t="s">
        <v>356</v>
      </c>
      <c r="T35" s="347" t="s">
        <v>357</v>
      </c>
      <c r="U35" s="358" t="s">
        <v>358</v>
      </c>
      <c r="V35" s="8"/>
      <c r="W35" s="54"/>
    </row>
    <row r="36" spans="1:23" ht="12" customHeight="1">
      <c r="A36" s="317" t="s">
        <v>1</v>
      </c>
      <c r="B36" s="318" t="s">
        <v>239</v>
      </c>
      <c r="C36" s="310" t="s">
        <v>359</v>
      </c>
      <c r="D36" s="323"/>
      <c r="E36" s="323"/>
      <c r="F36" s="323"/>
      <c r="G36" s="323"/>
      <c r="H36" s="323"/>
      <c r="I36" s="323"/>
      <c r="J36" s="323">
        <v>7.74</v>
      </c>
      <c r="K36" s="306">
        <f t="shared" si="5"/>
        <v>7.74</v>
      </c>
      <c r="L36" s="320">
        <v>1</v>
      </c>
      <c r="M36" s="321" t="s">
        <v>360</v>
      </c>
      <c r="N36" s="306" t="s">
        <v>83</v>
      </c>
      <c r="O36" s="323" t="s">
        <v>88</v>
      </c>
      <c r="P36" s="306" t="s">
        <v>51</v>
      </c>
      <c r="Q36" s="321" t="s">
        <v>339</v>
      </c>
      <c r="R36" s="306" t="s">
        <v>283</v>
      </c>
      <c r="S36" s="346" t="s">
        <v>356</v>
      </c>
      <c r="T36" s="347" t="s">
        <v>357</v>
      </c>
      <c r="U36" s="358" t="s">
        <v>358</v>
      </c>
      <c r="V36" s="8"/>
      <c r="W36" s="54"/>
    </row>
    <row r="37" spans="1:23" ht="12" customHeight="1">
      <c r="A37" s="317" t="s">
        <v>1</v>
      </c>
      <c r="B37" s="318" t="s">
        <v>239</v>
      </c>
      <c r="C37" s="310" t="s">
        <v>361</v>
      </c>
      <c r="D37" s="323"/>
      <c r="E37" s="323"/>
      <c r="F37" s="323"/>
      <c r="G37" s="323"/>
      <c r="H37" s="323"/>
      <c r="I37" s="323"/>
      <c r="J37" s="323">
        <v>11.33</v>
      </c>
      <c r="K37" s="306">
        <f t="shared" si="5"/>
        <v>11.33</v>
      </c>
      <c r="L37" s="320">
        <v>1</v>
      </c>
      <c r="M37" s="321" t="s">
        <v>362</v>
      </c>
      <c r="N37" s="306" t="s">
        <v>83</v>
      </c>
      <c r="O37" s="323" t="s">
        <v>87</v>
      </c>
      <c r="P37" s="324" t="s">
        <v>51</v>
      </c>
      <c r="Q37" s="321" t="s">
        <v>339</v>
      </c>
      <c r="R37" s="306" t="s">
        <v>283</v>
      </c>
      <c r="S37" s="346" t="s">
        <v>363</v>
      </c>
      <c r="T37" s="347" t="s">
        <v>364</v>
      </c>
      <c r="U37" s="350" t="s">
        <v>291</v>
      </c>
      <c r="V37" s="8"/>
      <c r="W37" s="54"/>
    </row>
    <row r="38" spans="1:23" ht="12" customHeight="1">
      <c r="A38" s="317" t="s">
        <v>1</v>
      </c>
      <c r="B38" s="318" t="s">
        <v>239</v>
      </c>
      <c r="C38" s="359" t="s">
        <v>365</v>
      </c>
      <c r="D38" s="306"/>
      <c r="E38" s="360"/>
      <c r="F38" s="360"/>
      <c r="G38" s="306"/>
      <c r="H38" s="306"/>
      <c r="I38" s="306"/>
      <c r="J38" s="306">
        <v>3.08</v>
      </c>
      <c r="K38" s="306">
        <f t="shared" si="5"/>
        <v>3.08</v>
      </c>
      <c r="L38" s="332">
        <v>1</v>
      </c>
      <c r="M38" s="306" t="s">
        <v>288</v>
      </c>
      <c r="N38" s="306" t="s">
        <v>83</v>
      </c>
      <c r="O38" s="323" t="s">
        <v>88</v>
      </c>
      <c r="P38" s="306" t="s">
        <v>51</v>
      </c>
      <c r="Q38" s="321" t="s">
        <v>339</v>
      </c>
      <c r="R38" s="306" t="s">
        <v>283</v>
      </c>
      <c r="S38" s="346" t="s">
        <v>340</v>
      </c>
      <c r="T38" s="347" t="s">
        <v>366</v>
      </c>
      <c r="U38" s="350" t="s">
        <v>291</v>
      </c>
      <c r="V38" s="8"/>
      <c r="W38" s="334"/>
    </row>
    <row r="39" spans="1:23" ht="12" customHeight="1">
      <c r="A39" s="317" t="s">
        <v>1</v>
      </c>
      <c r="B39" s="318" t="s">
        <v>239</v>
      </c>
      <c r="C39" s="359" t="s">
        <v>53</v>
      </c>
      <c r="D39" s="306"/>
      <c r="E39" s="360"/>
      <c r="F39" s="360"/>
      <c r="G39" s="306"/>
      <c r="H39" s="306"/>
      <c r="I39" s="306"/>
      <c r="J39" s="306">
        <v>19.190000000000001</v>
      </c>
      <c r="K39" s="306">
        <f t="shared" si="5"/>
        <v>19.190000000000001</v>
      </c>
      <c r="L39" s="332">
        <v>1</v>
      </c>
      <c r="M39" s="306" t="s">
        <v>29</v>
      </c>
      <c r="N39" s="306" t="s">
        <v>83</v>
      </c>
      <c r="O39" s="323" t="s">
        <v>87</v>
      </c>
      <c r="P39" s="306" t="s">
        <v>51</v>
      </c>
      <c r="Q39" s="321" t="s">
        <v>339</v>
      </c>
      <c r="R39" s="306" t="s">
        <v>283</v>
      </c>
      <c r="S39" s="346" t="s">
        <v>367</v>
      </c>
      <c r="T39" s="347" t="s">
        <v>368</v>
      </c>
      <c r="U39" s="358" t="s">
        <v>358</v>
      </c>
      <c r="V39" s="8"/>
      <c r="W39" s="54"/>
    </row>
    <row r="40" spans="1:23" ht="12" customHeight="1">
      <c r="A40" s="317" t="s">
        <v>1</v>
      </c>
      <c r="B40" s="318" t="s">
        <v>239</v>
      </c>
      <c r="C40" s="359" t="s">
        <v>369</v>
      </c>
      <c r="D40" s="306"/>
      <c r="E40" s="360"/>
      <c r="F40" s="360"/>
      <c r="G40" s="306">
        <v>103.2</v>
      </c>
      <c r="H40" s="306">
        <v>168.72</v>
      </c>
      <c r="I40" s="306"/>
      <c r="J40" s="306"/>
      <c r="K40" s="306">
        <f t="shared" si="5"/>
        <v>271.92</v>
      </c>
      <c r="L40" s="332">
        <v>1</v>
      </c>
      <c r="M40" s="306" t="s">
        <v>280</v>
      </c>
      <c r="N40" s="306" t="s">
        <v>83</v>
      </c>
      <c r="O40" s="323" t="s">
        <v>88</v>
      </c>
      <c r="P40" s="306" t="s">
        <v>51</v>
      </c>
      <c r="Q40" s="321" t="s">
        <v>339</v>
      </c>
      <c r="R40" s="306" t="s">
        <v>283</v>
      </c>
      <c r="S40" s="346" t="s">
        <v>370</v>
      </c>
      <c r="T40" s="347" t="s">
        <v>371</v>
      </c>
      <c r="U40" s="350" t="s">
        <v>291</v>
      </c>
      <c r="V40" s="8"/>
      <c r="W40" s="54"/>
    </row>
    <row r="41" spans="1:23" ht="12" customHeight="1">
      <c r="A41" s="317" t="s">
        <v>1</v>
      </c>
      <c r="B41" s="318" t="s">
        <v>239</v>
      </c>
      <c r="C41" s="359" t="s">
        <v>233</v>
      </c>
      <c r="D41" s="306"/>
      <c r="E41" s="360"/>
      <c r="F41" s="360"/>
      <c r="G41" s="306"/>
      <c r="H41" s="306"/>
      <c r="I41" s="306"/>
      <c r="J41" s="306">
        <v>49.38</v>
      </c>
      <c r="K41" s="306">
        <f t="shared" si="5"/>
        <v>49.38</v>
      </c>
      <c r="L41" s="332">
        <v>1</v>
      </c>
      <c r="M41" s="306" t="s">
        <v>288</v>
      </c>
      <c r="N41" s="306" t="s">
        <v>83</v>
      </c>
      <c r="O41" s="323" t="s">
        <v>88</v>
      </c>
      <c r="P41" s="306" t="s">
        <v>51</v>
      </c>
      <c r="Q41" s="321" t="s">
        <v>339</v>
      </c>
      <c r="R41" s="306" t="s">
        <v>283</v>
      </c>
      <c r="S41" s="326"/>
      <c r="T41" s="326"/>
      <c r="U41" s="350"/>
      <c r="V41" s="8"/>
      <c r="W41" s="54"/>
    </row>
    <row r="42" spans="1:23" ht="12" customHeight="1">
      <c r="A42" s="317" t="s">
        <v>1</v>
      </c>
      <c r="B42" s="318" t="s">
        <v>239</v>
      </c>
      <c r="C42" s="359" t="s">
        <v>372</v>
      </c>
      <c r="D42" s="306"/>
      <c r="E42" s="360"/>
      <c r="F42" s="360"/>
      <c r="G42" s="306"/>
      <c r="H42" s="306"/>
      <c r="I42" s="306"/>
      <c r="J42" s="306">
        <v>13.54</v>
      </c>
      <c r="K42" s="306">
        <f t="shared" si="5"/>
        <v>13.54</v>
      </c>
      <c r="L42" s="332">
        <v>1</v>
      </c>
      <c r="M42" s="306" t="s">
        <v>288</v>
      </c>
      <c r="N42" s="306" t="s">
        <v>83</v>
      </c>
      <c r="O42" s="323" t="s">
        <v>88</v>
      </c>
      <c r="P42" s="306" t="s">
        <v>51</v>
      </c>
      <c r="Q42" s="321" t="s">
        <v>339</v>
      </c>
      <c r="R42" s="306" t="s">
        <v>283</v>
      </c>
      <c r="S42" s="326"/>
      <c r="T42" s="326"/>
      <c r="U42" s="350"/>
      <c r="V42" s="8"/>
      <c r="W42" s="54"/>
    </row>
    <row r="43" spans="1:23" ht="12" customHeight="1">
      <c r="A43" s="317" t="s">
        <v>1</v>
      </c>
      <c r="B43" s="345" t="s">
        <v>240</v>
      </c>
      <c r="C43" s="5" t="s">
        <v>373</v>
      </c>
      <c r="D43" s="306"/>
      <c r="E43" s="360"/>
      <c r="F43" s="360"/>
      <c r="G43" s="306">
        <v>10.65</v>
      </c>
      <c r="H43" s="306"/>
      <c r="I43" s="306"/>
      <c r="J43" s="306"/>
      <c r="K43" s="306">
        <f t="shared" si="5"/>
        <v>10.65</v>
      </c>
      <c r="L43" s="332">
        <v>1</v>
      </c>
      <c r="M43" s="321" t="s">
        <v>231</v>
      </c>
      <c r="N43" s="306" t="s">
        <v>83</v>
      </c>
      <c r="O43" s="323" t="s">
        <v>87</v>
      </c>
      <c r="P43" s="306" t="s">
        <v>241</v>
      </c>
      <c r="Q43" s="321" t="s">
        <v>339</v>
      </c>
      <c r="R43" s="306" t="s">
        <v>283</v>
      </c>
      <c r="S43" s="346" t="s">
        <v>374</v>
      </c>
      <c r="T43" s="347" t="s">
        <v>375</v>
      </c>
      <c r="U43" s="350" t="s">
        <v>291</v>
      </c>
      <c r="V43" s="8">
        <v>10.65</v>
      </c>
      <c r="W43" s="54"/>
    </row>
    <row r="44" spans="1:23" ht="12" customHeight="1">
      <c r="A44" s="317" t="s">
        <v>1</v>
      </c>
      <c r="B44" s="345" t="s">
        <v>240</v>
      </c>
      <c r="C44" s="359" t="s">
        <v>376</v>
      </c>
      <c r="D44" s="306"/>
      <c r="E44" s="360"/>
      <c r="F44" s="360"/>
      <c r="G44" s="306">
        <v>9.41</v>
      </c>
      <c r="H44" s="306"/>
      <c r="I44" s="306"/>
      <c r="J44" s="306"/>
      <c r="K44" s="306">
        <f t="shared" si="5"/>
        <v>9.41</v>
      </c>
      <c r="L44" s="332">
        <v>1</v>
      </c>
      <c r="M44" s="321" t="s">
        <v>231</v>
      </c>
      <c r="N44" s="306" t="s">
        <v>83</v>
      </c>
      <c r="O44" s="323" t="s">
        <v>88</v>
      </c>
      <c r="P44" s="306" t="s">
        <v>241</v>
      </c>
      <c r="Q44" s="321" t="s">
        <v>339</v>
      </c>
      <c r="R44" s="306" t="s">
        <v>283</v>
      </c>
      <c r="S44" s="326"/>
      <c r="T44" s="326"/>
      <c r="U44" s="358" t="s">
        <v>377</v>
      </c>
      <c r="V44" s="8"/>
      <c r="W44" s="54"/>
    </row>
    <row r="45" spans="1:23" ht="12" customHeight="1">
      <c r="A45" s="317" t="s">
        <v>1</v>
      </c>
      <c r="B45" s="345" t="s">
        <v>240</v>
      </c>
      <c r="C45" s="5" t="s">
        <v>378</v>
      </c>
      <c r="D45" s="306"/>
      <c r="E45" s="360"/>
      <c r="F45" s="360"/>
      <c r="G45" s="306">
        <v>3.65</v>
      </c>
      <c r="H45" s="306"/>
      <c r="I45" s="306"/>
      <c r="J45" s="306"/>
      <c r="K45" s="306">
        <f t="shared" si="5"/>
        <v>3.65</v>
      </c>
      <c r="L45" s="332">
        <v>1</v>
      </c>
      <c r="M45" s="321" t="s">
        <v>231</v>
      </c>
      <c r="N45" s="306" t="s">
        <v>83</v>
      </c>
      <c r="O45" s="323" t="s">
        <v>87</v>
      </c>
      <c r="P45" s="306" t="s">
        <v>241</v>
      </c>
      <c r="Q45" s="321" t="s">
        <v>339</v>
      </c>
      <c r="R45" s="306" t="s">
        <v>283</v>
      </c>
      <c r="S45" s="346" t="s">
        <v>379</v>
      </c>
      <c r="T45" s="347" t="s">
        <v>39</v>
      </c>
      <c r="U45" s="350" t="s">
        <v>291</v>
      </c>
      <c r="V45" s="8"/>
      <c r="W45" s="54"/>
    </row>
    <row r="46" spans="1:23" ht="12" customHeight="1">
      <c r="A46" s="317" t="s">
        <v>1</v>
      </c>
      <c r="B46" s="345" t="s">
        <v>240</v>
      </c>
      <c r="C46" s="319" t="s">
        <v>380</v>
      </c>
      <c r="D46" s="342"/>
      <c r="E46" s="343"/>
      <c r="F46" s="343"/>
      <c r="G46" s="306">
        <v>67.680000000000007</v>
      </c>
      <c r="H46" s="342"/>
      <c r="I46" s="342"/>
      <c r="J46" s="342"/>
      <c r="K46" s="306">
        <f t="shared" si="5"/>
        <v>67.680000000000007</v>
      </c>
      <c r="L46" s="332">
        <v>1</v>
      </c>
      <c r="M46" s="306" t="s">
        <v>288</v>
      </c>
      <c r="N46" s="306" t="s">
        <v>83</v>
      </c>
      <c r="O46" s="323" t="s">
        <v>88</v>
      </c>
      <c r="P46" s="306" t="s">
        <v>241</v>
      </c>
      <c r="Q46" s="321" t="s">
        <v>339</v>
      </c>
      <c r="R46" s="306" t="s">
        <v>283</v>
      </c>
      <c r="S46" s="326" t="s">
        <v>39</v>
      </c>
      <c r="T46" s="326" t="s">
        <v>39</v>
      </c>
      <c r="U46" s="350" t="s">
        <v>291</v>
      </c>
      <c r="V46" s="8"/>
      <c r="W46" s="54"/>
    </row>
    <row r="47" spans="1:23" ht="12" customHeight="1">
      <c r="A47" s="317" t="s">
        <v>1</v>
      </c>
      <c r="B47" s="345" t="s">
        <v>240</v>
      </c>
      <c r="C47" s="319" t="s">
        <v>860</v>
      </c>
      <c r="D47" s="342"/>
      <c r="E47" s="343"/>
      <c r="F47" s="343"/>
      <c r="G47" s="343">
        <v>477</v>
      </c>
      <c r="H47" s="306">
        <f>166.75+287</f>
        <v>453.75</v>
      </c>
      <c r="I47" s="342"/>
      <c r="J47" s="342"/>
      <c r="K47" s="306">
        <f t="shared" si="5"/>
        <v>930.75</v>
      </c>
      <c r="L47" s="332">
        <v>1</v>
      </c>
      <c r="M47" s="306" t="s">
        <v>288</v>
      </c>
      <c r="N47" s="306" t="s">
        <v>83</v>
      </c>
      <c r="O47" s="323" t="s">
        <v>87</v>
      </c>
      <c r="P47" s="306" t="s">
        <v>241</v>
      </c>
      <c r="Q47" s="321" t="s">
        <v>339</v>
      </c>
      <c r="R47" s="306" t="s">
        <v>283</v>
      </c>
      <c r="S47" s="326" t="s">
        <v>381</v>
      </c>
      <c r="T47" s="326" t="s">
        <v>382</v>
      </c>
      <c r="U47" s="350" t="s">
        <v>291</v>
      </c>
      <c r="V47" s="8"/>
      <c r="W47" s="54"/>
    </row>
    <row r="48" spans="1:23" ht="12" customHeight="1">
      <c r="A48" s="317" t="s">
        <v>1</v>
      </c>
      <c r="B48" s="345" t="s">
        <v>240</v>
      </c>
      <c r="C48" s="319" t="s">
        <v>242</v>
      </c>
      <c r="D48" s="342"/>
      <c r="E48" s="343"/>
      <c r="F48" s="343"/>
      <c r="G48" s="306"/>
      <c r="H48" s="342"/>
      <c r="I48" s="342">
        <v>107.52</v>
      </c>
      <c r="J48" s="342"/>
      <c r="K48" s="306">
        <f t="shared" si="5"/>
        <v>107.52</v>
      </c>
      <c r="L48" s="332">
        <v>1</v>
      </c>
      <c r="M48" s="306" t="s">
        <v>29</v>
      </c>
      <c r="N48" s="306" t="s">
        <v>83</v>
      </c>
      <c r="O48" s="323" t="s">
        <v>88</v>
      </c>
      <c r="P48" s="306" t="s">
        <v>241</v>
      </c>
      <c r="Q48" s="321" t="s">
        <v>339</v>
      </c>
      <c r="R48" s="306" t="s">
        <v>283</v>
      </c>
      <c r="S48" s="346" t="s">
        <v>383</v>
      </c>
      <c r="T48" s="346" t="s">
        <v>384</v>
      </c>
      <c r="U48" s="350" t="s">
        <v>291</v>
      </c>
      <c r="V48" s="8"/>
      <c r="W48" s="54"/>
    </row>
    <row r="49" spans="1:23" ht="12" customHeight="1">
      <c r="A49" s="317" t="s">
        <v>1</v>
      </c>
      <c r="B49" s="345" t="s">
        <v>240</v>
      </c>
      <c r="C49" s="319" t="s">
        <v>385</v>
      </c>
      <c r="D49" s="342"/>
      <c r="E49" s="343"/>
      <c r="F49" s="343"/>
      <c r="G49" s="306">
        <v>45.55</v>
      </c>
      <c r="H49" s="342"/>
      <c r="I49" s="342"/>
      <c r="J49" s="342"/>
      <c r="K49" s="306">
        <f t="shared" si="5"/>
        <v>45.55</v>
      </c>
      <c r="L49" s="332">
        <v>1</v>
      </c>
      <c r="M49" s="306" t="s">
        <v>288</v>
      </c>
      <c r="N49" s="306" t="s">
        <v>83</v>
      </c>
      <c r="O49" s="323" t="s">
        <v>88</v>
      </c>
      <c r="P49" s="306" t="s">
        <v>241</v>
      </c>
      <c r="Q49" s="321" t="s">
        <v>339</v>
      </c>
      <c r="R49" s="306" t="s">
        <v>283</v>
      </c>
      <c r="S49" s="326"/>
      <c r="T49" s="326"/>
      <c r="U49" s="350"/>
      <c r="V49" s="8"/>
      <c r="W49" s="54"/>
    </row>
    <row r="50" spans="1:23" ht="12" customHeight="1">
      <c r="A50" s="317" t="s">
        <v>1</v>
      </c>
      <c r="B50" s="345" t="s">
        <v>240</v>
      </c>
      <c r="C50" s="319" t="s">
        <v>256</v>
      </c>
      <c r="D50" s="342"/>
      <c r="E50" s="343"/>
      <c r="F50" s="343"/>
      <c r="G50" s="306">
        <v>271.8</v>
      </c>
      <c r="H50" s="342"/>
      <c r="I50" s="342"/>
      <c r="J50" s="342"/>
      <c r="K50" s="306">
        <f t="shared" si="5"/>
        <v>271.8</v>
      </c>
      <c r="L50" s="332">
        <v>1</v>
      </c>
      <c r="M50" s="306" t="s">
        <v>288</v>
      </c>
      <c r="N50" s="306" t="s">
        <v>83</v>
      </c>
      <c r="O50" s="323" t="s">
        <v>88</v>
      </c>
      <c r="P50" s="306" t="s">
        <v>241</v>
      </c>
      <c r="Q50" s="321" t="s">
        <v>339</v>
      </c>
      <c r="R50" s="306" t="s">
        <v>283</v>
      </c>
      <c r="S50" s="326"/>
      <c r="T50" s="326"/>
      <c r="U50" s="350"/>
      <c r="V50" s="8"/>
      <c r="W50" s="54"/>
    </row>
    <row r="51" spans="1:23" ht="12" customHeight="1">
      <c r="A51" s="317" t="s">
        <v>1</v>
      </c>
      <c r="B51" s="345" t="s">
        <v>240</v>
      </c>
      <c r="C51" s="319" t="s">
        <v>386</v>
      </c>
      <c r="D51" s="342"/>
      <c r="E51" s="343"/>
      <c r="F51" s="343"/>
      <c r="G51" s="306"/>
      <c r="H51" s="342"/>
      <c r="I51" s="342"/>
      <c r="J51" s="342"/>
      <c r="K51" s="306"/>
      <c r="L51" s="332">
        <v>2</v>
      </c>
      <c r="M51" s="306" t="s">
        <v>861</v>
      </c>
      <c r="N51" s="306"/>
      <c r="O51" s="323"/>
      <c r="P51" s="306" t="s">
        <v>241</v>
      </c>
      <c r="Q51" s="321" t="s">
        <v>339</v>
      </c>
      <c r="R51" s="306" t="s">
        <v>283</v>
      </c>
      <c r="S51" s="326"/>
      <c r="T51" s="326"/>
      <c r="U51" s="350"/>
      <c r="V51" s="8">
        <v>25.05</v>
      </c>
      <c r="W51" s="54"/>
    </row>
    <row r="52" spans="1:23" ht="12" customHeight="1">
      <c r="A52" s="317" t="s">
        <v>1</v>
      </c>
      <c r="B52" s="345" t="s">
        <v>862</v>
      </c>
      <c r="C52" s="319" t="s">
        <v>387</v>
      </c>
      <c r="D52" s="342"/>
      <c r="E52" s="343"/>
      <c r="F52" s="343"/>
      <c r="G52" s="306"/>
      <c r="H52" s="342"/>
      <c r="I52" s="342"/>
      <c r="J52" s="342"/>
      <c r="K52" s="306"/>
      <c r="L52" s="332">
        <v>2</v>
      </c>
      <c r="M52" s="306" t="s">
        <v>861</v>
      </c>
      <c r="N52" s="306"/>
      <c r="O52" s="323"/>
      <c r="P52" s="306" t="s">
        <v>863</v>
      </c>
      <c r="Q52" s="321" t="s">
        <v>339</v>
      </c>
      <c r="R52" s="306" t="s">
        <v>283</v>
      </c>
      <c r="S52" s="326"/>
      <c r="T52" s="326"/>
      <c r="U52" s="350"/>
      <c r="V52" s="8">
        <v>2.31</v>
      </c>
      <c r="W52" s="54"/>
    </row>
    <row r="53" spans="1:23" ht="12" customHeight="1">
      <c r="A53" s="317" t="s">
        <v>1</v>
      </c>
      <c r="B53" s="318" t="s">
        <v>208</v>
      </c>
      <c r="C53" s="310" t="s">
        <v>388</v>
      </c>
      <c r="D53" s="361"/>
      <c r="E53" s="306"/>
      <c r="F53" s="306"/>
      <c r="G53" s="362">
        <v>63.34</v>
      </c>
      <c r="H53" s="362">
        <v>63.34</v>
      </c>
      <c r="I53" s="362"/>
      <c r="J53" s="363"/>
      <c r="K53" s="8">
        <f t="shared" ref="K53:K71" si="6">J53+I53+H53+G53+F53+E53+D53</f>
        <v>126.68</v>
      </c>
      <c r="L53" s="332">
        <v>1</v>
      </c>
      <c r="M53" s="321" t="s">
        <v>389</v>
      </c>
      <c r="N53" s="306" t="s">
        <v>83</v>
      </c>
      <c r="O53" s="323" t="s">
        <v>88</v>
      </c>
      <c r="P53" s="306" t="s">
        <v>61</v>
      </c>
      <c r="Q53" s="306" t="s">
        <v>390</v>
      </c>
      <c r="R53" s="306" t="s">
        <v>283</v>
      </c>
      <c r="S53" s="364" t="s">
        <v>864</v>
      </c>
      <c r="T53" s="365" t="s">
        <v>391</v>
      </c>
      <c r="U53" s="366" t="s">
        <v>392</v>
      </c>
      <c r="V53" s="8"/>
      <c r="W53" s="54"/>
    </row>
    <row r="54" spans="1:23" ht="12" customHeight="1">
      <c r="A54" s="317" t="s">
        <v>1</v>
      </c>
      <c r="B54" s="318" t="s">
        <v>208</v>
      </c>
      <c r="C54" s="310" t="s">
        <v>393</v>
      </c>
      <c r="D54" s="361"/>
      <c r="E54" s="306"/>
      <c r="F54" s="306"/>
      <c r="G54" s="362">
        <v>4.13</v>
      </c>
      <c r="H54" s="362">
        <v>4.13</v>
      </c>
      <c r="I54" s="362"/>
      <c r="J54" s="363"/>
      <c r="K54" s="8">
        <f t="shared" si="6"/>
        <v>8.26</v>
      </c>
      <c r="L54" s="332">
        <v>1</v>
      </c>
      <c r="M54" s="321" t="s">
        <v>394</v>
      </c>
      <c r="N54" s="306" t="s">
        <v>83</v>
      </c>
      <c r="O54" s="323" t="s">
        <v>88</v>
      </c>
      <c r="P54" s="306" t="s">
        <v>61</v>
      </c>
      <c r="Q54" s="306" t="s">
        <v>390</v>
      </c>
      <c r="R54" s="306" t="s">
        <v>283</v>
      </c>
      <c r="S54" s="364" t="s">
        <v>395</v>
      </c>
      <c r="T54" s="367" t="s">
        <v>396</v>
      </c>
      <c r="U54" s="366" t="s">
        <v>291</v>
      </c>
      <c r="V54" s="8"/>
      <c r="W54" s="54"/>
    </row>
    <row r="55" spans="1:23" ht="12" customHeight="1">
      <c r="A55" s="317" t="s">
        <v>1</v>
      </c>
      <c r="B55" s="318" t="s">
        <v>208</v>
      </c>
      <c r="C55" s="319" t="s">
        <v>397</v>
      </c>
      <c r="D55" s="306"/>
      <c r="E55" s="306"/>
      <c r="F55" s="306"/>
      <c r="G55" s="323">
        <v>0.6</v>
      </c>
      <c r="H55" s="323"/>
      <c r="I55" s="323"/>
      <c r="J55" s="323">
        <v>74.459999999999994</v>
      </c>
      <c r="K55" s="368">
        <f t="shared" si="6"/>
        <v>75.059999999999988</v>
      </c>
      <c r="L55" s="332">
        <v>1</v>
      </c>
      <c r="M55" s="306" t="s">
        <v>288</v>
      </c>
      <c r="N55" s="306" t="s">
        <v>83</v>
      </c>
      <c r="O55" s="323" t="s">
        <v>88</v>
      </c>
      <c r="P55" s="306" t="s">
        <v>34</v>
      </c>
      <c r="Q55" s="306" t="s">
        <v>390</v>
      </c>
      <c r="R55" s="306" t="s">
        <v>283</v>
      </c>
      <c r="S55" s="364" t="s">
        <v>398</v>
      </c>
      <c r="T55" s="364" t="s">
        <v>399</v>
      </c>
      <c r="U55" s="366" t="s">
        <v>291</v>
      </c>
      <c r="V55" s="8">
        <f>11.79+2.17</f>
        <v>13.959999999999999</v>
      </c>
      <c r="W55" s="54"/>
    </row>
    <row r="56" spans="1:23" ht="12" customHeight="1">
      <c r="A56" s="317" t="s">
        <v>1</v>
      </c>
      <c r="B56" s="318" t="s">
        <v>208</v>
      </c>
      <c r="C56" s="319" t="s">
        <v>400</v>
      </c>
      <c r="D56" s="306"/>
      <c r="E56" s="306"/>
      <c r="F56" s="306"/>
      <c r="G56" s="369"/>
      <c r="H56" s="323"/>
      <c r="I56" s="323"/>
      <c r="J56" s="323"/>
      <c r="K56" s="368"/>
      <c r="L56" s="332">
        <v>2</v>
      </c>
      <c r="M56" s="306" t="s">
        <v>852</v>
      </c>
      <c r="N56" s="306"/>
      <c r="O56" s="323"/>
      <c r="P56" s="306" t="s">
        <v>865</v>
      </c>
      <c r="Q56" s="306" t="s">
        <v>390</v>
      </c>
      <c r="R56" s="306" t="s">
        <v>283</v>
      </c>
      <c r="S56" s="364"/>
      <c r="T56" s="364"/>
      <c r="U56" s="366"/>
      <c r="V56" s="8">
        <v>71.2</v>
      </c>
      <c r="W56" s="54"/>
    </row>
    <row r="57" spans="1:23" ht="12" customHeight="1">
      <c r="A57" s="317" t="s">
        <v>1</v>
      </c>
      <c r="B57" s="318" t="s">
        <v>208</v>
      </c>
      <c r="C57" s="370" t="s">
        <v>60</v>
      </c>
      <c r="D57" s="349"/>
      <c r="E57" s="306"/>
      <c r="F57" s="363"/>
      <c r="G57" s="371">
        <v>24.09</v>
      </c>
      <c r="H57" s="343"/>
      <c r="I57" s="363"/>
      <c r="J57" s="363"/>
      <c r="K57" s="368">
        <f t="shared" si="6"/>
        <v>24.09</v>
      </c>
      <c r="L57" s="332">
        <v>1</v>
      </c>
      <c r="M57" s="321" t="s">
        <v>28</v>
      </c>
      <c r="N57" s="306" t="s">
        <v>83</v>
      </c>
      <c r="O57" s="323" t="s">
        <v>88</v>
      </c>
      <c r="P57" s="306" t="s">
        <v>244</v>
      </c>
      <c r="Q57" s="306" t="s">
        <v>390</v>
      </c>
      <c r="R57" s="306" t="s">
        <v>283</v>
      </c>
      <c r="S57" s="364" t="s">
        <v>401</v>
      </c>
      <c r="T57" s="365" t="s">
        <v>402</v>
      </c>
      <c r="U57" s="366" t="s">
        <v>291</v>
      </c>
      <c r="V57" s="8"/>
      <c r="W57" s="54"/>
    </row>
    <row r="58" spans="1:23" ht="12" customHeight="1">
      <c r="A58" s="317" t="s">
        <v>1</v>
      </c>
      <c r="B58" s="318" t="s">
        <v>208</v>
      </c>
      <c r="C58" s="370" t="s">
        <v>403</v>
      </c>
      <c r="D58" s="349"/>
      <c r="E58" s="306"/>
      <c r="F58" s="306"/>
      <c r="G58" s="363">
        <v>4.5999999999999996</v>
      </c>
      <c r="H58" s="363"/>
      <c r="I58" s="363"/>
      <c r="J58" s="306"/>
      <c r="K58" s="8">
        <f t="shared" si="6"/>
        <v>4.5999999999999996</v>
      </c>
      <c r="L58" s="332">
        <v>1</v>
      </c>
      <c r="M58" s="321" t="s">
        <v>28</v>
      </c>
      <c r="N58" s="306" t="s">
        <v>83</v>
      </c>
      <c r="O58" s="323" t="s">
        <v>88</v>
      </c>
      <c r="P58" s="306" t="s">
        <v>244</v>
      </c>
      <c r="Q58" s="306" t="s">
        <v>390</v>
      </c>
      <c r="R58" s="306" t="s">
        <v>283</v>
      </c>
      <c r="S58" s="364" t="s">
        <v>395</v>
      </c>
      <c r="T58" s="364" t="s">
        <v>404</v>
      </c>
      <c r="U58" s="366" t="s">
        <v>291</v>
      </c>
      <c r="V58" s="8"/>
      <c r="W58" s="54"/>
    </row>
    <row r="59" spans="1:23" ht="12" customHeight="1">
      <c r="A59" s="317" t="s">
        <v>1</v>
      </c>
      <c r="B59" s="318" t="s">
        <v>208</v>
      </c>
      <c r="C59" s="310" t="s">
        <v>405</v>
      </c>
      <c r="D59" s="349"/>
      <c r="E59" s="306"/>
      <c r="F59" s="306"/>
      <c r="G59" s="363">
        <v>4.6900000000000004</v>
      </c>
      <c r="H59" s="363"/>
      <c r="I59" s="363"/>
      <c r="J59" s="363"/>
      <c r="K59" s="8">
        <f t="shared" si="6"/>
        <v>4.6900000000000004</v>
      </c>
      <c r="L59" s="332">
        <v>1</v>
      </c>
      <c r="M59" s="321" t="s">
        <v>28</v>
      </c>
      <c r="N59" s="306" t="s">
        <v>83</v>
      </c>
      <c r="O59" s="323" t="s">
        <v>88</v>
      </c>
      <c r="P59" s="306" t="s">
        <v>244</v>
      </c>
      <c r="Q59" s="306" t="s">
        <v>390</v>
      </c>
      <c r="R59" s="306" t="s">
        <v>283</v>
      </c>
      <c r="S59" s="364" t="s">
        <v>406</v>
      </c>
      <c r="T59" s="365" t="s">
        <v>407</v>
      </c>
      <c r="U59" s="366" t="s">
        <v>291</v>
      </c>
      <c r="V59" s="8"/>
      <c r="W59" s="54"/>
    </row>
    <row r="60" spans="1:23" ht="12" customHeight="1">
      <c r="A60" s="317" t="s">
        <v>1</v>
      </c>
      <c r="B60" s="318" t="s">
        <v>208</v>
      </c>
      <c r="C60" s="5" t="s">
        <v>408</v>
      </c>
      <c r="D60" s="306"/>
      <c r="E60" s="306"/>
      <c r="F60" s="306"/>
      <c r="G60" s="306">
        <v>0.26</v>
      </c>
      <c r="H60" s="306"/>
      <c r="I60" s="306"/>
      <c r="J60" s="306"/>
      <c r="K60" s="8">
        <f t="shared" si="6"/>
        <v>0.26</v>
      </c>
      <c r="L60" s="332">
        <v>1</v>
      </c>
      <c r="M60" s="321" t="s">
        <v>28</v>
      </c>
      <c r="N60" s="306" t="s">
        <v>83</v>
      </c>
      <c r="O60" s="323" t="s">
        <v>87</v>
      </c>
      <c r="P60" s="306" t="s">
        <v>244</v>
      </c>
      <c r="Q60" s="306" t="s">
        <v>390</v>
      </c>
      <c r="R60" s="306" t="s">
        <v>283</v>
      </c>
      <c r="S60" s="364" t="s">
        <v>395</v>
      </c>
      <c r="T60" s="365" t="s">
        <v>409</v>
      </c>
      <c r="U60" s="366" t="s">
        <v>291</v>
      </c>
      <c r="V60" s="8"/>
      <c r="W60" s="54"/>
    </row>
    <row r="61" spans="1:23" ht="12" customHeight="1">
      <c r="A61" s="317" t="s">
        <v>1</v>
      </c>
      <c r="B61" s="318" t="s">
        <v>208</v>
      </c>
      <c r="C61" s="5" t="s">
        <v>410</v>
      </c>
      <c r="D61" s="306"/>
      <c r="E61" s="306"/>
      <c r="F61" s="306"/>
      <c r="G61" s="306">
        <v>7.9</v>
      </c>
      <c r="H61" s="306"/>
      <c r="I61" s="306"/>
      <c r="J61" s="306"/>
      <c r="K61" s="8">
        <f t="shared" si="6"/>
        <v>7.9</v>
      </c>
      <c r="L61" s="332">
        <v>1</v>
      </c>
      <c r="M61" s="321" t="s">
        <v>28</v>
      </c>
      <c r="N61" s="306" t="s">
        <v>83</v>
      </c>
      <c r="O61" s="323" t="s">
        <v>88</v>
      </c>
      <c r="P61" s="306" t="s">
        <v>244</v>
      </c>
      <c r="Q61" s="306" t="s">
        <v>390</v>
      </c>
      <c r="R61" s="306" t="s">
        <v>283</v>
      </c>
      <c r="S61" s="364" t="s">
        <v>411</v>
      </c>
      <c r="T61" s="365" t="s">
        <v>412</v>
      </c>
      <c r="U61" s="366" t="s">
        <v>291</v>
      </c>
      <c r="V61" s="8"/>
      <c r="W61" s="54"/>
    </row>
    <row r="62" spans="1:23" ht="12" customHeight="1">
      <c r="A62" s="317" t="s">
        <v>1</v>
      </c>
      <c r="B62" s="318" t="s">
        <v>208</v>
      </c>
      <c r="C62" s="5" t="s">
        <v>413</v>
      </c>
      <c r="D62" s="306"/>
      <c r="E62" s="306"/>
      <c r="F62" s="306"/>
      <c r="G62" s="306">
        <v>6.45</v>
      </c>
      <c r="H62" s="306"/>
      <c r="I62" s="306"/>
      <c r="J62" s="306"/>
      <c r="K62" s="8">
        <f t="shared" si="6"/>
        <v>6.45</v>
      </c>
      <c r="L62" s="332">
        <v>1</v>
      </c>
      <c r="M62" s="321" t="s">
        <v>280</v>
      </c>
      <c r="N62" s="306" t="s">
        <v>83</v>
      </c>
      <c r="O62" s="323" t="s">
        <v>88</v>
      </c>
      <c r="P62" s="306" t="s">
        <v>244</v>
      </c>
      <c r="Q62" s="372" t="s">
        <v>390</v>
      </c>
      <c r="R62" s="372" t="s">
        <v>283</v>
      </c>
      <c r="S62" s="364" t="s">
        <v>414</v>
      </c>
      <c r="T62" s="364" t="s">
        <v>415</v>
      </c>
      <c r="U62" s="366" t="s">
        <v>291</v>
      </c>
      <c r="V62" s="8">
        <v>10</v>
      </c>
      <c r="W62" s="334"/>
    </row>
    <row r="63" spans="1:23" ht="12" customHeight="1">
      <c r="A63" s="317" t="s">
        <v>1</v>
      </c>
      <c r="B63" s="373" t="s">
        <v>243</v>
      </c>
      <c r="C63" s="5" t="s">
        <v>416</v>
      </c>
      <c r="D63" s="306"/>
      <c r="E63" s="306"/>
      <c r="F63" s="306"/>
      <c r="G63" s="306">
        <v>10.25</v>
      </c>
      <c r="H63" s="306"/>
      <c r="I63" s="306"/>
      <c r="J63" s="306"/>
      <c r="K63" s="8">
        <f t="shared" si="6"/>
        <v>10.25</v>
      </c>
      <c r="L63" s="332">
        <v>1</v>
      </c>
      <c r="M63" s="321" t="s">
        <v>394</v>
      </c>
      <c r="N63" s="306" t="s">
        <v>83</v>
      </c>
      <c r="O63" s="323" t="s">
        <v>88</v>
      </c>
      <c r="P63" s="306" t="s">
        <v>63</v>
      </c>
      <c r="Q63" s="306" t="s">
        <v>390</v>
      </c>
      <c r="R63" s="306" t="s">
        <v>283</v>
      </c>
      <c r="S63" s="326" t="s">
        <v>417</v>
      </c>
      <c r="T63" s="326" t="s">
        <v>418</v>
      </c>
      <c r="U63" s="374" t="s">
        <v>419</v>
      </c>
      <c r="V63" s="8"/>
      <c r="W63" s="54"/>
    </row>
    <row r="64" spans="1:23" ht="12" customHeight="1">
      <c r="A64" s="317" t="s">
        <v>1</v>
      </c>
      <c r="B64" s="373" t="s">
        <v>243</v>
      </c>
      <c r="C64" s="5" t="s">
        <v>420</v>
      </c>
      <c r="D64" s="306"/>
      <c r="E64" s="306"/>
      <c r="F64" s="306"/>
      <c r="G64" s="306">
        <v>100.5</v>
      </c>
      <c r="H64" s="306"/>
      <c r="I64" s="306"/>
      <c r="J64" s="306"/>
      <c r="K64" s="8">
        <f t="shared" si="6"/>
        <v>100.5</v>
      </c>
      <c r="L64" s="332">
        <v>1</v>
      </c>
      <c r="M64" s="321" t="s">
        <v>280</v>
      </c>
      <c r="N64" s="306" t="s">
        <v>83</v>
      </c>
      <c r="O64" s="323" t="s">
        <v>87</v>
      </c>
      <c r="P64" s="306" t="s">
        <v>63</v>
      </c>
      <c r="Q64" s="306" t="s">
        <v>390</v>
      </c>
      <c r="R64" s="306" t="s">
        <v>283</v>
      </c>
      <c r="S64" s="375" t="s">
        <v>39</v>
      </c>
      <c r="T64" s="326" t="s">
        <v>421</v>
      </c>
      <c r="U64" s="375" t="s">
        <v>422</v>
      </c>
      <c r="V64" s="8">
        <v>100</v>
      </c>
      <c r="W64" s="54"/>
    </row>
    <row r="65" spans="1:23" ht="12" customHeight="1">
      <c r="A65" s="317" t="s">
        <v>1</v>
      </c>
      <c r="B65" s="373" t="s">
        <v>243</v>
      </c>
      <c r="C65" s="5" t="s">
        <v>866</v>
      </c>
      <c r="D65" s="306"/>
      <c r="E65" s="306"/>
      <c r="F65" s="306"/>
      <c r="G65" s="306">
        <f>9.18+189</f>
        <v>198.18</v>
      </c>
      <c r="H65" s="306"/>
      <c r="I65" s="306"/>
      <c r="J65" s="306"/>
      <c r="K65" s="8">
        <f t="shared" si="6"/>
        <v>198.18</v>
      </c>
      <c r="L65" s="332">
        <v>1</v>
      </c>
      <c r="M65" s="321" t="s">
        <v>280</v>
      </c>
      <c r="N65" s="306" t="s">
        <v>83</v>
      </c>
      <c r="O65" s="323" t="s">
        <v>88</v>
      </c>
      <c r="P65" s="306" t="s">
        <v>63</v>
      </c>
      <c r="Q65" s="306" t="s">
        <v>390</v>
      </c>
      <c r="R65" s="306" t="s">
        <v>283</v>
      </c>
      <c r="S65" s="375" t="s">
        <v>423</v>
      </c>
      <c r="T65" s="326" t="s">
        <v>424</v>
      </c>
      <c r="U65" s="375" t="s">
        <v>422</v>
      </c>
      <c r="V65" s="8"/>
      <c r="W65" s="54"/>
    </row>
    <row r="66" spans="1:23" ht="12" customHeight="1">
      <c r="A66" s="317" t="s">
        <v>1</v>
      </c>
      <c r="B66" s="373" t="s">
        <v>243</v>
      </c>
      <c r="C66" s="5" t="s">
        <v>425</v>
      </c>
      <c r="D66" s="306"/>
      <c r="E66" s="306"/>
      <c r="F66" s="306"/>
      <c r="G66" s="306">
        <v>11.2</v>
      </c>
      <c r="H66" s="306"/>
      <c r="I66" s="306"/>
      <c r="J66" s="306"/>
      <c r="K66" s="8">
        <f t="shared" si="6"/>
        <v>11.2</v>
      </c>
      <c r="L66" s="332">
        <v>1</v>
      </c>
      <c r="M66" s="321" t="s">
        <v>280</v>
      </c>
      <c r="N66" s="306" t="s">
        <v>83</v>
      </c>
      <c r="O66" s="323" t="s">
        <v>88</v>
      </c>
      <c r="P66" s="306" t="s">
        <v>63</v>
      </c>
      <c r="Q66" s="306" t="s">
        <v>390</v>
      </c>
      <c r="R66" s="306" t="s">
        <v>283</v>
      </c>
      <c r="S66" s="326" t="s">
        <v>426</v>
      </c>
      <c r="T66" s="326" t="s">
        <v>427</v>
      </c>
      <c r="U66" s="376" t="s">
        <v>428</v>
      </c>
      <c r="V66" s="8"/>
      <c r="W66" s="54"/>
    </row>
    <row r="67" spans="1:23" ht="12" customHeight="1">
      <c r="A67" s="317" t="s">
        <v>1</v>
      </c>
      <c r="B67" s="373" t="s">
        <v>243</v>
      </c>
      <c r="C67" s="5" t="s">
        <v>429</v>
      </c>
      <c r="D67" s="306"/>
      <c r="E67" s="306"/>
      <c r="F67" s="306"/>
      <c r="G67" s="306">
        <v>12.45</v>
      </c>
      <c r="H67" s="306"/>
      <c r="I67" s="306"/>
      <c r="J67" s="306"/>
      <c r="K67" s="8">
        <f t="shared" si="6"/>
        <v>12.45</v>
      </c>
      <c r="L67" s="332">
        <v>1</v>
      </c>
      <c r="M67" s="321" t="s">
        <v>29</v>
      </c>
      <c r="N67" s="306" t="s">
        <v>83</v>
      </c>
      <c r="O67" s="323" t="s">
        <v>88</v>
      </c>
      <c r="P67" s="306" t="s">
        <v>63</v>
      </c>
      <c r="Q67" s="372" t="s">
        <v>390</v>
      </c>
      <c r="R67" s="372" t="s">
        <v>283</v>
      </c>
      <c r="S67" s="375" t="s">
        <v>430</v>
      </c>
      <c r="T67" s="326" t="s">
        <v>424</v>
      </c>
      <c r="U67" s="375" t="s">
        <v>422</v>
      </c>
      <c r="V67" s="8"/>
      <c r="W67" s="54"/>
    </row>
    <row r="68" spans="1:23" ht="12" customHeight="1">
      <c r="A68" s="317" t="s">
        <v>1</v>
      </c>
      <c r="B68" s="373" t="s">
        <v>243</v>
      </c>
      <c r="C68" s="5" t="s">
        <v>431</v>
      </c>
      <c r="D68" s="306"/>
      <c r="E68" s="306"/>
      <c r="F68" s="306"/>
      <c r="G68" s="306"/>
      <c r="H68" s="306"/>
      <c r="I68" s="306"/>
      <c r="J68" s="306">
        <v>4.87</v>
      </c>
      <c r="K68" s="8">
        <f t="shared" si="6"/>
        <v>4.87</v>
      </c>
      <c r="L68" s="332">
        <v>1</v>
      </c>
      <c r="M68" s="321" t="s">
        <v>360</v>
      </c>
      <c r="N68" s="306" t="s">
        <v>83</v>
      </c>
      <c r="O68" s="323" t="s">
        <v>88</v>
      </c>
      <c r="P68" s="306" t="s">
        <v>63</v>
      </c>
      <c r="Q68" s="372" t="s">
        <v>390</v>
      </c>
      <c r="R68" s="372" t="s">
        <v>283</v>
      </c>
      <c r="S68" s="375" t="s">
        <v>432</v>
      </c>
      <c r="T68" s="326" t="s">
        <v>424</v>
      </c>
      <c r="U68" s="375" t="s">
        <v>422</v>
      </c>
      <c r="V68" s="8">
        <v>0.55000000000000004</v>
      </c>
      <c r="W68" s="334"/>
    </row>
    <row r="69" spans="1:23" ht="12" customHeight="1">
      <c r="A69" s="317" t="s">
        <v>1</v>
      </c>
      <c r="B69" s="373" t="s">
        <v>243</v>
      </c>
      <c r="C69" s="5" t="s">
        <v>433</v>
      </c>
      <c r="D69" s="306"/>
      <c r="E69" s="306"/>
      <c r="F69" s="306"/>
      <c r="G69" s="306">
        <v>189.22</v>
      </c>
      <c r="H69" s="306"/>
      <c r="I69" s="306"/>
      <c r="J69" s="306"/>
      <c r="K69" s="8">
        <f t="shared" si="6"/>
        <v>189.22</v>
      </c>
      <c r="L69" s="332">
        <v>1</v>
      </c>
      <c r="M69" s="321" t="s">
        <v>30</v>
      </c>
      <c r="N69" s="306" t="s">
        <v>83</v>
      </c>
      <c r="O69" s="323" t="s">
        <v>88</v>
      </c>
      <c r="P69" s="306" t="s">
        <v>63</v>
      </c>
      <c r="Q69" s="306" t="s">
        <v>390</v>
      </c>
      <c r="R69" s="306" t="s">
        <v>283</v>
      </c>
      <c r="S69" s="375" t="s">
        <v>39</v>
      </c>
      <c r="T69" s="326" t="s">
        <v>424</v>
      </c>
      <c r="U69" s="375" t="s">
        <v>422</v>
      </c>
      <c r="V69" s="8">
        <v>100</v>
      </c>
      <c r="W69" s="54"/>
    </row>
    <row r="70" spans="1:23" ht="12" customHeight="1">
      <c r="A70" s="317" t="s">
        <v>1</v>
      </c>
      <c r="B70" s="373" t="s">
        <v>243</v>
      </c>
      <c r="C70" s="5" t="s">
        <v>64</v>
      </c>
      <c r="D70" s="306"/>
      <c r="E70" s="306"/>
      <c r="F70" s="306"/>
      <c r="G70" s="306"/>
      <c r="H70" s="306"/>
      <c r="I70" s="306"/>
      <c r="J70" s="306">
        <v>36.58</v>
      </c>
      <c r="K70" s="8">
        <f t="shared" si="6"/>
        <v>36.58</v>
      </c>
      <c r="L70" s="332">
        <v>1</v>
      </c>
      <c r="M70" s="321" t="s">
        <v>210</v>
      </c>
      <c r="N70" s="306" t="s">
        <v>83</v>
      </c>
      <c r="O70" s="323" t="s">
        <v>88</v>
      </c>
      <c r="P70" s="306" t="s">
        <v>63</v>
      </c>
      <c r="Q70" s="306" t="s">
        <v>390</v>
      </c>
      <c r="R70" s="306" t="s">
        <v>283</v>
      </c>
      <c r="S70" s="375" t="s">
        <v>39</v>
      </c>
      <c r="T70" s="326" t="s">
        <v>424</v>
      </c>
      <c r="U70" s="375" t="s">
        <v>422</v>
      </c>
      <c r="V70" s="8"/>
      <c r="W70" s="54"/>
    </row>
    <row r="71" spans="1:23" ht="12" customHeight="1">
      <c r="A71" s="317" t="s">
        <v>1</v>
      </c>
      <c r="B71" s="373" t="s">
        <v>243</v>
      </c>
      <c r="C71" s="5" t="s">
        <v>434</v>
      </c>
      <c r="D71" s="306"/>
      <c r="E71" s="306"/>
      <c r="F71" s="306">
        <v>340</v>
      </c>
      <c r="G71" s="306">
        <f>5.07+9.94</f>
        <v>15.01</v>
      </c>
      <c r="H71" s="306"/>
      <c r="I71" s="306"/>
      <c r="J71" s="306"/>
      <c r="K71" s="8">
        <f t="shared" si="6"/>
        <v>355.01</v>
      </c>
      <c r="L71" s="332">
        <v>1</v>
      </c>
      <c r="M71" s="321" t="s">
        <v>29</v>
      </c>
      <c r="N71" s="306" t="s">
        <v>83</v>
      </c>
      <c r="O71" s="323" t="s">
        <v>88</v>
      </c>
      <c r="P71" s="306" t="s">
        <v>63</v>
      </c>
      <c r="Q71" s="306" t="s">
        <v>390</v>
      </c>
      <c r="R71" s="306" t="s">
        <v>283</v>
      </c>
      <c r="S71" s="375" t="s">
        <v>39</v>
      </c>
      <c r="T71" s="326" t="s">
        <v>424</v>
      </c>
      <c r="U71" s="375" t="s">
        <v>422</v>
      </c>
      <c r="V71" s="8"/>
      <c r="W71" s="54"/>
    </row>
    <row r="72" spans="1:23" ht="12" customHeight="1">
      <c r="A72" s="317" t="s">
        <v>1</v>
      </c>
      <c r="B72" s="331" t="s">
        <v>435</v>
      </c>
      <c r="C72" s="310" t="s">
        <v>436</v>
      </c>
      <c r="D72" s="349"/>
      <c r="E72" s="306"/>
      <c r="F72" s="306"/>
      <c r="G72" s="306"/>
      <c r="H72" s="306"/>
      <c r="I72" s="306">
        <v>24.69</v>
      </c>
      <c r="J72" s="306"/>
      <c r="K72" s="8">
        <v>24.69</v>
      </c>
      <c r="L72" s="332">
        <v>1</v>
      </c>
      <c r="M72" s="321" t="s">
        <v>210</v>
      </c>
      <c r="N72" s="306" t="s">
        <v>83</v>
      </c>
      <c r="O72" s="323" t="s">
        <v>88</v>
      </c>
      <c r="P72" s="306" t="s">
        <v>3</v>
      </c>
      <c r="Q72" s="306" t="s">
        <v>390</v>
      </c>
      <c r="R72" s="306" t="s">
        <v>283</v>
      </c>
      <c r="S72" s="326" t="s">
        <v>437</v>
      </c>
      <c r="T72" s="326" t="s">
        <v>438</v>
      </c>
      <c r="U72" s="333"/>
      <c r="V72" s="8"/>
      <c r="W72" s="54"/>
    </row>
    <row r="73" spans="1:23" ht="12" customHeight="1">
      <c r="A73" s="317" t="s">
        <v>1</v>
      </c>
      <c r="B73" s="377" t="s">
        <v>439</v>
      </c>
      <c r="C73" s="360" t="s">
        <v>440</v>
      </c>
      <c r="D73" s="378"/>
      <c r="E73" s="378"/>
      <c r="F73" s="323"/>
      <c r="G73" s="379">
        <v>2.06</v>
      </c>
      <c r="H73" s="378"/>
      <c r="I73" s="380"/>
      <c r="J73" s="380"/>
      <c r="K73" s="8">
        <f t="shared" ref="K73:K87" si="7">J73+I73+H73+G73+F73+E73+D73</f>
        <v>2.06</v>
      </c>
      <c r="L73" s="332">
        <v>1</v>
      </c>
      <c r="M73" s="321" t="s">
        <v>288</v>
      </c>
      <c r="N73" s="306" t="s">
        <v>83</v>
      </c>
      <c r="O73" s="323" t="s">
        <v>87</v>
      </c>
      <c r="P73" s="306" t="s">
        <v>441</v>
      </c>
      <c r="Q73" s="306" t="s">
        <v>390</v>
      </c>
      <c r="R73" s="306" t="s">
        <v>283</v>
      </c>
      <c r="S73" s="364" t="s">
        <v>41</v>
      </c>
      <c r="T73" s="308" t="s">
        <v>442</v>
      </c>
      <c r="U73" s="381"/>
      <c r="V73" s="8"/>
      <c r="W73" s="54"/>
    </row>
    <row r="74" spans="1:23" ht="12" customHeight="1">
      <c r="A74" s="317" t="s">
        <v>1</v>
      </c>
      <c r="B74" s="377" t="s">
        <v>443</v>
      </c>
      <c r="C74" s="5" t="s">
        <v>6</v>
      </c>
      <c r="D74" s="382"/>
      <c r="E74" s="382"/>
      <c r="F74" s="306">
        <v>100</v>
      </c>
      <c r="G74" s="382"/>
      <c r="H74" s="382"/>
      <c r="I74" s="382"/>
      <c r="J74" s="382"/>
      <c r="K74" s="8">
        <f t="shared" si="7"/>
        <v>100</v>
      </c>
      <c r="L74" s="332">
        <v>2</v>
      </c>
      <c r="M74" s="306" t="s">
        <v>355</v>
      </c>
      <c r="N74" s="306" t="s">
        <v>79</v>
      </c>
      <c r="O74" s="323" t="s">
        <v>88</v>
      </c>
      <c r="P74" s="306" t="s">
        <v>5</v>
      </c>
      <c r="Q74" s="306" t="s">
        <v>390</v>
      </c>
      <c r="R74" s="306" t="s">
        <v>283</v>
      </c>
      <c r="S74" s="364" t="s">
        <v>42</v>
      </c>
      <c r="T74" s="308" t="s">
        <v>444</v>
      </c>
      <c r="U74" s="365"/>
      <c r="V74" s="8">
        <f>20+5+25.36+3+42.02+8.98+2.68+0.3</f>
        <v>107.34</v>
      </c>
      <c r="W74" s="54"/>
    </row>
    <row r="75" spans="1:23" ht="12" customHeight="1">
      <c r="A75" s="317" t="s">
        <v>1</v>
      </c>
      <c r="B75" s="377" t="s">
        <v>445</v>
      </c>
      <c r="C75" s="5" t="s">
        <v>6</v>
      </c>
      <c r="D75" s="378"/>
      <c r="E75" s="378"/>
      <c r="F75" s="323">
        <v>100</v>
      </c>
      <c r="G75" s="379"/>
      <c r="H75" s="378"/>
      <c r="I75" s="380"/>
      <c r="J75" s="380"/>
      <c r="K75" s="8">
        <f t="shared" si="7"/>
        <v>100</v>
      </c>
      <c r="L75" s="332">
        <v>2</v>
      </c>
      <c r="M75" s="306" t="s">
        <v>355</v>
      </c>
      <c r="N75" s="306" t="s">
        <v>79</v>
      </c>
      <c r="O75" s="323" t="s">
        <v>88</v>
      </c>
      <c r="P75" s="306" t="s">
        <v>4</v>
      </c>
      <c r="Q75" s="306" t="s">
        <v>390</v>
      </c>
      <c r="R75" s="306" t="s">
        <v>283</v>
      </c>
      <c r="S75" s="364" t="s">
        <v>42</v>
      </c>
      <c r="T75" s="308" t="s">
        <v>446</v>
      </c>
      <c r="U75" s="381"/>
      <c r="V75" s="8">
        <f>10+21.8</f>
        <v>31.8</v>
      </c>
      <c r="W75" s="54"/>
    </row>
    <row r="76" spans="1:23" ht="12" customHeight="1">
      <c r="A76" s="317" t="s">
        <v>1</v>
      </c>
      <c r="B76" s="377" t="s">
        <v>447</v>
      </c>
      <c r="C76" s="5" t="s">
        <v>6</v>
      </c>
      <c r="D76" s="306"/>
      <c r="E76" s="306"/>
      <c r="F76" s="306">
        <v>100</v>
      </c>
      <c r="G76" s="306"/>
      <c r="H76" s="306"/>
      <c r="I76" s="306"/>
      <c r="J76" s="306"/>
      <c r="K76" s="8">
        <f t="shared" si="7"/>
        <v>100</v>
      </c>
      <c r="L76" s="332">
        <v>2</v>
      </c>
      <c r="M76" s="306" t="s">
        <v>355</v>
      </c>
      <c r="N76" s="306" t="s">
        <v>79</v>
      </c>
      <c r="O76" s="323" t="s">
        <v>88</v>
      </c>
      <c r="P76" s="306" t="s">
        <v>248</v>
      </c>
      <c r="Q76" s="306" t="s">
        <v>390</v>
      </c>
      <c r="R76" s="306" t="s">
        <v>283</v>
      </c>
      <c r="S76" s="364" t="s">
        <v>42</v>
      </c>
      <c r="T76" s="308" t="s">
        <v>448</v>
      </c>
      <c r="U76" s="381"/>
      <c r="V76" s="8"/>
      <c r="W76" s="54"/>
    </row>
    <row r="77" spans="1:23" ht="12" customHeight="1">
      <c r="A77" s="317" t="s">
        <v>1</v>
      </c>
      <c r="B77" s="318" t="s">
        <v>449</v>
      </c>
      <c r="C77" s="5" t="s">
        <v>6</v>
      </c>
      <c r="D77" s="306"/>
      <c r="E77" s="306"/>
      <c r="F77" s="306">
        <v>50</v>
      </c>
      <c r="G77" s="306"/>
      <c r="H77" s="306"/>
      <c r="I77" s="306"/>
      <c r="J77" s="306"/>
      <c r="K77" s="8">
        <f t="shared" si="7"/>
        <v>50</v>
      </c>
      <c r="L77" s="332">
        <v>2</v>
      </c>
      <c r="M77" s="306" t="s">
        <v>355</v>
      </c>
      <c r="N77" s="306" t="s">
        <v>79</v>
      </c>
      <c r="O77" s="323" t="s">
        <v>88</v>
      </c>
      <c r="P77" s="306" t="s">
        <v>450</v>
      </c>
      <c r="Q77" s="306" t="s">
        <v>390</v>
      </c>
      <c r="R77" s="306" t="s">
        <v>283</v>
      </c>
      <c r="S77" s="364" t="s">
        <v>42</v>
      </c>
      <c r="T77" s="308" t="s">
        <v>451</v>
      </c>
      <c r="U77" s="365"/>
      <c r="V77" s="8"/>
      <c r="W77" s="54"/>
    </row>
    <row r="78" spans="1:23" ht="12" customHeight="1">
      <c r="A78" s="317" t="s">
        <v>1</v>
      </c>
      <c r="B78" s="377" t="s">
        <v>452</v>
      </c>
      <c r="C78" s="5" t="s">
        <v>6</v>
      </c>
      <c r="D78" s="378"/>
      <c r="E78" s="378"/>
      <c r="F78" s="306">
        <v>100</v>
      </c>
      <c r="G78" s="380"/>
      <c r="H78" s="378"/>
      <c r="I78" s="380"/>
      <c r="J78" s="380"/>
      <c r="K78" s="8">
        <f t="shared" si="7"/>
        <v>100</v>
      </c>
      <c r="L78" s="332">
        <v>2</v>
      </c>
      <c r="M78" s="306" t="s">
        <v>355</v>
      </c>
      <c r="N78" s="306" t="s">
        <v>79</v>
      </c>
      <c r="O78" s="323" t="s">
        <v>88</v>
      </c>
      <c r="P78" s="306" t="s">
        <v>453</v>
      </c>
      <c r="Q78" s="306" t="s">
        <v>390</v>
      </c>
      <c r="R78" s="306" t="s">
        <v>283</v>
      </c>
      <c r="S78" s="364" t="s">
        <v>42</v>
      </c>
      <c r="T78" s="308" t="s">
        <v>454</v>
      </c>
      <c r="U78" s="365"/>
      <c r="V78" s="8">
        <f>21.29+2+0.66+22.08+50+0.21+2.82</f>
        <v>99.059999999999988</v>
      </c>
      <c r="W78" s="54"/>
    </row>
    <row r="79" spans="1:23" ht="12" customHeight="1">
      <c r="A79" s="317" t="s">
        <v>1</v>
      </c>
      <c r="B79" s="377" t="s">
        <v>455</v>
      </c>
      <c r="C79" s="5" t="s">
        <v>6</v>
      </c>
      <c r="D79" s="378"/>
      <c r="E79" s="378"/>
      <c r="F79" s="306">
        <v>50</v>
      </c>
      <c r="G79" s="380"/>
      <c r="H79" s="378"/>
      <c r="I79" s="380"/>
      <c r="J79" s="380"/>
      <c r="K79" s="8">
        <f t="shared" si="7"/>
        <v>50</v>
      </c>
      <c r="L79" s="332">
        <v>2</v>
      </c>
      <c r="M79" s="306" t="s">
        <v>355</v>
      </c>
      <c r="N79" s="306" t="s">
        <v>79</v>
      </c>
      <c r="O79" s="323" t="s">
        <v>88</v>
      </c>
      <c r="P79" s="306" t="s">
        <v>32</v>
      </c>
      <c r="Q79" s="306" t="s">
        <v>390</v>
      </c>
      <c r="R79" s="306" t="s">
        <v>283</v>
      </c>
      <c r="S79" s="364" t="s">
        <v>42</v>
      </c>
      <c r="T79" s="308" t="s">
        <v>39</v>
      </c>
      <c r="U79" s="365"/>
      <c r="V79" s="8"/>
      <c r="W79" s="54"/>
    </row>
    <row r="80" spans="1:23" ht="12" customHeight="1">
      <c r="A80" s="317" t="s">
        <v>1</v>
      </c>
      <c r="B80" s="377" t="s">
        <v>456</v>
      </c>
      <c r="C80" s="5" t="s">
        <v>6</v>
      </c>
      <c r="D80" s="378"/>
      <c r="E80" s="378"/>
      <c r="F80" s="306">
        <v>50</v>
      </c>
      <c r="G80" s="380"/>
      <c r="H80" s="378"/>
      <c r="I80" s="380"/>
      <c r="J80" s="380"/>
      <c r="K80" s="8">
        <f t="shared" si="7"/>
        <v>50</v>
      </c>
      <c r="L80" s="332">
        <v>2</v>
      </c>
      <c r="M80" s="306" t="s">
        <v>355</v>
      </c>
      <c r="N80" s="306" t="s">
        <v>79</v>
      </c>
      <c r="O80" s="323" t="s">
        <v>88</v>
      </c>
      <c r="P80" s="306" t="s">
        <v>33</v>
      </c>
      <c r="Q80" s="306" t="s">
        <v>390</v>
      </c>
      <c r="R80" s="306" t="s">
        <v>283</v>
      </c>
      <c r="S80" s="364" t="s">
        <v>42</v>
      </c>
      <c r="T80" s="308" t="s">
        <v>39</v>
      </c>
      <c r="U80" s="365"/>
      <c r="V80" s="8"/>
      <c r="W80" s="54"/>
    </row>
    <row r="81" spans="1:23" ht="12" customHeight="1">
      <c r="A81" s="317" t="s">
        <v>1</v>
      </c>
      <c r="B81" s="377" t="s">
        <v>457</v>
      </c>
      <c r="C81" s="5" t="s">
        <v>6</v>
      </c>
      <c r="D81" s="378"/>
      <c r="E81" s="378"/>
      <c r="F81" s="306">
        <v>50</v>
      </c>
      <c r="G81" s="380"/>
      <c r="H81" s="378"/>
      <c r="I81" s="380"/>
      <c r="J81" s="380"/>
      <c r="K81" s="8">
        <f t="shared" si="7"/>
        <v>50</v>
      </c>
      <c r="L81" s="332">
        <v>2</v>
      </c>
      <c r="M81" s="306" t="s">
        <v>355</v>
      </c>
      <c r="N81" s="306" t="s">
        <v>79</v>
      </c>
      <c r="O81" s="323" t="s">
        <v>88</v>
      </c>
      <c r="P81" s="306" t="s">
        <v>34</v>
      </c>
      <c r="Q81" s="306" t="s">
        <v>390</v>
      </c>
      <c r="R81" s="306" t="s">
        <v>283</v>
      </c>
      <c r="S81" s="364" t="s">
        <v>42</v>
      </c>
      <c r="T81" s="308" t="s">
        <v>39</v>
      </c>
      <c r="U81" s="365"/>
      <c r="V81" s="8"/>
      <c r="W81" s="54"/>
    </row>
    <row r="82" spans="1:23" ht="12" customHeight="1">
      <c r="A82" s="317" t="s">
        <v>1</v>
      </c>
      <c r="B82" s="377" t="s">
        <v>458</v>
      </c>
      <c r="C82" s="5" t="s">
        <v>6</v>
      </c>
      <c r="D82" s="378"/>
      <c r="E82" s="378"/>
      <c r="F82" s="306">
        <v>50</v>
      </c>
      <c r="G82" s="380"/>
      <c r="H82" s="378"/>
      <c r="I82" s="380"/>
      <c r="J82" s="380"/>
      <c r="K82" s="8">
        <f t="shared" si="7"/>
        <v>50</v>
      </c>
      <c r="L82" s="332">
        <v>2</v>
      </c>
      <c r="M82" s="306" t="s">
        <v>355</v>
      </c>
      <c r="N82" s="306" t="s">
        <v>79</v>
      </c>
      <c r="O82" s="323" t="s">
        <v>88</v>
      </c>
      <c r="P82" s="306" t="s">
        <v>35</v>
      </c>
      <c r="Q82" s="306" t="s">
        <v>390</v>
      </c>
      <c r="R82" s="306" t="s">
        <v>283</v>
      </c>
      <c r="S82" s="364" t="s">
        <v>42</v>
      </c>
      <c r="T82" s="308" t="s">
        <v>39</v>
      </c>
      <c r="U82" s="365"/>
      <c r="V82" s="8">
        <v>2.9</v>
      </c>
      <c r="W82" s="54"/>
    </row>
    <row r="83" spans="1:23" ht="12" customHeight="1">
      <c r="A83" s="317" t="s">
        <v>1</v>
      </c>
      <c r="B83" s="377" t="s">
        <v>459</v>
      </c>
      <c r="C83" s="5" t="s">
        <v>6</v>
      </c>
      <c r="D83" s="378"/>
      <c r="E83" s="378"/>
      <c r="F83" s="306">
        <v>50</v>
      </c>
      <c r="G83" s="380"/>
      <c r="H83" s="378"/>
      <c r="I83" s="380"/>
      <c r="J83" s="380"/>
      <c r="K83" s="8">
        <f t="shared" si="7"/>
        <v>50</v>
      </c>
      <c r="L83" s="332">
        <v>2</v>
      </c>
      <c r="M83" s="306" t="s">
        <v>355</v>
      </c>
      <c r="N83" s="306" t="s">
        <v>79</v>
      </c>
      <c r="O83" s="323" t="s">
        <v>88</v>
      </c>
      <c r="P83" s="306" t="s">
        <v>36</v>
      </c>
      <c r="Q83" s="306" t="s">
        <v>390</v>
      </c>
      <c r="R83" s="306" t="s">
        <v>283</v>
      </c>
      <c r="S83" s="364" t="s">
        <v>42</v>
      </c>
      <c r="T83" s="308" t="s">
        <v>39</v>
      </c>
      <c r="U83" s="365"/>
      <c r="V83" s="8"/>
      <c r="W83" s="54"/>
    </row>
    <row r="84" spans="1:23" ht="12" customHeight="1">
      <c r="A84" s="317" t="s">
        <v>1</v>
      </c>
      <c r="B84" s="377" t="s">
        <v>460</v>
      </c>
      <c r="C84" s="5" t="s">
        <v>6</v>
      </c>
      <c r="D84" s="378"/>
      <c r="E84" s="378"/>
      <c r="F84" s="306">
        <v>50</v>
      </c>
      <c r="G84" s="380"/>
      <c r="H84" s="378"/>
      <c r="I84" s="380"/>
      <c r="J84" s="380"/>
      <c r="K84" s="8">
        <f t="shared" si="7"/>
        <v>50</v>
      </c>
      <c r="L84" s="332">
        <v>2</v>
      </c>
      <c r="M84" s="306" t="s">
        <v>355</v>
      </c>
      <c r="N84" s="306" t="s">
        <v>79</v>
      </c>
      <c r="O84" s="323" t="s">
        <v>88</v>
      </c>
      <c r="P84" s="306" t="s">
        <v>37</v>
      </c>
      <c r="Q84" s="306" t="s">
        <v>390</v>
      </c>
      <c r="R84" s="306" t="s">
        <v>283</v>
      </c>
      <c r="S84" s="364" t="s">
        <v>42</v>
      </c>
      <c r="T84" s="308" t="s">
        <v>39</v>
      </c>
      <c r="U84" s="365"/>
      <c r="V84" s="8"/>
      <c r="W84" s="54"/>
    </row>
    <row r="85" spans="1:23" ht="12" customHeight="1">
      <c r="A85" s="317" t="s">
        <v>1</v>
      </c>
      <c r="B85" s="377" t="s">
        <v>461</v>
      </c>
      <c r="C85" s="5" t="s">
        <v>6</v>
      </c>
      <c r="D85" s="378"/>
      <c r="E85" s="378"/>
      <c r="F85" s="306">
        <v>50</v>
      </c>
      <c r="G85" s="380"/>
      <c r="H85" s="378"/>
      <c r="I85" s="380"/>
      <c r="J85" s="380"/>
      <c r="K85" s="8">
        <f t="shared" si="7"/>
        <v>50</v>
      </c>
      <c r="L85" s="332">
        <v>2</v>
      </c>
      <c r="M85" s="306" t="s">
        <v>355</v>
      </c>
      <c r="N85" s="306" t="s">
        <v>79</v>
      </c>
      <c r="O85" s="323" t="s">
        <v>88</v>
      </c>
      <c r="P85" s="306" t="s">
        <v>38</v>
      </c>
      <c r="Q85" s="306" t="s">
        <v>390</v>
      </c>
      <c r="R85" s="306" t="s">
        <v>283</v>
      </c>
      <c r="S85" s="364" t="s">
        <v>42</v>
      </c>
      <c r="T85" s="308" t="s">
        <v>39</v>
      </c>
      <c r="U85" s="365"/>
      <c r="V85" s="8"/>
      <c r="W85" s="54"/>
    </row>
    <row r="86" spans="1:23" ht="12" customHeight="1">
      <c r="A86" s="351" t="s">
        <v>1</v>
      </c>
      <c r="B86" s="383" t="s">
        <v>462</v>
      </c>
      <c r="C86" s="384" t="s">
        <v>463</v>
      </c>
      <c r="D86" s="385"/>
      <c r="E86" s="385"/>
      <c r="F86" s="385"/>
      <c r="G86" s="354">
        <v>470</v>
      </c>
      <c r="H86" s="385"/>
      <c r="I86" s="385"/>
      <c r="J86" s="385"/>
      <c r="K86" s="386">
        <f t="shared" si="7"/>
        <v>470</v>
      </c>
      <c r="L86" s="387">
        <v>2</v>
      </c>
      <c r="M86" s="357" t="s">
        <v>464</v>
      </c>
      <c r="N86" s="355" t="s">
        <v>83</v>
      </c>
      <c r="O86" s="356" t="s">
        <v>88</v>
      </c>
      <c r="P86" s="355" t="s">
        <v>7</v>
      </c>
      <c r="Q86" s="355" t="s">
        <v>7</v>
      </c>
      <c r="R86" s="355" t="s">
        <v>283</v>
      </c>
      <c r="S86" s="388" t="s">
        <v>465</v>
      </c>
      <c r="T86" s="354" t="s">
        <v>867</v>
      </c>
      <c r="U86" s="385"/>
      <c r="V86" s="8"/>
      <c r="W86" s="385"/>
    </row>
    <row r="87" spans="1:23" ht="12" customHeight="1">
      <c r="A87" s="351" t="s">
        <v>1</v>
      </c>
      <c r="B87" s="383" t="s">
        <v>462</v>
      </c>
      <c r="C87" s="389" t="s">
        <v>97</v>
      </c>
      <c r="D87" s="385"/>
      <c r="E87" s="385"/>
      <c r="F87" s="385"/>
      <c r="G87" s="354">
        <v>99</v>
      </c>
      <c r="H87" s="385"/>
      <c r="I87" s="385"/>
      <c r="J87" s="385"/>
      <c r="K87" s="386">
        <f t="shared" si="7"/>
        <v>99</v>
      </c>
      <c r="L87" s="387">
        <v>1</v>
      </c>
      <c r="M87" s="357" t="s">
        <v>466</v>
      </c>
      <c r="N87" s="355" t="s">
        <v>79</v>
      </c>
      <c r="O87" s="356" t="s">
        <v>88</v>
      </c>
      <c r="P87" s="355" t="s">
        <v>7</v>
      </c>
      <c r="Q87" s="355" t="s">
        <v>7</v>
      </c>
      <c r="R87" s="355" t="s">
        <v>283</v>
      </c>
      <c r="S87" s="388" t="s">
        <v>465</v>
      </c>
      <c r="T87" s="354" t="s">
        <v>867</v>
      </c>
      <c r="U87" s="385"/>
      <c r="V87" s="8"/>
      <c r="W87" s="385"/>
    </row>
    <row r="88" spans="1:23" ht="12" customHeight="1">
      <c r="A88" s="317" t="s">
        <v>1</v>
      </c>
      <c r="B88" s="390" t="s">
        <v>462</v>
      </c>
      <c r="C88" s="391" t="s">
        <v>467</v>
      </c>
      <c r="D88" s="361"/>
      <c r="E88" s="306"/>
      <c r="F88" s="360"/>
      <c r="G88" s="306"/>
      <c r="H88" s="306"/>
      <c r="I88" s="306"/>
      <c r="J88" s="306">
        <v>0.48</v>
      </c>
      <c r="K88" s="306">
        <f t="shared" ref="K88" si="8">D88+E88+F88+G88+H88+I88+J88</f>
        <v>0.48</v>
      </c>
      <c r="L88" s="332">
        <v>1</v>
      </c>
      <c r="M88" s="306" t="s">
        <v>468</v>
      </c>
      <c r="N88" s="306" t="s">
        <v>868</v>
      </c>
      <c r="O88" s="323" t="s">
        <v>87</v>
      </c>
      <c r="P88" s="306" t="s">
        <v>7</v>
      </c>
      <c r="Q88" s="392" t="s">
        <v>7</v>
      </c>
      <c r="R88" s="392" t="s">
        <v>283</v>
      </c>
      <c r="S88" s="308" t="s">
        <v>469</v>
      </c>
      <c r="T88" s="308" t="s">
        <v>470</v>
      </c>
      <c r="U88" s="365"/>
      <c r="V88" s="8"/>
      <c r="W88" s="334"/>
    </row>
    <row r="89" spans="1:23" ht="12" customHeight="1">
      <c r="A89" s="317" t="s">
        <v>1</v>
      </c>
      <c r="B89" s="390" t="s">
        <v>462</v>
      </c>
      <c r="C89" s="391" t="s">
        <v>471</v>
      </c>
      <c r="D89" s="361"/>
      <c r="E89" s="306"/>
      <c r="F89" s="360"/>
      <c r="G89" s="306"/>
      <c r="H89" s="306"/>
      <c r="I89" s="306"/>
      <c r="J89" s="306">
        <v>18.52</v>
      </c>
      <c r="K89" s="306">
        <f>D89+E89+F89+G89+H89+I89+J89</f>
        <v>18.52</v>
      </c>
      <c r="L89" s="332">
        <v>1</v>
      </c>
      <c r="M89" s="306" t="s">
        <v>29</v>
      </c>
      <c r="N89" s="306" t="s">
        <v>83</v>
      </c>
      <c r="O89" s="323" t="s">
        <v>87</v>
      </c>
      <c r="P89" s="306" t="s">
        <v>7</v>
      </c>
      <c r="Q89" s="392" t="s">
        <v>7</v>
      </c>
      <c r="R89" s="392" t="s">
        <v>283</v>
      </c>
      <c r="S89" s="308" t="s">
        <v>472</v>
      </c>
      <c r="T89" s="308" t="s">
        <v>473</v>
      </c>
      <c r="U89" s="365"/>
      <c r="V89" s="8">
        <v>20</v>
      </c>
      <c r="W89" s="334"/>
    </row>
    <row r="90" spans="1:23" ht="12" customHeight="1">
      <c r="A90" s="317" t="s">
        <v>1</v>
      </c>
      <c r="B90" s="390" t="s">
        <v>462</v>
      </c>
      <c r="C90" s="391" t="s">
        <v>474</v>
      </c>
      <c r="D90" s="361"/>
      <c r="E90" s="306"/>
      <c r="F90" s="360"/>
      <c r="G90" s="306"/>
      <c r="H90" s="306"/>
      <c r="I90" s="306"/>
      <c r="J90" s="306">
        <v>2.04</v>
      </c>
      <c r="K90" s="306">
        <f>D90+E90+F90+G90+H90+I90+J90</f>
        <v>2.04</v>
      </c>
      <c r="L90" s="332">
        <v>1</v>
      </c>
      <c r="M90" s="306" t="s">
        <v>29</v>
      </c>
      <c r="N90" s="306" t="s">
        <v>83</v>
      </c>
      <c r="O90" s="323" t="s">
        <v>87</v>
      </c>
      <c r="P90" s="306" t="s">
        <v>7</v>
      </c>
      <c r="Q90" s="306" t="s">
        <v>7</v>
      </c>
      <c r="R90" s="306" t="s">
        <v>283</v>
      </c>
      <c r="S90" s="308" t="s">
        <v>469</v>
      </c>
      <c r="T90" s="308" t="s">
        <v>470</v>
      </c>
      <c r="U90" s="365"/>
      <c r="V90" s="8">
        <v>2.04</v>
      </c>
      <c r="W90" s="54"/>
    </row>
    <row r="91" spans="1:23" ht="12" customHeight="1">
      <c r="A91" s="317" t="s">
        <v>1</v>
      </c>
      <c r="B91" s="390" t="s">
        <v>462</v>
      </c>
      <c r="C91" s="391" t="s">
        <v>475</v>
      </c>
      <c r="D91" s="361"/>
      <c r="E91" s="306"/>
      <c r="F91" s="360"/>
      <c r="G91" s="306"/>
      <c r="H91" s="306">
        <v>4.5599999999999996</v>
      </c>
      <c r="I91" s="306"/>
      <c r="J91" s="306"/>
      <c r="K91" s="306">
        <f>D91+E91+F91+G91+H91+I91+J91</f>
        <v>4.5599999999999996</v>
      </c>
      <c r="L91" s="332">
        <v>1</v>
      </c>
      <c r="M91" s="321" t="s">
        <v>107</v>
      </c>
      <c r="N91" s="306" t="s">
        <v>83</v>
      </c>
      <c r="O91" s="323" t="s">
        <v>88</v>
      </c>
      <c r="P91" s="306" t="s">
        <v>7</v>
      </c>
      <c r="Q91" s="306" t="s">
        <v>7</v>
      </c>
      <c r="R91" s="306" t="s">
        <v>283</v>
      </c>
      <c r="S91" s="308" t="s">
        <v>465</v>
      </c>
      <c r="T91" s="308" t="s">
        <v>476</v>
      </c>
      <c r="U91" s="365"/>
      <c r="V91" s="8"/>
      <c r="W91" s="54"/>
    </row>
    <row r="92" spans="1:23" ht="12" customHeight="1">
      <c r="A92" s="393" t="s">
        <v>1</v>
      </c>
      <c r="B92" s="394" t="s">
        <v>462</v>
      </c>
      <c r="C92" s="395" t="s">
        <v>869</v>
      </c>
      <c r="D92" s="396"/>
      <c r="E92" s="397"/>
      <c r="F92" s="398"/>
      <c r="G92" s="397">
        <v>95.32</v>
      </c>
      <c r="H92" s="397">
        <v>35.799999999999997</v>
      </c>
      <c r="I92" s="397"/>
      <c r="J92" s="397"/>
      <c r="K92" s="397">
        <f>D92+E92+F92+G92+H92+I92+J92</f>
        <v>131.12</v>
      </c>
      <c r="L92" s="399">
        <v>1</v>
      </c>
      <c r="M92" s="400" t="s">
        <v>280</v>
      </c>
      <c r="N92" s="397" t="s">
        <v>83</v>
      </c>
      <c r="O92" s="312" t="s">
        <v>88</v>
      </c>
      <c r="P92" s="397" t="s">
        <v>7</v>
      </c>
      <c r="Q92" s="397" t="s">
        <v>7</v>
      </c>
      <c r="R92" s="397" t="s">
        <v>283</v>
      </c>
      <c r="S92" s="326" t="s">
        <v>477</v>
      </c>
      <c r="T92" s="325" t="s">
        <v>476</v>
      </c>
      <c r="U92" s="333"/>
      <c r="V92" s="401"/>
      <c r="W92" s="402"/>
    </row>
    <row r="93" spans="1:23" ht="12" customHeight="1">
      <c r="A93" s="393" t="s">
        <v>1</v>
      </c>
      <c r="B93" s="394" t="s">
        <v>462</v>
      </c>
      <c r="C93" s="395" t="s">
        <v>478</v>
      </c>
      <c r="D93" s="396"/>
      <c r="E93" s="397"/>
      <c r="F93" s="398"/>
      <c r="G93" s="397"/>
      <c r="H93" s="397"/>
      <c r="I93" s="397"/>
      <c r="J93" s="397"/>
      <c r="K93" s="397"/>
      <c r="L93" s="399">
        <v>2</v>
      </c>
      <c r="M93" s="400" t="s">
        <v>852</v>
      </c>
      <c r="N93" s="397"/>
      <c r="O93" s="312"/>
      <c r="P93" s="397" t="s">
        <v>870</v>
      </c>
      <c r="Q93" s="397" t="s">
        <v>7</v>
      </c>
      <c r="R93" s="397" t="s">
        <v>283</v>
      </c>
      <c r="S93" s="326"/>
      <c r="T93" s="325"/>
      <c r="U93" s="333"/>
      <c r="V93" s="401">
        <v>35.270000000000003</v>
      </c>
      <c r="W93" s="402"/>
    </row>
    <row r="94" spans="1:23" ht="12" customHeight="1">
      <c r="A94" s="403"/>
      <c r="B94" s="404"/>
      <c r="C94" s="405" t="s">
        <v>479</v>
      </c>
      <c r="D94" s="406">
        <f>SUM(D53:D78)</f>
        <v>0</v>
      </c>
      <c r="E94" s="406">
        <f>SUM(E53:E78)</f>
        <v>0</v>
      </c>
      <c r="F94" s="406">
        <f t="shared" ref="F94" si="9">SUM(F4:F92)</f>
        <v>1502</v>
      </c>
      <c r="G94" s="406">
        <f>SUM(G4:G92)</f>
        <v>3046.3499999999995</v>
      </c>
      <c r="H94" s="406">
        <f>SUM(H4:H92)</f>
        <v>730.3</v>
      </c>
      <c r="I94" s="406">
        <f>SUM(I4:I92)</f>
        <v>132.21</v>
      </c>
      <c r="J94" s="406">
        <f>SUM(J4:J92)</f>
        <v>568.42999999999995</v>
      </c>
      <c r="K94" s="406">
        <f>SUM(K4:K92)</f>
        <v>5979.29</v>
      </c>
      <c r="L94" s="407"/>
      <c r="M94" s="408"/>
      <c r="N94" s="408"/>
      <c r="O94" s="409"/>
      <c r="P94" s="408"/>
      <c r="Q94" s="410"/>
      <c r="R94" s="408"/>
      <c r="S94" s="411"/>
      <c r="T94" s="412"/>
      <c r="U94" s="413"/>
      <c r="V94" s="406">
        <f>SUM(V4:V93)</f>
        <v>1143.32</v>
      </c>
      <c r="W94" s="406">
        <f>SUM(W4:W93)</f>
        <v>0</v>
      </c>
    </row>
    <row r="95" spans="1:23" ht="12" customHeight="1">
      <c r="A95" s="61" t="s">
        <v>247</v>
      </c>
      <c r="B95" s="414" t="s">
        <v>8</v>
      </c>
      <c r="C95" s="310" t="s">
        <v>871</v>
      </c>
      <c r="D95" s="415"/>
      <c r="E95" s="415"/>
      <c r="F95" s="415"/>
      <c r="G95" s="306">
        <v>2000</v>
      </c>
      <c r="H95" s="415"/>
      <c r="I95" s="306"/>
      <c r="J95" s="415"/>
      <c r="K95" s="8">
        <f t="shared" ref="K95:K102" si="10">J95+I95+H95+G95+F95+E95+D95</f>
        <v>2000</v>
      </c>
      <c r="L95" s="332">
        <v>1</v>
      </c>
      <c r="M95" s="306" t="s">
        <v>29</v>
      </c>
      <c r="N95" s="306" t="s">
        <v>83</v>
      </c>
      <c r="O95" s="323" t="s">
        <v>88</v>
      </c>
      <c r="P95" s="323" t="s">
        <v>480</v>
      </c>
      <c r="Q95" s="390" t="s">
        <v>481</v>
      </c>
      <c r="R95" s="60" t="s">
        <v>482</v>
      </c>
      <c r="S95" s="416" t="s">
        <v>483</v>
      </c>
      <c r="T95" s="416" t="s">
        <v>484</v>
      </c>
      <c r="U95" s="416" t="s">
        <v>219</v>
      </c>
      <c r="V95" s="401">
        <v>1000</v>
      </c>
      <c r="W95" s="54"/>
    </row>
    <row r="96" spans="1:23" ht="12" customHeight="1">
      <c r="A96" s="61" t="s">
        <v>247</v>
      </c>
      <c r="B96" s="414" t="s">
        <v>8</v>
      </c>
      <c r="C96" s="417" t="s">
        <v>262</v>
      </c>
      <c r="D96" s="418"/>
      <c r="E96" s="419"/>
      <c r="F96" s="419"/>
      <c r="G96" s="420"/>
      <c r="H96" s="306">
        <v>4.0199999999999996</v>
      </c>
      <c r="I96" s="306"/>
      <c r="J96" s="418"/>
      <c r="K96" s="8">
        <f t="shared" si="10"/>
        <v>4.0199999999999996</v>
      </c>
      <c r="L96" s="332">
        <v>1</v>
      </c>
      <c r="M96" s="306" t="s">
        <v>485</v>
      </c>
      <c r="N96" s="306" t="s">
        <v>83</v>
      </c>
      <c r="O96" s="323" t="s">
        <v>88</v>
      </c>
      <c r="P96" s="323" t="s">
        <v>254</v>
      </c>
      <c r="Q96" s="390" t="s">
        <v>481</v>
      </c>
      <c r="R96" s="62" t="s">
        <v>482</v>
      </c>
      <c r="S96" s="312" t="s">
        <v>486</v>
      </c>
      <c r="T96" s="312" t="s">
        <v>487</v>
      </c>
      <c r="U96" s="421"/>
      <c r="V96" s="401"/>
      <c r="W96" s="54"/>
    </row>
    <row r="97" spans="1:23" ht="12" customHeight="1">
      <c r="A97" s="61" t="s">
        <v>247</v>
      </c>
      <c r="B97" s="414" t="s">
        <v>8</v>
      </c>
      <c r="C97" s="417" t="s">
        <v>488</v>
      </c>
      <c r="D97" s="418"/>
      <c r="E97" s="419"/>
      <c r="F97" s="419"/>
      <c r="G97" s="420">
        <v>4.42</v>
      </c>
      <c r="H97" s="306">
        <v>2.21</v>
      </c>
      <c r="I97" s="306"/>
      <c r="J97" s="418"/>
      <c r="K97" s="8">
        <f t="shared" si="10"/>
        <v>6.63</v>
      </c>
      <c r="L97" s="332">
        <v>1</v>
      </c>
      <c r="M97" s="306" t="s">
        <v>489</v>
      </c>
      <c r="N97" s="306" t="s">
        <v>83</v>
      </c>
      <c r="O97" s="323" t="s">
        <v>88</v>
      </c>
      <c r="P97" s="323" t="s">
        <v>480</v>
      </c>
      <c r="Q97" s="390" t="s">
        <v>481</v>
      </c>
      <c r="R97" s="62" t="s">
        <v>482</v>
      </c>
      <c r="S97" s="416" t="s">
        <v>490</v>
      </c>
      <c r="T97" s="422" t="s">
        <v>222</v>
      </c>
      <c r="U97" s="421" t="s">
        <v>291</v>
      </c>
      <c r="V97" s="401"/>
      <c r="W97" s="54"/>
    </row>
    <row r="98" spans="1:23" ht="12" customHeight="1">
      <c r="A98" s="61" t="s">
        <v>247</v>
      </c>
      <c r="B98" s="414" t="s">
        <v>8</v>
      </c>
      <c r="C98" s="417" t="s">
        <v>491</v>
      </c>
      <c r="D98" s="418"/>
      <c r="E98" s="419"/>
      <c r="F98" s="419"/>
      <c r="G98" s="420">
        <v>22.7</v>
      </c>
      <c r="H98" s="306"/>
      <c r="I98" s="306"/>
      <c r="J98" s="418"/>
      <c r="K98" s="8">
        <f t="shared" si="10"/>
        <v>22.7</v>
      </c>
      <c r="L98" s="332">
        <v>1</v>
      </c>
      <c r="M98" s="306" t="s">
        <v>360</v>
      </c>
      <c r="N98" s="306" t="s">
        <v>83</v>
      </c>
      <c r="O98" s="323" t="s">
        <v>88</v>
      </c>
      <c r="P98" s="323" t="s">
        <v>492</v>
      </c>
      <c r="Q98" s="390" t="s">
        <v>481</v>
      </c>
      <c r="R98" s="62" t="s">
        <v>482</v>
      </c>
      <c r="S98" s="416" t="s">
        <v>493</v>
      </c>
      <c r="T98" s="422" t="s">
        <v>494</v>
      </c>
      <c r="U98" s="422" t="s">
        <v>221</v>
      </c>
      <c r="V98" s="401"/>
      <c r="W98" s="54"/>
    </row>
    <row r="99" spans="1:23" ht="12" customHeight="1">
      <c r="A99" s="61" t="s">
        <v>247</v>
      </c>
      <c r="B99" s="414" t="s">
        <v>8</v>
      </c>
      <c r="C99" s="5" t="s">
        <v>495</v>
      </c>
      <c r="D99" s="423"/>
      <c r="E99" s="424"/>
      <c r="F99" s="424"/>
      <c r="G99" s="425"/>
      <c r="H99" s="424">
        <v>56.66</v>
      </c>
      <c r="I99" s="425"/>
      <c r="J99" s="425"/>
      <c r="K99" s="8">
        <f t="shared" si="10"/>
        <v>56.66</v>
      </c>
      <c r="L99" s="332">
        <v>1</v>
      </c>
      <c r="M99" s="306" t="s">
        <v>28</v>
      </c>
      <c r="N99" s="306" t="s">
        <v>83</v>
      </c>
      <c r="O99" s="323" t="s">
        <v>88</v>
      </c>
      <c r="P99" s="323" t="s">
        <v>480</v>
      </c>
      <c r="Q99" s="390" t="s">
        <v>481</v>
      </c>
      <c r="R99" s="62" t="s">
        <v>482</v>
      </c>
      <c r="S99" s="312" t="s">
        <v>487</v>
      </c>
      <c r="T99" s="421" t="s">
        <v>496</v>
      </c>
      <c r="U99" s="421"/>
      <c r="V99" s="401"/>
      <c r="W99" s="54"/>
    </row>
    <row r="100" spans="1:23" ht="12" customHeight="1">
      <c r="A100" s="61" t="s">
        <v>247</v>
      </c>
      <c r="B100" s="414" t="s">
        <v>9</v>
      </c>
      <c r="C100" s="11" t="s">
        <v>261</v>
      </c>
      <c r="D100" s="418"/>
      <c r="E100" s="419"/>
      <c r="F100" s="419"/>
      <c r="G100" s="425"/>
      <c r="H100" s="424">
        <v>259.24</v>
      </c>
      <c r="I100" s="425">
        <v>510</v>
      </c>
      <c r="J100" s="425"/>
      <c r="K100" s="8">
        <f t="shared" si="10"/>
        <v>769.24</v>
      </c>
      <c r="L100" s="332">
        <v>1</v>
      </c>
      <c r="M100" s="306" t="s">
        <v>288</v>
      </c>
      <c r="N100" s="306" t="s">
        <v>83</v>
      </c>
      <c r="O100" s="323" t="s">
        <v>87</v>
      </c>
      <c r="P100" s="323" t="s">
        <v>10</v>
      </c>
      <c r="Q100" s="390" t="s">
        <v>481</v>
      </c>
      <c r="R100" s="62" t="s">
        <v>482</v>
      </c>
      <c r="S100" s="421" t="s">
        <v>497</v>
      </c>
      <c r="T100" s="421" t="s">
        <v>498</v>
      </c>
      <c r="U100" s="421" t="s">
        <v>291</v>
      </c>
      <c r="V100" s="401">
        <v>200</v>
      </c>
      <c r="W100" s="54"/>
    </row>
    <row r="101" spans="1:23" ht="12" customHeight="1">
      <c r="A101" s="61" t="s">
        <v>247</v>
      </c>
      <c r="B101" s="414" t="s">
        <v>9</v>
      </c>
      <c r="C101" s="5" t="s">
        <v>49</v>
      </c>
      <c r="D101" s="418"/>
      <c r="E101" s="419"/>
      <c r="F101" s="419"/>
      <c r="G101" s="306"/>
      <c r="H101" s="306">
        <v>25</v>
      </c>
      <c r="I101" s="306"/>
      <c r="J101" s="418"/>
      <c r="K101" s="8">
        <f t="shared" si="10"/>
        <v>25</v>
      </c>
      <c r="L101" s="332">
        <v>1</v>
      </c>
      <c r="M101" s="306" t="s">
        <v>499</v>
      </c>
      <c r="N101" s="306" t="s">
        <v>83</v>
      </c>
      <c r="O101" s="323" t="s">
        <v>88</v>
      </c>
      <c r="P101" s="323" t="s">
        <v>10</v>
      </c>
      <c r="Q101" s="390" t="s">
        <v>481</v>
      </c>
      <c r="R101" s="62" t="s">
        <v>482</v>
      </c>
      <c r="S101" s="312" t="s">
        <v>500</v>
      </c>
      <c r="T101" s="421" t="s">
        <v>501</v>
      </c>
      <c r="U101" s="421" t="s">
        <v>291</v>
      </c>
      <c r="V101" s="401"/>
      <c r="W101" s="54"/>
    </row>
    <row r="102" spans="1:23" ht="12" customHeight="1">
      <c r="A102" s="61" t="s">
        <v>247</v>
      </c>
      <c r="B102" s="414" t="s">
        <v>252</v>
      </c>
      <c r="C102" s="5" t="s">
        <v>260</v>
      </c>
      <c r="D102" s="306"/>
      <c r="E102" s="360"/>
      <c r="F102" s="360"/>
      <c r="G102" s="306">
        <v>100.2</v>
      </c>
      <c r="H102" s="360"/>
      <c r="I102" s="306"/>
      <c r="J102" s="306"/>
      <c r="K102" s="8">
        <f t="shared" si="10"/>
        <v>100.2</v>
      </c>
      <c r="L102" s="332">
        <v>1</v>
      </c>
      <c r="M102" s="306" t="s">
        <v>109</v>
      </c>
      <c r="N102" s="306" t="s">
        <v>83</v>
      </c>
      <c r="O102" s="323" t="s">
        <v>87</v>
      </c>
      <c r="P102" s="426" t="s">
        <v>11</v>
      </c>
      <c r="Q102" s="390" t="s">
        <v>502</v>
      </c>
      <c r="R102" s="62" t="s">
        <v>482</v>
      </c>
      <c r="S102" s="312" t="s">
        <v>503</v>
      </c>
      <c r="T102" s="312" t="s">
        <v>504</v>
      </c>
      <c r="U102" s="312" t="s">
        <v>358</v>
      </c>
      <c r="V102" s="401"/>
      <c r="W102" s="54"/>
    </row>
    <row r="103" spans="1:23" ht="12" customHeight="1">
      <c r="A103" s="61" t="s">
        <v>247</v>
      </c>
      <c r="B103" s="414" t="s">
        <v>252</v>
      </c>
      <c r="C103" s="5" t="s">
        <v>505</v>
      </c>
      <c r="D103" s="392"/>
      <c r="E103" s="427"/>
      <c r="F103" s="427"/>
      <c r="G103" s="306">
        <v>2.61</v>
      </c>
      <c r="H103" s="360"/>
      <c r="I103" s="306"/>
      <c r="J103" s="306"/>
      <c r="K103" s="8">
        <v>2.61</v>
      </c>
      <c r="L103" s="332">
        <v>1</v>
      </c>
      <c r="M103" s="306" t="s">
        <v>210</v>
      </c>
      <c r="N103" s="306" t="s">
        <v>83</v>
      </c>
      <c r="O103" s="323" t="s">
        <v>88</v>
      </c>
      <c r="P103" s="426" t="s">
        <v>11</v>
      </c>
      <c r="Q103" s="390" t="s">
        <v>502</v>
      </c>
      <c r="R103" s="62" t="s">
        <v>482</v>
      </c>
      <c r="S103" s="312" t="s">
        <v>506</v>
      </c>
      <c r="T103" s="312" t="s">
        <v>507</v>
      </c>
      <c r="U103" s="312"/>
      <c r="V103" s="401"/>
      <c r="W103" s="334"/>
    </row>
    <row r="104" spans="1:23" ht="12" customHeight="1">
      <c r="A104" s="61" t="s">
        <v>247</v>
      </c>
      <c r="B104" s="414" t="s">
        <v>252</v>
      </c>
      <c r="C104" s="5" t="s">
        <v>253</v>
      </c>
      <c r="D104" s="306"/>
      <c r="E104" s="360"/>
      <c r="F104" s="360"/>
      <c r="G104" s="306"/>
      <c r="H104" s="360"/>
      <c r="I104" s="306"/>
      <c r="J104" s="306">
        <v>3.98</v>
      </c>
      <c r="K104" s="8">
        <f t="shared" ref="K104:K131" si="11">J104+I104+H104+G104+F104+E104+D104</f>
        <v>3.98</v>
      </c>
      <c r="L104" s="332">
        <v>1</v>
      </c>
      <c r="M104" s="306" t="s">
        <v>280</v>
      </c>
      <c r="N104" s="306" t="s">
        <v>83</v>
      </c>
      <c r="O104" s="323" t="s">
        <v>87</v>
      </c>
      <c r="P104" s="426" t="s">
        <v>11</v>
      </c>
      <c r="Q104" s="390" t="s">
        <v>502</v>
      </c>
      <c r="R104" s="62" t="s">
        <v>482</v>
      </c>
      <c r="S104" s="312" t="s">
        <v>223</v>
      </c>
      <c r="T104" s="312" t="s">
        <v>39</v>
      </c>
      <c r="U104" s="421" t="s">
        <v>291</v>
      </c>
      <c r="V104" s="401"/>
      <c r="W104" s="54"/>
    </row>
    <row r="105" spans="1:23" ht="12" customHeight="1">
      <c r="A105" s="61" t="s">
        <v>247</v>
      </c>
      <c r="B105" s="414" t="s">
        <v>252</v>
      </c>
      <c r="C105" s="360" t="s">
        <v>508</v>
      </c>
      <c r="D105" s="360">
        <v>112</v>
      </c>
      <c r="E105" s="427"/>
      <c r="F105" s="427"/>
      <c r="G105" s="306">
        <v>80.33</v>
      </c>
      <c r="H105" s="360">
        <v>19.329999999999998</v>
      </c>
      <c r="I105" s="306">
        <v>30.43</v>
      </c>
      <c r="J105" s="306"/>
      <c r="K105" s="8">
        <f t="shared" si="11"/>
        <v>242.09</v>
      </c>
      <c r="L105" s="332">
        <v>1</v>
      </c>
      <c r="M105" s="306" t="s">
        <v>210</v>
      </c>
      <c r="N105" s="306" t="s">
        <v>83</v>
      </c>
      <c r="O105" s="323" t="s">
        <v>88</v>
      </c>
      <c r="P105" s="426" t="s">
        <v>11</v>
      </c>
      <c r="Q105" s="390" t="s">
        <v>502</v>
      </c>
      <c r="R105" s="62" t="s">
        <v>482</v>
      </c>
      <c r="S105" s="312" t="s">
        <v>487</v>
      </c>
      <c r="T105" s="312" t="s">
        <v>507</v>
      </c>
      <c r="U105" s="421"/>
      <c r="V105" s="401"/>
      <c r="W105" s="334"/>
    </row>
    <row r="106" spans="1:23" ht="12" customHeight="1">
      <c r="A106" s="61" t="s">
        <v>247</v>
      </c>
      <c r="B106" s="390" t="s">
        <v>509</v>
      </c>
      <c r="C106" s="5" t="s">
        <v>510</v>
      </c>
      <c r="D106" s="306"/>
      <c r="E106" s="306"/>
      <c r="F106" s="306"/>
      <c r="G106" s="306"/>
      <c r="H106" s="306">
        <v>30.65</v>
      </c>
      <c r="I106" s="306"/>
      <c r="J106" s="306"/>
      <c r="K106" s="8">
        <f t="shared" si="11"/>
        <v>30.65</v>
      </c>
      <c r="L106" s="332">
        <v>1</v>
      </c>
      <c r="M106" s="306" t="s">
        <v>29</v>
      </c>
      <c r="N106" s="306" t="s">
        <v>83</v>
      </c>
      <c r="O106" s="323" t="s">
        <v>87</v>
      </c>
      <c r="P106" s="323" t="s">
        <v>511</v>
      </c>
      <c r="Q106" s="390" t="s">
        <v>502</v>
      </c>
      <c r="R106" s="62" t="s">
        <v>482</v>
      </c>
      <c r="S106" s="312" t="s">
        <v>512</v>
      </c>
      <c r="T106" s="312" t="s">
        <v>39</v>
      </c>
      <c r="U106" s="421"/>
      <c r="V106" s="401">
        <v>30</v>
      </c>
      <c r="W106" s="54"/>
    </row>
    <row r="107" spans="1:23" ht="12" customHeight="1">
      <c r="A107" s="61" t="s">
        <v>247</v>
      </c>
      <c r="B107" s="390" t="s">
        <v>12</v>
      </c>
      <c r="C107" s="5" t="s">
        <v>872</v>
      </c>
      <c r="D107" s="306"/>
      <c r="E107" s="306"/>
      <c r="F107" s="306"/>
      <c r="G107" s="306"/>
      <c r="H107" s="306"/>
      <c r="I107" s="306"/>
      <c r="J107" s="306">
        <v>1.18</v>
      </c>
      <c r="K107" s="8">
        <f t="shared" si="11"/>
        <v>1.18</v>
      </c>
      <c r="L107" s="332">
        <v>1</v>
      </c>
      <c r="M107" s="306" t="s">
        <v>394</v>
      </c>
      <c r="N107" s="306" t="s">
        <v>83</v>
      </c>
      <c r="O107" s="323" t="s">
        <v>88</v>
      </c>
      <c r="P107" s="323" t="s">
        <v>513</v>
      </c>
      <c r="Q107" s="390" t="s">
        <v>502</v>
      </c>
      <c r="R107" s="62" t="s">
        <v>482</v>
      </c>
      <c r="S107" s="421" t="s">
        <v>514</v>
      </c>
      <c r="T107" s="312" t="s">
        <v>487</v>
      </c>
      <c r="U107" s="421"/>
      <c r="V107" s="401"/>
      <c r="W107" s="54"/>
    </row>
    <row r="108" spans="1:23" ht="12" customHeight="1">
      <c r="A108" s="61" t="s">
        <v>247</v>
      </c>
      <c r="B108" s="390" t="s">
        <v>12</v>
      </c>
      <c r="C108" s="5" t="s">
        <v>873</v>
      </c>
      <c r="D108" s="306"/>
      <c r="E108" s="306"/>
      <c r="F108" s="306"/>
      <c r="G108" s="306"/>
      <c r="H108" s="306"/>
      <c r="I108" s="306"/>
      <c r="J108" s="306"/>
      <c r="K108" s="8"/>
      <c r="L108" s="332">
        <v>1</v>
      </c>
      <c r="M108" s="306" t="s">
        <v>874</v>
      </c>
      <c r="N108" s="306"/>
      <c r="O108" s="323"/>
      <c r="P108" s="323" t="s">
        <v>513</v>
      </c>
      <c r="Q108" s="390" t="s">
        <v>502</v>
      </c>
      <c r="R108" s="62" t="s">
        <v>482</v>
      </c>
      <c r="S108" s="421"/>
      <c r="T108" s="312"/>
      <c r="U108" s="421"/>
      <c r="V108" s="401">
        <v>1.19</v>
      </c>
      <c r="W108" s="54"/>
    </row>
    <row r="109" spans="1:23" ht="12" customHeight="1">
      <c r="A109" s="61" t="s">
        <v>247</v>
      </c>
      <c r="B109" s="390" t="s">
        <v>12</v>
      </c>
      <c r="C109" s="5" t="s">
        <v>515</v>
      </c>
      <c r="D109" s="423"/>
      <c r="E109" s="424"/>
      <c r="F109" s="424"/>
      <c r="G109" s="425"/>
      <c r="H109" s="424"/>
      <c r="I109" s="425"/>
      <c r="J109" s="425">
        <v>9.6</v>
      </c>
      <c r="K109" s="8">
        <f t="shared" si="11"/>
        <v>9.6</v>
      </c>
      <c r="L109" s="332">
        <v>1</v>
      </c>
      <c r="M109" s="306" t="s">
        <v>360</v>
      </c>
      <c r="N109" s="306" t="s">
        <v>83</v>
      </c>
      <c r="O109" s="323" t="s">
        <v>88</v>
      </c>
      <c r="P109" s="323" t="s">
        <v>513</v>
      </c>
      <c r="Q109" s="390" t="s">
        <v>502</v>
      </c>
      <c r="R109" s="62" t="s">
        <v>482</v>
      </c>
      <c r="S109" s="312" t="s">
        <v>224</v>
      </c>
      <c r="T109" s="312" t="s">
        <v>225</v>
      </c>
      <c r="U109" s="421"/>
      <c r="V109" s="401"/>
      <c r="W109" s="54"/>
    </row>
    <row r="110" spans="1:23" ht="12" customHeight="1">
      <c r="A110" s="61" t="s">
        <v>247</v>
      </c>
      <c r="B110" s="390" t="s">
        <v>12</v>
      </c>
      <c r="C110" s="5" t="s">
        <v>516</v>
      </c>
      <c r="D110" s="306"/>
      <c r="E110" s="306"/>
      <c r="F110" s="306"/>
      <c r="G110" s="306">
        <f>30.58+45.93</f>
        <v>76.509999999999991</v>
      </c>
      <c r="H110" s="306"/>
      <c r="I110" s="306"/>
      <c r="J110" s="306"/>
      <c r="K110" s="8">
        <f t="shared" si="11"/>
        <v>76.509999999999991</v>
      </c>
      <c r="L110" s="332">
        <v>1</v>
      </c>
      <c r="M110" s="306" t="s">
        <v>280</v>
      </c>
      <c r="N110" s="306" t="s">
        <v>83</v>
      </c>
      <c r="O110" s="323" t="s">
        <v>87</v>
      </c>
      <c r="P110" s="323" t="s">
        <v>517</v>
      </c>
      <c r="Q110" s="390" t="s">
        <v>502</v>
      </c>
      <c r="R110" s="62" t="s">
        <v>482</v>
      </c>
      <c r="S110" s="428" t="s">
        <v>39</v>
      </c>
      <c r="T110" s="421" t="s">
        <v>518</v>
      </c>
      <c r="U110" s="428"/>
      <c r="V110" s="401"/>
      <c r="W110" s="54"/>
    </row>
    <row r="111" spans="1:23" ht="12" customHeight="1">
      <c r="A111" s="61" t="s">
        <v>247</v>
      </c>
      <c r="B111" s="390" t="s">
        <v>12</v>
      </c>
      <c r="C111" s="417" t="s">
        <v>519</v>
      </c>
      <c r="D111" s="424"/>
      <c r="E111" s="424"/>
      <c r="F111" s="424"/>
      <c r="G111" s="425">
        <v>0.62</v>
      </c>
      <c r="H111" s="424"/>
      <c r="I111" s="425"/>
      <c r="J111" s="425">
        <v>4.18</v>
      </c>
      <c r="K111" s="8">
        <f t="shared" si="11"/>
        <v>4.8</v>
      </c>
      <c r="L111" s="332">
        <v>1</v>
      </c>
      <c r="M111" s="306" t="s">
        <v>360</v>
      </c>
      <c r="N111" s="306" t="s">
        <v>83</v>
      </c>
      <c r="O111" s="323" t="s">
        <v>87</v>
      </c>
      <c r="P111" s="429" t="s">
        <v>13</v>
      </c>
      <c r="Q111" s="390" t="s">
        <v>502</v>
      </c>
      <c r="R111" s="62" t="s">
        <v>482</v>
      </c>
      <c r="S111" s="312" t="s">
        <v>520</v>
      </c>
      <c r="T111" s="312" t="s">
        <v>521</v>
      </c>
      <c r="U111" s="312"/>
      <c r="V111" s="401"/>
      <c r="W111" s="54"/>
    </row>
    <row r="112" spans="1:23" ht="12" customHeight="1">
      <c r="A112" s="61" t="s">
        <v>247</v>
      </c>
      <c r="B112" s="390" t="s">
        <v>522</v>
      </c>
      <c r="C112" s="319" t="s">
        <v>523</v>
      </c>
      <c r="D112" s="430"/>
      <c r="E112" s="360"/>
      <c r="F112" s="360"/>
      <c r="G112" s="306"/>
      <c r="H112" s="306"/>
      <c r="I112" s="306"/>
      <c r="J112" s="306">
        <v>5.23</v>
      </c>
      <c r="K112" s="8">
        <f t="shared" si="11"/>
        <v>5.23</v>
      </c>
      <c r="L112" s="323">
        <v>1</v>
      </c>
      <c r="M112" s="306" t="s">
        <v>394</v>
      </c>
      <c r="N112" s="306" t="s">
        <v>83</v>
      </c>
      <c r="O112" s="323" t="s">
        <v>88</v>
      </c>
      <c r="P112" s="429" t="s">
        <v>524</v>
      </c>
      <c r="Q112" s="390" t="s">
        <v>502</v>
      </c>
      <c r="R112" s="62" t="s">
        <v>482</v>
      </c>
      <c r="S112" s="312" t="s">
        <v>525</v>
      </c>
      <c r="T112" s="312" t="s">
        <v>526</v>
      </c>
      <c r="U112" s="428"/>
      <c r="V112" s="401"/>
      <c r="W112" s="54"/>
    </row>
    <row r="113" spans="1:23" ht="12" customHeight="1">
      <c r="A113" s="61" t="s">
        <v>247</v>
      </c>
      <c r="B113" s="390" t="s">
        <v>12</v>
      </c>
      <c r="C113" s="417" t="s">
        <v>31</v>
      </c>
      <c r="D113" s="424">
        <v>306.01</v>
      </c>
      <c r="E113" s="424"/>
      <c r="F113" s="424"/>
      <c r="G113" s="425"/>
      <c r="H113" s="424"/>
      <c r="I113" s="425"/>
      <c r="J113" s="425"/>
      <c r="K113" s="8">
        <f t="shared" si="11"/>
        <v>306.01</v>
      </c>
      <c r="L113" s="332">
        <v>2</v>
      </c>
      <c r="M113" s="306" t="s">
        <v>273</v>
      </c>
      <c r="N113" s="306" t="s">
        <v>79</v>
      </c>
      <c r="O113" s="323" t="s">
        <v>88</v>
      </c>
      <c r="P113" s="12" t="s">
        <v>513</v>
      </c>
      <c r="Q113" s="390" t="s">
        <v>502</v>
      </c>
      <c r="R113" s="62" t="s">
        <v>482</v>
      </c>
      <c r="S113" s="312" t="s">
        <v>506</v>
      </c>
      <c r="T113" s="312" t="s">
        <v>527</v>
      </c>
      <c r="U113" s="312"/>
      <c r="V113" s="401"/>
      <c r="W113" s="54"/>
    </row>
    <row r="114" spans="1:23" ht="12" customHeight="1">
      <c r="A114" s="61" t="s">
        <v>247</v>
      </c>
      <c r="B114" s="390" t="s">
        <v>12</v>
      </c>
      <c r="C114" s="417" t="s">
        <v>528</v>
      </c>
      <c r="D114" s="424"/>
      <c r="E114" s="424"/>
      <c r="F114" s="424"/>
      <c r="G114" s="425"/>
      <c r="H114" s="424"/>
      <c r="I114" s="425"/>
      <c r="J114" s="425"/>
      <c r="K114" s="8"/>
      <c r="L114" s="332">
        <v>2</v>
      </c>
      <c r="M114" s="306" t="s">
        <v>273</v>
      </c>
      <c r="N114" s="306"/>
      <c r="O114" s="323"/>
      <c r="P114" s="12" t="s">
        <v>513</v>
      </c>
      <c r="Q114" s="390" t="s">
        <v>502</v>
      </c>
      <c r="R114" s="62" t="s">
        <v>482</v>
      </c>
      <c r="S114" s="312"/>
      <c r="T114" s="312"/>
      <c r="U114" s="312"/>
      <c r="V114" s="401">
        <v>5.92</v>
      </c>
      <c r="W114" s="54"/>
    </row>
    <row r="115" spans="1:23" ht="12" customHeight="1">
      <c r="A115" s="61" t="s">
        <v>247</v>
      </c>
      <c r="B115" s="390" t="s">
        <v>12</v>
      </c>
      <c r="C115" s="417" t="s">
        <v>875</v>
      </c>
      <c r="D115" s="424"/>
      <c r="E115" s="424"/>
      <c r="F115" s="424"/>
      <c r="G115" s="425"/>
      <c r="H115" s="424"/>
      <c r="I115" s="425"/>
      <c r="J115" s="425"/>
      <c r="K115" s="8"/>
      <c r="L115" s="332">
        <v>1</v>
      </c>
      <c r="M115" s="306" t="s">
        <v>874</v>
      </c>
      <c r="N115" s="306"/>
      <c r="O115" s="323"/>
      <c r="P115" s="12" t="s">
        <v>876</v>
      </c>
      <c r="Q115" s="390" t="s">
        <v>502</v>
      </c>
      <c r="R115" s="62" t="s">
        <v>482</v>
      </c>
      <c r="S115" s="312"/>
      <c r="T115" s="312"/>
      <c r="U115" s="312"/>
      <c r="V115" s="401">
        <v>24</v>
      </c>
      <c r="W115" s="54"/>
    </row>
    <row r="116" spans="1:23" ht="12" customHeight="1">
      <c r="A116" s="61" t="s">
        <v>247</v>
      </c>
      <c r="B116" s="417" t="s">
        <v>15</v>
      </c>
      <c r="C116" s="5" t="s">
        <v>529</v>
      </c>
      <c r="D116" s="306"/>
      <c r="E116" s="306"/>
      <c r="F116" s="306"/>
      <c r="G116" s="306">
        <v>23.64</v>
      </c>
      <c r="H116" s="306"/>
      <c r="I116" s="306"/>
      <c r="J116" s="306"/>
      <c r="K116" s="8">
        <f t="shared" si="11"/>
        <v>23.64</v>
      </c>
      <c r="L116" s="332">
        <v>1</v>
      </c>
      <c r="M116" s="306" t="s">
        <v>360</v>
      </c>
      <c r="N116" s="306" t="s">
        <v>83</v>
      </c>
      <c r="O116" s="323" t="s">
        <v>88</v>
      </c>
      <c r="P116" s="429" t="s">
        <v>14</v>
      </c>
      <c r="Q116" s="390" t="s">
        <v>502</v>
      </c>
      <c r="R116" s="62" t="s">
        <v>482</v>
      </c>
      <c r="S116" s="431" t="s">
        <v>506</v>
      </c>
      <c r="T116" s="431" t="s">
        <v>39</v>
      </c>
      <c r="U116" s="421" t="s">
        <v>530</v>
      </c>
      <c r="V116" s="401"/>
      <c r="W116" s="54"/>
    </row>
    <row r="117" spans="1:23" ht="12" customHeight="1">
      <c r="A117" s="61" t="s">
        <v>247</v>
      </c>
      <c r="B117" s="417" t="s">
        <v>15</v>
      </c>
      <c r="C117" s="5" t="s">
        <v>531</v>
      </c>
      <c r="D117" s="343"/>
      <c r="E117" s="343"/>
      <c r="F117" s="343"/>
      <c r="G117" s="306"/>
      <c r="H117" s="360"/>
      <c r="I117" s="306"/>
      <c r="J117" s="306">
        <v>1.1499999999999999</v>
      </c>
      <c r="K117" s="8">
        <f t="shared" si="11"/>
        <v>1.1499999999999999</v>
      </c>
      <c r="L117" s="332">
        <v>1</v>
      </c>
      <c r="M117" s="306" t="s">
        <v>280</v>
      </c>
      <c r="N117" s="306" t="s">
        <v>83</v>
      </c>
      <c r="O117" s="323" t="s">
        <v>87</v>
      </c>
      <c r="P117" s="429" t="s">
        <v>14</v>
      </c>
      <c r="Q117" s="390" t="s">
        <v>502</v>
      </c>
      <c r="R117" s="62" t="s">
        <v>482</v>
      </c>
      <c r="S117" s="431" t="s">
        <v>532</v>
      </c>
      <c r="T117" s="431" t="s">
        <v>39</v>
      </c>
      <c r="U117" s="421"/>
      <c r="V117" s="401">
        <v>1.1499999999999999</v>
      </c>
      <c r="W117" s="54"/>
    </row>
    <row r="118" spans="1:23" ht="12" customHeight="1">
      <c r="A118" s="61" t="s">
        <v>247</v>
      </c>
      <c r="B118" s="417" t="s">
        <v>15</v>
      </c>
      <c r="C118" s="5" t="s">
        <v>533</v>
      </c>
      <c r="D118" s="343"/>
      <c r="E118" s="343"/>
      <c r="F118" s="343"/>
      <c r="G118" s="306"/>
      <c r="H118" s="360"/>
      <c r="I118" s="306"/>
      <c r="J118" s="306">
        <v>12.19</v>
      </c>
      <c r="K118" s="8">
        <f t="shared" si="11"/>
        <v>12.19</v>
      </c>
      <c r="L118" s="332">
        <v>1</v>
      </c>
      <c r="M118" s="306" t="s">
        <v>288</v>
      </c>
      <c r="N118" s="306" t="s">
        <v>83</v>
      </c>
      <c r="O118" s="323" t="s">
        <v>88</v>
      </c>
      <c r="P118" s="429" t="s">
        <v>14</v>
      </c>
      <c r="Q118" s="390" t="s">
        <v>502</v>
      </c>
      <c r="R118" s="360" t="s">
        <v>482</v>
      </c>
      <c r="S118" s="432" t="s">
        <v>534</v>
      </c>
      <c r="T118" s="431" t="s">
        <v>39</v>
      </c>
      <c r="U118" s="433"/>
      <c r="V118" s="8"/>
      <c r="W118" s="434"/>
    </row>
    <row r="119" spans="1:23" ht="12" customHeight="1">
      <c r="A119" s="61" t="s">
        <v>247</v>
      </c>
      <c r="B119" s="417" t="s">
        <v>15</v>
      </c>
      <c r="C119" s="5" t="s">
        <v>535</v>
      </c>
      <c r="D119" s="343"/>
      <c r="E119" s="343"/>
      <c r="F119" s="343"/>
      <c r="G119" s="306"/>
      <c r="H119" s="360"/>
      <c r="I119" s="306"/>
      <c r="J119" s="306">
        <v>27.5</v>
      </c>
      <c r="K119" s="8">
        <f t="shared" si="11"/>
        <v>27.5</v>
      </c>
      <c r="L119" s="332">
        <v>1</v>
      </c>
      <c r="M119" s="306" t="s">
        <v>536</v>
      </c>
      <c r="N119" s="306" t="s">
        <v>83</v>
      </c>
      <c r="O119" s="323" t="s">
        <v>87</v>
      </c>
      <c r="P119" s="429" t="s">
        <v>14</v>
      </c>
      <c r="Q119" s="390" t="s">
        <v>502</v>
      </c>
      <c r="R119" s="62" t="s">
        <v>482</v>
      </c>
      <c r="S119" s="416" t="s">
        <v>537</v>
      </c>
      <c r="T119" s="431" t="s">
        <v>39</v>
      </c>
      <c r="U119" s="435"/>
      <c r="V119" s="401">
        <v>25</v>
      </c>
      <c r="W119" s="54"/>
    </row>
    <row r="120" spans="1:23" ht="12" customHeight="1">
      <c r="A120" s="61" t="s">
        <v>247</v>
      </c>
      <c r="B120" s="390" t="s">
        <v>243</v>
      </c>
      <c r="C120" s="5" t="s">
        <v>538</v>
      </c>
      <c r="D120" s="360">
        <v>81.8</v>
      </c>
      <c r="E120" s="343"/>
      <c r="F120" s="343"/>
      <c r="G120" s="306"/>
      <c r="H120" s="360"/>
      <c r="I120" s="306"/>
      <c r="J120" s="306"/>
      <c r="K120" s="8">
        <f t="shared" si="11"/>
        <v>81.8</v>
      </c>
      <c r="L120" s="332">
        <v>2</v>
      </c>
      <c r="M120" s="306" t="s">
        <v>273</v>
      </c>
      <c r="N120" s="306" t="s">
        <v>79</v>
      </c>
      <c r="O120" s="323" t="s">
        <v>87</v>
      </c>
      <c r="P120" s="429" t="s">
        <v>48</v>
      </c>
      <c r="Q120" s="390" t="s">
        <v>502</v>
      </c>
      <c r="R120" s="62" t="s">
        <v>482</v>
      </c>
      <c r="S120" s="431" t="s">
        <v>532</v>
      </c>
      <c r="T120" s="416" t="s">
        <v>539</v>
      </c>
      <c r="U120" s="435"/>
      <c r="V120" s="401"/>
      <c r="W120" s="54"/>
    </row>
    <row r="121" spans="1:23" ht="12" customHeight="1">
      <c r="A121" s="61" t="s">
        <v>247</v>
      </c>
      <c r="B121" s="390" t="s">
        <v>243</v>
      </c>
      <c r="C121" s="5" t="s">
        <v>540</v>
      </c>
      <c r="D121" s="360"/>
      <c r="E121" s="343"/>
      <c r="F121" s="343"/>
      <c r="G121" s="306"/>
      <c r="H121" s="360"/>
      <c r="I121" s="306"/>
      <c r="J121" s="306"/>
      <c r="K121" s="8"/>
      <c r="L121" s="332">
        <v>2</v>
      </c>
      <c r="M121" s="306" t="s">
        <v>877</v>
      </c>
      <c r="N121" s="306"/>
      <c r="O121" s="323"/>
      <c r="P121" s="429" t="s">
        <v>48</v>
      </c>
      <c r="Q121" s="390" t="s">
        <v>502</v>
      </c>
      <c r="R121" s="62" t="s">
        <v>482</v>
      </c>
      <c r="S121" s="431"/>
      <c r="T121" s="416"/>
      <c r="U121" s="435"/>
      <c r="V121" s="401">
        <v>18.7</v>
      </c>
      <c r="W121" s="54"/>
    </row>
    <row r="122" spans="1:23" ht="12" customHeight="1">
      <c r="A122" s="61" t="s">
        <v>247</v>
      </c>
      <c r="B122" s="390" t="s">
        <v>243</v>
      </c>
      <c r="C122" s="5" t="s">
        <v>878</v>
      </c>
      <c r="D122" s="360"/>
      <c r="E122" s="343"/>
      <c r="F122" s="343"/>
      <c r="G122" s="306"/>
      <c r="H122" s="360"/>
      <c r="I122" s="306"/>
      <c r="J122" s="306"/>
      <c r="K122" s="8"/>
      <c r="L122" s="332">
        <v>2</v>
      </c>
      <c r="M122" s="306" t="s">
        <v>877</v>
      </c>
      <c r="N122" s="306"/>
      <c r="O122" s="323"/>
      <c r="P122" s="429" t="s">
        <v>48</v>
      </c>
      <c r="Q122" s="390" t="s">
        <v>502</v>
      </c>
      <c r="R122" s="62" t="s">
        <v>482</v>
      </c>
      <c r="S122" s="431"/>
      <c r="T122" s="416"/>
      <c r="U122" s="435"/>
      <c r="V122" s="401">
        <v>0.57999999999999996</v>
      </c>
      <c r="W122" s="54"/>
    </row>
    <row r="123" spans="1:23" ht="12" customHeight="1">
      <c r="A123" s="61" t="s">
        <v>247</v>
      </c>
      <c r="B123" s="390" t="s">
        <v>243</v>
      </c>
      <c r="C123" s="5" t="s">
        <v>541</v>
      </c>
      <c r="D123" s="360"/>
      <c r="E123" s="343"/>
      <c r="F123" s="343"/>
      <c r="G123" s="306"/>
      <c r="H123" s="360"/>
      <c r="I123" s="306"/>
      <c r="J123" s="306"/>
      <c r="K123" s="8"/>
      <c r="L123" s="332">
        <v>2</v>
      </c>
      <c r="M123" s="306" t="s">
        <v>877</v>
      </c>
      <c r="N123" s="306"/>
      <c r="O123" s="323"/>
      <c r="P123" s="429" t="s">
        <v>879</v>
      </c>
      <c r="Q123" s="390" t="s">
        <v>502</v>
      </c>
      <c r="R123" s="62" t="s">
        <v>482</v>
      </c>
      <c r="S123" s="431"/>
      <c r="T123" s="416"/>
      <c r="U123" s="435"/>
      <c r="V123" s="401">
        <v>21.3</v>
      </c>
      <c r="W123" s="54"/>
    </row>
    <row r="124" spans="1:23" ht="12" customHeight="1">
      <c r="A124" s="61" t="s">
        <v>247</v>
      </c>
      <c r="B124" s="390" t="s">
        <v>243</v>
      </c>
      <c r="C124" s="5" t="s">
        <v>880</v>
      </c>
      <c r="D124" s="360"/>
      <c r="E124" s="343"/>
      <c r="F124" s="343"/>
      <c r="G124" s="306"/>
      <c r="H124" s="360"/>
      <c r="I124" s="306"/>
      <c r="J124" s="306"/>
      <c r="K124" s="8"/>
      <c r="L124" s="332">
        <v>2</v>
      </c>
      <c r="M124" s="306" t="s">
        <v>881</v>
      </c>
      <c r="N124" s="306"/>
      <c r="O124" s="323"/>
      <c r="P124" s="429" t="s">
        <v>48</v>
      </c>
      <c r="Q124" s="390" t="s">
        <v>502</v>
      </c>
      <c r="R124" s="62" t="s">
        <v>482</v>
      </c>
      <c r="S124" s="431"/>
      <c r="T124" s="416"/>
      <c r="U124" s="435"/>
      <c r="V124" s="436">
        <v>-0.66</v>
      </c>
      <c r="W124" s="54"/>
    </row>
    <row r="125" spans="1:23" ht="12" customHeight="1">
      <c r="A125" s="61" t="s">
        <v>247</v>
      </c>
      <c r="B125" s="417" t="s">
        <v>15</v>
      </c>
      <c r="C125" s="5" t="s">
        <v>542</v>
      </c>
      <c r="D125" s="423"/>
      <c r="E125" s="424"/>
      <c r="F125" s="424"/>
      <c r="G125" s="425"/>
      <c r="H125" s="424"/>
      <c r="I125" s="425"/>
      <c r="J125" s="425">
        <v>53.64</v>
      </c>
      <c r="K125" s="8">
        <f t="shared" si="11"/>
        <v>53.64</v>
      </c>
      <c r="L125" s="332">
        <v>1</v>
      </c>
      <c r="M125" s="306" t="s">
        <v>210</v>
      </c>
      <c r="N125" s="306" t="s">
        <v>83</v>
      </c>
      <c r="O125" s="323" t="s">
        <v>87</v>
      </c>
      <c r="P125" s="429" t="s">
        <v>17</v>
      </c>
      <c r="Q125" s="390" t="s">
        <v>502</v>
      </c>
      <c r="R125" s="62" t="s">
        <v>482</v>
      </c>
      <c r="S125" s="312" t="s">
        <v>543</v>
      </c>
      <c r="T125" s="312" t="s">
        <v>544</v>
      </c>
      <c r="U125" s="437"/>
      <c r="V125" s="401">
        <v>20</v>
      </c>
      <c r="W125" s="54"/>
    </row>
    <row r="126" spans="1:23" ht="12" customHeight="1">
      <c r="A126" s="61" t="s">
        <v>247</v>
      </c>
      <c r="B126" s="390" t="s">
        <v>15</v>
      </c>
      <c r="C126" s="319" t="s">
        <v>545</v>
      </c>
      <c r="D126" s="430"/>
      <c r="E126" s="360"/>
      <c r="F126" s="360"/>
      <c r="G126" s="306">
        <v>23.18</v>
      </c>
      <c r="H126" s="306"/>
      <c r="I126" s="306"/>
      <c r="J126" s="306"/>
      <c r="K126" s="8">
        <f t="shared" si="11"/>
        <v>23.18</v>
      </c>
      <c r="L126" s="323">
        <v>1</v>
      </c>
      <c r="M126" s="306" t="s">
        <v>210</v>
      </c>
      <c r="N126" s="306" t="s">
        <v>83</v>
      </c>
      <c r="O126" s="323" t="s">
        <v>87</v>
      </c>
      <c r="P126" s="429" t="s">
        <v>16</v>
      </c>
      <c r="Q126" s="390" t="s">
        <v>502</v>
      </c>
      <c r="R126" s="62" t="s">
        <v>482</v>
      </c>
      <c r="S126" s="431" t="s">
        <v>532</v>
      </c>
      <c r="T126" s="431" t="s">
        <v>39</v>
      </c>
      <c r="U126" s="428"/>
      <c r="V126" s="401"/>
      <c r="W126" s="54"/>
    </row>
    <row r="127" spans="1:23" ht="12" customHeight="1">
      <c r="A127" s="61" t="s">
        <v>247</v>
      </c>
      <c r="B127" s="390" t="s">
        <v>15</v>
      </c>
      <c r="C127" s="319" t="s">
        <v>882</v>
      </c>
      <c r="D127" s="430"/>
      <c r="E127" s="360"/>
      <c r="F127" s="360"/>
      <c r="G127" s="306"/>
      <c r="H127" s="306"/>
      <c r="I127" s="306"/>
      <c r="J127" s="306"/>
      <c r="K127" s="8"/>
      <c r="L127" s="323">
        <v>2</v>
      </c>
      <c r="M127" s="306" t="s">
        <v>877</v>
      </c>
      <c r="N127" s="306"/>
      <c r="O127" s="323"/>
      <c r="P127" s="429" t="s">
        <v>16</v>
      </c>
      <c r="Q127" s="390" t="s">
        <v>502</v>
      </c>
      <c r="R127" s="62" t="s">
        <v>482</v>
      </c>
      <c r="S127" s="431"/>
      <c r="T127" s="431"/>
      <c r="U127" s="428"/>
      <c r="V127" s="401">
        <v>6.73</v>
      </c>
      <c r="W127" s="54"/>
    </row>
    <row r="128" spans="1:23" ht="12" customHeight="1">
      <c r="A128" s="61" t="s">
        <v>247</v>
      </c>
      <c r="B128" s="390" t="s">
        <v>15</v>
      </c>
      <c r="C128" s="5" t="s">
        <v>546</v>
      </c>
      <c r="D128" s="423"/>
      <c r="E128" s="424"/>
      <c r="F128" s="424"/>
      <c r="G128" s="425"/>
      <c r="H128" s="424"/>
      <c r="I128" s="425"/>
      <c r="J128" s="425">
        <v>1.38</v>
      </c>
      <c r="K128" s="8">
        <f t="shared" si="11"/>
        <v>1.38</v>
      </c>
      <c r="L128" s="332">
        <v>1</v>
      </c>
      <c r="M128" s="306" t="s">
        <v>360</v>
      </c>
      <c r="N128" s="306" t="s">
        <v>83</v>
      </c>
      <c r="O128" s="323" t="s">
        <v>87</v>
      </c>
      <c r="P128" s="429" t="s">
        <v>17</v>
      </c>
      <c r="Q128" s="390" t="s">
        <v>502</v>
      </c>
      <c r="R128" s="62" t="s">
        <v>482</v>
      </c>
      <c r="S128" s="428" t="s">
        <v>39</v>
      </c>
      <c r="T128" s="428" t="s">
        <v>547</v>
      </c>
      <c r="U128" s="428" t="s">
        <v>548</v>
      </c>
      <c r="V128" s="401">
        <v>1.39</v>
      </c>
      <c r="W128" s="54"/>
    </row>
    <row r="129" spans="1:23" ht="12" customHeight="1">
      <c r="A129" s="61" t="s">
        <v>247</v>
      </c>
      <c r="B129" s="390" t="s">
        <v>15</v>
      </c>
      <c r="C129" s="5" t="s">
        <v>549</v>
      </c>
      <c r="D129" s="423"/>
      <c r="E129" s="424"/>
      <c r="F129" s="424"/>
      <c r="G129" s="425">
        <v>0.41</v>
      </c>
      <c r="H129" s="424"/>
      <c r="I129" s="425"/>
      <c r="J129" s="425">
        <v>25.35</v>
      </c>
      <c r="K129" s="8">
        <f t="shared" si="11"/>
        <v>25.76</v>
      </c>
      <c r="L129" s="332">
        <v>1</v>
      </c>
      <c r="M129" s="306" t="s">
        <v>210</v>
      </c>
      <c r="N129" s="306" t="s">
        <v>83</v>
      </c>
      <c r="O129" s="323" t="s">
        <v>88</v>
      </c>
      <c r="P129" s="429" t="s">
        <v>17</v>
      </c>
      <c r="Q129" s="390" t="s">
        <v>502</v>
      </c>
      <c r="R129" s="62" t="s">
        <v>482</v>
      </c>
      <c r="S129" s="416" t="s">
        <v>547</v>
      </c>
      <c r="T129" s="416" t="s">
        <v>226</v>
      </c>
      <c r="U129" s="428"/>
      <c r="V129" s="401"/>
      <c r="W129" s="54"/>
    </row>
    <row r="130" spans="1:23" ht="12" customHeight="1">
      <c r="A130" s="61" t="s">
        <v>247</v>
      </c>
      <c r="B130" s="390" t="s">
        <v>15</v>
      </c>
      <c r="C130" s="5" t="s">
        <v>550</v>
      </c>
      <c r="D130" s="423"/>
      <c r="E130" s="424"/>
      <c r="F130" s="424"/>
      <c r="G130" s="425"/>
      <c r="H130" s="424"/>
      <c r="I130" s="425"/>
      <c r="J130" s="425"/>
      <c r="K130" s="8"/>
      <c r="L130" s="332">
        <v>2</v>
      </c>
      <c r="M130" s="306" t="s">
        <v>877</v>
      </c>
      <c r="N130" s="306"/>
      <c r="O130" s="323"/>
      <c r="P130" s="429" t="s">
        <v>883</v>
      </c>
      <c r="Q130" s="390" t="s">
        <v>502</v>
      </c>
      <c r="R130" s="62" t="s">
        <v>482</v>
      </c>
      <c r="S130" s="416"/>
      <c r="T130" s="416"/>
      <c r="U130" s="428"/>
      <c r="V130" s="401">
        <v>0.87</v>
      </c>
      <c r="W130" s="54"/>
    </row>
    <row r="131" spans="1:23" ht="12" customHeight="1">
      <c r="A131" s="61" t="s">
        <v>247</v>
      </c>
      <c r="B131" s="390" t="s">
        <v>15</v>
      </c>
      <c r="C131" s="5" t="s">
        <v>551</v>
      </c>
      <c r="D131" s="423"/>
      <c r="E131" s="424"/>
      <c r="F131" s="424"/>
      <c r="G131" s="425">
        <v>54.58</v>
      </c>
      <c r="H131" s="424"/>
      <c r="I131" s="425"/>
      <c r="J131" s="425"/>
      <c r="K131" s="8">
        <f t="shared" si="11"/>
        <v>54.58</v>
      </c>
      <c r="L131" s="332">
        <v>1</v>
      </c>
      <c r="M131" s="306" t="s">
        <v>107</v>
      </c>
      <c r="N131" s="306" t="s">
        <v>83</v>
      </c>
      <c r="O131" s="323" t="s">
        <v>88</v>
      </c>
      <c r="P131" s="429" t="s">
        <v>16</v>
      </c>
      <c r="Q131" s="390" t="s">
        <v>502</v>
      </c>
      <c r="R131" s="62" t="s">
        <v>482</v>
      </c>
      <c r="S131" s="428" t="s">
        <v>552</v>
      </c>
      <c r="T131" s="428" t="s">
        <v>553</v>
      </c>
      <c r="U131" s="428"/>
      <c r="V131" s="401"/>
      <c r="W131" s="54"/>
    </row>
    <row r="132" spans="1:23" ht="12" customHeight="1">
      <c r="A132" s="403"/>
      <c r="B132" s="404"/>
      <c r="C132" s="405" t="s">
        <v>554</v>
      </c>
      <c r="D132" s="406">
        <f t="shared" ref="D132" si="12">SUM(D95:D131)</f>
        <v>499.81</v>
      </c>
      <c r="E132" s="406">
        <f t="shared" ref="E132:K132" si="13">SUM(E95:E131)</f>
        <v>0</v>
      </c>
      <c r="F132" s="406">
        <f t="shared" si="13"/>
        <v>0</v>
      </c>
      <c r="G132" s="406">
        <f t="shared" si="13"/>
        <v>2389.1999999999998</v>
      </c>
      <c r="H132" s="406">
        <f t="shared" si="13"/>
        <v>397.10999999999996</v>
      </c>
      <c r="I132" s="406">
        <f t="shared" si="13"/>
        <v>540.42999999999995</v>
      </c>
      <c r="J132" s="406">
        <f t="shared" si="13"/>
        <v>145.38</v>
      </c>
      <c r="K132" s="406">
        <f t="shared" si="13"/>
        <v>3971.93</v>
      </c>
      <c r="L132" s="407"/>
      <c r="M132" s="408"/>
      <c r="N132" s="408"/>
      <c r="O132" s="409"/>
      <c r="P132" s="408"/>
      <c r="Q132" s="410"/>
      <c r="R132" s="408"/>
      <c r="S132" s="411"/>
      <c r="T132" s="412"/>
      <c r="U132" s="413"/>
      <c r="V132" s="406">
        <f>SUM(V95:V131)</f>
        <v>1356.17</v>
      </c>
      <c r="W132" s="406">
        <f>SUM(W95:W131)</f>
        <v>0</v>
      </c>
    </row>
    <row r="133" spans="1:23" ht="12" customHeight="1">
      <c r="A133" s="317" t="s">
        <v>102</v>
      </c>
      <c r="B133" s="438" t="s">
        <v>18</v>
      </c>
      <c r="C133" s="439" t="s">
        <v>555</v>
      </c>
      <c r="D133" s="323"/>
      <c r="E133" s="323"/>
      <c r="F133" s="323"/>
      <c r="G133" s="323">
        <f>42.07+3.65</f>
        <v>45.72</v>
      </c>
      <c r="H133" s="323"/>
      <c r="I133" s="323"/>
      <c r="J133" s="323"/>
      <c r="K133" s="368">
        <f t="shared" ref="K133:K154" si="14">J133+I133+H133+G133+F133+E133+D133</f>
        <v>45.72</v>
      </c>
      <c r="L133" s="332">
        <v>1</v>
      </c>
      <c r="M133" s="306" t="s">
        <v>556</v>
      </c>
      <c r="N133" s="322" t="s">
        <v>83</v>
      </c>
      <c r="O133" s="323" t="s">
        <v>88</v>
      </c>
      <c r="P133" s="324" t="s">
        <v>74</v>
      </c>
      <c r="Q133" s="306" t="s">
        <v>75</v>
      </c>
      <c r="R133" s="306" t="s">
        <v>557</v>
      </c>
      <c r="S133" s="390" t="s">
        <v>558</v>
      </c>
      <c r="T133" s="323" t="s">
        <v>558</v>
      </c>
      <c r="U133" s="323"/>
      <c r="V133" s="8">
        <v>25.8</v>
      </c>
      <c r="W133" s="54"/>
    </row>
    <row r="134" spans="1:23" ht="12" customHeight="1">
      <c r="A134" s="317" t="s">
        <v>102</v>
      </c>
      <c r="B134" s="438" t="s">
        <v>18</v>
      </c>
      <c r="C134" s="440" t="s">
        <v>559</v>
      </c>
      <c r="D134" s="323"/>
      <c r="E134" s="323"/>
      <c r="F134" s="323"/>
      <c r="G134" s="323">
        <f>147.8+175.9</f>
        <v>323.70000000000005</v>
      </c>
      <c r="H134" s="323"/>
      <c r="I134" s="323">
        <v>238.8</v>
      </c>
      <c r="J134" s="323"/>
      <c r="K134" s="368">
        <f t="shared" si="14"/>
        <v>562.5</v>
      </c>
      <c r="L134" s="332">
        <v>1</v>
      </c>
      <c r="M134" s="306" t="s">
        <v>280</v>
      </c>
      <c r="N134" s="322" t="s">
        <v>83</v>
      </c>
      <c r="O134" s="323" t="s">
        <v>88</v>
      </c>
      <c r="P134" s="324" t="s">
        <v>74</v>
      </c>
      <c r="Q134" s="306" t="s">
        <v>75</v>
      </c>
      <c r="R134" s="306" t="s">
        <v>557</v>
      </c>
      <c r="S134" s="441" t="s">
        <v>560</v>
      </c>
      <c r="T134" s="442" t="s">
        <v>560</v>
      </c>
      <c r="U134" s="323"/>
      <c r="V134" s="8">
        <v>18.920000000000002</v>
      </c>
      <c r="W134" s="54"/>
    </row>
    <row r="135" spans="1:23" ht="12" customHeight="1">
      <c r="A135" s="317" t="s">
        <v>102</v>
      </c>
      <c r="B135" s="438" t="s">
        <v>18</v>
      </c>
      <c r="C135" s="440" t="s">
        <v>561</v>
      </c>
      <c r="D135" s="323"/>
      <c r="E135" s="323"/>
      <c r="F135" s="323"/>
      <c r="G135" s="323">
        <v>31.32</v>
      </c>
      <c r="H135" s="323"/>
      <c r="I135" s="323"/>
      <c r="J135" s="323"/>
      <c r="K135" s="368">
        <f t="shared" si="14"/>
        <v>31.32</v>
      </c>
      <c r="L135" s="332">
        <v>1</v>
      </c>
      <c r="M135" s="307" t="s">
        <v>360</v>
      </c>
      <c r="N135" s="443" t="s">
        <v>83</v>
      </c>
      <c r="O135" s="323" t="s">
        <v>88</v>
      </c>
      <c r="P135" s="324" t="s">
        <v>74</v>
      </c>
      <c r="Q135" s="306" t="s">
        <v>75</v>
      </c>
      <c r="R135" s="306" t="s">
        <v>557</v>
      </c>
      <c r="S135" s="441" t="s">
        <v>562</v>
      </c>
      <c r="T135" s="441" t="s">
        <v>563</v>
      </c>
      <c r="U135" s="323"/>
      <c r="V135" s="8"/>
      <c r="W135" s="54"/>
    </row>
    <row r="136" spans="1:23" ht="12" customHeight="1">
      <c r="A136" s="317" t="s">
        <v>102</v>
      </c>
      <c r="B136" s="390" t="s">
        <v>18</v>
      </c>
      <c r="C136" s="390" t="s">
        <v>564</v>
      </c>
      <c r="D136" s="323"/>
      <c r="E136" s="323"/>
      <c r="F136" s="323"/>
      <c r="G136" s="323">
        <f>4.76+0.38</f>
        <v>5.14</v>
      </c>
      <c r="H136" s="323"/>
      <c r="I136" s="323"/>
      <c r="J136" s="323"/>
      <c r="K136" s="368">
        <f t="shared" si="14"/>
        <v>5.14</v>
      </c>
      <c r="L136" s="332">
        <v>1</v>
      </c>
      <c r="M136" s="306" t="s">
        <v>29</v>
      </c>
      <c r="N136" s="443" t="s">
        <v>83</v>
      </c>
      <c r="O136" s="323" t="s">
        <v>88</v>
      </c>
      <c r="P136" s="324" t="s">
        <v>74</v>
      </c>
      <c r="Q136" s="306" t="s">
        <v>75</v>
      </c>
      <c r="R136" s="306" t="s">
        <v>557</v>
      </c>
      <c r="S136" s="444" t="s">
        <v>565</v>
      </c>
      <c r="T136" s="323" t="s">
        <v>566</v>
      </c>
      <c r="U136" s="323"/>
      <c r="V136" s="8">
        <f>4.28+10.91</f>
        <v>15.190000000000001</v>
      </c>
      <c r="W136" s="54"/>
    </row>
    <row r="137" spans="1:23" ht="12" customHeight="1">
      <c r="A137" s="317" t="s">
        <v>102</v>
      </c>
      <c r="B137" s="390" t="s">
        <v>18</v>
      </c>
      <c r="C137" s="5" t="s">
        <v>567</v>
      </c>
      <c r="D137" s="323"/>
      <c r="E137" s="323"/>
      <c r="F137" s="323"/>
      <c r="G137" s="323">
        <v>0.78</v>
      </c>
      <c r="H137" s="323"/>
      <c r="I137" s="323"/>
      <c r="J137" s="323"/>
      <c r="K137" s="368">
        <f t="shared" si="14"/>
        <v>0.78</v>
      </c>
      <c r="L137" s="332">
        <v>1</v>
      </c>
      <c r="M137" s="306" t="s">
        <v>360</v>
      </c>
      <c r="N137" s="443" t="s">
        <v>83</v>
      </c>
      <c r="O137" s="323" t="s">
        <v>88</v>
      </c>
      <c r="P137" s="324" t="s">
        <v>74</v>
      </c>
      <c r="Q137" s="306" t="s">
        <v>75</v>
      </c>
      <c r="R137" s="306" t="s">
        <v>557</v>
      </c>
      <c r="S137" s="390" t="s">
        <v>568</v>
      </c>
      <c r="T137" s="323" t="s">
        <v>568</v>
      </c>
      <c r="U137" s="323"/>
      <c r="V137" s="8"/>
      <c r="W137" s="54"/>
    </row>
    <row r="138" spans="1:23" ht="12" customHeight="1">
      <c r="A138" s="317" t="s">
        <v>102</v>
      </c>
      <c r="B138" s="390" t="s">
        <v>18</v>
      </c>
      <c r="C138" s="5" t="s">
        <v>569</v>
      </c>
      <c r="D138" s="323"/>
      <c r="E138" s="323"/>
      <c r="F138" s="323"/>
      <c r="G138" s="323">
        <v>0.61</v>
      </c>
      <c r="H138" s="323"/>
      <c r="I138" s="323"/>
      <c r="J138" s="323"/>
      <c r="K138" s="368">
        <f t="shared" si="14"/>
        <v>0.61</v>
      </c>
      <c r="L138" s="332">
        <v>1</v>
      </c>
      <c r="M138" s="306" t="s">
        <v>29</v>
      </c>
      <c r="N138" s="443" t="s">
        <v>83</v>
      </c>
      <c r="O138" s="323" t="s">
        <v>88</v>
      </c>
      <c r="P138" s="324" t="s">
        <v>74</v>
      </c>
      <c r="Q138" s="306" t="s">
        <v>75</v>
      </c>
      <c r="R138" s="306" t="s">
        <v>557</v>
      </c>
      <c r="S138" s="441" t="s">
        <v>570</v>
      </c>
      <c r="T138" s="441" t="s">
        <v>571</v>
      </c>
      <c r="U138" s="323"/>
      <c r="V138" s="8">
        <v>0.13</v>
      </c>
      <c r="W138" s="54"/>
    </row>
    <row r="139" spans="1:23" ht="12" customHeight="1">
      <c r="A139" s="317" t="s">
        <v>102</v>
      </c>
      <c r="B139" s="390" t="s">
        <v>18</v>
      </c>
      <c r="C139" s="390" t="s">
        <v>572</v>
      </c>
      <c r="D139" s="323"/>
      <c r="E139" s="323"/>
      <c r="F139" s="323"/>
      <c r="G139" s="323">
        <v>33.6</v>
      </c>
      <c r="H139" s="323"/>
      <c r="I139" s="323"/>
      <c r="J139" s="323"/>
      <c r="K139" s="368">
        <f t="shared" si="14"/>
        <v>33.6</v>
      </c>
      <c r="L139" s="332">
        <v>1</v>
      </c>
      <c r="M139" s="306" t="s">
        <v>360</v>
      </c>
      <c r="N139" s="443" t="s">
        <v>83</v>
      </c>
      <c r="O139" s="323" t="s">
        <v>88</v>
      </c>
      <c r="P139" s="324" t="s">
        <v>74</v>
      </c>
      <c r="Q139" s="306" t="s">
        <v>75</v>
      </c>
      <c r="R139" s="306" t="s">
        <v>557</v>
      </c>
      <c r="S139" s="390" t="s">
        <v>573</v>
      </c>
      <c r="T139" s="323" t="s">
        <v>574</v>
      </c>
      <c r="U139" s="323"/>
      <c r="V139" s="8">
        <v>6.92</v>
      </c>
      <c r="W139" s="54"/>
    </row>
    <row r="140" spans="1:23" ht="12" customHeight="1">
      <c r="A140" s="317" t="s">
        <v>102</v>
      </c>
      <c r="B140" s="390" t="s">
        <v>18</v>
      </c>
      <c r="C140" s="390" t="s">
        <v>575</v>
      </c>
      <c r="D140" s="323"/>
      <c r="E140" s="323"/>
      <c r="F140" s="323"/>
      <c r="G140" s="323">
        <v>11.84</v>
      </c>
      <c r="H140" s="323">
        <v>8.1300000000000008</v>
      </c>
      <c r="I140" s="323"/>
      <c r="J140" s="323">
        <v>30.17</v>
      </c>
      <c r="K140" s="368">
        <f t="shared" si="14"/>
        <v>50.14</v>
      </c>
      <c r="L140" s="332">
        <v>1</v>
      </c>
      <c r="M140" s="306" t="s">
        <v>576</v>
      </c>
      <c r="N140" s="443" t="s">
        <v>83</v>
      </c>
      <c r="O140" s="323" t="s">
        <v>88</v>
      </c>
      <c r="P140" s="324" t="s">
        <v>74</v>
      </c>
      <c r="Q140" s="306" t="s">
        <v>75</v>
      </c>
      <c r="R140" s="306" t="s">
        <v>557</v>
      </c>
      <c r="S140" s="441" t="s">
        <v>577</v>
      </c>
      <c r="T140" s="441" t="s">
        <v>578</v>
      </c>
      <c r="U140" s="323"/>
      <c r="V140" s="8">
        <v>25.87</v>
      </c>
      <c r="W140" s="54"/>
    </row>
    <row r="141" spans="1:23" ht="12" customHeight="1">
      <c r="A141" s="317" t="s">
        <v>102</v>
      </c>
      <c r="B141" s="390" t="s">
        <v>18</v>
      </c>
      <c r="C141" s="5" t="s">
        <v>579</v>
      </c>
      <c r="D141" s="323"/>
      <c r="E141" s="323"/>
      <c r="F141" s="323"/>
      <c r="G141" s="323">
        <v>1.34</v>
      </c>
      <c r="H141" s="323"/>
      <c r="I141" s="323"/>
      <c r="J141" s="323"/>
      <c r="K141" s="368">
        <f t="shared" si="14"/>
        <v>1.34</v>
      </c>
      <c r="L141" s="332">
        <v>1</v>
      </c>
      <c r="M141" s="306" t="s">
        <v>280</v>
      </c>
      <c r="N141" s="443" t="s">
        <v>83</v>
      </c>
      <c r="O141" s="323" t="s">
        <v>88</v>
      </c>
      <c r="P141" s="324" t="s">
        <v>74</v>
      </c>
      <c r="Q141" s="306" t="s">
        <v>75</v>
      </c>
      <c r="R141" s="306" t="s">
        <v>557</v>
      </c>
      <c r="S141" s="390" t="s">
        <v>580</v>
      </c>
      <c r="T141" s="323" t="s">
        <v>580</v>
      </c>
      <c r="U141" s="323"/>
      <c r="V141" s="8"/>
      <c r="W141" s="54"/>
    </row>
    <row r="142" spans="1:23" ht="12" customHeight="1">
      <c r="A142" s="317" t="s">
        <v>102</v>
      </c>
      <c r="B142" s="390" t="s">
        <v>18</v>
      </c>
      <c r="C142" s="5" t="s">
        <v>581</v>
      </c>
      <c r="D142" s="323"/>
      <c r="E142" s="323"/>
      <c r="F142" s="323"/>
      <c r="G142" s="323">
        <v>12.08</v>
      </c>
      <c r="H142" s="323"/>
      <c r="I142" s="323"/>
      <c r="J142" s="323">
        <v>0.13</v>
      </c>
      <c r="K142" s="368">
        <f t="shared" si="14"/>
        <v>12.21</v>
      </c>
      <c r="L142" s="332">
        <v>1</v>
      </c>
      <c r="M142" s="306" t="s">
        <v>582</v>
      </c>
      <c r="N142" s="443" t="s">
        <v>83</v>
      </c>
      <c r="O142" s="323" t="s">
        <v>88</v>
      </c>
      <c r="P142" s="324" t="s">
        <v>74</v>
      </c>
      <c r="Q142" s="306" t="s">
        <v>75</v>
      </c>
      <c r="R142" s="306" t="s">
        <v>557</v>
      </c>
      <c r="S142" s="390" t="s">
        <v>583</v>
      </c>
      <c r="T142" s="323" t="s">
        <v>584</v>
      </c>
      <c r="U142" s="323"/>
      <c r="V142" s="8"/>
      <c r="W142" s="54"/>
    </row>
    <row r="143" spans="1:23" ht="12" customHeight="1">
      <c r="A143" s="317" t="s">
        <v>102</v>
      </c>
      <c r="B143" s="390" t="s">
        <v>18</v>
      </c>
      <c r="C143" s="5" t="s">
        <v>585</v>
      </c>
      <c r="D143" s="323"/>
      <c r="E143" s="323"/>
      <c r="F143" s="323"/>
      <c r="G143" s="323"/>
      <c r="H143" s="323"/>
      <c r="I143" s="323"/>
      <c r="J143" s="323"/>
      <c r="K143" s="368"/>
      <c r="L143" s="332">
        <v>1</v>
      </c>
      <c r="M143" s="307" t="s">
        <v>874</v>
      </c>
      <c r="N143" s="443"/>
      <c r="O143" s="323"/>
      <c r="P143" s="324" t="s">
        <v>74</v>
      </c>
      <c r="Q143" s="306" t="s">
        <v>75</v>
      </c>
      <c r="R143" s="306" t="s">
        <v>557</v>
      </c>
      <c r="S143" s="390"/>
      <c r="T143" s="323"/>
      <c r="U143" s="323"/>
      <c r="V143" s="8">
        <v>0.81</v>
      </c>
      <c r="W143" s="54"/>
    </row>
    <row r="144" spans="1:23" ht="12" customHeight="1">
      <c r="A144" s="317" t="s">
        <v>102</v>
      </c>
      <c r="B144" s="390" t="s">
        <v>18</v>
      </c>
      <c r="C144" s="5" t="s">
        <v>586</v>
      </c>
      <c r="D144" s="323"/>
      <c r="E144" s="323"/>
      <c r="F144" s="323"/>
      <c r="G144" s="323"/>
      <c r="H144" s="323"/>
      <c r="I144" s="323"/>
      <c r="J144" s="323"/>
      <c r="K144" s="368"/>
      <c r="L144" s="332">
        <v>2</v>
      </c>
      <c r="M144" s="307" t="s">
        <v>884</v>
      </c>
      <c r="N144" s="443"/>
      <c r="O144" s="323"/>
      <c r="P144" s="324" t="s">
        <v>74</v>
      </c>
      <c r="Q144" s="306" t="s">
        <v>75</v>
      </c>
      <c r="R144" s="306" t="s">
        <v>557</v>
      </c>
      <c r="S144" s="390"/>
      <c r="T144" s="323"/>
      <c r="U144" s="323"/>
      <c r="V144" s="8">
        <v>487.64</v>
      </c>
      <c r="W144" s="54"/>
    </row>
    <row r="145" spans="1:23" ht="12" customHeight="1">
      <c r="A145" s="317" t="s">
        <v>102</v>
      </c>
      <c r="B145" s="390" t="s">
        <v>18</v>
      </c>
      <c r="C145" s="445" t="s">
        <v>885</v>
      </c>
      <c r="D145" s="323"/>
      <c r="E145" s="323"/>
      <c r="F145" s="323"/>
      <c r="G145" s="425">
        <v>2000</v>
      </c>
      <c r="H145" s="323"/>
      <c r="I145" s="323"/>
      <c r="J145" s="323"/>
      <c r="K145" s="368">
        <f t="shared" si="14"/>
        <v>2000</v>
      </c>
      <c r="L145" s="332">
        <v>1</v>
      </c>
      <c r="M145" s="307" t="s">
        <v>288</v>
      </c>
      <c r="N145" s="443" t="s">
        <v>83</v>
      </c>
      <c r="O145" s="323" t="s">
        <v>87</v>
      </c>
      <c r="P145" s="324" t="s">
        <v>74</v>
      </c>
      <c r="Q145" s="306" t="s">
        <v>75</v>
      </c>
      <c r="R145" s="306" t="s">
        <v>557</v>
      </c>
      <c r="S145" s="390" t="s">
        <v>587</v>
      </c>
      <c r="T145" s="323" t="s">
        <v>588</v>
      </c>
      <c r="U145" s="323"/>
      <c r="V145" s="8">
        <f>2108.95+1.07</f>
        <v>2110.02</v>
      </c>
      <c r="W145" s="54"/>
    </row>
    <row r="146" spans="1:23" ht="12" customHeight="1">
      <c r="A146" s="317" t="s">
        <v>102</v>
      </c>
      <c r="B146" s="390" t="s">
        <v>18</v>
      </c>
      <c r="C146" s="445" t="s">
        <v>265</v>
      </c>
      <c r="D146" s="323"/>
      <c r="E146" s="323"/>
      <c r="F146" s="323"/>
      <c r="G146" s="323">
        <v>168.58</v>
      </c>
      <c r="H146" s="323"/>
      <c r="I146" s="323"/>
      <c r="J146" s="323"/>
      <c r="K146" s="368">
        <f t="shared" si="14"/>
        <v>168.58</v>
      </c>
      <c r="L146" s="332">
        <v>1</v>
      </c>
      <c r="M146" s="307" t="s">
        <v>109</v>
      </c>
      <c r="N146" s="443" t="s">
        <v>83</v>
      </c>
      <c r="O146" s="323" t="s">
        <v>87</v>
      </c>
      <c r="P146" s="324" t="s">
        <v>74</v>
      </c>
      <c r="Q146" s="306" t="s">
        <v>75</v>
      </c>
      <c r="R146" s="306" t="s">
        <v>557</v>
      </c>
      <c r="S146" s="390" t="s">
        <v>589</v>
      </c>
      <c r="T146" s="323" t="s">
        <v>590</v>
      </c>
      <c r="U146" s="323"/>
      <c r="V146" s="8"/>
      <c r="W146" s="54"/>
    </row>
    <row r="147" spans="1:23" ht="12" customHeight="1">
      <c r="A147" s="317" t="s">
        <v>102</v>
      </c>
      <c r="B147" s="390" t="s">
        <v>18</v>
      </c>
      <c r="C147" s="445" t="s">
        <v>591</v>
      </c>
      <c r="D147" s="323"/>
      <c r="E147" s="323"/>
      <c r="F147" s="323"/>
      <c r="G147" s="323">
        <v>7</v>
      </c>
      <c r="H147" s="323"/>
      <c r="I147" s="323"/>
      <c r="J147" s="323"/>
      <c r="K147" s="368">
        <f t="shared" si="14"/>
        <v>7</v>
      </c>
      <c r="L147" s="332">
        <v>1</v>
      </c>
      <c r="M147" s="307" t="s">
        <v>29</v>
      </c>
      <c r="N147" s="443" t="s">
        <v>83</v>
      </c>
      <c r="O147" s="323" t="s">
        <v>88</v>
      </c>
      <c r="P147" s="324" t="s">
        <v>74</v>
      </c>
      <c r="Q147" s="306" t="s">
        <v>75</v>
      </c>
      <c r="R147" s="306" t="s">
        <v>557</v>
      </c>
      <c r="S147" s="390" t="s">
        <v>592</v>
      </c>
      <c r="T147" s="390" t="s">
        <v>592</v>
      </c>
      <c r="U147" s="323"/>
      <c r="V147" s="8"/>
      <c r="W147" s="54"/>
    </row>
    <row r="148" spans="1:23" ht="12" customHeight="1">
      <c r="A148" s="317" t="s">
        <v>102</v>
      </c>
      <c r="B148" s="390" t="s">
        <v>18</v>
      </c>
      <c r="C148" s="445" t="s">
        <v>593</v>
      </c>
      <c r="D148" s="323"/>
      <c r="E148" s="323"/>
      <c r="F148" s="323"/>
      <c r="G148" s="323">
        <v>351.6</v>
      </c>
      <c r="H148" s="323"/>
      <c r="I148" s="323"/>
      <c r="J148" s="323"/>
      <c r="K148" s="368">
        <f t="shared" si="14"/>
        <v>351.6</v>
      </c>
      <c r="L148" s="332">
        <v>1</v>
      </c>
      <c r="M148" s="307" t="s">
        <v>29</v>
      </c>
      <c r="N148" s="443" t="s">
        <v>83</v>
      </c>
      <c r="O148" s="323" t="s">
        <v>88</v>
      </c>
      <c r="P148" s="324" t="s">
        <v>74</v>
      </c>
      <c r="Q148" s="306" t="s">
        <v>75</v>
      </c>
      <c r="R148" s="306" t="s">
        <v>557</v>
      </c>
      <c r="S148" s="441" t="s">
        <v>594</v>
      </c>
      <c r="T148" s="441" t="s">
        <v>595</v>
      </c>
      <c r="U148" s="323"/>
      <c r="V148" s="8"/>
      <c r="W148" s="54"/>
    </row>
    <row r="149" spans="1:23" ht="12" customHeight="1">
      <c r="A149" s="317" t="s">
        <v>102</v>
      </c>
      <c r="B149" s="390" t="s">
        <v>18</v>
      </c>
      <c r="C149" s="360" t="s">
        <v>596</v>
      </c>
      <c r="D149" s="323"/>
      <c r="E149" s="323"/>
      <c r="F149" s="323"/>
      <c r="G149" s="323">
        <v>26.83</v>
      </c>
      <c r="H149" s="323"/>
      <c r="I149" s="323"/>
      <c r="J149" s="323"/>
      <c r="K149" s="368">
        <f t="shared" si="14"/>
        <v>26.83</v>
      </c>
      <c r="L149" s="332">
        <v>1</v>
      </c>
      <c r="M149" s="307" t="s">
        <v>280</v>
      </c>
      <c r="N149" s="443" t="s">
        <v>83</v>
      </c>
      <c r="O149" s="323" t="s">
        <v>88</v>
      </c>
      <c r="P149" s="324" t="s">
        <v>74</v>
      </c>
      <c r="Q149" s="306" t="s">
        <v>75</v>
      </c>
      <c r="R149" s="306" t="s">
        <v>557</v>
      </c>
      <c r="S149" s="390" t="s">
        <v>597</v>
      </c>
      <c r="T149" s="323" t="s">
        <v>597</v>
      </c>
      <c r="U149" s="323"/>
      <c r="V149" s="8"/>
      <c r="W149" s="54"/>
    </row>
    <row r="150" spans="1:23" ht="12" customHeight="1">
      <c r="A150" s="317" t="s">
        <v>102</v>
      </c>
      <c r="B150" s="390" t="s">
        <v>18</v>
      </c>
      <c r="C150" s="360" t="s">
        <v>886</v>
      </c>
      <c r="D150" s="323"/>
      <c r="E150" s="323"/>
      <c r="F150" s="323"/>
      <c r="G150" s="323">
        <v>6.94</v>
      </c>
      <c r="H150" s="323"/>
      <c r="I150" s="323"/>
      <c r="J150" s="323"/>
      <c r="K150" s="368">
        <f t="shared" si="14"/>
        <v>6.94</v>
      </c>
      <c r="L150" s="332">
        <v>1</v>
      </c>
      <c r="M150" s="307" t="s">
        <v>210</v>
      </c>
      <c r="N150" s="443" t="s">
        <v>83</v>
      </c>
      <c r="O150" s="323" t="s">
        <v>88</v>
      </c>
      <c r="P150" s="324" t="s">
        <v>74</v>
      </c>
      <c r="Q150" s="306" t="s">
        <v>75</v>
      </c>
      <c r="R150" s="306" t="s">
        <v>557</v>
      </c>
      <c r="S150" s="390" t="s">
        <v>598</v>
      </c>
      <c r="T150" s="323" t="s">
        <v>599</v>
      </c>
      <c r="U150" s="323"/>
      <c r="V150" s="8">
        <v>20</v>
      </c>
      <c r="W150" s="54"/>
    </row>
    <row r="151" spans="1:23" ht="12" customHeight="1">
      <c r="A151" s="317" t="s">
        <v>102</v>
      </c>
      <c r="B151" s="390" t="s">
        <v>18</v>
      </c>
      <c r="C151" s="360" t="s">
        <v>600</v>
      </c>
      <c r="D151" s="323"/>
      <c r="E151" s="323"/>
      <c r="F151" s="323"/>
      <c r="G151" s="323">
        <v>6.53</v>
      </c>
      <c r="H151" s="323"/>
      <c r="I151" s="323"/>
      <c r="J151" s="323"/>
      <c r="K151" s="368">
        <f t="shared" si="14"/>
        <v>6.53</v>
      </c>
      <c r="L151" s="332">
        <v>1</v>
      </c>
      <c r="M151" s="307" t="s">
        <v>29</v>
      </c>
      <c r="N151" s="443" t="s">
        <v>83</v>
      </c>
      <c r="O151" s="323" t="s">
        <v>88</v>
      </c>
      <c r="P151" s="324" t="s">
        <v>74</v>
      </c>
      <c r="Q151" s="306" t="s">
        <v>75</v>
      </c>
      <c r="R151" s="306" t="s">
        <v>557</v>
      </c>
      <c r="S151" s="390" t="s">
        <v>598</v>
      </c>
      <c r="T151" s="323" t="s">
        <v>599</v>
      </c>
      <c r="U151" s="323"/>
      <c r="V151" s="8"/>
      <c r="W151" s="54"/>
    </row>
    <row r="152" spans="1:23" ht="12" customHeight="1">
      <c r="A152" s="317" t="s">
        <v>102</v>
      </c>
      <c r="B152" s="390" t="s">
        <v>18</v>
      </c>
      <c r="C152" s="360" t="s">
        <v>601</v>
      </c>
      <c r="D152" s="323"/>
      <c r="E152" s="323"/>
      <c r="F152" s="323"/>
      <c r="G152" s="323">
        <v>16.329999999999998</v>
      </c>
      <c r="H152" s="323"/>
      <c r="I152" s="323"/>
      <c r="J152" s="323"/>
      <c r="K152" s="368">
        <f t="shared" si="14"/>
        <v>16.329999999999998</v>
      </c>
      <c r="L152" s="332">
        <v>1</v>
      </c>
      <c r="M152" s="307" t="s">
        <v>288</v>
      </c>
      <c r="N152" s="443" t="s">
        <v>83</v>
      </c>
      <c r="O152" s="323" t="s">
        <v>88</v>
      </c>
      <c r="P152" s="324" t="s">
        <v>74</v>
      </c>
      <c r="Q152" s="306" t="s">
        <v>75</v>
      </c>
      <c r="R152" s="306" t="s">
        <v>557</v>
      </c>
      <c r="S152" s="390" t="s">
        <v>599</v>
      </c>
      <c r="T152" s="323" t="s">
        <v>599</v>
      </c>
      <c r="U152" s="323"/>
      <c r="V152" s="8"/>
      <c r="W152" s="54"/>
    </row>
    <row r="153" spans="1:23" ht="12" customHeight="1">
      <c r="A153" s="317" t="s">
        <v>102</v>
      </c>
      <c r="B153" s="390" t="s">
        <v>18</v>
      </c>
      <c r="C153" s="5" t="s">
        <v>602</v>
      </c>
      <c r="D153" s="323"/>
      <c r="E153" s="323"/>
      <c r="F153" s="323"/>
      <c r="G153" s="323">
        <v>55.01</v>
      </c>
      <c r="H153" s="323"/>
      <c r="I153" s="323"/>
      <c r="J153" s="323"/>
      <c r="K153" s="368">
        <f t="shared" si="14"/>
        <v>55.01</v>
      </c>
      <c r="L153" s="332">
        <v>1</v>
      </c>
      <c r="M153" s="307" t="s">
        <v>288</v>
      </c>
      <c r="N153" s="443" t="s">
        <v>83</v>
      </c>
      <c r="O153" s="323" t="s">
        <v>88</v>
      </c>
      <c r="P153" s="324" t="s">
        <v>74</v>
      </c>
      <c r="Q153" s="306" t="s">
        <v>75</v>
      </c>
      <c r="R153" s="306" t="s">
        <v>557</v>
      </c>
      <c r="S153" s="390" t="s">
        <v>603</v>
      </c>
      <c r="T153" s="323" t="s">
        <v>604</v>
      </c>
      <c r="U153" s="323"/>
      <c r="V153" s="8"/>
      <c r="W153" s="54"/>
    </row>
    <row r="154" spans="1:23" ht="12" customHeight="1">
      <c r="A154" s="317" t="s">
        <v>102</v>
      </c>
      <c r="B154" s="390" t="s">
        <v>18</v>
      </c>
      <c r="C154" s="5" t="s">
        <v>605</v>
      </c>
      <c r="D154" s="323"/>
      <c r="E154" s="323"/>
      <c r="F154" s="323"/>
      <c r="G154" s="323">
        <v>2</v>
      </c>
      <c r="H154" s="323"/>
      <c r="I154" s="323"/>
      <c r="J154" s="323"/>
      <c r="K154" s="368">
        <f t="shared" si="14"/>
        <v>2</v>
      </c>
      <c r="L154" s="332">
        <v>1</v>
      </c>
      <c r="M154" s="307" t="s">
        <v>288</v>
      </c>
      <c r="N154" s="443" t="s">
        <v>83</v>
      </c>
      <c r="O154" s="323" t="s">
        <v>88</v>
      </c>
      <c r="P154" s="324" t="s">
        <v>74</v>
      </c>
      <c r="Q154" s="306" t="s">
        <v>75</v>
      </c>
      <c r="R154" s="306" t="s">
        <v>557</v>
      </c>
      <c r="S154" s="390" t="s">
        <v>606</v>
      </c>
      <c r="T154" s="323" t="s">
        <v>607</v>
      </c>
      <c r="U154" s="323"/>
      <c r="V154" s="8"/>
      <c r="W154" s="54"/>
    </row>
    <row r="155" spans="1:23" ht="12" customHeight="1">
      <c r="A155" s="317" t="s">
        <v>102</v>
      </c>
      <c r="B155" s="390" t="s">
        <v>18</v>
      </c>
      <c r="C155" s="5" t="s">
        <v>608</v>
      </c>
      <c r="D155" s="323"/>
      <c r="E155" s="323"/>
      <c r="F155" s="323"/>
      <c r="G155" s="323"/>
      <c r="H155" s="323"/>
      <c r="I155" s="323"/>
      <c r="J155" s="323"/>
      <c r="K155" s="368"/>
      <c r="L155" s="332">
        <v>1</v>
      </c>
      <c r="M155" s="307" t="s">
        <v>609</v>
      </c>
      <c r="N155" s="443"/>
      <c r="O155" s="323"/>
      <c r="P155" s="324" t="s">
        <v>74</v>
      </c>
      <c r="Q155" s="306" t="s">
        <v>75</v>
      </c>
      <c r="R155" s="306" t="s">
        <v>557</v>
      </c>
      <c r="S155" s="390"/>
      <c r="T155" s="323"/>
      <c r="U155" s="323"/>
      <c r="V155" s="8">
        <v>180.43</v>
      </c>
      <c r="W155" s="54"/>
    </row>
    <row r="156" spans="1:23" ht="12" customHeight="1">
      <c r="A156" s="317" t="s">
        <v>102</v>
      </c>
      <c r="B156" s="318" t="s">
        <v>238</v>
      </c>
      <c r="C156" s="446" t="s">
        <v>610</v>
      </c>
      <c r="D156" s="323"/>
      <c r="E156" s="323"/>
      <c r="F156" s="323"/>
      <c r="G156" s="323">
        <v>22.85</v>
      </c>
      <c r="H156" s="323"/>
      <c r="I156" s="323"/>
      <c r="J156" s="323"/>
      <c r="K156" s="368">
        <f t="shared" ref="K156" si="15">J156+I156+H156+G156+F156+E156+D156</f>
        <v>22.85</v>
      </c>
      <c r="L156" s="332">
        <v>1</v>
      </c>
      <c r="M156" s="306" t="s">
        <v>611</v>
      </c>
      <c r="N156" s="443" t="s">
        <v>83</v>
      </c>
      <c r="O156" s="323" t="s">
        <v>88</v>
      </c>
      <c r="P156" s="447" t="s">
        <v>236</v>
      </c>
      <c r="Q156" s="306" t="s">
        <v>612</v>
      </c>
      <c r="R156" s="306" t="s">
        <v>557</v>
      </c>
      <c r="S156" s="441" t="s">
        <v>613</v>
      </c>
      <c r="T156" s="441" t="s">
        <v>614</v>
      </c>
      <c r="U156" s="323"/>
      <c r="V156" s="8">
        <f>2.75+36.33</f>
        <v>39.08</v>
      </c>
      <c r="W156" s="54"/>
    </row>
    <row r="157" spans="1:23" ht="12" customHeight="1">
      <c r="A157" s="317" t="s">
        <v>102</v>
      </c>
      <c r="B157" s="318" t="s">
        <v>238</v>
      </c>
      <c r="C157" s="448" t="s">
        <v>615</v>
      </c>
      <c r="D157" s="323"/>
      <c r="E157" s="323"/>
      <c r="F157" s="323"/>
      <c r="G157" s="323"/>
      <c r="H157" s="323"/>
      <c r="I157" s="323"/>
      <c r="J157" s="323"/>
      <c r="K157" s="368"/>
      <c r="L157" s="332">
        <v>1</v>
      </c>
      <c r="M157" s="306" t="s">
        <v>609</v>
      </c>
      <c r="N157" s="443"/>
      <c r="O157" s="323"/>
      <c r="P157" s="447" t="s">
        <v>234</v>
      </c>
      <c r="Q157" s="306" t="s">
        <v>612</v>
      </c>
      <c r="R157" s="306" t="s">
        <v>557</v>
      </c>
      <c r="S157" s="441"/>
      <c r="T157" s="441"/>
      <c r="U157" s="323"/>
      <c r="V157" s="8">
        <v>38.78</v>
      </c>
      <c r="W157" s="54"/>
    </row>
    <row r="158" spans="1:23" ht="12" customHeight="1">
      <c r="A158" s="317" t="s">
        <v>102</v>
      </c>
      <c r="B158" s="449" t="s">
        <v>238</v>
      </c>
      <c r="C158" s="450" t="s">
        <v>616</v>
      </c>
      <c r="D158" s="9"/>
      <c r="E158" s="323"/>
      <c r="F158" s="323"/>
      <c r="G158" s="323"/>
      <c r="H158" s="323"/>
      <c r="I158" s="323"/>
      <c r="J158" s="323"/>
      <c r="K158" s="368"/>
      <c r="L158" s="332">
        <v>2</v>
      </c>
      <c r="M158" s="306" t="s">
        <v>884</v>
      </c>
      <c r="N158" s="443"/>
      <c r="O158" s="323"/>
      <c r="P158" s="447" t="s">
        <v>234</v>
      </c>
      <c r="Q158" s="306" t="s">
        <v>612</v>
      </c>
      <c r="R158" s="306" t="s">
        <v>557</v>
      </c>
      <c r="S158" s="441"/>
      <c r="T158" s="441"/>
      <c r="U158" s="323"/>
      <c r="V158" s="8">
        <v>39.18</v>
      </c>
      <c r="W158" s="54"/>
    </row>
    <row r="159" spans="1:23" ht="12" customHeight="1">
      <c r="A159" s="317" t="s">
        <v>102</v>
      </c>
      <c r="B159" s="318" t="s">
        <v>238</v>
      </c>
      <c r="C159" s="451" t="s">
        <v>617</v>
      </c>
      <c r="D159" s="323"/>
      <c r="E159" s="323"/>
      <c r="F159" s="323"/>
      <c r="G159" s="323">
        <v>15.58</v>
      </c>
      <c r="H159" s="323">
        <v>19.5</v>
      </c>
      <c r="I159" s="323"/>
      <c r="J159" s="323"/>
      <c r="K159" s="368">
        <f t="shared" ref="K159:K169" si="16">J159+I159+H159+G159+F159+E159+D159</f>
        <v>35.08</v>
      </c>
      <c r="L159" s="332">
        <v>1</v>
      </c>
      <c r="M159" s="306" t="s">
        <v>618</v>
      </c>
      <c r="N159" s="443" t="s">
        <v>83</v>
      </c>
      <c r="O159" s="323" t="s">
        <v>87</v>
      </c>
      <c r="P159" s="447" t="s">
        <v>619</v>
      </c>
      <c r="Q159" s="306" t="s">
        <v>612</v>
      </c>
      <c r="R159" s="306" t="s">
        <v>557</v>
      </c>
      <c r="S159" s="323" t="s">
        <v>566</v>
      </c>
      <c r="T159" s="323" t="s">
        <v>566</v>
      </c>
      <c r="U159" s="323"/>
      <c r="V159" s="8">
        <f>610+124.47</f>
        <v>734.47</v>
      </c>
      <c r="W159" s="54"/>
    </row>
    <row r="160" spans="1:23" ht="12" customHeight="1">
      <c r="A160" s="317" t="s">
        <v>102</v>
      </c>
      <c r="B160" s="318" t="s">
        <v>238</v>
      </c>
      <c r="C160" s="446" t="s">
        <v>620</v>
      </c>
      <c r="D160" s="323"/>
      <c r="E160" s="323"/>
      <c r="F160" s="323"/>
      <c r="G160" s="323">
        <v>36.89</v>
      </c>
      <c r="H160" s="323"/>
      <c r="I160" s="323"/>
      <c r="J160" s="323"/>
      <c r="K160" s="368">
        <f t="shared" si="16"/>
        <v>36.89</v>
      </c>
      <c r="L160" s="332">
        <v>1</v>
      </c>
      <c r="M160" s="306" t="s">
        <v>288</v>
      </c>
      <c r="N160" s="443" t="s">
        <v>83</v>
      </c>
      <c r="O160" s="323" t="s">
        <v>88</v>
      </c>
      <c r="P160" s="447" t="s">
        <v>251</v>
      </c>
      <c r="Q160" s="306" t="s">
        <v>612</v>
      </c>
      <c r="R160" s="306" t="s">
        <v>557</v>
      </c>
      <c r="S160" s="323" t="s">
        <v>621</v>
      </c>
      <c r="T160" s="323" t="s">
        <v>622</v>
      </c>
      <c r="U160" s="323"/>
      <c r="V160" s="8">
        <f>34.26+0.78</f>
        <v>35.04</v>
      </c>
      <c r="W160" s="54"/>
    </row>
    <row r="161" spans="1:23" ht="12" customHeight="1">
      <c r="A161" s="317" t="s">
        <v>102</v>
      </c>
      <c r="B161" s="318" t="s">
        <v>238</v>
      </c>
      <c r="C161" s="446" t="s">
        <v>623</v>
      </c>
      <c r="D161" s="306"/>
      <c r="E161" s="360"/>
      <c r="F161" s="360"/>
      <c r="G161" s="306">
        <v>1.22</v>
      </c>
      <c r="H161" s="306"/>
      <c r="I161" s="306"/>
      <c r="J161" s="306"/>
      <c r="K161" s="368">
        <f t="shared" si="16"/>
        <v>1.22</v>
      </c>
      <c r="L161" s="332">
        <v>1</v>
      </c>
      <c r="M161" s="306" t="s">
        <v>485</v>
      </c>
      <c r="N161" s="443" t="s">
        <v>83</v>
      </c>
      <c r="O161" s="323" t="s">
        <v>87</v>
      </c>
      <c r="P161" s="447" t="s">
        <v>619</v>
      </c>
      <c r="Q161" s="306" t="s">
        <v>612</v>
      </c>
      <c r="R161" s="306" t="s">
        <v>557</v>
      </c>
      <c r="S161" s="390" t="s">
        <v>624</v>
      </c>
      <c r="T161" s="323" t="s">
        <v>625</v>
      </c>
      <c r="U161" s="323"/>
      <c r="V161" s="8"/>
      <c r="W161" s="54"/>
    </row>
    <row r="162" spans="1:23" ht="12" customHeight="1">
      <c r="A162" s="317" t="s">
        <v>102</v>
      </c>
      <c r="B162" s="318" t="s">
        <v>238</v>
      </c>
      <c r="C162" s="446" t="s">
        <v>626</v>
      </c>
      <c r="D162" s="306"/>
      <c r="E162" s="360"/>
      <c r="F162" s="360"/>
      <c r="G162" s="306"/>
      <c r="H162" s="306"/>
      <c r="I162" s="306"/>
      <c r="J162" s="306">
        <v>10</v>
      </c>
      <c r="K162" s="368">
        <f t="shared" si="16"/>
        <v>10</v>
      </c>
      <c r="L162" s="332">
        <v>1</v>
      </c>
      <c r="M162" s="306" t="s">
        <v>499</v>
      </c>
      <c r="N162" s="443" t="s">
        <v>83</v>
      </c>
      <c r="O162" s="323" t="s">
        <v>87</v>
      </c>
      <c r="P162" s="447" t="s">
        <v>619</v>
      </c>
      <c r="Q162" s="306" t="s">
        <v>612</v>
      </c>
      <c r="R162" s="306" t="s">
        <v>557</v>
      </c>
      <c r="S162" s="390" t="s">
        <v>624</v>
      </c>
      <c r="T162" s="323" t="s">
        <v>625</v>
      </c>
      <c r="U162" s="323"/>
      <c r="V162" s="8">
        <v>10</v>
      </c>
      <c r="W162" s="54"/>
    </row>
    <row r="163" spans="1:23" ht="12" customHeight="1">
      <c r="A163" s="317" t="s">
        <v>102</v>
      </c>
      <c r="B163" s="317" t="s">
        <v>238</v>
      </c>
      <c r="C163" s="391" t="s">
        <v>627</v>
      </c>
      <c r="D163" s="361"/>
      <c r="E163" s="306"/>
      <c r="F163" s="306"/>
      <c r="G163" s="306">
        <v>187.9</v>
      </c>
      <c r="H163" s="306"/>
      <c r="I163" s="306"/>
      <c r="J163" s="306"/>
      <c r="K163" s="368">
        <f t="shared" si="16"/>
        <v>187.9</v>
      </c>
      <c r="L163" s="332">
        <v>1</v>
      </c>
      <c r="M163" s="306" t="s">
        <v>628</v>
      </c>
      <c r="N163" s="322" t="s">
        <v>83</v>
      </c>
      <c r="O163" s="323" t="s">
        <v>88</v>
      </c>
      <c r="P163" s="324" t="s">
        <v>236</v>
      </c>
      <c r="Q163" s="306" t="s">
        <v>612</v>
      </c>
      <c r="R163" s="306" t="s">
        <v>557</v>
      </c>
      <c r="S163" s="441" t="s">
        <v>629</v>
      </c>
      <c r="T163" s="441" t="s">
        <v>630</v>
      </c>
      <c r="U163" s="323"/>
      <c r="V163" s="8"/>
      <c r="W163" s="54"/>
    </row>
    <row r="164" spans="1:23" ht="15" customHeight="1">
      <c r="A164" s="317" t="s">
        <v>102</v>
      </c>
      <c r="B164" s="317" t="s">
        <v>238</v>
      </c>
      <c r="C164" s="391" t="s">
        <v>631</v>
      </c>
      <c r="D164" s="361"/>
      <c r="E164" s="306"/>
      <c r="F164" s="306"/>
      <c r="G164" s="306">
        <f>259.61+108.46</f>
        <v>368.07</v>
      </c>
      <c r="H164" s="306"/>
      <c r="I164" s="306"/>
      <c r="J164" s="306"/>
      <c r="K164" s="368">
        <f t="shared" si="16"/>
        <v>368.07</v>
      </c>
      <c r="L164" s="332">
        <v>1</v>
      </c>
      <c r="M164" s="306" t="s">
        <v>288</v>
      </c>
      <c r="N164" s="322" t="s">
        <v>83</v>
      </c>
      <c r="O164" s="323" t="s">
        <v>88</v>
      </c>
      <c r="P164" s="324" t="s">
        <v>236</v>
      </c>
      <c r="Q164" s="306" t="s">
        <v>612</v>
      </c>
      <c r="R164" s="306" t="s">
        <v>557</v>
      </c>
      <c r="S164" s="441" t="s">
        <v>629</v>
      </c>
      <c r="T164" s="441" t="s">
        <v>630</v>
      </c>
      <c r="U164" s="323" t="s">
        <v>632</v>
      </c>
      <c r="V164" s="8">
        <v>0.67</v>
      </c>
      <c r="W164" s="54"/>
    </row>
    <row r="165" spans="1:23" ht="15" customHeight="1">
      <c r="A165" s="317" t="s">
        <v>102</v>
      </c>
      <c r="B165" s="318" t="s">
        <v>238</v>
      </c>
      <c r="C165" s="5" t="s">
        <v>633</v>
      </c>
      <c r="D165" s="306"/>
      <c r="E165" s="306"/>
      <c r="F165" s="306"/>
      <c r="G165" s="306"/>
      <c r="H165" s="306">
        <v>5.96</v>
      </c>
      <c r="I165" s="306"/>
      <c r="J165" s="306">
        <v>98.19</v>
      </c>
      <c r="K165" s="368">
        <f t="shared" si="16"/>
        <v>104.14999999999999</v>
      </c>
      <c r="L165" s="332">
        <v>1</v>
      </c>
      <c r="M165" s="306" t="s">
        <v>634</v>
      </c>
      <c r="N165" s="306" t="s">
        <v>83</v>
      </c>
      <c r="O165" s="323" t="s">
        <v>88</v>
      </c>
      <c r="P165" s="324" t="s">
        <v>73</v>
      </c>
      <c r="Q165" s="306" t="s">
        <v>612</v>
      </c>
      <c r="R165" s="306" t="s">
        <v>557</v>
      </c>
      <c r="S165" s="444" t="s">
        <v>635</v>
      </c>
      <c r="T165" s="444" t="s">
        <v>636</v>
      </c>
      <c r="U165" s="323" t="s">
        <v>632</v>
      </c>
      <c r="V165" s="8"/>
      <c r="W165" s="54"/>
    </row>
    <row r="166" spans="1:23" ht="15" customHeight="1">
      <c r="A166" s="317" t="s">
        <v>102</v>
      </c>
      <c r="B166" s="318" t="s">
        <v>238</v>
      </c>
      <c r="C166" s="5" t="s">
        <v>637</v>
      </c>
      <c r="D166" s="306"/>
      <c r="E166" s="306"/>
      <c r="F166" s="306"/>
      <c r="G166" s="306"/>
      <c r="H166" s="306">
        <v>10.199999999999999</v>
      </c>
      <c r="I166" s="306"/>
      <c r="J166" s="306">
        <v>45.39</v>
      </c>
      <c r="K166" s="368">
        <f t="shared" si="16"/>
        <v>55.59</v>
      </c>
      <c r="L166" s="332">
        <v>1</v>
      </c>
      <c r="M166" s="306" t="s">
        <v>109</v>
      </c>
      <c r="N166" s="306" t="s">
        <v>83</v>
      </c>
      <c r="O166" s="323" t="s">
        <v>87</v>
      </c>
      <c r="P166" s="324" t="s">
        <v>73</v>
      </c>
      <c r="Q166" s="306" t="s">
        <v>612</v>
      </c>
      <c r="R166" s="306" t="s">
        <v>557</v>
      </c>
      <c r="S166" s="444" t="s">
        <v>638</v>
      </c>
      <c r="T166" s="444" t="s">
        <v>639</v>
      </c>
      <c r="U166" s="261"/>
      <c r="V166" s="8"/>
      <c r="W166" s="54"/>
    </row>
    <row r="167" spans="1:23" ht="15" customHeight="1">
      <c r="A167" s="317" t="s">
        <v>102</v>
      </c>
      <c r="B167" s="377" t="s">
        <v>238</v>
      </c>
      <c r="C167" s="331" t="s">
        <v>235</v>
      </c>
      <c r="D167" s="323"/>
      <c r="E167" s="323"/>
      <c r="F167" s="323"/>
      <c r="G167" s="323"/>
      <c r="H167" s="323"/>
      <c r="I167" s="323"/>
      <c r="J167" s="323">
        <v>49.9</v>
      </c>
      <c r="K167" s="368">
        <f t="shared" si="16"/>
        <v>49.9</v>
      </c>
      <c r="L167" s="332">
        <v>1</v>
      </c>
      <c r="M167" s="306" t="s">
        <v>109</v>
      </c>
      <c r="N167" s="306" t="s">
        <v>83</v>
      </c>
      <c r="O167" s="323" t="s">
        <v>88</v>
      </c>
      <c r="P167" s="324" t="s">
        <v>72</v>
      </c>
      <c r="Q167" s="306" t="s">
        <v>612</v>
      </c>
      <c r="R167" s="306" t="s">
        <v>557</v>
      </c>
      <c r="S167" s="441" t="s">
        <v>640</v>
      </c>
      <c r="T167" s="441" t="s">
        <v>641</v>
      </c>
      <c r="U167" s="323"/>
      <c r="V167" s="8"/>
      <c r="W167" s="54"/>
    </row>
    <row r="168" spans="1:23" ht="15" customHeight="1">
      <c r="A168" s="317" t="s">
        <v>102</v>
      </c>
      <c r="B168" s="377" t="s">
        <v>238</v>
      </c>
      <c r="C168" s="452" t="s">
        <v>887</v>
      </c>
      <c r="D168" s="323"/>
      <c r="E168" s="323"/>
      <c r="F168" s="323"/>
      <c r="G168" s="323"/>
      <c r="H168" s="323"/>
      <c r="I168" s="323"/>
      <c r="J168" s="323"/>
      <c r="K168" s="368"/>
      <c r="L168" s="339">
        <v>2</v>
      </c>
      <c r="M168" s="306" t="s">
        <v>884</v>
      </c>
      <c r="N168" s="306"/>
      <c r="O168" s="323"/>
      <c r="P168" s="324" t="s">
        <v>888</v>
      </c>
      <c r="Q168" s="306" t="s">
        <v>612</v>
      </c>
      <c r="R168" s="306" t="s">
        <v>557</v>
      </c>
      <c r="S168" s="441"/>
      <c r="T168" s="441"/>
      <c r="U168" s="323"/>
      <c r="V168" s="8">
        <v>26.9</v>
      </c>
      <c r="W168" s="54"/>
    </row>
    <row r="169" spans="1:23" ht="15" customHeight="1">
      <c r="A169" s="317" t="s">
        <v>102</v>
      </c>
      <c r="B169" s="345" t="s">
        <v>642</v>
      </c>
      <c r="C169" s="453" t="s">
        <v>643</v>
      </c>
      <c r="D169" s="454"/>
      <c r="E169" s="454"/>
      <c r="F169" s="455">
        <v>1500</v>
      </c>
      <c r="G169" s="454"/>
      <c r="H169" s="454"/>
      <c r="I169" s="454"/>
      <c r="J169" s="454"/>
      <c r="K169" s="368">
        <f t="shared" si="16"/>
        <v>1500</v>
      </c>
      <c r="L169" s="339">
        <v>2</v>
      </c>
      <c r="M169" s="6" t="s">
        <v>355</v>
      </c>
      <c r="N169" s="306" t="s">
        <v>79</v>
      </c>
      <c r="O169" s="323" t="s">
        <v>88</v>
      </c>
      <c r="P169" s="324" t="s">
        <v>644</v>
      </c>
      <c r="Q169" s="321" t="s">
        <v>645</v>
      </c>
      <c r="R169" s="306" t="s">
        <v>557</v>
      </c>
      <c r="S169" s="318" t="s">
        <v>646</v>
      </c>
      <c r="T169" s="456" t="s">
        <v>647</v>
      </c>
      <c r="U169" s="323"/>
      <c r="V169" s="8">
        <v>80</v>
      </c>
      <c r="W169" s="334"/>
    </row>
    <row r="170" spans="1:23" ht="15" customHeight="1">
      <c r="A170" s="317" t="s">
        <v>102</v>
      </c>
      <c r="B170" s="345" t="s">
        <v>642</v>
      </c>
      <c r="C170" s="453" t="s">
        <v>889</v>
      </c>
      <c r="D170" s="454"/>
      <c r="E170" s="454"/>
      <c r="F170" s="455"/>
      <c r="G170" s="454"/>
      <c r="H170" s="454"/>
      <c r="I170" s="454"/>
      <c r="J170" s="454"/>
      <c r="K170" s="368"/>
      <c r="L170" s="339">
        <v>2</v>
      </c>
      <c r="M170" s="6" t="s">
        <v>355</v>
      </c>
      <c r="N170" s="306"/>
      <c r="O170" s="323"/>
      <c r="P170" s="324" t="s">
        <v>644</v>
      </c>
      <c r="Q170" s="321" t="s">
        <v>645</v>
      </c>
      <c r="R170" s="306" t="s">
        <v>557</v>
      </c>
      <c r="S170" s="318"/>
      <c r="T170" s="456"/>
      <c r="U170" s="323"/>
      <c r="V170" s="8">
        <f>20+0.07+286.55</f>
        <v>306.62</v>
      </c>
      <c r="W170" s="334"/>
    </row>
    <row r="171" spans="1:23" ht="15" customHeight="1">
      <c r="A171" s="317" t="s">
        <v>102</v>
      </c>
      <c r="B171" s="345" t="s">
        <v>642</v>
      </c>
      <c r="C171" s="453" t="s">
        <v>648</v>
      </c>
      <c r="D171" s="454"/>
      <c r="E171" s="454"/>
      <c r="F171" s="455"/>
      <c r="G171" s="454"/>
      <c r="H171" s="454"/>
      <c r="I171" s="454"/>
      <c r="J171" s="454"/>
      <c r="K171" s="368"/>
      <c r="L171" s="339">
        <v>2</v>
      </c>
      <c r="M171" s="6" t="s">
        <v>355</v>
      </c>
      <c r="N171" s="306"/>
      <c r="O171" s="323"/>
      <c r="P171" s="324" t="s">
        <v>644</v>
      </c>
      <c r="Q171" s="321" t="s">
        <v>645</v>
      </c>
      <c r="R171" s="306" t="s">
        <v>557</v>
      </c>
      <c r="S171" s="318"/>
      <c r="T171" s="456"/>
      <c r="U171" s="323"/>
      <c r="V171" s="8">
        <f>15+15+23.33</f>
        <v>53.33</v>
      </c>
      <c r="W171" s="334"/>
    </row>
    <row r="172" spans="1:23" ht="15" customHeight="1">
      <c r="A172" s="317" t="s">
        <v>102</v>
      </c>
      <c r="B172" s="345" t="s">
        <v>642</v>
      </c>
      <c r="C172" s="453" t="s">
        <v>649</v>
      </c>
      <c r="D172" s="454"/>
      <c r="E172" s="454"/>
      <c r="F172" s="455"/>
      <c r="G172" s="454"/>
      <c r="H172" s="454"/>
      <c r="I172" s="454"/>
      <c r="J172" s="454"/>
      <c r="K172" s="368"/>
      <c r="L172" s="339">
        <v>2</v>
      </c>
      <c r="M172" s="6" t="s">
        <v>890</v>
      </c>
      <c r="N172" s="306"/>
      <c r="O172" s="323"/>
      <c r="P172" s="324" t="s">
        <v>644</v>
      </c>
      <c r="Q172" s="321" t="s">
        <v>645</v>
      </c>
      <c r="R172" s="306" t="s">
        <v>557</v>
      </c>
      <c r="S172" s="318"/>
      <c r="T172" s="456"/>
      <c r="U172" s="323"/>
      <c r="V172" s="8">
        <f>150+100</f>
        <v>250</v>
      </c>
      <c r="W172" s="334"/>
    </row>
    <row r="173" spans="1:23" ht="15" customHeight="1">
      <c r="A173" s="317" t="s">
        <v>102</v>
      </c>
      <c r="B173" s="345" t="s">
        <v>642</v>
      </c>
      <c r="C173" s="453" t="s">
        <v>650</v>
      </c>
      <c r="D173" s="454"/>
      <c r="E173" s="454"/>
      <c r="F173" s="455"/>
      <c r="G173" s="454"/>
      <c r="H173" s="454"/>
      <c r="I173" s="454"/>
      <c r="J173" s="454"/>
      <c r="K173" s="368"/>
      <c r="L173" s="339">
        <v>2</v>
      </c>
      <c r="M173" s="6" t="s">
        <v>890</v>
      </c>
      <c r="N173" s="306"/>
      <c r="O173" s="323"/>
      <c r="P173" s="324" t="s">
        <v>644</v>
      </c>
      <c r="Q173" s="321" t="s">
        <v>645</v>
      </c>
      <c r="R173" s="306" t="s">
        <v>557</v>
      </c>
      <c r="S173" s="318"/>
      <c r="T173" s="456"/>
      <c r="U173" s="323"/>
      <c r="V173" s="8">
        <v>53.86</v>
      </c>
      <c r="W173" s="334"/>
    </row>
    <row r="174" spans="1:23" ht="15" customHeight="1">
      <c r="A174" s="317" t="s">
        <v>102</v>
      </c>
      <c r="B174" s="345" t="s">
        <v>642</v>
      </c>
      <c r="C174" s="453" t="s">
        <v>891</v>
      </c>
      <c r="D174" s="454"/>
      <c r="E174" s="454"/>
      <c r="F174" s="455"/>
      <c r="G174" s="454"/>
      <c r="H174" s="454"/>
      <c r="I174" s="454"/>
      <c r="J174" s="454"/>
      <c r="K174" s="368"/>
      <c r="L174" s="339">
        <v>2</v>
      </c>
      <c r="M174" s="6" t="s">
        <v>355</v>
      </c>
      <c r="N174" s="306"/>
      <c r="O174" s="323"/>
      <c r="P174" s="324" t="s">
        <v>644</v>
      </c>
      <c r="Q174" s="321" t="s">
        <v>645</v>
      </c>
      <c r="R174" s="306" t="s">
        <v>557</v>
      </c>
      <c r="S174" s="318"/>
      <c r="T174" s="456"/>
      <c r="U174" s="323"/>
      <c r="V174" s="8">
        <f>106.47+123.98+20</f>
        <v>250.45</v>
      </c>
      <c r="W174" s="334"/>
    </row>
    <row r="175" spans="1:23" ht="15" customHeight="1">
      <c r="A175" s="317" t="s">
        <v>102</v>
      </c>
      <c r="B175" s="345" t="s">
        <v>642</v>
      </c>
      <c r="C175" s="453" t="s">
        <v>892</v>
      </c>
      <c r="D175" s="454"/>
      <c r="E175" s="454"/>
      <c r="F175" s="455">
        <v>1500</v>
      </c>
      <c r="G175" s="454"/>
      <c r="H175" s="454"/>
      <c r="I175" s="454"/>
      <c r="J175" s="454"/>
      <c r="K175" s="368">
        <v>1500</v>
      </c>
      <c r="L175" s="339">
        <v>2</v>
      </c>
      <c r="M175" s="6" t="s">
        <v>355</v>
      </c>
      <c r="N175" s="306" t="s">
        <v>79</v>
      </c>
      <c r="O175" s="323" t="s">
        <v>87</v>
      </c>
      <c r="P175" s="324" t="s">
        <v>644</v>
      </c>
      <c r="Q175" s="321" t="s">
        <v>645</v>
      </c>
      <c r="R175" s="306" t="s">
        <v>557</v>
      </c>
      <c r="S175" s="318" t="s">
        <v>646</v>
      </c>
      <c r="T175" s="456" t="s">
        <v>647</v>
      </c>
      <c r="U175" s="323"/>
      <c r="V175" s="8">
        <v>1580.79</v>
      </c>
      <c r="W175" s="334"/>
    </row>
    <row r="176" spans="1:23" ht="15" customHeight="1">
      <c r="A176" s="590"/>
      <c r="B176" s="591"/>
      <c r="C176" s="592" t="s">
        <v>651</v>
      </c>
      <c r="D176" s="406">
        <f>SUM(D133:D167)</f>
        <v>0</v>
      </c>
      <c r="E176" s="406">
        <f t="shared" ref="E176" si="17">SUM(E133:E169)</f>
        <v>0</v>
      </c>
      <c r="F176" s="406">
        <f t="shared" ref="F176" si="18">SUM(F133:F175)</f>
        <v>3000</v>
      </c>
      <c r="G176" s="406">
        <f>SUM(G133:G175)</f>
        <v>3739.46</v>
      </c>
      <c r="H176" s="406">
        <f>SUM(H133:H175)</f>
        <v>43.790000000000006</v>
      </c>
      <c r="I176" s="406">
        <f>SUM(I133:I175)</f>
        <v>238.8</v>
      </c>
      <c r="J176" s="406">
        <f>SUM(J133:J175)</f>
        <v>233.78</v>
      </c>
      <c r="K176" s="406">
        <f>SUM(K133:K175)</f>
        <v>7255.83</v>
      </c>
      <c r="L176" s="407"/>
      <c r="M176" s="408"/>
      <c r="N176" s="408"/>
      <c r="O176" s="457"/>
      <c r="P176" s="408"/>
      <c r="Q176" s="410"/>
      <c r="R176" s="408"/>
      <c r="S176" s="411"/>
      <c r="T176" s="412"/>
      <c r="U176" s="413"/>
      <c r="V176" s="458">
        <f>SUM(V133:V175)</f>
        <v>6390.9</v>
      </c>
      <c r="W176" s="458">
        <f>SUM(W133:W175)</f>
        <v>0</v>
      </c>
    </row>
    <row r="177" spans="1:23" ht="15" customHeight="1">
      <c r="A177" s="345" t="s">
        <v>99</v>
      </c>
      <c r="B177" s="331" t="s">
        <v>652</v>
      </c>
      <c r="C177" s="345" t="s">
        <v>653</v>
      </c>
      <c r="D177" s="306"/>
      <c r="E177" s="306"/>
      <c r="F177" s="306">
        <v>3300</v>
      </c>
      <c r="G177" s="306"/>
      <c r="H177" s="306"/>
      <c r="I177" s="306"/>
      <c r="J177" s="306"/>
      <c r="K177" s="368">
        <f>J177+I177+H177+G177+F177+E177+D177</f>
        <v>3300</v>
      </c>
      <c r="L177" s="332">
        <v>2</v>
      </c>
      <c r="M177" s="306" t="s">
        <v>79</v>
      </c>
      <c r="N177" s="306" t="s">
        <v>79</v>
      </c>
      <c r="O177" s="312" t="s">
        <v>654</v>
      </c>
      <c r="P177" s="324" t="s">
        <v>655</v>
      </c>
      <c r="Q177" s="397" t="s">
        <v>656</v>
      </c>
      <c r="R177" s="306" t="s">
        <v>657</v>
      </c>
      <c r="S177" s="459" t="s">
        <v>658</v>
      </c>
      <c r="T177" s="460"/>
      <c r="U177" s="461"/>
      <c r="V177" s="8">
        <f>33.96+44.95+2.79+69.95+18.64+7.04+35.87+1127.84+76.96+42.15+163.63-10.2+149.52+200.51+266.92+61.83+214.54-1000+31.99</f>
        <v>1538.89</v>
      </c>
      <c r="W177" s="462">
        <f>1000+2500</f>
        <v>3500</v>
      </c>
    </row>
    <row r="178" spans="1:23" ht="15" customHeight="1">
      <c r="A178" s="403"/>
      <c r="B178" s="404"/>
      <c r="C178" s="405" t="s">
        <v>659</v>
      </c>
      <c r="D178" s="408"/>
      <c r="E178" s="408"/>
      <c r="F178" s="408">
        <f>F177</f>
        <v>3300</v>
      </c>
      <c r="G178" s="408">
        <f>SUM(G177)</f>
        <v>0</v>
      </c>
      <c r="H178" s="408"/>
      <c r="I178" s="408"/>
      <c r="J178" s="408"/>
      <c r="K178" s="406">
        <f>J178+I178+H178+G178+F178+E178+D178</f>
        <v>3300</v>
      </c>
      <c r="L178" s="463"/>
      <c r="M178" s="408"/>
      <c r="N178" s="408"/>
      <c r="O178" s="457"/>
      <c r="P178" s="408"/>
      <c r="Q178" s="410"/>
      <c r="R178" s="408"/>
      <c r="S178" s="411"/>
      <c r="T178" s="412"/>
      <c r="U178" s="413"/>
      <c r="V178" s="406">
        <f>V177</f>
        <v>1538.89</v>
      </c>
      <c r="W178" s="406">
        <f>W177</f>
        <v>3500</v>
      </c>
    </row>
    <row r="179" spans="1:23" ht="15" customHeight="1">
      <c r="A179" s="373" t="s">
        <v>20</v>
      </c>
      <c r="B179" s="377" t="s">
        <v>660</v>
      </c>
      <c r="C179" s="310" t="s">
        <v>71</v>
      </c>
      <c r="D179" s="420"/>
      <c r="E179" s="420"/>
      <c r="F179" s="420"/>
      <c r="G179" s="306">
        <v>4.9000000000000004</v>
      </c>
      <c r="H179" s="420">
        <v>55.78</v>
      </c>
      <c r="I179" s="420">
        <v>0.56000000000000005</v>
      </c>
      <c r="J179" s="420"/>
      <c r="K179" s="420">
        <f>J179+I179+H179+G179+F179+E179+D179</f>
        <v>61.24</v>
      </c>
      <c r="L179" s="332">
        <v>1</v>
      </c>
      <c r="M179" s="306" t="s">
        <v>29</v>
      </c>
      <c r="N179" s="306" t="s">
        <v>83</v>
      </c>
      <c r="O179" s="323" t="s">
        <v>88</v>
      </c>
      <c r="P179" s="323" t="s">
        <v>19</v>
      </c>
      <c r="Q179" s="323" t="s">
        <v>661</v>
      </c>
      <c r="R179" s="323" t="s">
        <v>662</v>
      </c>
      <c r="S179" s="365" t="s">
        <v>663</v>
      </c>
      <c r="T179" s="365" t="s">
        <v>664</v>
      </c>
      <c r="U179" s="365" t="s">
        <v>665</v>
      </c>
      <c r="V179" s="8"/>
      <c r="W179" s="54"/>
    </row>
    <row r="180" spans="1:23" ht="15" customHeight="1">
      <c r="A180" s="373" t="s">
        <v>20</v>
      </c>
      <c r="B180" s="377" t="s">
        <v>660</v>
      </c>
      <c r="C180" s="310" t="s">
        <v>666</v>
      </c>
      <c r="D180" s="420"/>
      <c r="E180" s="420"/>
      <c r="F180" s="420"/>
      <c r="G180" s="306">
        <v>92.28</v>
      </c>
      <c r="H180" s="420"/>
      <c r="I180" s="420"/>
      <c r="J180" s="420"/>
      <c r="K180" s="420">
        <f t="shared" ref="K180" si="19">J180+I180+H180+G180+F180+E180+D180</f>
        <v>92.28</v>
      </c>
      <c r="L180" s="332">
        <v>1</v>
      </c>
      <c r="M180" s="306" t="s">
        <v>210</v>
      </c>
      <c r="N180" s="306" t="s">
        <v>83</v>
      </c>
      <c r="O180" s="323" t="s">
        <v>87</v>
      </c>
      <c r="P180" s="464" t="s">
        <v>19</v>
      </c>
      <c r="Q180" s="323" t="s">
        <v>661</v>
      </c>
      <c r="R180" s="323" t="s">
        <v>662</v>
      </c>
      <c r="S180" s="365" t="s">
        <v>667</v>
      </c>
      <c r="T180" s="365" t="s">
        <v>668</v>
      </c>
      <c r="U180" s="365" t="s">
        <v>669</v>
      </c>
      <c r="V180" s="8"/>
      <c r="W180" s="54"/>
    </row>
    <row r="181" spans="1:23" ht="15" customHeight="1">
      <c r="A181" s="373" t="s">
        <v>20</v>
      </c>
      <c r="B181" s="377" t="s">
        <v>670</v>
      </c>
      <c r="C181" s="310" t="s">
        <v>671</v>
      </c>
      <c r="D181" s="420"/>
      <c r="E181" s="420"/>
      <c r="F181" s="420"/>
      <c r="G181" s="306">
        <v>140.38999999999999</v>
      </c>
      <c r="H181" s="420"/>
      <c r="I181" s="420"/>
      <c r="J181" s="420"/>
      <c r="K181" s="420">
        <f>J181+I181+H181+G181+F181+E181+D181</f>
        <v>140.38999999999999</v>
      </c>
      <c r="L181" s="332">
        <v>1</v>
      </c>
      <c r="M181" s="306" t="s">
        <v>210</v>
      </c>
      <c r="N181" s="306" t="s">
        <v>83</v>
      </c>
      <c r="O181" s="323" t="s">
        <v>87</v>
      </c>
      <c r="P181" s="465" t="s">
        <v>21</v>
      </c>
      <c r="Q181" s="323" t="s">
        <v>661</v>
      </c>
      <c r="R181" s="323" t="s">
        <v>662</v>
      </c>
      <c r="S181" s="466" t="s">
        <v>672</v>
      </c>
      <c r="T181" s="466" t="s">
        <v>673</v>
      </c>
      <c r="U181" s="466" t="s">
        <v>665</v>
      </c>
      <c r="V181" s="8">
        <v>40.11</v>
      </c>
      <c r="W181" s="54"/>
    </row>
    <row r="182" spans="1:23" ht="15" customHeight="1">
      <c r="A182" s="373" t="s">
        <v>20</v>
      </c>
      <c r="B182" s="377" t="s">
        <v>674</v>
      </c>
      <c r="C182" s="310" t="s">
        <v>675</v>
      </c>
      <c r="D182" s="420"/>
      <c r="E182" s="420"/>
      <c r="F182" s="420"/>
      <c r="G182" s="306"/>
      <c r="H182" s="420"/>
      <c r="I182" s="420">
        <v>36.01</v>
      </c>
      <c r="J182" s="420"/>
      <c r="K182" s="420">
        <f>J182+I182+H182+G182+F182+E182+D182</f>
        <v>36.01</v>
      </c>
      <c r="L182" s="332">
        <v>1</v>
      </c>
      <c r="M182" s="306" t="s">
        <v>288</v>
      </c>
      <c r="N182" s="306" t="s">
        <v>83</v>
      </c>
      <c r="O182" s="323" t="s">
        <v>88</v>
      </c>
      <c r="P182" s="465" t="s">
        <v>22</v>
      </c>
      <c r="Q182" s="323" t="s">
        <v>661</v>
      </c>
      <c r="R182" s="323" t="s">
        <v>662</v>
      </c>
      <c r="S182" s="466" t="s">
        <v>676</v>
      </c>
      <c r="T182" s="466" t="s">
        <v>668</v>
      </c>
      <c r="U182" s="466" t="s">
        <v>665</v>
      </c>
      <c r="V182" s="8"/>
      <c r="W182" s="54"/>
    </row>
    <row r="183" spans="1:23" ht="15" customHeight="1">
      <c r="A183" s="373" t="s">
        <v>20</v>
      </c>
      <c r="B183" s="377" t="s">
        <v>677</v>
      </c>
      <c r="C183" s="310" t="s">
        <v>678</v>
      </c>
      <c r="D183" s="420"/>
      <c r="E183" s="420"/>
      <c r="F183" s="420"/>
      <c r="G183" s="306"/>
      <c r="H183" s="420">
        <v>424.85</v>
      </c>
      <c r="I183" s="420"/>
      <c r="J183" s="420"/>
      <c r="K183" s="420">
        <f>J183+I183+H183+G183+F183+E183+D183</f>
        <v>424.85</v>
      </c>
      <c r="L183" s="332">
        <v>1</v>
      </c>
      <c r="M183" s="306" t="s">
        <v>288</v>
      </c>
      <c r="N183" s="306" t="s">
        <v>83</v>
      </c>
      <c r="O183" s="323" t="s">
        <v>88</v>
      </c>
      <c r="P183" s="465" t="s">
        <v>23</v>
      </c>
      <c r="Q183" s="323" t="s">
        <v>661</v>
      </c>
      <c r="R183" s="323" t="s">
        <v>662</v>
      </c>
      <c r="S183" s="466" t="s">
        <v>679</v>
      </c>
      <c r="T183" s="466" t="s">
        <v>668</v>
      </c>
      <c r="U183" s="466" t="s">
        <v>680</v>
      </c>
      <c r="V183" s="8"/>
      <c r="W183" s="54"/>
    </row>
    <row r="184" spans="1:23" ht="15" customHeight="1">
      <c r="A184" s="373" t="s">
        <v>20</v>
      </c>
      <c r="B184" s="377" t="s">
        <v>24</v>
      </c>
      <c r="C184" s="310" t="s">
        <v>681</v>
      </c>
      <c r="D184" s="420"/>
      <c r="E184" s="420"/>
      <c r="F184" s="420"/>
      <c r="G184" s="306"/>
      <c r="H184" s="420"/>
      <c r="I184" s="420"/>
      <c r="J184" s="420">
        <v>2.7</v>
      </c>
      <c r="K184" s="420">
        <f>J184+I184+H184+G184+F184+E184+D184</f>
        <v>2.7</v>
      </c>
      <c r="L184" s="332">
        <v>1</v>
      </c>
      <c r="M184" s="306" t="s">
        <v>360</v>
      </c>
      <c r="N184" s="306" t="s">
        <v>83</v>
      </c>
      <c r="O184" s="323" t="s">
        <v>88</v>
      </c>
      <c r="P184" s="465" t="s">
        <v>25</v>
      </c>
      <c r="Q184" s="323" t="s">
        <v>661</v>
      </c>
      <c r="R184" s="323" t="s">
        <v>662</v>
      </c>
      <c r="S184" s="466" t="s">
        <v>682</v>
      </c>
      <c r="T184" s="466" t="s">
        <v>683</v>
      </c>
      <c r="U184" s="466" t="s">
        <v>684</v>
      </c>
      <c r="V184" s="8"/>
      <c r="W184" s="54"/>
    </row>
    <row r="185" spans="1:23" ht="15" customHeight="1">
      <c r="A185" s="373" t="s">
        <v>20</v>
      </c>
      <c r="B185" s="377" t="s">
        <v>893</v>
      </c>
      <c r="C185" s="310" t="s">
        <v>209</v>
      </c>
      <c r="D185" s="420"/>
      <c r="E185" s="420"/>
      <c r="F185" s="420"/>
      <c r="G185" s="306"/>
      <c r="H185" s="420"/>
      <c r="I185" s="420"/>
      <c r="J185" s="420"/>
      <c r="K185" s="420"/>
      <c r="L185" s="332">
        <v>2</v>
      </c>
      <c r="M185" s="306" t="s">
        <v>884</v>
      </c>
      <c r="N185" s="306"/>
      <c r="O185" s="323"/>
      <c r="P185" s="465" t="s">
        <v>894</v>
      </c>
      <c r="Q185" s="323" t="s">
        <v>661</v>
      </c>
      <c r="R185" s="323" t="s">
        <v>662</v>
      </c>
      <c r="S185" s="466"/>
      <c r="T185" s="466"/>
      <c r="U185" s="466"/>
      <c r="V185" s="8">
        <v>18.28</v>
      </c>
      <c r="W185" s="54"/>
    </row>
    <row r="186" spans="1:23" ht="15" customHeight="1">
      <c r="A186" s="373" t="s">
        <v>20</v>
      </c>
      <c r="B186" s="377" t="s">
        <v>677</v>
      </c>
      <c r="C186" s="310" t="s">
        <v>685</v>
      </c>
      <c r="D186" s="420"/>
      <c r="E186" s="420"/>
      <c r="F186" s="420"/>
      <c r="G186" s="306"/>
      <c r="H186" s="420"/>
      <c r="I186" s="420"/>
      <c r="J186" s="420"/>
      <c r="K186" s="420"/>
      <c r="L186" s="332">
        <v>2</v>
      </c>
      <c r="M186" s="306" t="s">
        <v>884</v>
      </c>
      <c r="N186" s="306"/>
      <c r="O186" s="323"/>
      <c r="P186" s="467" t="s">
        <v>23</v>
      </c>
      <c r="Q186" s="323" t="s">
        <v>661</v>
      </c>
      <c r="R186" s="323" t="s">
        <v>662</v>
      </c>
      <c r="S186" s="466"/>
      <c r="T186" s="466"/>
      <c r="U186" s="466"/>
      <c r="V186" s="8">
        <v>1.27</v>
      </c>
      <c r="W186" s="54"/>
    </row>
    <row r="187" spans="1:23" ht="15" customHeight="1">
      <c r="A187" s="373" t="s">
        <v>20</v>
      </c>
      <c r="B187" s="377" t="s">
        <v>677</v>
      </c>
      <c r="C187" s="370" t="s">
        <v>686</v>
      </c>
      <c r="D187" s="425"/>
      <c r="E187" s="468"/>
      <c r="F187" s="468"/>
      <c r="G187" s="425"/>
      <c r="H187" s="425"/>
      <c r="I187" s="425"/>
      <c r="J187" s="425">
        <v>4.28</v>
      </c>
      <c r="K187" s="420">
        <f>J187+I187+H187+G187+F187+E187+D187</f>
        <v>4.28</v>
      </c>
      <c r="L187" s="332">
        <v>1</v>
      </c>
      <c r="M187" s="306" t="s">
        <v>687</v>
      </c>
      <c r="N187" s="306" t="s">
        <v>83</v>
      </c>
      <c r="O187" s="323" t="s">
        <v>88</v>
      </c>
      <c r="P187" s="467" t="s">
        <v>23</v>
      </c>
      <c r="Q187" s="323" t="s">
        <v>661</v>
      </c>
      <c r="R187" s="323" t="s">
        <v>662</v>
      </c>
      <c r="S187" s="469" t="s">
        <v>688</v>
      </c>
      <c r="T187" s="469" t="s">
        <v>689</v>
      </c>
      <c r="U187" s="469" t="s">
        <v>688</v>
      </c>
      <c r="V187" s="8"/>
      <c r="W187" s="54"/>
    </row>
    <row r="188" spans="1:23" ht="15" customHeight="1">
      <c r="A188" s="403"/>
      <c r="B188" s="404"/>
      <c r="C188" s="405" t="s">
        <v>690</v>
      </c>
      <c r="D188" s="406">
        <f t="shared" ref="D188" si="20">SUM(D179:D187)</f>
        <v>0</v>
      </c>
      <c r="E188" s="406">
        <f t="shared" ref="E188:K188" si="21">SUM(E179:E187)</f>
        <v>0</v>
      </c>
      <c r="F188" s="406">
        <f t="shared" si="21"/>
        <v>0</v>
      </c>
      <c r="G188" s="406">
        <f t="shared" si="21"/>
        <v>237.57</v>
      </c>
      <c r="H188" s="406">
        <f t="shared" si="21"/>
        <v>480.63</v>
      </c>
      <c r="I188" s="406">
        <f t="shared" si="21"/>
        <v>36.57</v>
      </c>
      <c r="J188" s="406">
        <f t="shared" si="21"/>
        <v>6.98</v>
      </c>
      <c r="K188" s="406">
        <f t="shared" si="21"/>
        <v>761.75</v>
      </c>
      <c r="L188" s="407"/>
      <c r="M188" s="408"/>
      <c r="N188" s="408"/>
      <c r="O188" s="457"/>
      <c r="P188" s="408"/>
      <c r="Q188" s="410"/>
      <c r="R188" s="408"/>
      <c r="S188" s="470"/>
      <c r="T188" s="471"/>
      <c r="U188" s="472"/>
      <c r="V188" s="458">
        <f>SUM(V179:V187)</f>
        <v>59.660000000000004</v>
      </c>
      <c r="W188" s="458">
        <f>SUM(W179:W187)</f>
        <v>0</v>
      </c>
    </row>
    <row r="189" spans="1:23" ht="15" customHeight="1">
      <c r="A189" s="317" t="s">
        <v>255</v>
      </c>
      <c r="B189" s="318" t="s">
        <v>691</v>
      </c>
      <c r="C189" s="446" t="s">
        <v>692</v>
      </c>
      <c r="D189" s="306"/>
      <c r="E189" s="306"/>
      <c r="F189" s="306"/>
      <c r="G189" s="306"/>
      <c r="H189" s="306">
        <v>17.18</v>
      </c>
      <c r="I189" s="306">
        <v>369</v>
      </c>
      <c r="J189" s="306"/>
      <c r="K189" s="306">
        <f t="shared" ref="K189" si="22">D189+E189+F189+G189+H189+I189+J189</f>
        <v>386.18</v>
      </c>
      <c r="L189" s="332">
        <v>1</v>
      </c>
      <c r="M189" s="306" t="s">
        <v>693</v>
      </c>
      <c r="N189" s="322" t="s">
        <v>83</v>
      </c>
      <c r="O189" s="323" t="s">
        <v>88</v>
      </c>
      <c r="P189" s="321" t="s">
        <v>694</v>
      </c>
      <c r="Q189" s="321" t="s">
        <v>105</v>
      </c>
      <c r="R189" s="321" t="s">
        <v>105</v>
      </c>
      <c r="S189" s="473" t="s">
        <v>695</v>
      </c>
      <c r="T189" s="474" t="s">
        <v>696</v>
      </c>
      <c r="U189" s="475" t="s">
        <v>697</v>
      </c>
      <c r="V189" s="8"/>
      <c r="W189" s="54"/>
    </row>
    <row r="190" spans="1:23" ht="15" customHeight="1">
      <c r="A190" s="317" t="s">
        <v>255</v>
      </c>
      <c r="B190" s="318" t="s">
        <v>691</v>
      </c>
      <c r="C190" s="345" t="s">
        <v>698</v>
      </c>
      <c r="D190" s="323"/>
      <c r="E190" s="323"/>
      <c r="F190" s="323"/>
      <c r="G190" s="476"/>
      <c r="H190" s="323">
        <v>243.53</v>
      </c>
      <c r="I190" s="323"/>
      <c r="J190" s="323"/>
      <c r="K190" s="306">
        <v>243.53</v>
      </c>
      <c r="L190" s="332">
        <v>1</v>
      </c>
      <c r="M190" s="306" t="s">
        <v>693</v>
      </c>
      <c r="N190" s="322" t="s">
        <v>83</v>
      </c>
      <c r="O190" s="323" t="s">
        <v>88</v>
      </c>
      <c r="P190" s="321" t="s">
        <v>694</v>
      </c>
      <c r="Q190" s="321" t="s">
        <v>105</v>
      </c>
      <c r="R190" s="321" t="s">
        <v>105</v>
      </c>
      <c r="S190" s="474" t="s">
        <v>699</v>
      </c>
      <c r="T190" s="474" t="s">
        <v>699</v>
      </c>
      <c r="U190" s="323"/>
      <c r="V190" s="8"/>
      <c r="W190" s="54"/>
    </row>
    <row r="191" spans="1:23" ht="15" customHeight="1">
      <c r="A191" s="317" t="s">
        <v>255</v>
      </c>
      <c r="B191" s="318" t="s">
        <v>691</v>
      </c>
      <c r="C191" s="345" t="s">
        <v>700</v>
      </c>
      <c r="D191" s="323"/>
      <c r="E191" s="323"/>
      <c r="F191" s="323"/>
      <c r="G191" s="323">
        <v>182.33</v>
      </c>
      <c r="H191" s="323"/>
      <c r="I191" s="323"/>
      <c r="J191" s="323"/>
      <c r="K191" s="306">
        <v>182.33</v>
      </c>
      <c r="L191" s="332">
        <v>1</v>
      </c>
      <c r="M191" s="306" t="s">
        <v>693</v>
      </c>
      <c r="N191" s="322" t="s">
        <v>83</v>
      </c>
      <c r="O191" s="323" t="s">
        <v>88</v>
      </c>
      <c r="P191" s="321" t="s">
        <v>694</v>
      </c>
      <c r="Q191" s="321" t="s">
        <v>105</v>
      </c>
      <c r="R191" s="321" t="s">
        <v>105</v>
      </c>
      <c r="S191" s="474" t="s">
        <v>701</v>
      </c>
      <c r="T191" s="474" t="s">
        <v>702</v>
      </c>
      <c r="U191" s="323"/>
      <c r="V191" s="8"/>
      <c r="W191" s="54"/>
    </row>
    <row r="192" spans="1:23" ht="15" customHeight="1">
      <c r="A192" s="477"/>
      <c r="B192" s="478"/>
      <c r="C192" s="405" t="s">
        <v>703</v>
      </c>
      <c r="D192" s="406">
        <v>0</v>
      </c>
      <c r="E192" s="406">
        <v>0</v>
      </c>
      <c r="F192" s="406">
        <f t="shared" ref="F192" si="23">SUM(F189:F189)</f>
        <v>0</v>
      </c>
      <c r="G192" s="406">
        <f>SUM(G189:G191)</f>
        <v>182.33</v>
      </c>
      <c r="H192" s="406">
        <f>SUM(H189:H190)</f>
        <v>260.70999999999998</v>
      </c>
      <c r="I192" s="406">
        <f>SUM(I189:I189)</f>
        <v>369</v>
      </c>
      <c r="J192" s="406">
        <f>SUM(J189:J189)</f>
        <v>0</v>
      </c>
      <c r="K192" s="406">
        <f>SUM(K189:K191)</f>
        <v>812.04000000000008</v>
      </c>
      <c r="L192" s="407"/>
      <c r="M192" s="408"/>
      <c r="N192" s="408"/>
      <c r="O192" s="472"/>
      <c r="P192" s="408"/>
      <c r="Q192" s="408"/>
      <c r="R192" s="408"/>
      <c r="S192" s="411"/>
      <c r="T192" s="412"/>
      <c r="U192" s="413"/>
      <c r="V192" s="406">
        <f>SUM(V189:V191)</f>
        <v>0</v>
      </c>
      <c r="W192" s="406">
        <f>SUM(W189:W191)</f>
        <v>0</v>
      </c>
    </row>
    <row r="193" spans="1:23" ht="15" customHeight="1">
      <c r="A193" s="317" t="s">
        <v>237</v>
      </c>
      <c r="B193" s="318" t="s">
        <v>691</v>
      </c>
      <c r="C193" s="310" t="s">
        <v>65</v>
      </c>
      <c r="D193" s="348"/>
      <c r="E193" s="360"/>
      <c r="F193" s="360"/>
      <c r="G193" s="306">
        <v>94.92</v>
      </c>
      <c r="H193" s="306">
        <v>111.42</v>
      </c>
      <c r="I193" s="306"/>
      <c r="J193" s="306">
        <v>113.07</v>
      </c>
      <c r="K193" s="368">
        <f t="shared" ref="K193:K206" si="24">J193+I193+H193+G193+F193+E193+D193</f>
        <v>319.41000000000003</v>
      </c>
      <c r="L193" s="320">
        <v>1</v>
      </c>
      <c r="M193" s="321" t="s">
        <v>704</v>
      </c>
      <c r="N193" s="322" t="s">
        <v>83</v>
      </c>
      <c r="O193" s="312" t="s">
        <v>705</v>
      </c>
      <c r="P193" s="9" t="s">
        <v>47</v>
      </c>
      <c r="Q193" s="321" t="s">
        <v>69</v>
      </c>
      <c r="R193" s="479" t="s">
        <v>26</v>
      </c>
      <c r="S193" s="474" t="s">
        <v>706</v>
      </c>
      <c r="T193" s="474" t="s">
        <v>696</v>
      </c>
      <c r="U193" s="480"/>
      <c r="V193" s="8"/>
      <c r="W193" s="54"/>
    </row>
    <row r="194" spans="1:23" ht="15" customHeight="1">
      <c r="A194" s="317" t="s">
        <v>237</v>
      </c>
      <c r="B194" s="318" t="s">
        <v>691</v>
      </c>
      <c r="C194" s="310" t="s">
        <v>707</v>
      </c>
      <c r="D194" s="348"/>
      <c r="E194" s="360"/>
      <c r="F194" s="360"/>
      <c r="G194" s="306"/>
      <c r="H194" s="306"/>
      <c r="I194" s="306"/>
      <c r="J194" s="306">
        <v>3.31</v>
      </c>
      <c r="K194" s="368">
        <f t="shared" si="24"/>
        <v>3.31</v>
      </c>
      <c r="L194" s="320">
        <v>1</v>
      </c>
      <c r="M194" s="321" t="s">
        <v>708</v>
      </c>
      <c r="N194" s="322" t="s">
        <v>83</v>
      </c>
      <c r="O194" s="323" t="s">
        <v>88</v>
      </c>
      <c r="P194" s="9" t="s">
        <v>47</v>
      </c>
      <c r="Q194" s="321" t="s">
        <v>69</v>
      </c>
      <c r="R194" s="479" t="s">
        <v>26</v>
      </c>
      <c r="S194" s="474" t="s">
        <v>706</v>
      </c>
      <c r="T194" s="474" t="s">
        <v>696</v>
      </c>
      <c r="U194" s="480"/>
      <c r="V194" s="8"/>
      <c r="W194" s="54"/>
    </row>
    <row r="195" spans="1:23" ht="15" customHeight="1">
      <c r="A195" s="317" t="s">
        <v>237</v>
      </c>
      <c r="B195" s="318" t="s">
        <v>691</v>
      </c>
      <c r="C195" s="481" t="s">
        <v>709</v>
      </c>
      <c r="D195" s="342"/>
      <c r="E195" s="343"/>
      <c r="F195" s="343"/>
      <c r="G195" s="306">
        <v>26.57</v>
      </c>
      <c r="H195" s="306"/>
      <c r="I195" s="306">
        <v>11.35</v>
      </c>
      <c r="J195" s="342"/>
      <c r="K195" s="368">
        <f t="shared" si="24"/>
        <v>37.92</v>
      </c>
      <c r="L195" s="320">
        <v>1</v>
      </c>
      <c r="M195" s="321" t="s">
        <v>360</v>
      </c>
      <c r="N195" s="322" t="s">
        <v>83</v>
      </c>
      <c r="O195" s="323" t="s">
        <v>88</v>
      </c>
      <c r="P195" s="9" t="s">
        <v>47</v>
      </c>
      <c r="Q195" s="321" t="s">
        <v>69</v>
      </c>
      <c r="R195" s="479" t="s">
        <v>26</v>
      </c>
      <c r="S195" s="474" t="s">
        <v>706</v>
      </c>
      <c r="T195" s="474" t="s">
        <v>696</v>
      </c>
      <c r="U195" s="480"/>
      <c r="V195" s="8"/>
      <c r="W195" s="54"/>
    </row>
    <row r="196" spans="1:23" ht="15" customHeight="1">
      <c r="A196" s="317" t="s">
        <v>237</v>
      </c>
      <c r="B196" s="318" t="s">
        <v>691</v>
      </c>
      <c r="C196" s="5" t="s">
        <v>710</v>
      </c>
      <c r="D196" s="323"/>
      <c r="E196" s="323"/>
      <c r="F196" s="323"/>
      <c r="G196" s="323">
        <v>28.09</v>
      </c>
      <c r="H196" s="323"/>
      <c r="I196" s="482"/>
      <c r="J196" s="483"/>
      <c r="K196" s="368">
        <f t="shared" si="24"/>
        <v>28.09</v>
      </c>
      <c r="L196" s="323">
        <v>1</v>
      </c>
      <c r="M196" s="321" t="s">
        <v>711</v>
      </c>
      <c r="N196" s="322" t="s">
        <v>83</v>
      </c>
      <c r="O196" s="323" t="s">
        <v>87</v>
      </c>
      <c r="P196" s="9" t="s">
        <v>47</v>
      </c>
      <c r="Q196" s="321" t="s">
        <v>69</v>
      </c>
      <c r="R196" s="479" t="s">
        <v>26</v>
      </c>
      <c r="S196" s="474" t="s">
        <v>712</v>
      </c>
      <c r="T196" s="474" t="s">
        <v>713</v>
      </c>
      <c r="U196" s="323"/>
      <c r="V196" s="8"/>
      <c r="W196" s="54"/>
    </row>
    <row r="197" spans="1:23" ht="15" customHeight="1">
      <c r="A197" s="317" t="s">
        <v>237</v>
      </c>
      <c r="B197" s="318" t="s">
        <v>691</v>
      </c>
      <c r="C197" s="310" t="s">
        <v>714</v>
      </c>
      <c r="D197" s="8"/>
      <c r="E197" s="8"/>
      <c r="F197" s="8"/>
      <c r="G197" s="8"/>
      <c r="H197" s="8"/>
      <c r="I197" s="8"/>
      <c r="J197" s="8">
        <v>21.54</v>
      </c>
      <c r="K197" s="368">
        <f t="shared" si="24"/>
        <v>21.54</v>
      </c>
      <c r="L197" s="332">
        <v>1</v>
      </c>
      <c r="M197" s="321" t="s">
        <v>687</v>
      </c>
      <c r="N197" s="322" t="s">
        <v>83</v>
      </c>
      <c r="O197" s="323" t="s">
        <v>88</v>
      </c>
      <c r="P197" s="9" t="s">
        <v>47</v>
      </c>
      <c r="Q197" s="321" t="s">
        <v>69</v>
      </c>
      <c r="R197" s="479" t="s">
        <v>26</v>
      </c>
      <c r="S197" s="474" t="s">
        <v>715</v>
      </c>
      <c r="T197" s="474" t="s">
        <v>716</v>
      </c>
      <c r="U197" s="484" t="s">
        <v>717</v>
      </c>
      <c r="V197" s="8"/>
      <c r="W197" s="54"/>
    </row>
    <row r="198" spans="1:23" ht="15" customHeight="1">
      <c r="A198" s="317" t="s">
        <v>237</v>
      </c>
      <c r="B198" s="318" t="s">
        <v>691</v>
      </c>
      <c r="C198" s="310" t="s">
        <v>66</v>
      </c>
      <c r="D198" s="8"/>
      <c r="E198" s="8"/>
      <c r="F198" s="8"/>
      <c r="G198" s="8"/>
      <c r="H198" s="8"/>
      <c r="I198" s="8"/>
      <c r="J198" s="8">
        <v>9.6999999999999993</v>
      </c>
      <c r="K198" s="368">
        <f t="shared" si="24"/>
        <v>9.6999999999999993</v>
      </c>
      <c r="L198" s="332">
        <v>1</v>
      </c>
      <c r="M198" s="321" t="s">
        <v>704</v>
      </c>
      <c r="N198" s="322" t="s">
        <v>83</v>
      </c>
      <c r="O198" s="323" t="s">
        <v>87</v>
      </c>
      <c r="P198" s="9" t="s">
        <v>47</v>
      </c>
      <c r="Q198" s="321" t="s">
        <v>69</v>
      </c>
      <c r="R198" s="479" t="s">
        <v>26</v>
      </c>
      <c r="S198" s="474" t="s">
        <v>518</v>
      </c>
      <c r="T198" s="474" t="s">
        <v>518</v>
      </c>
      <c r="U198" s="12"/>
      <c r="V198" s="8"/>
      <c r="W198" s="54"/>
    </row>
    <row r="199" spans="1:23" ht="15" customHeight="1">
      <c r="A199" s="317" t="s">
        <v>237</v>
      </c>
      <c r="B199" s="318" t="s">
        <v>691</v>
      </c>
      <c r="C199" s="310" t="s">
        <v>718</v>
      </c>
      <c r="D199" s="8"/>
      <c r="E199" s="8"/>
      <c r="F199" s="8"/>
      <c r="G199" s="8">
        <v>550</v>
      </c>
      <c r="H199" s="8"/>
      <c r="I199" s="8"/>
      <c r="J199" s="8"/>
      <c r="K199" s="368">
        <f t="shared" si="24"/>
        <v>550</v>
      </c>
      <c r="L199" s="332">
        <v>1</v>
      </c>
      <c r="M199" s="321" t="s">
        <v>288</v>
      </c>
      <c r="N199" s="322" t="s">
        <v>83</v>
      </c>
      <c r="O199" s="312" t="s">
        <v>705</v>
      </c>
      <c r="P199" s="9" t="s">
        <v>47</v>
      </c>
      <c r="Q199" s="321" t="s">
        <v>69</v>
      </c>
      <c r="R199" s="479" t="s">
        <v>26</v>
      </c>
      <c r="S199" s="382" t="s">
        <v>719</v>
      </c>
      <c r="T199" s="382" t="s">
        <v>720</v>
      </c>
      <c r="U199" s="484" t="s">
        <v>717</v>
      </c>
      <c r="V199" s="8">
        <v>275.73</v>
      </c>
      <c r="W199" s="54"/>
    </row>
    <row r="200" spans="1:23" ht="15" customHeight="1">
      <c r="A200" s="317" t="s">
        <v>237</v>
      </c>
      <c r="B200" s="318" t="s">
        <v>691</v>
      </c>
      <c r="C200" s="10" t="s">
        <v>721</v>
      </c>
      <c r="D200" s="8"/>
      <c r="E200" s="8"/>
      <c r="F200" s="8"/>
      <c r="G200" s="8"/>
      <c r="H200" s="8">
        <v>105.24</v>
      </c>
      <c r="I200" s="8"/>
      <c r="J200" s="8"/>
      <c r="K200" s="368">
        <f t="shared" si="24"/>
        <v>105.24</v>
      </c>
      <c r="L200" s="332">
        <v>1</v>
      </c>
      <c r="M200" s="321" t="s">
        <v>704</v>
      </c>
      <c r="N200" s="322" t="s">
        <v>83</v>
      </c>
      <c r="O200" s="323" t="s">
        <v>88</v>
      </c>
      <c r="P200" s="9" t="s">
        <v>47</v>
      </c>
      <c r="Q200" s="321" t="s">
        <v>69</v>
      </c>
      <c r="R200" s="479" t="s">
        <v>26</v>
      </c>
      <c r="S200" s="474" t="s">
        <v>696</v>
      </c>
      <c r="T200" s="474" t="s">
        <v>696</v>
      </c>
      <c r="U200" s="484"/>
      <c r="V200" s="8"/>
      <c r="W200" s="54"/>
    </row>
    <row r="201" spans="1:23" ht="15" customHeight="1">
      <c r="A201" s="317" t="s">
        <v>237</v>
      </c>
      <c r="B201" s="318" t="s">
        <v>691</v>
      </c>
      <c r="C201" s="345" t="s">
        <v>722</v>
      </c>
      <c r="D201" s="323"/>
      <c r="E201" s="323"/>
      <c r="F201" s="323"/>
      <c r="G201" s="323"/>
      <c r="H201" s="323">
        <v>8.2899999999999991</v>
      </c>
      <c r="I201" s="482"/>
      <c r="J201" s="425">
        <v>8.32</v>
      </c>
      <c r="K201" s="368">
        <f t="shared" si="24"/>
        <v>16.61</v>
      </c>
      <c r="L201" s="323">
        <v>1</v>
      </c>
      <c r="M201" s="321" t="s">
        <v>723</v>
      </c>
      <c r="N201" s="322" t="s">
        <v>83</v>
      </c>
      <c r="O201" s="323" t="s">
        <v>88</v>
      </c>
      <c r="P201" s="9" t="s">
        <v>724</v>
      </c>
      <c r="Q201" s="321" t="s">
        <v>725</v>
      </c>
      <c r="R201" s="479" t="s">
        <v>26</v>
      </c>
      <c r="S201" s="474" t="s">
        <v>696</v>
      </c>
      <c r="T201" s="382" t="s">
        <v>726</v>
      </c>
      <c r="U201" s="382"/>
      <c r="V201" s="8"/>
      <c r="W201" s="54"/>
    </row>
    <row r="202" spans="1:23" ht="15" customHeight="1">
      <c r="A202" s="317" t="s">
        <v>237</v>
      </c>
      <c r="B202" s="318" t="s">
        <v>727</v>
      </c>
      <c r="C202" s="370" t="s">
        <v>68</v>
      </c>
      <c r="D202" s="8"/>
      <c r="E202" s="8"/>
      <c r="F202" s="8"/>
      <c r="G202" s="485">
        <v>176.14</v>
      </c>
      <c r="H202" s="8"/>
      <c r="I202" s="8"/>
      <c r="J202" s="8">
        <v>60.97</v>
      </c>
      <c r="K202" s="368">
        <f t="shared" si="24"/>
        <v>237.10999999999999</v>
      </c>
      <c r="L202" s="320">
        <v>1</v>
      </c>
      <c r="M202" s="321" t="s">
        <v>728</v>
      </c>
      <c r="N202" s="322" t="s">
        <v>83</v>
      </c>
      <c r="O202" s="312" t="s">
        <v>729</v>
      </c>
      <c r="P202" s="324" t="s">
        <v>67</v>
      </c>
      <c r="Q202" s="321" t="s">
        <v>69</v>
      </c>
      <c r="R202" s="12" t="s">
        <v>26</v>
      </c>
      <c r="S202" s="474" t="s">
        <v>730</v>
      </c>
      <c r="T202" s="474" t="s">
        <v>731</v>
      </c>
      <c r="U202" s="306" t="s">
        <v>732</v>
      </c>
      <c r="V202" s="8">
        <v>31.13</v>
      </c>
      <c r="W202" s="54"/>
    </row>
    <row r="203" spans="1:23" ht="15" customHeight="1">
      <c r="A203" s="317" t="s">
        <v>237</v>
      </c>
      <c r="B203" s="318" t="s">
        <v>727</v>
      </c>
      <c r="C203" s="10" t="s">
        <v>733</v>
      </c>
      <c r="D203" s="8"/>
      <c r="E203" s="8"/>
      <c r="F203" s="8"/>
      <c r="G203" s="485">
        <v>17.59</v>
      </c>
      <c r="H203" s="8"/>
      <c r="I203" s="8"/>
      <c r="J203" s="8"/>
      <c r="K203" s="368">
        <f t="shared" si="24"/>
        <v>17.59</v>
      </c>
      <c r="L203" s="320">
        <v>1</v>
      </c>
      <c r="M203" s="321" t="s">
        <v>288</v>
      </c>
      <c r="N203" s="322" t="s">
        <v>83</v>
      </c>
      <c r="O203" s="323" t="s">
        <v>87</v>
      </c>
      <c r="P203" s="324" t="s">
        <v>67</v>
      </c>
      <c r="Q203" s="321" t="s">
        <v>69</v>
      </c>
      <c r="R203" s="12" t="s">
        <v>26</v>
      </c>
      <c r="S203" s="474" t="s">
        <v>734</v>
      </c>
      <c r="T203" s="474" t="s">
        <v>735</v>
      </c>
      <c r="U203" s="306"/>
      <c r="V203" s="8"/>
      <c r="W203" s="54"/>
    </row>
    <row r="204" spans="1:23" ht="15" customHeight="1">
      <c r="A204" s="317" t="s">
        <v>237</v>
      </c>
      <c r="B204" s="318" t="s">
        <v>727</v>
      </c>
      <c r="C204" s="310" t="s">
        <v>895</v>
      </c>
      <c r="D204" s="361"/>
      <c r="E204" s="8"/>
      <c r="F204" s="8"/>
      <c r="G204" s="323">
        <v>11.88</v>
      </c>
      <c r="H204" s="323">
        <v>6.45</v>
      </c>
      <c r="I204" s="8"/>
      <c r="J204" s="8">
        <v>145.5</v>
      </c>
      <c r="K204" s="368">
        <f t="shared" si="24"/>
        <v>163.82999999999998</v>
      </c>
      <c r="L204" s="320">
        <v>1</v>
      </c>
      <c r="M204" s="321" t="s">
        <v>736</v>
      </c>
      <c r="N204" s="322" t="s">
        <v>83</v>
      </c>
      <c r="O204" s="312" t="s">
        <v>737</v>
      </c>
      <c r="P204" s="324" t="s">
        <v>67</v>
      </c>
      <c r="Q204" s="321" t="s">
        <v>69</v>
      </c>
      <c r="R204" s="479" t="s">
        <v>26</v>
      </c>
      <c r="S204" s="474" t="s">
        <v>738</v>
      </c>
      <c r="T204" s="474" t="s">
        <v>731</v>
      </c>
      <c r="U204" s="323"/>
      <c r="V204" s="8"/>
      <c r="W204" s="54"/>
    </row>
    <row r="205" spans="1:23" ht="15" customHeight="1">
      <c r="A205" s="317" t="s">
        <v>237</v>
      </c>
      <c r="B205" s="318" t="s">
        <v>727</v>
      </c>
      <c r="C205" s="310" t="s">
        <v>739</v>
      </c>
      <c r="D205" s="306"/>
      <c r="E205" s="306"/>
      <c r="F205" s="306"/>
      <c r="G205" s="486">
        <v>42.88</v>
      </c>
      <c r="H205" s="486">
        <v>155.47</v>
      </c>
      <c r="I205" s="306">
        <v>41.97</v>
      </c>
      <c r="J205" s="306"/>
      <c r="K205" s="368">
        <f t="shared" si="24"/>
        <v>240.32</v>
      </c>
      <c r="L205" s="332">
        <v>1</v>
      </c>
      <c r="M205" s="321" t="s">
        <v>740</v>
      </c>
      <c r="N205" s="322" t="s">
        <v>83</v>
      </c>
      <c r="O205" s="323" t="s">
        <v>87</v>
      </c>
      <c r="P205" s="324" t="s">
        <v>67</v>
      </c>
      <c r="Q205" s="321" t="s">
        <v>69</v>
      </c>
      <c r="R205" s="479" t="s">
        <v>26</v>
      </c>
      <c r="S205" s="474" t="s">
        <v>741</v>
      </c>
      <c r="T205" s="474" t="s">
        <v>742</v>
      </c>
      <c r="U205" s="323"/>
      <c r="V205" s="8"/>
      <c r="W205" s="54"/>
    </row>
    <row r="206" spans="1:23" ht="15" customHeight="1">
      <c r="A206" s="317" t="s">
        <v>237</v>
      </c>
      <c r="B206" s="318" t="s">
        <v>727</v>
      </c>
      <c r="C206" s="310" t="s">
        <v>743</v>
      </c>
      <c r="D206" s="306"/>
      <c r="E206" s="306"/>
      <c r="F206" s="306"/>
      <c r="G206" s="306"/>
      <c r="H206" s="306"/>
      <c r="I206" s="306"/>
      <c r="J206" s="306">
        <v>33.54</v>
      </c>
      <c r="K206" s="368">
        <f t="shared" si="24"/>
        <v>33.54</v>
      </c>
      <c r="L206" s="332">
        <v>1</v>
      </c>
      <c r="M206" s="321" t="s">
        <v>360</v>
      </c>
      <c r="N206" s="322" t="s">
        <v>83</v>
      </c>
      <c r="O206" s="323" t="s">
        <v>88</v>
      </c>
      <c r="P206" s="324" t="s">
        <v>67</v>
      </c>
      <c r="Q206" s="321" t="s">
        <v>69</v>
      </c>
      <c r="R206" s="479" t="s">
        <v>26</v>
      </c>
      <c r="S206" s="474" t="s">
        <v>744</v>
      </c>
      <c r="T206" s="474" t="s">
        <v>745</v>
      </c>
      <c r="U206" s="484" t="s">
        <v>717</v>
      </c>
      <c r="V206" s="8"/>
      <c r="W206" s="54"/>
    </row>
    <row r="207" spans="1:23" ht="15" customHeight="1">
      <c r="A207" s="317" t="s">
        <v>237</v>
      </c>
      <c r="B207" s="318" t="s">
        <v>727</v>
      </c>
      <c r="C207" s="310" t="s">
        <v>746</v>
      </c>
      <c r="D207" s="306"/>
      <c r="E207" s="306"/>
      <c r="F207" s="306"/>
      <c r="G207" s="306"/>
      <c r="H207" s="306"/>
      <c r="I207" s="306"/>
      <c r="J207" s="306">
        <v>6.7</v>
      </c>
      <c r="K207" s="368">
        <v>6.7</v>
      </c>
      <c r="L207" s="332">
        <v>1</v>
      </c>
      <c r="M207" s="321" t="s">
        <v>210</v>
      </c>
      <c r="N207" s="322" t="s">
        <v>83</v>
      </c>
      <c r="O207" s="323" t="s">
        <v>87</v>
      </c>
      <c r="P207" s="324" t="s">
        <v>67</v>
      </c>
      <c r="Q207" s="321" t="s">
        <v>69</v>
      </c>
      <c r="R207" s="479" t="s">
        <v>26</v>
      </c>
      <c r="S207" s="474" t="s">
        <v>747</v>
      </c>
      <c r="T207" s="474" t="s">
        <v>748</v>
      </c>
      <c r="U207" s="323"/>
      <c r="V207" s="8"/>
      <c r="W207" s="54"/>
    </row>
    <row r="208" spans="1:23" ht="15" customHeight="1">
      <c r="A208" s="317" t="s">
        <v>237</v>
      </c>
      <c r="B208" s="318" t="s">
        <v>727</v>
      </c>
      <c r="C208" s="487" t="s">
        <v>749</v>
      </c>
      <c r="D208" s="306"/>
      <c r="E208" s="306"/>
      <c r="F208" s="306"/>
      <c r="G208" s="306"/>
      <c r="H208" s="306"/>
      <c r="I208" s="306"/>
      <c r="J208" s="306">
        <v>0.49</v>
      </c>
      <c r="K208" s="368">
        <v>0.49</v>
      </c>
      <c r="L208" s="332">
        <v>1</v>
      </c>
      <c r="M208" s="321" t="s">
        <v>288</v>
      </c>
      <c r="N208" s="322" t="s">
        <v>83</v>
      </c>
      <c r="O208" s="323" t="s">
        <v>87</v>
      </c>
      <c r="P208" s="324" t="s">
        <v>67</v>
      </c>
      <c r="Q208" s="321" t="s">
        <v>69</v>
      </c>
      <c r="R208" s="479" t="s">
        <v>26</v>
      </c>
      <c r="S208" s="474" t="s">
        <v>750</v>
      </c>
      <c r="T208" s="474" t="s">
        <v>751</v>
      </c>
      <c r="U208" s="323"/>
      <c r="V208" s="8"/>
      <c r="W208" s="54"/>
    </row>
    <row r="209" spans="1:23" ht="15" customHeight="1">
      <c r="A209" s="317" t="s">
        <v>237</v>
      </c>
      <c r="B209" s="318" t="s">
        <v>727</v>
      </c>
      <c r="C209" s="488" t="s">
        <v>752</v>
      </c>
      <c r="D209" s="306"/>
      <c r="E209" s="306"/>
      <c r="F209" s="306"/>
      <c r="G209" s="306"/>
      <c r="H209" s="306"/>
      <c r="I209" s="306"/>
      <c r="J209" s="306"/>
      <c r="K209" s="368"/>
      <c r="L209" s="332">
        <v>1</v>
      </c>
      <c r="M209" s="321" t="s">
        <v>874</v>
      </c>
      <c r="N209" s="322"/>
      <c r="O209" s="323"/>
      <c r="P209" s="324" t="s">
        <v>67</v>
      </c>
      <c r="Q209" s="321" t="s">
        <v>69</v>
      </c>
      <c r="R209" s="479" t="s">
        <v>26</v>
      </c>
      <c r="S209" s="474"/>
      <c r="T209" s="474"/>
      <c r="U209" s="323"/>
      <c r="V209" s="8">
        <v>14.28</v>
      </c>
      <c r="W209" s="54"/>
    </row>
    <row r="210" spans="1:23" ht="15" customHeight="1">
      <c r="A210" s="317" t="s">
        <v>237</v>
      </c>
      <c r="B210" s="318" t="s">
        <v>753</v>
      </c>
      <c r="C210" s="5" t="s">
        <v>754</v>
      </c>
      <c r="D210" s="323"/>
      <c r="E210" s="323"/>
      <c r="F210" s="323"/>
      <c r="G210" s="323">
        <v>3.59</v>
      </c>
      <c r="H210" s="323"/>
      <c r="I210" s="323">
        <v>98.41</v>
      </c>
      <c r="J210" s="483"/>
      <c r="K210" s="368">
        <f>J210+I210+H210+G210+F210+E210+D210</f>
        <v>102</v>
      </c>
      <c r="L210" s="323">
        <v>1</v>
      </c>
      <c r="M210" s="321" t="s">
        <v>288</v>
      </c>
      <c r="N210" s="322" t="s">
        <v>83</v>
      </c>
      <c r="O210" s="323" t="s">
        <v>88</v>
      </c>
      <c r="P210" s="9" t="s">
        <v>755</v>
      </c>
      <c r="Q210" s="321" t="s">
        <v>69</v>
      </c>
      <c r="R210" s="479" t="s">
        <v>26</v>
      </c>
      <c r="S210" s="474" t="s">
        <v>701</v>
      </c>
      <c r="T210" s="474" t="s">
        <v>702</v>
      </c>
      <c r="U210" s="323"/>
      <c r="V210" s="8"/>
      <c r="W210" s="54"/>
    </row>
    <row r="211" spans="1:23" ht="15" customHeight="1">
      <c r="A211" s="317" t="s">
        <v>237</v>
      </c>
      <c r="B211" s="318" t="s">
        <v>753</v>
      </c>
      <c r="C211" s="5" t="s">
        <v>96</v>
      </c>
      <c r="D211" s="323"/>
      <c r="E211" s="323"/>
      <c r="F211" s="323"/>
      <c r="G211" s="323">
        <v>74.69</v>
      </c>
      <c r="H211" s="323"/>
      <c r="I211" s="482"/>
      <c r="J211" s="483"/>
      <c r="K211" s="368">
        <f>J211+I211+H211+G211+F211+E211+D211</f>
        <v>74.69</v>
      </c>
      <c r="L211" s="323">
        <v>1</v>
      </c>
      <c r="M211" s="321" t="s">
        <v>210</v>
      </c>
      <c r="N211" s="322" t="s">
        <v>83</v>
      </c>
      <c r="O211" s="323" t="s">
        <v>87</v>
      </c>
      <c r="P211" s="9" t="s">
        <v>755</v>
      </c>
      <c r="Q211" s="321" t="s">
        <v>69</v>
      </c>
      <c r="R211" s="479" t="s">
        <v>26</v>
      </c>
      <c r="S211" s="474" t="s">
        <v>756</v>
      </c>
      <c r="T211" s="474" t="s">
        <v>757</v>
      </c>
      <c r="U211" s="323"/>
      <c r="V211" s="8">
        <v>515.6</v>
      </c>
      <c r="W211" s="54"/>
    </row>
    <row r="212" spans="1:23" ht="15" customHeight="1">
      <c r="A212" s="317" t="s">
        <v>237</v>
      </c>
      <c r="B212" s="318" t="s">
        <v>753</v>
      </c>
      <c r="C212" s="5" t="s">
        <v>758</v>
      </c>
      <c r="D212" s="323"/>
      <c r="E212" s="323"/>
      <c r="F212" s="323"/>
      <c r="G212" s="323"/>
      <c r="H212" s="323">
        <v>54.44</v>
      </c>
      <c r="I212" s="482"/>
      <c r="J212" s="483"/>
      <c r="K212" s="368">
        <f t="shared" ref="K212" si="25">J212+I212+H212+G212+F212+E212+D212</f>
        <v>54.44</v>
      </c>
      <c r="L212" s="323">
        <v>1</v>
      </c>
      <c r="M212" s="321" t="s">
        <v>288</v>
      </c>
      <c r="N212" s="322" t="s">
        <v>83</v>
      </c>
      <c r="O212" s="323" t="s">
        <v>88</v>
      </c>
      <c r="P212" s="9" t="s">
        <v>755</v>
      </c>
      <c r="Q212" s="321" t="s">
        <v>69</v>
      </c>
      <c r="R212" s="479" t="s">
        <v>26</v>
      </c>
      <c r="S212" s="474" t="s">
        <v>759</v>
      </c>
      <c r="T212" s="474" t="s">
        <v>759</v>
      </c>
      <c r="U212" s="323"/>
      <c r="V212" s="8"/>
      <c r="W212" s="54"/>
    </row>
    <row r="213" spans="1:23" ht="15" customHeight="1">
      <c r="A213" s="317" t="s">
        <v>237</v>
      </c>
      <c r="B213" s="390" t="s">
        <v>760</v>
      </c>
      <c r="C213" s="439" t="s">
        <v>761</v>
      </c>
      <c r="D213" s="306"/>
      <c r="E213" s="306"/>
      <c r="F213" s="306"/>
      <c r="G213" s="306"/>
      <c r="H213" s="306"/>
      <c r="I213" s="306"/>
      <c r="J213" s="306">
        <v>130.16</v>
      </c>
      <c r="K213" s="368">
        <f>J213+I213+H213+G213+F213+E213+D213</f>
        <v>130.16</v>
      </c>
      <c r="L213" s="323">
        <v>1</v>
      </c>
      <c r="M213" s="306" t="s">
        <v>687</v>
      </c>
      <c r="N213" s="322" t="s">
        <v>83</v>
      </c>
      <c r="O213" s="323" t="s">
        <v>88</v>
      </c>
      <c r="P213" s="324" t="s">
        <v>258</v>
      </c>
      <c r="Q213" s="321" t="s">
        <v>26</v>
      </c>
      <c r="R213" s="479" t="s">
        <v>26</v>
      </c>
      <c r="S213" s="474" t="s">
        <v>762</v>
      </c>
      <c r="T213" s="474" t="s">
        <v>763</v>
      </c>
      <c r="U213" s="474" t="s">
        <v>763</v>
      </c>
      <c r="V213" s="8"/>
      <c r="W213" s="54"/>
    </row>
    <row r="214" spans="1:23" ht="15" customHeight="1">
      <c r="A214" s="317" t="s">
        <v>237</v>
      </c>
      <c r="B214" s="390" t="s">
        <v>760</v>
      </c>
      <c r="C214" s="439" t="s">
        <v>764</v>
      </c>
      <c r="D214" s="392"/>
      <c r="E214" s="392"/>
      <c r="F214" s="392"/>
      <c r="G214" s="392"/>
      <c r="H214" s="392"/>
      <c r="I214" s="306"/>
      <c r="J214" s="306">
        <v>5.49</v>
      </c>
      <c r="K214" s="368">
        <f>J214+I214+H214+G214+F214+E214+D214</f>
        <v>5.49</v>
      </c>
      <c r="L214" s="323">
        <v>1</v>
      </c>
      <c r="M214" s="321" t="s">
        <v>210</v>
      </c>
      <c r="N214" s="322" t="s">
        <v>83</v>
      </c>
      <c r="O214" s="323" t="s">
        <v>88</v>
      </c>
      <c r="P214" s="324" t="s">
        <v>257</v>
      </c>
      <c r="Q214" s="321" t="s">
        <v>26</v>
      </c>
      <c r="R214" s="12" t="s">
        <v>26</v>
      </c>
      <c r="S214" s="474" t="s">
        <v>765</v>
      </c>
      <c r="T214" s="474" t="s">
        <v>766</v>
      </c>
      <c r="U214" s="323"/>
      <c r="V214" s="8">
        <v>5.49</v>
      </c>
      <c r="W214" s="334"/>
    </row>
    <row r="215" spans="1:23" ht="15" customHeight="1">
      <c r="A215" s="317" t="s">
        <v>237</v>
      </c>
      <c r="B215" s="390" t="s">
        <v>760</v>
      </c>
      <c r="C215" s="489" t="s">
        <v>70</v>
      </c>
      <c r="D215" s="392"/>
      <c r="E215" s="392"/>
      <c r="F215" s="392"/>
      <c r="G215" s="392"/>
      <c r="H215" s="392"/>
      <c r="I215" s="306">
        <v>0.7</v>
      </c>
      <c r="J215" s="306">
        <v>24.45</v>
      </c>
      <c r="K215" s="368">
        <f>J215+I215+H215+G215+F215+E215+D215</f>
        <v>25.15</v>
      </c>
      <c r="L215" s="323">
        <v>1</v>
      </c>
      <c r="M215" s="306" t="s">
        <v>108</v>
      </c>
      <c r="N215" s="322" t="s">
        <v>83</v>
      </c>
      <c r="O215" s="323" t="s">
        <v>88</v>
      </c>
      <c r="P215" s="324" t="s">
        <v>257</v>
      </c>
      <c r="Q215" s="321" t="s">
        <v>26</v>
      </c>
      <c r="R215" s="12" t="s">
        <v>26</v>
      </c>
      <c r="S215" s="474" t="s">
        <v>767</v>
      </c>
      <c r="T215" s="474" t="s">
        <v>768</v>
      </c>
      <c r="U215" s="323"/>
      <c r="V215" s="8"/>
      <c r="W215" s="334"/>
    </row>
    <row r="216" spans="1:23" ht="15" customHeight="1">
      <c r="A216" s="317" t="s">
        <v>237</v>
      </c>
      <c r="B216" s="390" t="s">
        <v>760</v>
      </c>
      <c r="C216" s="489" t="s">
        <v>769</v>
      </c>
      <c r="D216" s="392"/>
      <c r="E216" s="392"/>
      <c r="F216" s="392"/>
      <c r="G216" s="392"/>
      <c r="H216" s="392"/>
      <c r="I216" s="306"/>
      <c r="J216" s="306">
        <v>26.45</v>
      </c>
      <c r="K216" s="368">
        <f>J216+I216+H216+G216+F216+E216+D216</f>
        <v>26.45</v>
      </c>
      <c r="L216" s="323">
        <v>1</v>
      </c>
      <c r="M216" s="306" t="s">
        <v>318</v>
      </c>
      <c r="N216" s="322" t="s">
        <v>83</v>
      </c>
      <c r="O216" s="323" t="s">
        <v>87</v>
      </c>
      <c r="P216" s="324" t="s">
        <v>257</v>
      </c>
      <c r="Q216" s="321" t="s">
        <v>26</v>
      </c>
      <c r="R216" s="12" t="s">
        <v>26</v>
      </c>
      <c r="S216" s="474" t="s">
        <v>751</v>
      </c>
      <c r="T216" s="474" t="s">
        <v>751</v>
      </c>
      <c r="U216" s="323"/>
      <c r="V216" s="8"/>
      <c r="W216" s="334"/>
    </row>
    <row r="217" spans="1:23" ht="15" customHeight="1">
      <c r="A217" s="351" t="s">
        <v>237</v>
      </c>
      <c r="B217" s="383" t="s">
        <v>760</v>
      </c>
      <c r="C217" s="490" t="s">
        <v>770</v>
      </c>
      <c r="D217" s="355">
        <v>255</v>
      </c>
      <c r="E217" s="355"/>
      <c r="F217" s="355"/>
      <c r="G217" s="355"/>
      <c r="H217" s="355"/>
      <c r="I217" s="355"/>
      <c r="J217" s="355"/>
      <c r="K217" s="491">
        <f>J217+I217+H217+G217+F217+E217+D217</f>
        <v>255</v>
      </c>
      <c r="L217" s="492">
        <v>2</v>
      </c>
      <c r="M217" s="355" t="s">
        <v>896</v>
      </c>
      <c r="N217" s="355" t="s">
        <v>79</v>
      </c>
      <c r="O217" s="492" t="s">
        <v>87</v>
      </c>
      <c r="P217" s="493" t="s">
        <v>257</v>
      </c>
      <c r="Q217" s="357" t="s">
        <v>26</v>
      </c>
      <c r="R217" s="354" t="s">
        <v>26</v>
      </c>
      <c r="S217" s="494" t="s">
        <v>751</v>
      </c>
      <c r="T217" s="494" t="s">
        <v>751</v>
      </c>
      <c r="U217" s="492"/>
      <c r="V217" s="8">
        <f>219.94+36</f>
        <v>255.94</v>
      </c>
      <c r="W217" s="385"/>
    </row>
    <row r="218" spans="1:23" ht="15" customHeight="1">
      <c r="A218" s="317" t="s">
        <v>237</v>
      </c>
      <c r="B218" s="390" t="s">
        <v>760</v>
      </c>
      <c r="C218" s="489" t="s">
        <v>897</v>
      </c>
      <c r="D218" s="306"/>
      <c r="E218" s="306"/>
      <c r="F218" s="306"/>
      <c r="G218" s="306">
        <v>14.75</v>
      </c>
      <c r="H218" s="306">
        <v>60.05</v>
      </c>
      <c r="I218" s="306"/>
      <c r="J218" s="306"/>
      <c r="K218" s="306">
        <f t="shared" ref="K218" si="26">D218+E218+F218+G218+H218+I218+J218</f>
        <v>74.8</v>
      </c>
      <c r="L218" s="323">
        <v>1</v>
      </c>
      <c r="M218" s="321" t="s">
        <v>280</v>
      </c>
      <c r="N218" s="322" t="s">
        <v>83</v>
      </c>
      <c r="O218" s="323" t="s">
        <v>88</v>
      </c>
      <c r="P218" s="324" t="s">
        <v>257</v>
      </c>
      <c r="Q218" s="321" t="s">
        <v>26</v>
      </c>
      <c r="R218" s="479" t="s">
        <v>26</v>
      </c>
      <c r="S218" s="474" t="s">
        <v>771</v>
      </c>
      <c r="T218" s="474" t="s">
        <v>768</v>
      </c>
      <c r="U218" s="323"/>
      <c r="V218" s="8">
        <v>7.39</v>
      </c>
      <c r="W218" s="54"/>
    </row>
    <row r="219" spans="1:23" ht="15" customHeight="1">
      <c r="A219" s="317" t="s">
        <v>237</v>
      </c>
      <c r="B219" s="390" t="s">
        <v>760</v>
      </c>
      <c r="C219" s="489" t="s">
        <v>772</v>
      </c>
      <c r="D219" s="361"/>
      <c r="E219" s="306"/>
      <c r="F219" s="360"/>
      <c r="G219" s="306">
        <v>40.72</v>
      </c>
      <c r="H219" s="306"/>
      <c r="I219" s="306"/>
      <c r="J219" s="306"/>
      <c r="K219" s="306">
        <f>D219+E219+F219+G219+H219+I219+J219</f>
        <v>40.72</v>
      </c>
      <c r="L219" s="323">
        <v>1</v>
      </c>
      <c r="M219" s="306" t="s">
        <v>298</v>
      </c>
      <c r="N219" s="322" t="s">
        <v>83</v>
      </c>
      <c r="O219" s="323" t="s">
        <v>88</v>
      </c>
      <c r="P219" s="324" t="s">
        <v>259</v>
      </c>
      <c r="Q219" s="321" t="s">
        <v>26</v>
      </c>
      <c r="R219" s="479" t="s">
        <v>26</v>
      </c>
      <c r="S219" s="474" t="s">
        <v>759</v>
      </c>
      <c r="T219" s="474" t="s">
        <v>759</v>
      </c>
      <c r="U219" s="323"/>
      <c r="V219" s="8"/>
      <c r="W219" s="54"/>
    </row>
    <row r="220" spans="1:23" ht="15" customHeight="1">
      <c r="A220" s="317" t="s">
        <v>237</v>
      </c>
      <c r="B220" s="390" t="s">
        <v>760</v>
      </c>
      <c r="C220" s="439" t="s">
        <v>773</v>
      </c>
      <c r="D220" s="306"/>
      <c r="E220" s="306"/>
      <c r="F220" s="306"/>
      <c r="G220" s="306"/>
      <c r="H220" s="306"/>
      <c r="I220" s="306"/>
      <c r="J220" s="306">
        <v>23.5</v>
      </c>
      <c r="K220" s="306">
        <f>D220+E220+F220+G220+H220+I220+J220</f>
        <v>23.5</v>
      </c>
      <c r="L220" s="323">
        <v>1</v>
      </c>
      <c r="M220" s="306" t="s">
        <v>30</v>
      </c>
      <c r="N220" s="322" t="s">
        <v>83</v>
      </c>
      <c r="O220" s="323" t="s">
        <v>88</v>
      </c>
      <c r="P220" s="324" t="s">
        <v>774</v>
      </c>
      <c r="Q220" s="321" t="s">
        <v>26</v>
      </c>
      <c r="R220" s="479" t="s">
        <v>26</v>
      </c>
      <c r="S220" s="474" t="s">
        <v>227</v>
      </c>
      <c r="T220" s="474" t="s">
        <v>227</v>
      </c>
      <c r="U220" s="474" t="s">
        <v>763</v>
      </c>
      <c r="V220" s="8"/>
      <c r="W220" s="54"/>
    </row>
    <row r="221" spans="1:23" ht="15" customHeight="1">
      <c r="A221" s="317" t="s">
        <v>237</v>
      </c>
      <c r="B221" s="390" t="s">
        <v>760</v>
      </c>
      <c r="C221" s="439" t="s">
        <v>775</v>
      </c>
      <c r="D221" s="306"/>
      <c r="E221" s="306"/>
      <c r="F221" s="306"/>
      <c r="G221" s="306">
        <v>7.05</v>
      </c>
      <c r="H221" s="306">
        <v>194.06</v>
      </c>
      <c r="I221" s="306">
        <v>49.36</v>
      </c>
      <c r="J221" s="306"/>
      <c r="K221" s="306">
        <f t="shared" ref="K221" si="27">D221+E221+F221+G221+H221+I221+J221</f>
        <v>250.47000000000003</v>
      </c>
      <c r="L221" s="323">
        <v>1</v>
      </c>
      <c r="M221" s="306" t="s">
        <v>693</v>
      </c>
      <c r="N221" s="322" t="s">
        <v>83</v>
      </c>
      <c r="O221" s="323" t="s">
        <v>88</v>
      </c>
      <c r="P221" s="324" t="s">
        <v>46</v>
      </c>
      <c r="Q221" s="321" t="s">
        <v>26</v>
      </c>
      <c r="R221" s="479" t="s">
        <v>26</v>
      </c>
      <c r="S221" s="474" t="s">
        <v>776</v>
      </c>
      <c r="T221" s="474" t="s">
        <v>776</v>
      </c>
      <c r="U221" s="480"/>
      <c r="V221" s="8"/>
      <c r="W221" s="54"/>
    </row>
    <row r="222" spans="1:23" ht="15" customHeight="1">
      <c r="A222" s="317" t="s">
        <v>237</v>
      </c>
      <c r="B222" s="390" t="s">
        <v>760</v>
      </c>
      <c r="C222" s="377" t="s">
        <v>777</v>
      </c>
      <c r="D222" s="306"/>
      <c r="E222" s="306"/>
      <c r="F222" s="306"/>
      <c r="G222" s="306">
        <v>61.43</v>
      </c>
      <c r="H222" s="306">
        <v>28.9</v>
      </c>
      <c r="I222" s="306">
        <v>14.46</v>
      </c>
      <c r="J222" s="306"/>
      <c r="K222" s="306">
        <f>D222+E222+F222+G222+H222+I222+J222</f>
        <v>104.78999999999999</v>
      </c>
      <c r="L222" s="323">
        <v>1</v>
      </c>
      <c r="M222" s="306" t="s">
        <v>109</v>
      </c>
      <c r="N222" s="322" t="s">
        <v>83</v>
      </c>
      <c r="O222" s="323" t="s">
        <v>88</v>
      </c>
      <c r="P222" s="324" t="s">
        <v>46</v>
      </c>
      <c r="Q222" s="321" t="s">
        <v>26</v>
      </c>
      <c r="R222" s="479" t="s">
        <v>26</v>
      </c>
      <c r="S222" s="474" t="s">
        <v>778</v>
      </c>
      <c r="T222" s="474" t="s">
        <v>779</v>
      </c>
      <c r="U222" s="480"/>
      <c r="V222" s="8"/>
      <c r="W222" s="54"/>
    </row>
    <row r="223" spans="1:23" ht="15" customHeight="1">
      <c r="A223" s="495"/>
      <c r="B223" s="496"/>
      <c r="C223" s="405" t="s">
        <v>780</v>
      </c>
      <c r="D223" s="497">
        <f t="shared" ref="D223" si="28">SUM(D193:D222)</f>
        <v>255</v>
      </c>
      <c r="E223" s="497">
        <f t="shared" ref="E223:K223" si="29">SUM(E193:E222)</f>
        <v>0</v>
      </c>
      <c r="F223" s="497">
        <f t="shared" si="29"/>
        <v>0</v>
      </c>
      <c r="G223" s="497">
        <f t="shared" si="29"/>
        <v>1150.3000000000002</v>
      </c>
      <c r="H223" s="497">
        <f t="shared" si="29"/>
        <v>724.32</v>
      </c>
      <c r="I223" s="497">
        <f t="shared" si="29"/>
        <v>216.24999999999997</v>
      </c>
      <c r="J223" s="497">
        <f t="shared" si="29"/>
        <v>613.19000000000005</v>
      </c>
      <c r="K223" s="497">
        <f t="shared" si="29"/>
        <v>2959.0599999999995</v>
      </c>
      <c r="L223" s="496"/>
      <c r="M223" s="498"/>
      <c r="N223" s="498"/>
      <c r="O223" s="499"/>
      <c r="P223" s="496"/>
      <c r="Q223" s="496"/>
      <c r="R223" s="500"/>
      <c r="S223" s="412"/>
      <c r="T223" s="412"/>
      <c r="U223" s="501"/>
      <c r="V223" s="406">
        <f>SUM(V193:V222)</f>
        <v>1105.5600000000002</v>
      </c>
      <c r="W223" s="406">
        <f>SUM(W193:W222)</f>
        <v>0</v>
      </c>
    </row>
    <row r="224" spans="1:23" ht="15" customHeight="1">
      <c r="A224" s="317" t="s">
        <v>245</v>
      </c>
      <c r="B224" s="502" t="s">
        <v>898</v>
      </c>
      <c r="C224" s="317" t="s">
        <v>899</v>
      </c>
      <c r="D224" s="503"/>
      <c r="E224" s="503"/>
      <c r="F224" s="503">
        <v>40</v>
      </c>
      <c r="G224" s="503"/>
      <c r="H224" s="504"/>
      <c r="I224" s="503"/>
      <c r="J224" s="503"/>
      <c r="K224" s="505">
        <v>40</v>
      </c>
      <c r="L224" s="372">
        <v>1</v>
      </c>
      <c r="M224" s="306" t="s">
        <v>79</v>
      </c>
      <c r="N224" s="322" t="s">
        <v>83</v>
      </c>
      <c r="O224" s="333" t="s">
        <v>88</v>
      </c>
      <c r="P224" s="506" t="s">
        <v>781</v>
      </c>
      <c r="Q224" s="507" t="s">
        <v>246</v>
      </c>
      <c r="R224" s="372" t="s">
        <v>101</v>
      </c>
      <c r="S224" s="508" t="s">
        <v>782</v>
      </c>
      <c r="T224" s="509" t="s">
        <v>783</v>
      </c>
      <c r="U224" s="508" t="s">
        <v>784</v>
      </c>
      <c r="V224" s="510">
        <v>0.8</v>
      </c>
      <c r="W224" s="54"/>
    </row>
    <row r="225" spans="1:23" ht="15" customHeight="1">
      <c r="A225" s="511"/>
      <c r="B225" s="512"/>
      <c r="C225" s="477" t="s">
        <v>785</v>
      </c>
      <c r="D225" s="497"/>
      <c r="E225" s="497"/>
      <c r="F225" s="497"/>
      <c r="G225" s="497"/>
      <c r="H225" s="497">
        <v>40</v>
      </c>
      <c r="I225" s="497"/>
      <c r="J225" s="497"/>
      <c r="K225" s="497">
        <v>40</v>
      </c>
      <c r="L225" s="512"/>
      <c r="M225" s="513"/>
      <c r="N225" s="513"/>
      <c r="O225" s="514"/>
      <c r="P225" s="512"/>
      <c r="Q225" s="512"/>
      <c r="R225" s="515"/>
      <c r="S225" s="471"/>
      <c r="T225" s="471"/>
      <c r="U225" s="516"/>
      <c r="V225" s="517">
        <f>V224</f>
        <v>0.8</v>
      </c>
      <c r="W225" s="517">
        <f>W224</f>
        <v>0</v>
      </c>
    </row>
    <row r="226" spans="1:23" ht="15" customHeight="1">
      <c r="A226" s="518" t="s">
        <v>900</v>
      </c>
      <c r="B226" s="519" t="s">
        <v>901</v>
      </c>
      <c r="C226" s="518" t="s">
        <v>786</v>
      </c>
      <c r="D226" s="520"/>
      <c r="E226" s="520"/>
      <c r="F226" s="520"/>
      <c r="G226" s="520"/>
      <c r="H226" s="520"/>
      <c r="I226" s="520"/>
      <c r="J226" s="520"/>
      <c r="K226" s="521"/>
      <c r="L226" s="519">
        <v>2</v>
      </c>
      <c r="M226" s="519" t="s">
        <v>890</v>
      </c>
      <c r="N226" s="522"/>
      <c r="O226" s="523"/>
      <c r="P226" s="524" t="s">
        <v>902</v>
      </c>
      <c r="Q226" s="519" t="s">
        <v>903</v>
      </c>
      <c r="R226" s="523"/>
      <c r="S226" s="519"/>
      <c r="T226" s="519"/>
      <c r="U226" s="519"/>
      <c r="V226" s="520">
        <f>940+920</f>
        <v>1860</v>
      </c>
      <c r="W226" s="519"/>
    </row>
    <row r="227" spans="1:23" ht="15" customHeight="1">
      <c r="A227" s="518" t="s">
        <v>900</v>
      </c>
      <c r="B227" s="519" t="s">
        <v>901</v>
      </c>
      <c r="C227" s="518" t="s">
        <v>516</v>
      </c>
      <c r="D227" s="520"/>
      <c r="E227" s="520"/>
      <c r="F227" s="520"/>
      <c r="G227" s="520"/>
      <c r="H227" s="520"/>
      <c r="I227" s="520"/>
      <c r="J227" s="520"/>
      <c r="K227" s="521"/>
      <c r="L227" s="519">
        <v>2</v>
      </c>
      <c r="M227" s="519" t="s">
        <v>890</v>
      </c>
      <c r="N227" s="522"/>
      <c r="O227" s="523"/>
      <c r="P227" s="524" t="s">
        <v>904</v>
      </c>
      <c r="Q227" s="519" t="s">
        <v>903</v>
      </c>
      <c r="R227" s="523"/>
      <c r="S227" s="519"/>
      <c r="T227" s="519"/>
      <c r="U227" s="519"/>
      <c r="V227" s="520">
        <v>900</v>
      </c>
      <c r="W227" s="519"/>
    </row>
    <row r="228" spans="1:23" ht="15" customHeight="1">
      <c r="A228" s="511"/>
      <c r="B228" s="512"/>
      <c r="C228" s="477"/>
      <c r="D228" s="497"/>
      <c r="E228" s="497"/>
      <c r="F228" s="497"/>
      <c r="G228" s="497"/>
      <c r="H228" s="497"/>
      <c r="I228" s="497"/>
      <c r="J228" s="497"/>
      <c r="K228" s="525"/>
      <c r="L228" s="512"/>
      <c r="M228" s="513"/>
      <c r="N228" s="526"/>
      <c r="O228" s="514"/>
      <c r="P228" s="527"/>
      <c r="Q228" s="512"/>
      <c r="R228" s="515"/>
      <c r="S228" s="471"/>
      <c r="T228" s="471"/>
      <c r="U228" s="516"/>
      <c r="V228" s="517">
        <f>V226+V227</f>
        <v>2760</v>
      </c>
      <c r="W228" s="517">
        <f>W226+W227</f>
        <v>0</v>
      </c>
    </row>
    <row r="229" spans="1:23" ht="15" customHeight="1">
      <c r="A229" s="318" t="s">
        <v>104</v>
      </c>
      <c r="B229" s="318" t="s">
        <v>787</v>
      </c>
      <c r="C229" s="310" t="s">
        <v>788</v>
      </c>
      <c r="D229" s="349"/>
      <c r="E229" s="306"/>
      <c r="F229" s="306"/>
      <c r="G229" s="306"/>
      <c r="H229" s="306"/>
      <c r="I229" s="306">
        <v>64.16</v>
      </c>
      <c r="J229" s="306">
        <v>77.599999999999994</v>
      </c>
      <c r="K229" s="368">
        <f t="shared" ref="K229" si="30">J229+I229+H229+G229+F229+E229+D229</f>
        <v>141.76</v>
      </c>
      <c r="L229" s="332">
        <v>1</v>
      </c>
      <c r="M229" s="306" t="s">
        <v>789</v>
      </c>
      <c r="N229" s="322" t="s">
        <v>83</v>
      </c>
      <c r="O229" s="333" t="s">
        <v>88</v>
      </c>
      <c r="P229" s="324" t="s">
        <v>790</v>
      </c>
      <c r="Q229" s="321" t="s">
        <v>725</v>
      </c>
      <c r="R229" s="306" t="s">
        <v>103</v>
      </c>
      <c r="S229" s="5" t="s">
        <v>791</v>
      </c>
      <c r="T229" s="528"/>
      <c r="U229" s="323" t="s">
        <v>792</v>
      </c>
      <c r="V229" s="8"/>
      <c r="W229" s="54"/>
    </row>
    <row r="230" spans="1:23" ht="15" customHeight="1">
      <c r="A230" s="318" t="s">
        <v>104</v>
      </c>
      <c r="B230" s="414" t="s">
        <v>8</v>
      </c>
      <c r="C230" s="310" t="s">
        <v>793</v>
      </c>
      <c r="D230" s="415"/>
      <c r="E230" s="415"/>
      <c r="F230" s="415"/>
      <c r="G230" s="425">
        <v>480.46</v>
      </c>
      <c r="H230" s="468"/>
      <c r="I230" s="425"/>
      <c r="J230" s="425">
        <v>95.49</v>
      </c>
      <c r="K230" s="8">
        <f>J230+I230+H230+G230+F230+E230+D230</f>
        <v>575.94999999999993</v>
      </c>
      <c r="L230" s="332">
        <v>1</v>
      </c>
      <c r="M230" s="306" t="s">
        <v>576</v>
      </c>
      <c r="N230" s="323" t="s">
        <v>83</v>
      </c>
      <c r="O230" s="323" t="s">
        <v>88</v>
      </c>
      <c r="P230" s="323" t="s">
        <v>254</v>
      </c>
      <c r="Q230" s="390" t="s">
        <v>481</v>
      </c>
      <c r="R230" s="62" t="s">
        <v>482</v>
      </c>
      <c r="S230" s="312" t="s">
        <v>794</v>
      </c>
      <c r="T230" s="529" t="s">
        <v>795</v>
      </c>
      <c r="U230" s="312" t="s">
        <v>220</v>
      </c>
      <c r="V230" s="401"/>
      <c r="W230" s="54"/>
    </row>
    <row r="231" spans="1:23" ht="15" customHeight="1">
      <c r="A231" s="318" t="s">
        <v>104</v>
      </c>
      <c r="B231" s="318" t="s">
        <v>796</v>
      </c>
      <c r="C231" s="439" t="s">
        <v>797</v>
      </c>
      <c r="D231" s="306"/>
      <c r="E231" s="306"/>
      <c r="F231" s="306"/>
      <c r="G231" s="306"/>
      <c r="H231" s="306"/>
      <c r="I231" s="306"/>
      <c r="J231" s="306">
        <v>26.49</v>
      </c>
      <c r="K231" s="306">
        <f>D231+E231+F231+G231+H231+I231+J231</f>
        <v>26.49</v>
      </c>
      <c r="L231" s="332">
        <v>1</v>
      </c>
      <c r="M231" s="306" t="s">
        <v>798</v>
      </c>
      <c r="N231" s="322" t="s">
        <v>83</v>
      </c>
      <c r="O231" s="333" t="s">
        <v>88</v>
      </c>
      <c r="P231" s="324" t="s">
        <v>799</v>
      </c>
      <c r="Q231" s="321" t="s">
        <v>725</v>
      </c>
      <c r="R231" s="306" t="s">
        <v>103</v>
      </c>
      <c r="S231" s="530" t="s">
        <v>800</v>
      </c>
      <c r="T231" s="531" t="s">
        <v>801</v>
      </c>
      <c r="U231" s="323" t="s">
        <v>792</v>
      </c>
      <c r="V231" s="8">
        <v>10</v>
      </c>
      <c r="W231" s="54"/>
    </row>
    <row r="232" spans="1:23" ht="15" customHeight="1">
      <c r="A232" s="318" t="s">
        <v>104</v>
      </c>
      <c r="B232" s="331" t="s">
        <v>802</v>
      </c>
      <c r="C232" s="532" t="s">
        <v>50</v>
      </c>
      <c r="D232" s="306"/>
      <c r="E232" s="306"/>
      <c r="F232" s="360"/>
      <c r="G232" s="306">
        <v>74.17</v>
      </c>
      <c r="H232" s="533"/>
      <c r="I232" s="306"/>
      <c r="J232" s="306"/>
      <c r="K232" s="8">
        <f t="shared" ref="K232" si="31">J232+I232+H232+G232+F232+E232+D232</f>
        <v>74.17</v>
      </c>
      <c r="L232" s="332">
        <v>1</v>
      </c>
      <c r="M232" s="306" t="s">
        <v>803</v>
      </c>
      <c r="N232" s="322" t="s">
        <v>83</v>
      </c>
      <c r="O232" s="333" t="s">
        <v>88</v>
      </c>
      <c r="P232" s="426" t="s">
        <v>804</v>
      </c>
      <c r="Q232" s="321" t="s">
        <v>725</v>
      </c>
      <c r="R232" s="306" t="s">
        <v>103</v>
      </c>
      <c r="S232" s="5" t="s">
        <v>805</v>
      </c>
      <c r="T232" s="534"/>
      <c r="U232" s="429" t="s">
        <v>40</v>
      </c>
      <c r="V232" s="8">
        <v>20</v>
      </c>
      <c r="W232" s="54"/>
    </row>
    <row r="233" spans="1:23" ht="15" customHeight="1">
      <c r="A233" s="318" t="s">
        <v>104</v>
      </c>
      <c r="B233" s="390" t="s">
        <v>806</v>
      </c>
      <c r="C233" s="345" t="s">
        <v>807</v>
      </c>
      <c r="D233" s="323"/>
      <c r="E233" s="323"/>
      <c r="F233" s="323"/>
      <c r="G233" s="323"/>
      <c r="H233" s="323"/>
      <c r="I233" s="482"/>
      <c r="J233" s="425">
        <v>56.83</v>
      </c>
      <c r="K233" s="368">
        <f>J233+I233+H233+G233+F233+E233+D233</f>
        <v>56.83</v>
      </c>
      <c r="L233" s="323">
        <v>1</v>
      </c>
      <c r="M233" s="321" t="s">
        <v>808</v>
      </c>
      <c r="N233" s="322" t="s">
        <v>83</v>
      </c>
      <c r="O233" s="333" t="s">
        <v>88</v>
      </c>
      <c r="P233" s="9" t="s">
        <v>809</v>
      </c>
      <c r="Q233" s="321" t="s">
        <v>725</v>
      </c>
      <c r="R233" s="306" t="s">
        <v>103</v>
      </c>
      <c r="S233" s="535" t="s">
        <v>810</v>
      </c>
      <c r="T233" s="536" t="s">
        <v>811</v>
      </c>
      <c r="U233" s="382"/>
      <c r="V233" s="8">
        <v>54.53</v>
      </c>
      <c r="W233" s="54"/>
    </row>
    <row r="234" spans="1:23" ht="15" customHeight="1">
      <c r="A234" s="318" t="s">
        <v>104</v>
      </c>
      <c r="B234" s="390" t="s">
        <v>812</v>
      </c>
      <c r="C234" s="417" t="s">
        <v>813</v>
      </c>
      <c r="D234" s="418"/>
      <c r="E234" s="419"/>
      <c r="F234" s="419"/>
      <c r="G234" s="420"/>
      <c r="H234" s="306"/>
      <c r="I234" s="306"/>
      <c r="J234" s="418">
        <v>36.200000000000003</v>
      </c>
      <c r="K234" s="8">
        <f>J234+I234+H234+G234+F234+E234+D234</f>
        <v>36.200000000000003</v>
      </c>
      <c r="L234" s="332">
        <v>1</v>
      </c>
      <c r="M234" s="306" t="s">
        <v>814</v>
      </c>
      <c r="N234" s="306" t="s">
        <v>83</v>
      </c>
      <c r="O234" s="333" t="s">
        <v>88</v>
      </c>
      <c r="P234" s="429" t="s">
        <v>815</v>
      </c>
      <c r="Q234" s="321" t="s">
        <v>725</v>
      </c>
      <c r="R234" s="306" t="s">
        <v>103</v>
      </c>
      <c r="S234" s="317" t="s">
        <v>816</v>
      </c>
      <c r="T234" s="323"/>
      <c r="U234" s="342"/>
      <c r="V234" s="8">
        <v>48.91</v>
      </c>
      <c r="W234" s="54"/>
    </row>
    <row r="235" spans="1:23" ht="15" customHeight="1">
      <c r="A235" s="318" t="s">
        <v>104</v>
      </c>
      <c r="B235" s="417" t="s">
        <v>817</v>
      </c>
      <c r="C235" s="417" t="s">
        <v>818</v>
      </c>
      <c r="D235" s="424"/>
      <c r="E235" s="343"/>
      <c r="F235" s="424"/>
      <c r="G235" s="425"/>
      <c r="H235" s="424">
        <v>111.74</v>
      </c>
      <c r="I235" s="425"/>
      <c r="J235" s="425"/>
      <c r="K235" s="8">
        <f>J235+I235+H235+G235+F235+E235+D235</f>
        <v>111.74</v>
      </c>
      <c r="L235" s="332">
        <v>1</v>
      </c>
      <c r="M235" s="306" t="s">
        <v>576</v>
      </c>
      <c r="N235" s="306" t="s">
        <v>83</v>
      </c>
      <c r="O235" s="333" t="s">
        <v>88</v>
      </c>
      <c r="P235" s="429" t="s">
        <v>819</v>
      </c>
      <c r="Q235" s="321" t="s">
        <v>725</v>
      </c>
      <c r="R235" s="306" t="s">
        <v>103</v>
      </c>
      <c r="S235" s="312" t="s">
        <v>820</v>
      </c>
      <c r="T235" s="312"/>
      <c r="U235" s="312" t="s">
        <v>530</v>
      </c>
      <c r="V235" s="8">
        <v>0.35</v>
      </c>
      <c r="W235" s="334"/>
    </row>
    <row r="236" spans="1:23" ht="15" customHeight="1">
      <c r="A236" s="403"/>
      <c r="B236" s="404"/>
      <c r="C236" s="537" t="s">
        <v>821</v>
      </c>
      <c r="D236" s="406">
        <f t="shared" ref="D236" si="32">SUM(D229:D232)</f>
        <v>0</v>
      </c>
      <c r="E236" s="406">
        <f>SUM(E229:E232)</f>
        <v>0</v>
      </c>
      <c r="F236" s="406">
        <f>SUM(F229:F232)</f>
        <v>0</v>
      </c>
      <c r="G236" s="406">
        <f t="shared" ref="G236" si="33">SUM(G229:G234)</f>
        <v>554.63</v>
      </c>
      <c r="H236" s="406">
        <f>SUM(H229:H235)</f>
        <v>111.74</v>
      </c>
      <c r="I236" s="406">
        <f>SUM(I229:I234)</f>
        <v>64.16</v>
      </c>
      <c r="J236" s="406">
        <f>SUM(J229:J234)</f>
        <v>292.60999999999996</v>
      </c>
      <c r="K236" s="406">
        <f>SUM(K229:K235)</f>
        <v>1023.14</v>
      </c>
      <c r="L236" s="407"/>
      <c r="M236" s="408"/>
      <c r="N236" s="408"/>
      <c r="O236" s="457"/>
      <c r="P236" s="538"/>
      <c r="Q236" s="410"/>
      <c r="R236" s="408"/>
      <c r="S236" s="539"/>
      <c r="T236" s="539"/>
      <c r="U236" s="472"/>
      <c r="V236" s="406">
        <f>SUM(V229:V235)</f>
        <v>133.79</v>
      </c>
      <c r="W236" s="406">
        <f>SUM(W229:W235)</f>
        <v>0</v>
      </c>
    </row>
    <row r="237" spans="1:23" ht="15" customHeight="1">
      <c r="A237" s="318" t="s">
        <v>822</v>
      </c>
      <c r="B237" s="318" t="s">
        <v>823</v>
      </c>
      <c r="C237" s="391" t="s">
        <v>824</v>
      </c>
      <c r="D237" s="361"/>
      <c r="E237" s="306"/>
      <c r="F237" s="306"/>
      <c r="G237" s="306"/>
      <c r="H237" s="306"/>
      <c r="I237" s="306"/>
      <c r="J237" s="306">
        <v>42.39</v>
      </c>
      <c r="K237" s="306">
        <v>42.39</v>
      </c>
      <c r="L237" s="332">
        <v>1</v>
      </c>
      <c r="M237" s="306" t="s">
        <v>825</v>
      </c>
      <c r="N237" s="322" t="s">
        <v>83</v>
      </c>
      <c r="O237" s="333" t="s">
        <v>88</v>
      </c>
      <c r="P237" s="324" t="s">
        <v>826</v>
      </c>
      <c r="Q237" s="306" t="s">
        <v>827</v>
      </c>
      <c r="R237" s="418" t="s">
        <v>100</v>
      </c>
      <c r="S237" s="669" t="s">
        <v>828</v>
      </c>
      <c r="T237" s="670"/>
      <c r="U237" s="540"/>
      <c r="V237" s="8"/>
      <c r="W237" s="54"/>
    </row>
    <row r="238" spans="1:23" ht="15" customHeight="1">
      <c r="A238" s="318" t="s">
        <v>822</v>
      </c>
      <c r="B238" s="318" t="s">
        <v>829</v>
      </c>
      <c r="C238" s="310" t="s">
        <v>62</v>
      </c>
      <c r="D238" s="361"/>
      <c r="E238" s="306"/>
      <c r="F238" s="306"/>
      <c r="G238" s="363"/>
      <c r="H238" s="363"/>
      <c r="I238" s="363">
        <v>82.65</v>
      </c>
      <c r="J238" s="363"/>
      <c r="K238" s="368">
        <f t="shared" ref="K238" si="34">J238+I238+H238+G238+F238+E238+D238</f>
        <v>82.65</v>
      </c>
      <c r="L238" s="332">
        <v>1</v>
      </c>
      <c r="M238" s="321" t="s">
        <v>830</v>
      </c>
      <c r="N238" s="322" t="s">
        <v>83</v>
      </c>
      <c r="O238" s="333" t="s">
        <v>88</v>
      </c>
      <c r="P238" s="324" t="s">
        <v>831</v>
      </c>
      <c r="Q238" s="306" t="s">
        <v>827</v>
      </c>
      <c r="R238" s="418" t="s">
        <v>100</v>
      </c>
      <c r="S238" s="541" t="s">
        <v>832</v>
      </c>
      <c r="T238" s="541"/>
      <c r="U238" s="543"/>
      <c r="V238" s="8"/>
      <c r="W238" s="54"/>
    </row>
    <row r="239" spans="1:23" ht="15" customHeight="1">
      <c r="A239" s="318" t="s">
        <v>822</v>
      </c>
      <c r="B239" s="318" t="s">
        <v>829</v>
      </c>
      <c r="C239" s="5" t="s">
        <v>228</v>
      </c>
      <c r="D239" s="349"/>
      <c r="E239" s="306"/>
      <c r="F239" s="306"/>
      <c r="G239" s="363"/>
      <c r="H239" s="363"/>
      <c r="I239" s="363"/>
      <c r="J239" s="363">
        <v>8.98</v>
      </c>
      <c r="K239" s="368">
        <f>J239+I239+H239+G239+F239+E239+D239</f>
        <v>8.98</v>
      </c>
      <c r="L239" s="332">
        <v>1</v>
      </c>
      <c r="M239" s="321" t="s">
        <v>830</v>
      </c>
      <c r="N239" s="322" t="s">
        <v>83</v>
      </c>
      <c r="O239" s="333" t="s">
        <v>88</v>
      </c>
      <c r="P239" s="324" t="s">
        <v>831</v>
      </c>
      <c r="Q239" s="306" t="s">
        <v>827</v>
      </c>
      <c r="R239" s="418" t="s">
        <v>100</v>
      </c>
      <c r="S239" s="541" t="s">
        <v>833</v>
      </c>
      <c r="T239" s="541"/>
      <c r="U239" s="542"/>
      <c r="V239" s="8"/>
      <c r="W239" s="54"/>
    </row>
    <row r="240" spans="1:23" ht="15" customHeight="1">
      <c r="A240" s="318" t="s">
        <v>822</v>
      </c>
      <c r="B240" s="318" t="s">
        <v>834</v>
      </c>
      <c r="C240" s="377" t="s">
        <v>835</v>
      </c>
      <c r="D240" s="323"/>
      <c r="E240" s="323"/>
      <c r="F240" s="323"/>
      <c r="G240" s="323"/>
      <c r="H240" s="323">
        <v>135.62</v>
      </c>
      <c r="I240" s="323"/>
      <c r="J240" s="323">
        <v>45.21</v>
      </c>
      <c r="K240" s="368">
        <f>J240+I240+H240+G240+F240+E240+D240</f>
        <v>180.83</v>
      </c>
      <c r="L240" s="332">
        <v>1</v>
      </c>
      <c r="M240" s="321" t="s">
        <v>360</v>
      </c>
      <c r="N240" s="322" t="s">
        <v>83</v>
      </c>
      <c r="O240" s="333" t="s">
        <v>88</v>
      </c>
      <c r="P240" s="324" t="s">
        <v>831</v>
      </c>
      <c r="Q240" s="306" t="s">
        <v>827</v>
      </c>
      <c r="R240" s="306" t="s">
        <v>100</v>
      </c>
      <c r="S240" s="667" t="s">
        <v>836</v>
      </c>
      <c r="T240" s="667"/>
      <c r="U240" s="668" t="s">
        <v>837</v>
      </c>
      <c r="V240" s="8"/>
      <c r="W240" s="54"/>
    </row>
    <row r="241" spans="1:23" ht="15" customHeight="1">
      <c r="A241" s="318" t="s">
        <v>822</v>
      </c>
      <c r="B241" s="318" t="s">
        <v>834</v>
      </c>
      <c r="C241" s="377" t="s">
        <v>838</v>
      </c>
      <c r="D241" s="323"/>
      <c r="E241" s="323"/>
      <c r="F241" s="323"/>
      <c r="G241" s="323"/>
      <c r="H241" s="323"/>
      <c r="I241" s="323">
        <v>148.12</v>
      </c>
      <c r="J241" s="323"/>
      <c r="K241" s="368">
        <f>J241+I241+H241+G241+F241+E241+D241</f>
        <v>148.12</v>
      </c>
      <c r="L241" s="332">
        <v>1</v>
      </c>
      <c r="M241" s="321" t="s">
        <v>29</v>
      </c>
      <c r="N241" s="322" t="s">
        <v>83</v>
      </c>
      <c r="O241" s="333" t="s">
        <v>88</v>
      </c>
      <c r="P241" s="324" t="s">
        <v>831</v>
      </c>
      <c r="Q241" s="306" t="s">
        <v>827</v>
      </c>
      <c r="R241" s="306" t="s">
        <v>100</v>
      </c>
      <c r="S241" s="667"/>
      <c r="T241" s="667"/>
      <c r="U241" s="668"/>
      <c r="V241" s="8"/>
      <c r="W241" s="54"/>
    </row>
    <row r="242" spans="1:23" ht="15" customHeight="1">
      <c r="A242" s="318" t="s">
        <v>822</v>
      </c>
      <c r="B242" s="318" t="s">
        <v>839</v>
      </c>
      <c r="C242" s="370" t="s">
        <v>840</v>
      </c>
      <c r="D242" s="342"/>
      <c r="E242" s="343"/>
      <c r="F242" s="343"/>
      <c r="G242" s="306"/>
      <c r="H242" s="306">
        <v>140.58000000000001</v>
      </c>
      <c r="I242" s="342"/>
      <c r="J242" s="306">
        <v>84.09</v>
      </c>
      <c r="K242" s="368">
        <f>J242+I242+H242+G242+F242+E242+D242</f>
        <v>224.67000000000002</v>
      </c>
      <c r="L242" s="320">
        <v>1</v>
      </c>
      <c r="M242" s="321" t="s">
        <v>798</v>
      </c>
      <c r="N242" s="322" t="s">
        <v>83</v>
      </c>
      <c r="O242" s="333" t="s">
        <v>88</v>
      </c>
      <c r="P242" s="9" t="s">
        <v>841</v>
      </c>
      <c r="Q242" s="306" t="s">
        <v>827</v>
      </c>
      <c r="R242" s="418" t="s">
        <v>100</v>
      </c>
      <c r="S242" s="672" t="s">
        <v>905</v>
      </c>
      <c r="T242" s="673"/>
      <c r="U242" s="544" t="s">
        <v>842</v>
      </c>
      <c r="V242" s="8"/>
      <c r="W242" s="54"/>
    </row>
    <row r="243" spans="1:23" ht="15" customHeight="1">
      <c r="A243" s="318" t="s">
        <v>822</v>
      </c>
      <c r="B243" s="331" t="s">
        <v>843</v>
      </c>
      <c r="C243" s="545" t="s">
        <v>844</v>
      </c>
      <c r="D243" s="348"/>
      <c r="E243" s="306"/>
      <c r="F243" s="306"/>
      <c r="G243" s="306"/>
      <c r="H243" s="306"/>
      <c r="I243" s="306"/>
      <c r="J243" s="306">
        <v>3.16</v>
      </c>
      <c r="K243" s="306">
        <f>J243+I243+H243+G243+F243+E243+D243</f>
        <v>3.16</v>
      </c>
      <c r="L243" s="332">
        <v>1</v>
      </c>
      <c r="M243" s="321" t="s">
        <v>280</v>
      </c>
      <c r="N243" s="306" t="s">
        <v>83</v>
      </c>
      <c r="O243" s="333" t="s">
        <v>88</v>
      </c>
      <c r="P243" s="324" t="s">
        <v>845</v>
      </c>
      <c r="Q243" s="306" t="s">
        <v>827</v>
      </c>
      <c r="R243" s="418" t="s">
        <v>100</v>
      </c>
      <c r="S243" s="674" t="s">
        <v>846</v>
      </c>
      <c r="T243" s="675"/>
      <c r="U243" s="546"/>
      <c r="V243" s="8"/>
      <c r="W243" s="54"/>
    </row>
    <row r="244" spans="1:23" ht="15" customHeight="1">
      <c r="A244" s="547"/>
      <c r="B244" s="478"/>
      <c r="C244" s="537" t="s">
        <v>847</v>
      </c>
      <c r="D244" s="406">
        <f t="shared" ref="D244" si="35">SUM(D237:D242)</f>
        <v>0</v>
      </c>
      <c r="E244" s="406">
        <f>SUM(E237:E242)</f>
        <v>0</v>
      </c>
      <c r="F244" s="406">
        <f>SUM(F237:F242)</f>
        <v>0</v>
      </c>
      <c r="G244" s="406">
        <f>SUM(G237:G242)</f>
        <v>0</v>
      </c>
      <c r="H244" s="406">
        <f t="shared" ref="H244" si="36">SUM(H237:H243)</f>
        <v>276.20000000000005</v>
      </c>
      <c r="I244" s="406">
        <f>SUM(I237:I243)</f>
        <v>230.77</v>
      </c>
      <c r="J244" s="406">
        <f>SUM(J237:J243)</f>
        <v>183.83</v>
      </c>
      <c r="K244" s="406">
        <f>SUM(K237:K243)</f>
        <v>690.80000000000007</v>
      </c>
      <c r="L244" s="548"/>
      <c r="M244" s="549"/>
      <c r="N244" s="549"/>
      <c r="O244" s="550"/>
      <c r="P244" s="549"/>
      <c r="Q244" s="549"/>
      <c r="R244" s="549"/>
      <c r="S244" s="551"/>
      <c r="T244" s="552"/>
      <c r="U244" s="553"/>
      <c r="V244" s="406">
        <f>SUM(V237:V243)</f>
        <v>0</v>
      </c>
      <c r="W244" s="406">
        <f>SUM(W237:W243)</f>
        <v>0</v>
      </c>
    </row>
    <row r="245" spans="1:23" ht="15" customHeight="1">
      <c r="A245" s="554"/>
      <c r="B245" s="555"/>
      <c r="C245" s="556" t="s">
        <v>80</v>
      </c>
      <c r="D245" s="557">
        <f>D244+D236+D223+D192+D188+D178+D176+D132+D94</f>
        <v>754.81</v>
      </c>
      <c r="E245" s="557">
        <f t="shared" ref="E245:K245" si="37">E244+E236+E223+E192+E188+E178+E176+E132+E94+E225</f>
        <v>0</v>
      </c>
      <c r="F245" s="557">
        <f t="shared" si="37"/>
        <v>7802</v>
      </c>
      <c r="G245" s="557">
        <f t="shared" si="37"/>
        <v>11299.84</v>
      </c>
      <c r="H245" s="557">
        <f t="shared" si="37"/>
        <v>3064.8</v>
      </c>
      <c r="I245" s="557">
        <f t="shared" si="37"/>
        <v>1828.19</v>
      </c>
      <c r="J245" s="557">
        <f t="shared" si="37"/>
        <v>2044.1999999999998</v>
      </c>
      <c r="K245" s="557">
        <f t="shared" si="37"/>
        <v>26793.840000000004</v>
      </c>
      <c r="L245" s="558"/>
      <c r="M245" s="558"/>
      <c r="N245" s="558"/>
      <c r="O245" s="559"/>
      <c r="P245" s="558"/>
      <c r="Q245" s="558"/>
      <c r="R245" s="558"/>
      <c r="S245" s="560"/>
      <c r="T245" s="561"/>
      <c r="U245" s="562"/>
      <c r="V245" s="557">
        <f>V244+V236+V225+V223+V192+V188+V178+V176+V132+V94+V228</f>
        <v>14489.09</v>
      </c>
      <c r="W245" s="557">
        <f>W244+W236+W225+W223+W192+W188+W178+W176+W132+W94+W228</f>
        <v>3500</v>
      </c>
    </row>
  </sheetData>
  <mergeCells count="23">
    <mergeCell ref="P2:P3"/>
    <mergeCell ref="Q2:Q3"/>
    <mergeCell ref="A1:Q1"/>
    <mergeCell ref="S242:T242"/>
    <mergeCell ref="S243:T243"/>
    <mergeCell ref="U2:U3"/>
    <mergeCell ref="V2:V3"/>
    <mergeCell ref="R2:R3"/>
    <mergeCell ref="S2:S3"/>
    <mergeCell ref="T2:T3"/>
    <mergeCell ref="L2:L3"/>
    <mergeCell ref="A2:A3"/>
    <mergeCell ref="B2:B3"/>
    <mergeCell ref="C2:C3"/>
    <mergeCell ref="D2:K2"/>
    <mergeCell ref="M2:M3"/>
    <mergeCell ref="N2:N3"/>
    <mergeCell ref="O2:O3"/>
    <mergeCell ref="W2:W3"/>
    <mergeCell ref="S240:S241"/>
    <mergeCell ref="T240:T241"/>
    <mergeCell ref="U240:U241"/>
    <mergeCell ref="S237:T237"/>
  </mergeCells>
  <phoneticPr fontId="1" type="noConversion"/>
  <dataValidations count="1">
    <dataValidation type="list" allowBlank="1" showInputMessage="1" showErrorMessage="1" sqref="O188">
      <formula1>"确保可回款,争取可回款"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1、应收规划与回款计划表</vt:lpstr>
      <vt:lpstr>7、回款计划与保理合同汇总</vt:lpstr>
      <vt:lpstr>8、逾期款结构汇总表</vt:lpstr>
      <vt:lpstr>9、上月计划完成回款明细表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2014-11-11T02:51:02Z</dcterms:modified>
</cp:coreProperties>
</file>