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. " sheetId="1" r:id="rId1"/>
  </sheets>
  <definedNames>
    <definedName name="BoardQty">'cost. '!$G$1</definedName>
    <definedName name="digikey_part_data">'cost. '!$H$5:$L$15</definedName>
    <definedName name="farnell_part_data">'cost. '!$M$5:$Q$15</definedName>
    <definedName name="global_part_data">'cost. '!$A$5:$G$15</definedName>
    <definedName name="mouser_part_data">'cost. '!$R$5:$V$15</definedName>
    <definedName name="PURCHASE_DESCRIPTION">'cost. '!$G$18</definedName>
    <definedName name="rs_part_data">'cost. '!$W$5:$AA$15</definedName>
    <definedName name="TotalCost">'cost. '!$G$3</definedName>
    <definedName name="USD_GBP">'cost. '!$C$18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$8.99      $8.99
    25   $8.54    $213.51
    50   $8.09    $404.55
   100   $7.73    $773.15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£7.00      £7.00
     5   £6.66     £33.30
    10   £6.25     £62.50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$8.99      $8.99
    10   $8.63     $86.30
    50   $7.99    $399.50
   100   $7.76    $776.00
   250   $7.48  $1,870.00
   500   $7.19  $3,595.00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$4.79      $4.79
    25   $4.55    $113.76
    50   $4.31    $215.55
   100   $4.12    $411.94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£3.16      £3.16
     5   £3.00     £15.00
    10   £2.82     £28.20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$4.79      $4.79
    10   $4.61     $46.10
    50   $4.27    $213.50
   100   $4.14    $414.00
   250   $3.99    $997.50
   500   $3.84  $1,920.00</t>
        </r>
      </text>
    </comment>
    <comment ref="H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$0.40      $4.02
    50   $0.30     $15.21
   100   $0.26     $26.50
   500   $0.20     $98.14
  1000   $0.17    $166.83
  2500   $0.16    $392.55
  5000   $0.15    $736.00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1300   £0.13    £163.80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$3.69
    50   $0.29     $14.55
   100   $0.25     $25.10
   250   $0.23     $56.50
   500   $0.19     $97.00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$1.55
    50   $0.10      $5.18
   100   $0.09      $8.81
   500   $0.06     $31.08
  1000   $0.05     $54.39
  2000   $0.05    $103.60
  4000   $0.05    $191.68
 10000   $0.05    $453.30
 14000   $0.04    $601.86
 50000   $0.04  $1,942.50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50   £0.09      £4.52
   250   £0.08     £18.80
   500   £0.06     £30.05
  1000   £0.05     £53.60
  2000   £0.05     £94.40
 10000   £0.04    £367.00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$0.20      $2.04
   100   $0.12     $11.80
   500   $0.08     $42.50
  1000   $0.07     $67.00
  2000   $0.06    $120.00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£0.18      £4.38
   625   £0.09     £56.25
  2500   £0.06    £160.00
 12500   £0.04    £500.00
 25000   £0.04  £1,000.00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$0.45      $4.48
   100   $0.31     $31.38
   500   $0.27    $134.51
  1000   $0.22    $224.18
  5000   $0.19    $960.75
 10000   $0.18  $1,793.40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£0.36      £0.36
    10   £0.29      £2.91
    50   £0.25     £12.50
   100   £0.21     £20.80
   500   £0.19     £95.50
  1000   £0.17    £174.00
  9600   £0.12  £1,180.80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$3.75
   100   $0.27     $26.90
  1000   $0.22    $224.00
  2500   $0.19    $480.00
 10000   $0.18  $1,770.00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£2.94
   200   £0.26     £51.00
   750   £0.22    £168.75
  3000   £0.17    £501.00
  6000   £0.16    £942.00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$0.23      $2.33
    25   $0.20      $4.96
    50   $0.17      $8.68
   100   $0.16     $16.12
   250   $0.14     $35.65
   500   $0.14     $68.20
  1000   $0.11    $111.60
  2500   $0.10    $255.75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£0.19      £0.19
    10   £0.14      £1.35
    50   £0.12      £6.15
   100   £0.11     £11.00
   500   £0.10     £52.50
  1000   £0.09     £86.20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$1.73
   100   $0.14     $14.20
   500   $0.14     $68.00
  1000   $0.11    $111.00
  2500   $0.10    $255.00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£1.34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25   $0.05      $1.20
    50   $0.04      $2.06
   100   $0.04      $3.97
   250   $0.03      $8.56
   500   $0.03     $16.44
  1000   $0.03     $28.77
  2500   $0.03     $65.08
  7000   $0.02    $172.62
 14000   $0.02    $306.88
 35000   $0.02    $695.45
 49000   $0.02    $906.50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£0.03      £0.03
  7000   £0.03    £186.90
 35000   £0.02    £773.50
 70000   £0.02  £1,386.00
140000   £0.02  £2,562.00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7000   $0.03    $196.00
 14000   $0.02    $350.00
 21000   $0.02    $462.00
 28000   $0.02    $588.00
 49000   $0.02  $1,029.00
 98000   $0.02  $2,058.00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£3.50
  1000   £0.03     £28.00
  3000   £0.02     £72.00
  7500   £0.02    £135.00
 15000   £0.02    £270.00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$6.42
    25   $0.60     $14.91
    50   $0.50     $25.23
   100   $0.46     $45.88
   250   $0.43    $107.81
   500   $0.39    $192.68
  1000   $0.31    $311.95
  3000   $0.29    $880.80
  6000   $0.28  $1,706.58
 15000   $0.28  $4,128.75
 30000   $0.27  $7,982.40
 75000   $0.26 $19,267.50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£0.70      £3.47
    10   £0.70      £6.95
    50   £0.36     £18.15
   250   £0.27     £67.50
   500   £0.25    £124.50
  1500   £0.22    £337.50
  3000   £0.22    £657.00
 15000   £0.21  £3,180.00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$0.64      $6.35
   100   $0.53     $52.70
   500   $0.44    $221.00
  1000   $0.36    $358.00
  3000   $0.28    $840.00</t>
        </r>
      </text>
    </comment>
    <comment ref="F1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<sst xmlns="http://schemas.openxmlformats.org/spreadsheetml/2006/main" count="144" uniqueCount="91">
  <si>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</si>
  <si>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</si>
  <si>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</si>
  <si>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</si>
  <si>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</si>
  <si>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</si>
  <si>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</si>
  <si>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</si>
  <si>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BP1,BP3</t>
  </si>
  <si>
    <t>Conn_01x01</t>
  </si>
  <si>
    <t>TestPoint_Keystone_5019_Minature</t>
  </si>
  <si>
    <t>4243-0</t>
  </si>
  <si>
    <t>BP5</t>
  </si>
  <si>
    <t>3760-5</t>
  </si>
  <si>
    <t>C603,C604</t>
  </si>
  <si>
    <t>4.7n</t>
  </si>
  <si>
    <t>C_Rect_L13.0mm_W5.0mm_P10.00mm_FKS3_FKP3_MKS4</t>
  </si>
  <si>
    <t>R413F147000M1K</t>
  </si>
  <si>
    <t>C605-C608</t>
  </si>
  <si>
    <t>220p</t>
  </si>
  <si>
    <t>C_Disc_D6.0mm_W4.4mm_P5.00mm</t>
  </si>
  <si>
    <t>F221K25Y5RN6UK5R</t>
  </si>
  <si>
    <t>J1</t>
  </si>
  <si>
    <t>TestPoint_THTPad_D2.0mm_Drill1.0mm</t>
  </si>
  <si>
    <t>433-028</t>
  </si>
  <si>
    <t>J615#1</t>
  </si>
  <si>
    <t>Conn_01x04_Male - p1/3</t>
  </si>
  <si>
    <t>Molex_KK-396_A-41791-0004_1x04_P3.96mm_Vertical</t>
  </si>
  <si>
    <t>26-60-4040</t>
  </si>
  <si>
    <t>J615#2</t>
  </si>
  <si>
    <t>Conn_01x04_Male - p2/3</t>
  </si>
  <si>
    <t>09-50-8041</t>
  </si>
  <si>
    <t>J615#3</t>
  </si>
  <si>
    <t>Conn_01x04_Male - p3/3</t>
  </si>
  <si>
    <t>08-52-0071</t>
  </si>
  <si>
    <t>L601-L606</t>
  </si>
  <si>
    <t>150n</t>
  </si>
  <si>
    <t>L_1008_2520Metric</t>
  </si>
  <si>
    <t>TFM252012ALMAR15MTAA</t>
  </si>
  <si>
    <t>Total Purchase:</t>
  </si>
  <si>
    <t>Purchase description:</t>
  </si>
  <si>
    <t>Used currency rates:</t>
  </si>
  <si>
    <t>USD($)/GBP(£):</t>
  </si>
  <si>
    <t>Prj:</t>
  </si>
  <si>
    <t>HP 6632B Front Panel Binding Posts PCB</t>
  </si>
  <si>
    <t>Co.:</t>
  </si>
  <si>
    <t>Prj date:</t>
  </si>
  <si>
    <t>2020-10-24T00:40:30 CEST</t>
  </si>
  <si>
    <t>Board Qty:</t>
  </si>
  <si>
    <t>Total Cost:</t>
  </si>
  <si>
    <t>Unit Cost:</t>
  </si>
  <si>
    <t>$ date:</t>
  </si>
  <si>
    <t>2020-10-24 00:40:44</t>
  </si>
  <si>
    <t>Digi-Key</t>
  </si>
  <si>
    <t>Avail</t>
  </si>
  <si>
    <t>Purch</t>
  </si>
  <si>
    <t>Cat#</t>
  </si>
  <si>
    <t>501-1126-ND</t>
  </si>
  <si>
    <t>501-1506-ND</t>
  </si>
  <si>
    <t>399-R413F147000M1K-ND</t>
  </si>
  <si>
    <t>NonStk</t>
  </si>
  <si>
    <t>BC5218CT-ND</t>
  </si>
  <si>
    <t>WM4622-ND</t>
  </si>
  <si>
    <t>WM2124-ND</t>
  </si>
  <si>
    <t>WM2302CT-ND</t>
  </si>
  <si>
    <t>445-181486-6-ND</t>
  </si>
  <si>
    <t>Farnell</t>
  </si>
  <si>
    <t>1776794</t>
  </si>
  <si>
    <t>2526709</t>
  </si>
  <si>
    <t>2936422</t>
  </si>
  <si>
    <t>1141786</t>
  </si>
  <si>
    <t>1675500</t>
  </si>
  <si>
    <t>2063781</t>
  </si>
  <si>
    <t>1355931</t>
  </si>
  <si>
    <t>3386927</t>
  </si>
  <si>
    <t>Mouser</t>
  </si>
  <si>
    <t>56542430</t>
  </si>
  <si>
    <t>56537605</t>
  </si>
  <si>
    <t>80R413F147000M1K</t>
  </si>
  <si>
    <t>594F221K25Y5RN6UK5R</t>
  </si>
  <si>
    <t>53826604040</t>
  </si>
  <si>
    <t>53809508041</t>
  </si>
  <si>
    <t>53808520071</t>
  </si>
  <si>
    <t>810TFM252012ALMAR15</t>
  </si>
  <si>
    <t>RS Components</t>
  </si>
  <si>
    <t>6832109</t>
  </si>
  <si>
    <t>433028</t>
  </si>
  <si>
    <t>6795688</t>
  </si>
  <si>
    <t>6795155</t>
  </si>
  <si>
    <t>6706688</t>
  </si>
  <si>
    <t>KiCost® v.1.1.3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</si>
</sst>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a90aab&amp;sid=459&amp;ppid=4643&amp;vpid=2117570&amp;ct=offers" TargetMode="External"/><Relationship Id="rId2" Type="http://schemas.openxmlformats.org/officeDocument/2006/relationships/hyperlink" Target="https://octopart.com/click/track?ai=8078&amp;sig=067b49e&amp;sid=11744&amp;ppid=4643&amp;vpid=244851217&amp;ct=offers" TargetMode="External"/><Relationship Id="rId3" Type="http://schemas.openxmlformats.org/officeDocument/2006/relationships/hyperlink" Target="https://octopart.com/click/track?ai=8078&amp;sig=0f32b47&amp;sid=2401&amp;ppid=4643&amp;vpid=37624159&amp;ct=offers" TargetMode="External"/><Relationship Id="rId4" Type="http://schemas.openxmlformats.org/officeDocument/2006/relationships/hyperlink" Target="https://octopart.com/click/track?ai=8078&amp;sig=045d43c&amp;sid=459&amp;ppid=4344&amp;vpid=73756040&amp;ct=offers" TargetMode="External"/><Relationship Id="rId5" Type="http://schemas.openxmlformats.org/officeDocument/2006/relationships/hyperlink" Target="https://octopart.com/click/track?c=1&amp;ai=8078&amp;sig=01b0675&amp;sid=819&amp;ppid=4344&amp;vpid=252651608&amp;ct=offers" TargetMode="External"/><Relationship Id="rId6" Type="http://schemas.openxmlformats.org/officeDocument/2006/relationships/hyperlink" Target="https://octopart.com/click/track?ai=8078&amp;sig=085903b&amp;sid=2401&amp;ppid=4344&amp;vpid=37624146&amp;ct=offers" TargetMode="External"/><Relationship Id="rId7" Type="http://schemas.openxmlformats.org/officeDocument/2006/relationships/hyperlink" Target="https://octopart.com/click/track?c=1&amp;ai=8078&amp;sig=04618e0&amp;sid=459&amp;ppid=47581591&amp;vpid=658234556&amp;ct=offers" TargetMode="External"/><Relationship Id="rId8" Type="http://schemas.openxmlformats.org/officeDocument/2006/relationships/hyperlink" Target="https://octopart.com/click/track?c=1&amp;ai=8078&amp;sig=0fe3621&amp;sid=819&amp;ppid=47581591&amp;vpid=508109143&amp;ct=offers" TargetMode="External"/><Relationship Id="rId9" Type="http://schemas.openxmlformats.org/officeDocument/2006/relationships/hyperlink" Target="https://octopart.com/click/track?ai=8078&amp;sig=0211026&amp;sid=2401&amp;ppid=47581591&amp;vpid=183940164&amp;ct=offers" TargetMode="External"/><Relationship Id="rId10" Type="http://schemas.openxmlformats.org/officeDocument/2006/relationships/hyperlink" Target="https://octopart.com/click/track?ai=8078&amp;sig=07a09b9&amp;sid=459&amp;ppid=44035972&amp;vpid=473063256&amp;ct=offers" TargetMode="External"/><Relationship Id="rId11" Type="http://schemas.openxmlformats.org/officeDocument/2006/relationships/hyperlink" Target="https://octopart.com/click/track?ai=8078&amp;sig=06fc5ce&amp;sid=819&amp;ppid=44035972&amp;vpid=249363899&amp;ct=offers" TargetMode="External"/><Relationship Id="rId12" Type="http://schemas.openxmlformats.org/officeDocument/2006/relationships/hyperlink" Target="https://octopart.com/click/track?ai=8078&amp;sig=040b8dd&amp;sid=2401&amp;ppid=44035972&amp;vpid=229658092&amp;ct=offers" TargetMode="External"/><Relationship Id="rId13" Type="http://schemas.openxmlformats.org/officeDocument/2006/relationships/hyperlink" Target="https://octopart.com/click/track?ai=8078&amp;sig=08edc31&amp;sid=10022&amp;ppid=44035972&amp;vpid=199183503&amp;ct=offers" TargetMode="External"/><Relationship Id="rId14" Type="http://schemas.openxmlformats.org/officeDocument/2006/relationships/hyperlink" Target="https://octopart.com/click/track?ai=8078&amp;sig=0ad9e18&amp;sid=459&amp;ppid=22928&amp;vpid=50127390&amp;ct=offers" TargetMode="External"/><Relationship Id="rId15" Type="http://schemas.openxmlformats.org/officeDocument/2006/relationships/hyperlink" Target="https://octopart.com/click/track?ai=8078&amp;sig=02668b3&amp;sid=11744&amp;ppid=22928&amp;vpid=132408833&amp;ct=offers" TargetMode="External"/><Relationship Id="rId16" Type="http://schemas.openxmlformats.org/officeDocument/2006/relationships/hyperlink" Target="https://octopart.com/click/track?ai=8078&amp;sig=02387ca&amp;sid=2401&amp;ppid=22928&amp;vpid=37606921&amp;ct=offers" TargetMode="External"/><Relationship Id="rId17" Type="http://schemas.openxmlformats.org/officeDocument/2006/relationships/hyperlink" Target="https://octopart.com/click/track?ai=8078&amp;sig=0d3d4d4&amp;sid=10022&amp;ppid=22928&amp;vpid=199067324&amp;ct=offers" TargetMode="External"/><Relationship Id="rId18" Type="http://schemas.openxmlformats.org/officeDocument/2006/relationships/hyperlink" Target="https://octopart.com/click/track?ai=8078&amp;sig=06372b6&amp;sid=459&amp;ppid=16046&amp;vpid=81185242&amp;ct=offers" TargetMode="External"/><Relationship Id="rId19" Type="http://schemas.openxmlformats.org/officeDocument/2006/relationships/hyperlink" Target="https://octopart.com/click/track?ai=8078&amp;sig=046e169&amp;sid=11744&amp;ppid=16046&amp;vpid=132405728&amp;ct=offers" TargetMode="External"/><Relationship Id="rId20" Type="http://schemas.openxmlformats.org/officeDocument/2006/relationships/hyperlink" Target="https://octopart.com/click/track?ai=8078&amp;sig=0e19590&amp;sid=2401&amp;ppid=16046&amp;vpid=37607035&amp;ct=offers" TargetMode="External"/><Relationship Id="rId21" Type="http://schemas.openxmlformats.org/officeDocument/2006/relationships/hyperlink" Target="https://octopart.com/click/track?ai=8078&amp;sig=0e00586&amp;sid=10022&amp;ppid=16046&amp;vpid=199066354&amp;ct=offers" TargetMode="External"/><Relationship Id="rId22" Type="http://schemas.openxmlformats.org/officeDocument/2006/relationships/hyperlink" Target="https://octopart.com/click/track?ai=8078&amp;sig=0b63b92&amp;sid=459&amp;ppid=232113&amp;vpid=83331263&amp;ct=offers" TargetMode="External"/><Relationship Id="rId23" Type="http://schemas.openxmlformats.org/officeDocument/2006/relationships/hyperlink" Target="https://octopart.com/click/track?ai=8078&amp;sig=0bb51d0&amp;sid=819&amp;ppid=232113&amp;vpid=139013063&amp;ct=offers" TargetMode="External"/><Relationship Id="rId24" Type="http://schemas.openxmlformats.org/officeDocument/2006/relationships/hyperlink" Target="https://octopart.com/click/track?ai=8078&amp;sig=0cd6097&amp;sid=2401&amp;ppid=232113&amp;vpid=37606263&amp;ct=offers" TargetMode="External"/><Relationship Id="rId25" Type="http://schemas.openxmlformats.org/officeDocument/2006/relationships/hyperlink" Target="https://octopart.com/click/track?ai=8078&amp;sig=02e2d05&amp;sid=10022&amp;ppid=232113&amp;vpid=199066266&amp;ct=offers" TargetMode="External"/><Relationship Id="rId26" Type="http://schemas.openxmlformats.org/officeDocument/2006/relationships/hyperlink" Target="https://octopart.com/click/track?ai=8078&amp;sig=03f25a8&amp;sid=459&amp;ppid=98282407&amp;vpid=524191933&amp;ct=offers" TargetMode="External"/><Relationship Id="rId27" Type="http://schemas.openxmlformats.org/officeDocument/2006/relationships/hyperlink" Target="https://octopart.com/click/track?c=1&amp;ai=8078&amp;sig=07f3955&amp;sid=11744&amp;ppid=98282407&amp;vpid=627050473&amp;ct=offers" TargetMode="External"/><Relationship Id="rId28" Type="http://schemas.openxmlformats.org/officeDocument/2006/relationships/hyperlink" Target="https://octopart.com/click/track?c=1&amp;ai=8078&amp;sig=0c0b7bf&amp;sid=2401&amp;ppid=98282407&amp;vpid=523500412&amp;ct=offers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</cols>
  <sheetData>
    <row r="1" spans="1:27">
      <c r="A1" s="1" t="s">
        <v>43</v>
      </c>
      <c r="B1" s="2" t="s">
        <v>44</v>
      </c>
      <c r="F1" s="3" t="s">
        <v>48</v>
      </c>
      <c r="G1" s="3">
        <v>100</v>
      </c>
    </row>
    <row r="2" spans="1:27">
      <c r="A2" s="1" t="s">
        <v>45</v>
      </c>
      <c r="B2" s="2"/>
      <c r="F2" s="1" t="s">
        <v>50</v>
      </c>
      <c r="G2" s="4">
        <f>TotalCost/BoardQty</f>
        <v>0</v>
      </c>
    </row>
    <row r="3" spans="1:27">
      <c r="A3" s="1" t="s">
        <v>46</v>
      </c>
      <c r="B3" s="2" t="s">
        <v>47</v>
      </c>
      <c r="F3" s="1" t="s">
        <v>49</v>
      </c>
      <c r="G3" s="5">
        <f>SUM(G7:G15)</f>
        <v>0</v>
      </c>
      <c r="K3" s="5">
        <f>SUM(K7:K15)</f>
        <v>0</v>
      </c>
      <c r="L3" s="6">
        <f>(COUNTA(K7:K15)&amp;" of "&amp;ROWS(K7:K15)&amp;" parts found"</f>
        <v>0</v>
      </c>
      <c r="P3" s="5">
        <f>SUM(P7:P15)</f>
        <v>0</v>
      </c>
      <c r="Q3" s="6">
        <f>(COUNTA(P7:P15)&amp;" of "&amp;ROWS(P7:P15)&amp;" parts found"</f>
        <v>0</v>
      </c>
      <c r="U3" s="5">
        <f>SUM(U7:U15)</f>
        <v>0</v>
      </c>
      <c r="V3" s="6">
        <f>(COUNTA(U7:U15)&amp;" of "&amp;ROWS(U7:U15)&amp;" parts found"</f>
        <v>0</v>
      </c>
      <c r="Z3" s="5">
        <f>SUM(Z7:Z15)</f>
        <v>0</v>
      </c>
      <c r="AA3" s="6">
        <f>(COUNTA(Z7:Z15)&amp;" of "&amp;ROWS(Z7:Z15)&amp;" parts found"</f>
        <v>0</v>
      </c>
    </row>
    <row r="4" spans="1:27">
      <c r="A4" s="1" t="s">
        <v>51</v>
      </c>
      <c r="B4" s="2" t="s">
        <v>52</v>
      </c>
    </row>
    <row r="5" spans="1:27">
      <c r="A5" s="7" t="s">
        <v>0</v>
      </c>
      <c r="B5" s="7"/>
      <c r="C5" s="7"/>
      <c r="D5" s="7"/>
      <c r="E5" s="7"/>
      <c r="F5" s="7"/>
      <c r="G5" s="7"/>
      <c r="H5" s="8" t="s">
        <v>53</v>
      </c>
      <c r="I5" s="8"/>
      <c r="J5" s="8"/>
      <c r="K5" s="8"/>
      <c r="L5" s="8"/>
      <c r="M5" s="9" t="s">
        <v>66</v>
      </c>
      <c r="N5" s="9"/>
      <c r="O5" s="9"/>
      <c r="P5" s="9"/>
      <c r="Q5" s="9"/>
      <c r="R5" s="10" t="s">
        <v>75</v>
      </c>
      <c r="S5" s="10"/>
      <c r="T5" s="10"/>
      <c r="U5" s="10"/>
      <c r="V5" s="10"/>
      <c r="W5" s="11" t="s">
        <v>84</v>
      </c>
      <c r="X5" s="11"/>
      <c r="Y5" s="11"/>
      <c r="Z5" s="11"/>
      <c r="AA5" s="11"/>
    </row>
    <row r="6" spans="1:27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54</v>
      </c>
      <c r="I6" s="12" t="s">
        <v>55</v>
      </c>
      <c r="J6" s="12" t="s">
        <v>6</v>
      </c>
      <c r="K6" s="12" t="s">
        <v>7</v>
      </c>
      <c r="L6" s="12" t="s">
        <v>56</v>
      </c>
      <c r="M6" s="12" t="s">
        <v>54</v>
      </c>
      <c r="N6" s="12" t="s">
        <v>55</v>
      </c>
      <c r="O6" s="12" t="s">
        <v>6</v>
      </c>
      <c r="P6" s="12" t="s">
        <v>7</v>
      </c>
      <c r="Q6" s="12" t="s">
        <v>56</v>
      </c>
      <c r="R6" s="12" t="s">
        <v>54</v>
      </c>
      <c r="S6" s="12" t="s">
        <v>55</v>
      </c>
      <c r="T6" s="12" t="s">
        <v>6</v>
      </c>
      <c r="U6" s="12" t="s">
        <v>7</v>
      </c>
      <c r="V6" s="12" t="s">
        <v>56</v>
      </c>
      <c r="W6" s="12" t="s">
        <v>54</v>
      </c>
      <c r="X6" s="12" t="s">
        <v>55</v>
      </c>
      <c r="Y6" s="12" t="s">
        <v>6</v>
      </c>
      <c r="Z6" s="12" t="s">
        <v>7</v>
      </c>
      <c r="AA6" s="12" t="s">
        <v>56</v>
      </c>
    </row>
    <row r="7" spans="1:27">
      <c r="A7" s="13" t="s">
        <v>8</v>
      </c>
      <c r="B7" s="13" t="s">
        <v>9</v>
      </c>
      <c r="C7" s="13" t="s">
        <v>10</v>
      </c>
      <c r="D7" s="13" t="s">
        <v>11</v>
      </c>
      <c r="E7" s="13">
        <f>BoardQty*2</f>
        <v>0</v>
      </c>
      <c r="F7" s="14">
        <f>MINA(INDIRECT(ADDRESS(ROW(),COLUMN(digikey_part_data)+2)),INDIRECT(ADDRESS(ROW(),COLUMN(farnell_part_data)+2)),INDIRECT(ADDRESS(ROW(),COLUMN(mouser_part_data)+2)),INDIRECT(ADDRESS(ROW(),COLUMN(rs_part_data)+2)))</f>
        <v>0</v>
      </c>
      <c r="G7" s="14">
        <f>iferror(E7*F7,"")</f>
        <v>0</v>
      </c>
      <c r="H7" s="13">
        <v>616</v>
      </c>
      <c r="J7" s="14">
        <f>iferror(lookup(if(I7="",E7,I7),{0,1,25,50,100},{0.0,8.99,8.5404,8.091,7.7315}),"")</f>
        <v>0</v>
      </c>
      <c r="K7" s="14">
        <f>iferror(if(I7="",E7,I7)*J7,"")</f>
        <v>0</v>
      </c>
      <c r="L7" s="15" t="s">
        <v>57</v>
      </c>
      <c r="M7" s="13">
        <v>82</v>
      </c>
      <c r="O7" s="14">
        <f>iferror(USD_GBP*lookup(if(N7="",E7,N7),{0,1,5,10},{0.0,7.0,6.66,6.25}),"")</f>
        <v>0</v>
      </c>
      <c r="P7" s="14">
        <f>iferror(if(N7="",E7,N7)*O7,"")</f>
        <v>0</v>
      </c>
      <c r="Q7" s="15" t="s">
        <v>67</v>
      </c>
      <c r="R7" s="13">
        <v>774</v>
      </c>
      <c r="T7" s="14">
        <f>iferror(lookup(if(S7="",E7,S7),{0,1,10,50,100,250,500},{0.0,8.99,8.63,7.99,7.76,7.48,7.19}),"")</f>
        <v>0</v>
      </c>
      <c r="U7" s="14">
        <f>iferror(if(S7="",E7,S7)*T7,"")</f>
        <v>0</v>
      </c>
      <c r="V7" s="15" t="s">
        <v>76</v>
      </c>
    </row>
    <row r="8" spans="1:27">
      <c r="A8" s="13" t="s">
        <v>12</v>
      </c>
      <c r="B8" s="13" t="s">
        <v>9</v>
      </c>
      <c r="C8" s="13" t="s">
        <v>10</v>
      </c>
      <c r="D8" s="13" t="s">
        <v>13</v>
      </c>
      <c r="E8" s="13">
        <f>BoardQty*1</f>
        <v>0</v>
      </c>
      <c r="F8" s="14">
        <f>MINA(INDIRECT(ADDRESS(ROW(),COLUMN(digikey_part_data)+2)),INDIRECT(ADDRESS(ROW(),COLUMN(farnell_part_data)+2)),INDIRECT(ADDRESS(ROW(),COLUMN(mouser_part_data)+2)),INDIRECT(ADDRESS(ROW(),COLUMN(rs_part_data)+2)))</f>
        <v>0</v>
      </c>
      <c r="G8" s="14">
        <f>iferror(E8*F8,"")</f>
        <v>0</v>
      </c>
      <c r="H8" s="13">
        <v>516</v>
      </c>
      <c r="J8" s="14">
        <f>iferror(lookup(if(I8="",E8,I8),{0,1,25,50,100},{0.0,4.79,4.5504,4.311,4.1194}),"")</f>
        <v>0</v>
      </c>
      <c r="K8" s="14">
        <f>iferror(if(I8="",E8,I8)*J8,"")</f>
        <v>0</v>
      </c>
      <c r="L8" s="15" t="s">
        <v>58</v>
      </c>
      <c r="M8" s="13">
        <v>3</v>
      </c>
      <c r="O8" s="14">
        <f>iferror(USD_GBP*lookup(if(N8="",E8,N8),{0,1,5,10},{0.0,3.16,3.0,2.82}),"")</f>
        <v>0</v>
      </c>
      <c r="P8" s="14">
        <f>iferror(if(N8="",E8,N8)*O8,"")</f>
        <v>0</v>
      </c>
      <c r="Q8" s="15" t="s">
        <v>68</v>
      </c>
      <c r="R8" s="13">
        <v>303</v>
      </c>
      <c r="T8" s="14">
        <f>iferror(lookup(if(S8="",E8,S8),{0,1,10,50,100,250,500},{0.0,4.79,4.61,4.27,4.14,3.99,3.84}),"")</f>
        <v>0</v>
      </c>
      <c r="U8" s="14">
        <f>iferror(if(S8="",E8,S8)*T8,"")</f>
        <v>0</v>
      </c>
      <c r="V8" s="15" t="s">
        <v>77</v>
      </c>
    </row>
    <row r="9" spans="1:27">
      <c r="A9" s="13" t="s">
        <v>14</v>
      </c>
      <c r="B9" s="13" t="s">
        <v>15</v>
      </c>
      <c r="C9" s="13" t="s">
        <v>16</v>
      </c>
      <c r="D9" s="13" t="s">
        <v>17</v>
      </c>
      <c r="E9" s="13">
        <f>BoardQty*2</f>
        <v>0</v>
      </c>
      <c r="F9" s="14">
        <f>MINA(INDIRECT(ADDRESS(ROW(),COLUMN(digikey_part_data)+2)),INDIRECT(ADDRESS(ROW(),COLUMN(farnell_part_data)+2)),INDIRECT(ADDRESS(ROW(),COLUMN(mouser_part_data)+2)),INDIRECT(ADDRESS(ROW(),COLUMN(rs_part_data)+2)))</f>
        <v>0</v>
      </c>
      <c r="G9" s="14">
        <f>iferror(E9*F9,"")</f>
        <v>0</v>
      </c>
      <c r="H9" s="16" t="s">
        <v>60</v>
      </c>
      <c r="J9" s="14">
        <f>iferror(lookup(if(I9="",E9,I9),{0,1,10,50,100,500,1000,2500,5000},{0.0,0.57,0.402,0.3042,0.265,0.19628,0.16683,0.15702,0.1472}),"")</f>
        <v>0</v>
      </c>
      <c r="K9" s="14">
        <f>iferror(if(I9="",E9,I9)*J9,"")</f>
        <v>0</v>
      </c>
      <c r="L9" s="15" t="s">
        <v>59</v>
      </c>
      <c r="M9" s="16" t="s">
        <v>60</v>
      </c>
      <c r="O9" s="14">
        <f>iferror(USD_GBP*lookup(if(N9="",E9,N9),{0,1,1300},{0.0,0.126,0.126}),"")</f>
        <v>0</v>
      </c>
      <c r="P9" s="14">
        <f>iferror(if(N9="",E9,N9)*O9,"")</f>
        <v>0</v>
      </c>
      <c r="Q9" s="15" t="s">
        <v>69</v>
      </c>
      <c r="R9" s="13">
        <v>1306</v>
      </c>
      <c r="T9" s="14">
        <f>iferror(lookup(if(S9="",E9,S9),{0,1,10,50,100,250,500},{0.0,0.53,0.369,0.291,0.251,0.226,0.194}),"")</f>
        <v>0</v>
      </c>
      <c r="U9" s="14">
        <f>iferror(if(S9="",E9,S9)*T9,"")</f>
        <v>0</v>
      </c>
      <c r="V9" s="15" t="s">
        <v>78</v>
      </c>
    </row>
    <row r="10" spans="1:27">
      <c r="A10" s="13" t="s">
        <v>18</v>
      </c>
      <c r="B10" s="13" t="s">
        <v>19</v>
      </c>
      <c r="C10" s="13" t="s">
        <v>20</v>
      </c>
      <c r="D10" s="13" t="s">
        <v>21</v>
      </c>
      <c r="E10" s="13">
        <f>BoardQty*4</f>
        <v>0</v>
      </c>
      <c r="F10" s="14">
        <f>MINA(INDIRECT(ADDRESS(ROW(),COLUMN(digikey_part_data)+2)),INDIRECT(ADDRESS(ROW(),COLUMN(farnell_part_data)+2)),INDIRECT(ADDRESS(ROW(),COLUMN(mouser_part_data)+2)),INDIRECT(ADDRESS(ROW(),COLUMN(rs_part_data)+2)))</f>
        <v>0</v>
      </c>
      <c r="G10" s="14">
        <f>iferror(E10*F10,"")</f>
        <v>0</v>
      </c>
      <c r="H10" s="13">
        <v>9719</v>
      </c>
      <c r="J10" s="14">
        <f>iferror(lookup(if(I10="",E10,I10),{0,1,10,50,100,500,1000,2000,4000,10000,14000,50000},{0.0,0.23,0.155,0.1036,0.0881,0.06216,0.05439,0.0518,0.04792,0.04533,0.04299,0.03885}),"")</f>
        <v>0</v>
      </c>
      <c r="K10" s="14">
        <f>iferror(if(I10="",E10,I10)*J10,"")</f>
        <v>0</v>
      </c>
      <c r="L10" s="15" t="s">
        <v>61</v>
      </c>
      <c r="M10" s="13">
        <v>24816</v>
      </c>
      <c r="O10" s="14">
        <f>iferror(USD_GBP*lookup(if(N10="",E10,N10),{0,1,5,50,250,500,1000,2000,10000},{0.0,0.169,0.169,0.0903,0.0752,0.0601,0.0536,0.0472,0.0367}),"")</f>
        <v>0</v>
      </c>
      <c r="P10" s="14">
        <f>iferror(if(N10="",E10,N10)*O10,"")</f>
        <v>0</v>
      </c>
      <c r="Q10" s="15" t="s">
        <v>70</v>
      </c>
      <c r="R10" s="13">
        <v>18674</v>
      </c>
      <c r="T10" s="14">
        <f>iferror(lookup(if(S10="",E10,S10),{0,1,10,100,500,1000,2000},{0.0,0.3,0.204,0.118,0.085,0.067,0.06}),"")</f>
        <v>0</v>
      </c>
      <c r="U10" s="14">
        <f>iferror(if(S10="",E10,S10)*T10,"")</f>
        <v>0</v>
      </c>
      <c r="V10" s="15" t="s">
        <v>79</v>
      </c>
      <c r="W10" s="13">
        <v>1975</v>
      </c>
      <c r="Y10" s="14">
        <f>iferror(USD_GBP*lookup(if(X10="",E10,X10),{0,1,25,625,2500,12500,25000},{0.0,0.175,0.175,0.09,0.064,0.04,0.04}),"")</f>
        <v>0</v>
      </c>
      <c r="Z10" s="14">
        <f>iferror(if(X10="",E10,X10)*Y10,"")</f>
        <v>0</v>
      </c>
      <c r="AA10" s="15" t="s">
        <v>85</v>
      </c>
    </row>
    <row r="11" spans="1:27">
      <c r="A11" s="13" t="s">
        <v>22</v>
      </c>
      <c r="B11" s="13" t="s">
        <v>9</v>
      </c>
      <c r="C11" s="13" t="s">
        <v>23</v>
      </c>
      <c r="D11" s="13" t="s">
        <v>24</v>
      </c>
      <c r="E11" s="13">
        <f>BoardQty*1</f>
        <v>0</v>
      </c>
      <c r="F11" s="14">
        <f>MINA(INDIRECT(ADDRESS(ROW(),COLUMN(digikey_part_data)+2)),INDIRECT(ADDRESS(ROW(),COLUMN(farnell_part_data)+2)),INDIRECT(ADDRESS(ROW(),COLUMN(mouser_part_data)+2)),INDIRECT(ADDRESS(ROW(),COLUMN(rs_part_data)+2)))</f>
        <v>0</v>
      </c>
      <c r="G11" s="14">
        <f>iferror(E11*F11,"")</f>
        <v>0</v>
      </c>
      <c r="W11" s="13">
        <v>25000</v>
      </c>
      <c r="AA11" s="13" t="s">
        <v>86</v>
      </c>
    </row>
    <row r="12" spans="1:27">
      <c r="A12" s="13" t="s">
        <v>25</v>
      </c>
      <c r="B12" s="13" t="s">
        <v>26</v>
      </c>
      <c r="C12" s="13" t="s">
        <v>27</v>
      </c>
      <c r="D12" s="13" t="s">
        <v>28</v>
      </c>
      <c r="E12" s="13">
        <f>BoardQty*1</f>
        <v>0</v>
      </c>
      <c r="F12" s="14">
        <f>MINA(INDIRECT(ADDRESS(ROW(),COLUMN(digikey_part_data)+2)),INDIRECT(ADDRESS(ROW(),COLUMN(farnell_part_data)+2)),INDIRECT(ADDRESS(ROW(),COLUMN(mouser_part_data)+2)),INDIRECT(ADDRESS(ROW(),COLUMN(rs_part_data)+2)))</f>
        <v>0</v>
      </c>
      <c r="G12" s="14">
        <f>iferror(E12*F12,"")</f>
        <v>0</v>
      </c>
      <c r="H12" s="13">
        <v>845</v>
      </c>
      <c r="J12" s="14">
        <f>iferror(lookup(if(I12="",E12,I12),{0,1,10,100,500,1000,5000,10000},{0.0,0.47,0.448,0.3138,0.26902,0.22418,0.19215,0.17934}),"")</f>
        <v>0</v>
      </c>
      <c r="K12" s="14">
        <f>iferror(if(I12="",E12,I12)*J12,"")</f>
        <v>0</v>
      </c>
      <c r="L12" s="15" t="s">
        <v>62</v>
      </c>
      <c r="M12" s="13">
        <v>9557</v>
      </c>
      <c r="O12" s="14">
        <f>iferror(USD_GBP*lookup(if(N12="",E12,N12),{0,1,10,50,100,500,1000,9600},{0.0,0.364,0.291,0.25,0.208,0.191,0.174,0.123}),"")</f>
        <v>0</v>
      </c>
      <c r="P12" s="14">
        <f>iferror(if(N12="",E12,N12)*O12,"")</f>
        <v>0</v>
      </c>
      <c r="Q12" s="15" t="s">
        <v>71</v>
      </c>
      <c r="R12" s="13">
        <v>9704</v>
      </c>
      <c r="T12" s="14">
        <f>iferror(lookup(if(S12="",E12,S12),{0,1,10,100,1000,2500,10000},{0.0,0.47,0.375,0.269,0.224,0.192,0.177}),"")</f>
        <v>0</v>
      </c>
      <c r="U12" s="14">
        <f>iferror(if(S12="",E12,S12)*T12,"")</f>
        <v>0</v>
      </c>
      <c r="V12" s="15" t="s">
        <v>80</v>
      </c>
      <c r="W12" s="13">
        <v>2510</v>
      </c>
      <c r="Y12" s="14">
        <f>iferror(USD_GBP*lookup(if(X12="",E12,X12),{0,1,10,200,750,3000,6000},{0.0,0.294,0.294,0.255,0.225,0.167,0.157}),"")</f>
        <v>0</v>
      </c>
      <c r="Z12" s="14">
        <f>iferror(if(X12="",E12,X12)*Y12,"")</f>
        <v>0</v>
      </c>
      <c r="AA12" s="15" t="s">
        <v>87</v>
      </c>
    </row>
    <row r="13" spans="1:27">
      <c r="A13" s="13" t="s">
        <v>29</v>
      </c>
      <c r="B13" s="13" t="s">
        <v>30</v>
      </c>
      <c r="C13" s="13" t="s">
        <v>27</v>
      </c>
      <c r="D13" s="13" t="s">
        <v>31</v>
      </c>
      <c r="E13" s="13">
        <f>CEILING(BoardQty*(2)*1,1)</f>
        <v>0</v>
      </c>
      <c r="F13" s="14">
        <f>MINA(INDIRECT(ADDRESS(ROW(),COLUMN(digikey_part_data)+2)),INDIRECT(ADDRESS(ROW(),COLUMN(farnell_part_data)+2)),INDIRECT(ADDRESS(ROW(),COLUMN(mouser_part_data)+2)),INDIRECT(ADDRESS(ROW(),COLUMN(rs_part_data)+2)))</f>
        <v>0</v>
      </c>
      <c r="G13" s="14">
        <f>iferror(E13*F13,"")</f>
        <v>0</v>
      </c>
      <c r="H13" s="13">
        <v>13583</v>
      </c>
      <c r="J13" s="14">
        <f>iferror(lookup(if(I13="",E13,I13),{0,1,10,25,50,100,250,500,1000,2500},{0.0,0.25,0.233,0.1984,0.1736,0.1612,0.1426,0.1364,0.1116,0.1023}),"")</f>
        <v>0</v>
      </c>
      <c r="K13" s="14">
        <f>iferror(if(I13="",E13,I13)*J13,"")</f>
        <v>0</v>
      </c>
      <c r="L13" s="15" t="s">
        <v>63</v>
      </c>
      <c r="M13" s="13">
        <v>4766</v>
      </c>
      <c r="O13" s="14">
        <f>iferror(USD_GBP*lookup(if(N13="",E13,N13),{0,1,10,50,100,500,1000},{0.0,0.194,0.135,0.123,0.11,0.105,0.0862}),"")</f>
        <v>0</v>
      </c>
      <c r="P13" s="14">
        <f>iferror(if(N13="",E13,N13)*O13,"")</f>
        <v>0</v>
      </c>
      <c r="Q13" s="15" t="s">
        <v>72</v>
      </c>
      <c r="R13" s="13">
        <v>16107</v>
      </c>
      <c r="T13" s="14">
        <f>iferror(lookup(if(S13="",E13,S13),{0,1,10,100,500,1000,2500},{0.0,0.25,0.173,0.142,0.136,0.111,0.102}),"")</f>
        <v>0</v>
      </c>
      <c r="U13" s="14">
        <f>iferror(if(S13="",E13,S13)*T13,"")</f>
        <v>0</v>
      </c>
      <c r="V13" s="15" t="s">
        <v>81</v>
      </c>
      <c r="W13" s="13">
        <v>28550</v>
      </c>
      <c r="Y13" s="14">
        <f>iferror(USD_GBP*lookup(if(X13="",E13,X13),{0,1,10},{0.0,0.134,0.134}),"")</f>
        <v>0</v>
      </c>
      <c r="Z13" s="14">
        <f>iferror(if(X13="",E13,X13)*Y13,"")</f>
        <v>0</v>
      </c>
      <c r="AA13" s="15" t="s">
        <v>88</v>
      </c>
    </row>
    <row r="14" spans="1:27">
      <c r="A14" s="13" t="s">
        <v>32</v>
      </c>
      <c r="B14" s="13" t="s">
        <v>33</v>
      </c>
      <c r="C14" s="13" t="s">
        <v>27</v>
      </c>
      <c r="D14" s="13" t="s">
        <v>34</v>
      </c>
      <c r="E14" s="13">
        <f>CEILING(BoardQty*(8)*1,1)</f>
        <v>0</v>
      </c>
      <c r="F14" s="14">
        <f>MINA(INDIRECT(ADDRESS(ROW(),COLUMN(digikey_part_data)+2)),INDIRECT(ADDRESS(ROW(),COLUMN(farnell_part_data)+2)),INDIRECT(ADDRESS(ROW(),COLUMN(mouser_part_data)+2)),INDIRECT(ADDRESS(ROW(),COLUMN(rs_part_data)+2)))</f>
        <v>0</v>
      </c>
      <c r="G14" s="14">
        <f>iferror(E14*F14,"")</f>
        <v>0</v>
      </c>
      <c r="H14" s="13">
        <v>200220</v>
      </c>
      <c r="J14" s="14">
        <f>iferror(lookup(if(I14="",E14,I14),{0,1,10,25,50,100,250,500,1000,2500,7000,14000,35000,49000},{0.0,0.1,0.064,0.048,0.0412,0.0397,0.03424,0.03288,0.02877,0.02603,0.02466,0.02192,0.01987,0.0185}),"")</f>
        <v>0</v>
      </c>
      <c r="K14" s="14">
        <f>iferror(if(I14="",E14,I14)*J14,"")</f>
        <v>0</v>
      </c>
      <c r="L14" s="15" t="s">
        <v>64</v>
      </c>
      <c r="M14" s="13">
        <v>11675</v>
      </c>
      <c r="O14" s="14">
        <f>iferror(USD_GBP*lookup(if(N14="",E14,N14),{0,1,7000,35000,70000,140000},{0.0,0.0346,0.0267,0.0221,0.0198,0.0183}),"")</f>
        <v>0</v>
      </c>
      <c r="P14" s="14">
        <f>iferror(if(N14="",E14,N14)*O14,"")</f>
        <v>0</v>
      </c>
      <c r="Q14" s="15" t="s">
        <v>73</v>
      </c>
      <c r="R14" s="13">
        <v>63000</v>
      </c>
      <c r="T14" s="14">
        <f>iferror(lookup(if(S14="",E14,S14),{0,1,7000,14000,21000,28000,49000,98000},{0.0,0.028,0.028,0.025,0.022,0.021,0.021,0.021}),"")</f>
        <v>0</v>
      </c>
      <c r="U14" s="14">
        <f>iferror(if(S14="",E14,S14)*T14,"")</f>
        <v>0</v>
      </c>
      <c r="V14" s="15" t="s">
        <v>82</v>
      </c>
      <c r="W14" s="13">
        <v>38100</v>
      </c>
      <c r="Y14" s="14">
        <f>iferror(USD_GBP*lookup(if(X14="",E14,X14),{0,1,100,1000,3000,7500,15000},{0.0,0.035,0.035,0.028,0.024,0.018,0.018}),"")</f>
        <v>0</v>
      </c>
      <c r="Z14" s="14">
        <f>iferror(if(X14="",E14,X14)*Y14,"")</f>
        <v>0</v>
      </c>
      <c r="AA14" s="15" t="s">
        <v>89</v>
      </c>
    </row>
    <row r="15" spans="1:27">
      <c r="A15" s="13" t="s">
        <v>35</v>
      </c>
      <c r="B15" s="13" t="s">
        <v>36</v>
      </c>
      <c r="C15" s="13" t="s">
        <v>37</v>
      </c>
      <c r="D15" s="13" t="s">
        <v>38</v>
      </c>
      <c r="E15" s="13">
        <f>BoardQty*6</f>
        <v>0</v>
      </c>
      <c r="F15" s="14">
        <f>MINA(INDIRECT(ADDRESS(ROW(),COLUMN(digikey_part_data)+2)),INDIRECT(ADDRESS(ROW(),COLUMN(farnell_part_data)+2)),INDIRECT(ADDRESS(ROW(),COLUMN(mouser_part_data)+2)),INDIRECT(ADDRESS(ROW(),COLUMN(rs_part_data)+2)))</f>
        <v>0</v>
      </c>
      <c r="G15" s="14">
        <f>iferror(E15*F15,"")</f>
        <v>0</v>
      </c>
      <c r="H15" s="13">
        <v>133</v>
      </c>
      <c r="J15" s="14">
        <f>iferror(lookup(if(I15="",E15,I15),{0,1,10,25,50,100,250,500,1000,3000,6000,15000,30000,75000},{0.0,0.73,0.642,0.5964,0.5046,0.4588,0.43124,0.38536,0.31195,0.2936,0.28443,0.27525,0.26608,0.2569}),"")</f>
        <v>0</v>
      </c>
      <c r="K15" s="14">
        <f>iferror(if(I15="",E15,I15)*J15,"")</f>
        <v>0</v>
      </c>
      <c r="L15" s="15" t="s">
        <v>65</v>
      </c>
      <c r="M15" s="16" t="s">
        <v>60</v>
      </c>
      <c r="O15" s="14">
        <f>iferror(USD_GBP*lookup(if(N15="",E15,N15),{0,1,5,10,50,250,500,1500,3000,15000},{0.0,0.695,0.695,0.695,0.363,0.27,0.249,0.225,0.219,0.212}),"")</f>
        <v>0</v>
      </c>
      <c r="P15" s="14">
        <f>iferror(if(N15="",E15,N15)*O15,"")</f>
        <v>0</v>
      </c>
      <c r="Q15" s="15" t="s">
        <v>74</v>
      </c>
      <c r="R15" s="16" t="s">
        <v>60</v>
      </c>
      <c r="T15" s="14">
        <f>iferror(lookup(if(S15="",E15,S15),{0,1,10,100,500,1000,3000},{0.0,0.81,0.635,0.527,0.442,0.358,0.28}),"")</f>
        <v>0</v>
      </c>
      <c r="U15" s="14">
        <f>iferror(if(S15="",E15,S15)*T15,"")</f>
        <v>0</v>
      </c>
      <c r="V15" s="15" t="s">
        <v>83</v>
      </c>
    </row>
    <row r="17" spans="1:26">
      <c r="B17" s="17" t="s">
        <v>41</v>
      </c>
      <c r="F17" s="1" t="s">
        <v>39</v>
      </c>
      <c r="G17" s="5">
        <f>SUM(INDIRECT(ADDRESS(ROW(),COLUMN(digikey_part_data)+3)),INDIRECT(ADDRESS(ROW(),COLUMN(farnell_part_data)+3)),INDIRECT(ADDRESS(ROW(),COLUMN(mouser_part_data)+3)),INDIRECT(ADDRESS(ROW(),COLUMN(rs_part_data)+3)))</f>
        <v>0</v>
      </c>
      <c r="I17" s="6">
        <f>IFERROR(IF(OR(I7:I15),COUNTIFS(I7:I15,"&gt;0",K7:K15,"&lt;&gt;")&amp;" of "&amp;(ROWS(K7:K15)-COUNTBLANK(K7:K15))&amp;" parts purchased",""),"")</f>
        <v>0</v>
      </c>
      <c r="K17" s="5">
        <f>SUMIF(I7:I15,"&gt;0",K7:K15)</f>
        <v>0</v>
      </c>
      <c r="N17" s="6">
        <f>IFERROR(IF(OR(N7:N15),COUNTIFS(N7:N15,"&gt;0",P7:P15,"&lt;&gt;")&amp;" of "&amp;(ROWS(P7:P15)-COUNTBLANK(P7:P15))&amp;" parts purchased",""),"")</f>
        <v>0</v>
      </c>
      <c r="P17" s="5">
        <f>SUMIF(N7:N15,"&gt;0",P7:P15)</f>
        <v>0</v>
      </c>
      <c r="S17" s="6">
        <f>IFERROR(IF(OR(S7:S15),COUNTIFS(S7:S15,"&gt;0",U7:U15,"&lt;&gt;")&amp;" of "&amp;(ROWS(U7:U15)-COUNTBLANK(U7:U15))&amp;" parts purchased",""),"")</f>
        <v>0</v>
      </c>
      <c r="U17" s="5">
        <f>SUMIF(S7:S15,"&gt;0",U7:U15)</f>
        <v>0</v>
      </c>
      <c r="X17" s="6">
        <f>IFERROR(IF(OR(X7:X15),COUNTIFS(X7:X15,"&gt;0",Z7:Z15,"&lt;&gt;")&amp;" of "&amp;(ROWS(Z7:Z15)-COUNTBLANK(Z7:Z15))&amp;" parts purchased",""),"")</f>
        <v>0</v>
      </c>
      <c r="Z17" s="5">
        <f>SUMIF(X7:X15,"&gt;0",Z7:Z15)</f>
        <v>0</v>
      </c>
    </row>
    <row r="18" spans="1:26">
      <c r="B18" s="17" t="s">
        <v>42</v>
      </c>
      <c r="C18">
        <v>1.24582957619477</v>
      </c>
      <c r="F18" s="17" t="s">
        <v>40</v>
      </c>
      <c r="I18">
        <f t="array" ref="I18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18">
        <f t="array" ref="N18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18">
        <f t="array" ref="S18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18">
        <f t="array" ref="X18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19" spans="1:26">
      <c r="I19">
        <f t="array" ref="I19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19">
        <f t="array" ref="N19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19">
        <f t="array" ref="S19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19">
        <f t="array" ref="X19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0" spans="1:26">
      <c r="A20" s="2" t="s">
        <v>90</v>
      </c>
      <c r="I20">
        <f t="array" ref="I20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0">
        <f t="array" ref="N20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0">
        <f t="array" ref="S20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0">
        <f t="array" ref="X20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1" spans="1:26">
      <c r="I21">
        <f t="array" ref="I21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1">
        <f t="array" ref="N21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1">
        <f t="array" ref="S21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1">
        <f t="array" ref="X21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2" spans="1:26">
      <c r="I22">
        <f t="array" ref="I22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2">
        <f t="array" ref="N22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2">
        <f t="array" ref="S22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2">
        <f t="array" ref="X22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3" spans="1:26">
      <c r="I23">
        <f t="array" ref="I23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3">
        <f t="array" ref="N23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3">
        <f t="array" ref="S23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3">
        <f t="array" ref="X23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4" spans="1:26">
      <c r="I24">
        <f t="array" ref="I24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4">
        <f t="array" ref="N24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4">
        <f t="array" ref="S24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4">
        <f t="array" ref="X24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5" spans="1:26">
      <c r="I25">
        <f t="array" ref="I25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5">
        <f t="array" ref="N25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5">
        <f t="array" ref="S25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5">
        <f t="array" ref="X25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  <row r="26" spans="1:26">
      <c r="I26">
        <f t="array" ref="I26">IFERROR(CONCATENATE(TEXT(INDEX(I7:I15,SMALL(IF(ISNUMBER(I7:I15),IF(I7:I15&gt;0,IF(L7:L15&lt;&gt;"",ROW(I7:I15)-MIN(ROW(I7:I15))+1))),ROW()-ROW(A$18)+1)),"##0"),",",INDEX(L7:L15,SMALL(IF(ISNUMBER(I7:I15),IF(I7:I15&gt;0,IF(L7:L15&lt;&gt;"",ROW(I7:I15)-MIN(ROW(I7:I15))+1))),ROW()-ROW(A$18)+1)),",",SUBSTITUTE(INDEX(IF(PURCHASE_DESCRIPTION&lt;&gt;"",PURCHASE_DESCRIPTION&amp;":","")&amp;A7:A15,SMALL(IF(ISNUMBER(I7:I15),IF(I7:I15&gt;0,IF(L7:L15&lt;&gt;"",ROW(I7:I15)-MIN(ROW(I7:I15))+1))),ROW()-ROW(A$18)+1)),",",";")),"")</f>
        <v>0</v>
      </c>
      <c r="N26">
        <f t="array" ref="N26">IFERROR(CONCATENATE(INDEX(Q7:Q15,SMALL(IF(ISNUMBER(N7:N15),IF(N7:N15&gt;0,IF(Q7:Q15&lt;&gt;"",ROW(N7:N15)-MIN(ROW(N7:N15))+1))),ROW()-ROW(A$18)+1))," ",TEXT(INDEX(N7:N15,SMALL(IF(ISNUMBER(N7:N15),IF(N7:N15&gt;0,IF(Q7:Q15&lt;&gt;"",ROW(N7:N15)-MIN(ROW(N7:N15))+1))),ROW()-ROW(A$18)+1)),"##0")," ",SUBSTITUTE(INDEX(IF(PURCHASE_DESCRIPTION&lt;&gt;"",PURCHASE_DESCRIPTION&amp;":","")&amp;A7:A15,SMALL(IF(ISNUMBER(N7:N15),IF(N7:N15&gt;0,IF(Q7:Q15&lt;&gt;"",ROW(N7:N15)-MIN(ROW(N7:N15))+1))),ROW()-ROW(A$18)+1))," ",";")),"")</f>
        <v>0</v>
      </c>
      <c r="S26">
        <f t="array" ref="S26">IFERROR(CONCATENATE(INDEX(V7:V15,SMALL(IF(ISNUMBER(S7:S15),IF(S7:S15&gt;0,IF(V7:V15&lt;&gt;"",ROW(S7:S15)-MIN(ROW(S7:S15))+1))),ROW()-ROW(A$18)+1)),"|",TEXT(INDEX(S7:S15,SMALL(IF(ISNUMBER(S7:S15),IF(S7:S15&gt;0,IF(V7:V15&lt;&gt;"",ROW(S7:S15)-MIN(ROW(S7:S15))+1))),ROW()-ROW(A$18)+1)),"##0"),"|",SUBSTITUTE(SUBSTITUTE(INDEX(IF(PURCHASE_DESCRIPTION&lt;&gt;"",PURCHASE_DESCRIPTION&amp;":","")&amp;A7:A15,SMALL(IF(ISNUMBER(S7:S15),IF(S7:S15&gt;0,IF(V7:V15&lt;&gt;"",ROW(S7:S15)-MIN(ROW(S7:S15))+1))),ROW()-ROW(A$18)+1)),"|",";")," ","_")),"")</f>
        <v>0</v>
      </c>
      <c r="X26">
        <f t="array" ref="X26">IFERROR(CONCATENATE(INDEX(AA7:AA15,SMALL(IF(ISNUMBER(X7:X15),IF(X7:X15&gt;0,IF(AA7:AA15&lt;&gt;"",ROW(X7:X15)-MIN(ROW(X7:X15))+1))),ROW()-ROW(A$18)+1))," ",TEXT(INDEX(X7:X15,SMALL(IF(ISNUMBER(X7:X15),IF(X7:X15&gt;0,IF(AA7:AA15&lt;&gt;"",ROW(X7:X15)-MIN(ROW(X7:X15))+1))),ROW()-ROW(A$18)+1)),"##0")," ",SUBSTITUTE(INDEX(IF(PURCHASE_DESCRIPTION&lt;&gt;"",PURCHASE_DESCRIPTION&amp;":","")&amp;A7:A15,SMALL(IF(ISNUMBER(X7:X15),IF(X7:X15&gt;0,IF(AA7:AA15&lt;&gt;"",ROW(X7:X15)-MIN(ROW(X7:X15))+1))),ROW()-ROW(A$18)+1))," ",";")),"")</f>
        <v>0</v>
      </c>
    </row>
  </sheetData>
  <mergeCells count="5">
    <mergeCell ref="A5:G5"/>
    <mergeCell ref="H5:L5"/>
    <mergeCell ref="M5:Q5"/>
    <mergeCell ref="R5:V5"/>
    <mergeCell ref="W5:AA5"/>
  </mergeCells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H10">
    <cfRule type="cellIs" dxfId="1" priority="52" operator="equal">
      <formula>0</formula>
    </cfRule>
    <cfRule type="cellIs" dxfId="2" priority="53" operator="lessThan">
      <formula>E10</formula>
    </cfRule>
  </conditionalFormatting>
  <conditionalFormatting sqref="H12">
    <cfRule type="cellIs" dxfId="1" priority="57" operator="equal">
      <formula>0</formula>
    </cfRule>
    <cfRule type="cellIs" dxfId="2" priority="58" operator="lessThan">
      <formula>E12</formula>
    </cfRule>
  </conditionalFormatting>
  <conditionalFormatting sqref="H13">
    <cfRule type="cellIs" dxfId="1" priority="62" operator="equal">
      <formula>0</formula>
    </cfRule>
    <cfRule type="cellIs" dxfId="2" priority="63" operator="lessThan">
      <formula>E13</formula>
    </cfRule>
  </conditionalFormatting>
  <conditionalFormatting sqref="H14">
    <cfRule type="cellIs" dxfId="1" priority="67" operator="equal">
      <formula>0</formula>
    </cfRule>
    <cfRule type="cellIs" dxfId="2" priority="68" operator="lessThan">
      <formula>E14</formula>
    </cfRule>
  </conditionalFormatting>
  <conditionalFormatting sqref="H15">
    <cfRule type="cellIs" dxfId="1" priority="72" operator="equal">
      <formula>0</formula>
    </cfRule>
    <cfRule type="cellIs" dxfId="2" priority="73" operator="lessThan">
      <formula>E15</formula>
    </cfRule>
  </conditionalFormatting>
  <conditionalFormatting sqref="H7">
    <cfRule type="cellIs" dxfId="1" priority="37" operator="equal">
      <formula>0</formula>
    </cfRule>
    <cfRule type="cellIs" dxfId="2" priority="38" operator="lessThan">
      <formula>E7</formula>
    </cfRule>
  </conditionalFormatting>
  <conditionalFormatting sqref="H8">
    <cfRule type="cellIs" dxfId="1" priority="42" operator="equal">
      <formula>0</formula>
    </cfRule>
    <cfRule type="cellIs" dxfId="2" priority="43" operator="lessThan">
      <formula>E8</formula>
    </cfRule>
  </conditionalFormatting>
  <conditionalFormatting sqref="H9">
    <cfRule type="cellIs" dxfId="1" priority="47" operator="equal">
      <formula>0</formula>
    </cfRule>
    <cfRule type="cellIs" dxfId="2" priority="48" operator="lessThan">
      <formula>E9</formula>
    </cfRule>
  </conditionalFormatting>
  <conditionalFormatting sqref="I10">
    <cfRule type="cellIs" dxfId="1" priority="54" operator="greaterThan">
      <formula>H10</formula>
    </cfRule>
  </conditionalFormatting>
  <conditionalFormatting sqref="I12">
    <cfRule type="cellIs" dxfId="1" priority="59" operator="greaterThan">
      <formula>H12</formula>
    </cfRule>
  </conditionalFormatting>
  <conditionalFormatting sqref="I13">
    <cfRule type="cellIs" dxfId="1" priority="64" operator="greaterThan">
      <formula>H13</formula>
    </cfRule>
  </conditionalFormatting>
  <conditionalFormatting sqref="I14">
    <cfRule type="cellIs" dxfId="1" priority="69" operator="greaterThan">
      <formula>H14</formula>
    </cfRule>
  </conditionalFormatting>
  <conditionalFormatting sqref="I15">
    <cfRule type="cellIs" dxfId="1" priority="74" operator="greaterThan">
      <formula>H15</formula>
    </cfRule>
  </conditionalFormatting>
  <conditionalFormatting sqref="I7">
    <cfRule type="cellIs" dxfId="1" priority="39" operator="greaterThan">
      <formula>H7</formula>
    </cfRule>
  </conditionalFormatting>
  <conditionalFormatting sqref="I8">
    <cfRule type="cellIs" dxfId="1" priority="44" operator="greaterThan">
      <formula>H8</formula>
    </cfRule>
  </conditionalFormatting>
  <conditionalFormatting sqref="I9">
    <cfRule type="cellIs" dxfId="1" priority="49" operator="greaterThan">
      <formula>H9</formula>
    </cfRule>
  </conditionalFormatting>
  <conditionalFormatting sqref="J10">
    <cfRule type="cellIs" dxfId="4" priority="56" operator="lessThanOrEqual">
      <formula>F10</formula>
    </cfRule>
  </conditionalFormatting>
  <conditionalFormatting sqref="J12">
    <cfRule type="cellIs" dxfId="4" priority="61" operator="lessThanOrEqual">
      <formula>F12</formula>
    </cfRule>
  </conditionalFormatting>
  <conditionalFormatting sqref="J13">
    <cfRule type="cellIs" dxfId="4" priority="66" operator="lessThanOrEqual">
      <formula>F13</formula>
    </cfRule>
  </conditionalFormatting>
  <conditionalFormatting sqref="J14">
    <cfRule type="cellIs" dxfId="4" priority="71" operator="lessThanOrEqual">
      <formula>F14</formula>
    </cfRule>
  </conditionalFormatting>
  <conditionalFormatting sqref="J15">
    <cfRule type="cellIs" dxfId="4" priority="76" operator="lessThanOrEqual">
      <formula>F15</formula>
    </cfRule>
  </conditionalFormatting>
  <conditionalFormatting sqref="J7">
    <cfRule type="cellIs" dxfId="4" priority="41" operator="lessThanOrEqual">
      <formula>F7</formula>
    </cfRule>
  </conditionalFormatting>
  <conditionalFormatting sqref="J8">
    <cfRule type="cellIs" dxfId="4" priority="46" operator="lessThanOrEqual">
      <formula>F8</formula>
    </cfRule>
  </conditionalFormatting>
  <conditionalFormatting sqref="J9">
    <cfRule type="cellIs" dxfId="4" priority="51" operator="lessThanOrEqual">
      <formula>F9</formula>
    </cfRule>
  </conditionalFormatting>
  <conditionalFormatting sqref="K10">
    <cfRule type="cellIs" dxfId="4" priority="55" operator="lessThanOrEqual">
      <formula>G10</formula>
    </cfRule>
  </conditionalFormatting>
  <conditionalFormatting sqref="K12">
    <cfRule type="cellIs" dxfId="4" priority="60" operator="lessThanOrEqual">
      <formula>G12</formula>
    </cfRule>
  </conditionalFormatting>
  <conditionalFormatting sqref="K13">
    <cfRule type="cellIs" dxfId="4" priority="65" operator="lessThanOrEqual">
      <formula>G13</formula>
    </cfRule>
  </conditionalFormatting>
  <conditionalFormatting sqref="K14">
    <cfRule type="cellIs" dxfId="4" priority="70" operator="lessThanOrEqual">
      <formula>G14</formula>
    </cfRule>
  </conditionalFormatting>
  <conditionalFormatting sqref="K15">
    <cfRule type="cellIs" dxfId="4" priority="75" operator="lessThanOrEqual">
      <formula>G15</formula>
    </cfRule>
  </conditionalFormatting>
  <conditionalFormatting sqref="K7">
    <cfRule type="cellIs" dxfId="4" priority="40" operator="lessThanOrEqual">
      <formula>G7</formula>
    </cfRule>
  </conditionalFormatting>
  <conditionalFormatting sqref="K8">
    <cfRule type="cellIs" dxfId="4" priority="45" operator="lessThanOrEqual">
      <formula>G8</formula>
    </cfRule>
  </conditionalFormatting>
  <conditionalFormatting sqref="K9">
    <cfRule type="cellIs" dxfId="4" priority="50" operator="lessThanOrEqual">
      <formula>G9</formula>
    </cfRule>
  </conditionalFormatting>
  <conditionalFormatting sqref="M10">
    <cfRule type="cellIs" dxfId="1" priority="93" operator="equal">
      <formula>0</formula>
    </cfRule>
    <cfRule type="cellIs" dxfId="2" priority="94" operator="lessThan">
      <formula>E10</formula>
    </cfRule>
  </conditionalFormatting>
  <conditionalFormatting sqref="M12">
    <cfRule type="cellIs" dxfId="1" priority="99" operator="equal">
      <formula>0</formula>
    </cfRule>
    <cfRule type="cellIs" dxfId="2" priority="100" operator="lessThan">
      <formula>E12</formula>
    </cfRule>
  </conditionalFormatting>
  <conditionalFormatting sqref="M13">
    <cfRule type="cellIs" dxfId="1" priority="104" operator="equal">
      <formula>0</formula>
    </cfRule>
    <cfRule type="cellIs" dxfId="2" priority="105" operator="lessThan">
      <formula>E13</formula>
    </cfRule>
  </conditionalFormatting>
  <conditionalFormatting sqref="M14">
    <cfRule type="cellIs" dxfId="1" priority="109" operator="equal">
      <formula>0</formula>
    </cfRule>
    <cfRule type="cellIs" dxfId="2" priority="110" operator="lessThan">
      <formula>E14</formula>
    </cfRule>
  </conditionalFormatting>
  <conditionalFormatting sqref="M15">
    <cfRule type="cellIs" dxfId="1" priority="114" operator="equal">
      <formula>0</formula>
    </cfRule>
    <cfRule type="cellIs" dxfId="2" priority="115" operator="lessThan">
      <formula>E15</formula>
    </cfRule>
  </conditionalFormatting>
  <conditionalFormatting sqref="M7">
    <cfRule type="cellIs" dxfId="1" priority="77" operator="equal">
      <formula>0</formula>
    </cfRule>
    <cfRule type="cellIs" dxfId="2" priority="78" operator="lessThan">
      <formula>E7</formula>
    </cfRule>
  </conditionalFormatting>
  <conditionalFormatting sqref="M8">
    <cfRule type="cellIs" dxfId="1" priority="82" operator="equal">
      <formula>0</formula>
    </cfRule>
    <cfRule type="cellIs" dxfId="2" priority="83" operator="lessThan">
      <formula>E8</formula>
    </cfRule>
  </conditionalFormatting>
  <conditionalFormatting sqref="M9">
    <cfRule type="cellIs" dxfId="1" priority="87" operator="equal">
      <formula>0</formula>
    </cfRule>
    <cfRule type="cellIs" dxfId="2" priority="88" operator="lessThan">
      <formula>E9</formula>
    </cfRule>
  </conditionalFormatting>
  <conditionalFormatting sqref="N10">
    <cfRule type="expression" dxfId="3" priority="95">
      <formula>AND(N10&gt;0,N10&lt;5)</formula>
    </cfRule>
    <cfRule type="cellIs" dxfId="1" priority="96" operator="greaterThan">
      <formula>M10</formula>
    </cfRule>
  </conditionalFormatting>
  <conditionalFormatting sqref="N12">
    <cfRule type="cellIs" dxfId="1" priority="101" operator="greaterThan">
      <formula>M12</formula>
    </cfRule>
  </conditionalFormatting>
  <conditionalFormatting sqref="N13">
    <cfRule type="cellIs" dxfId="1" priority="106" operator="greaterThan">
      <formula>M13</formula>
    </cfRule>
  </conditionalFormatting>
  <conditionalFormatting sqref="N14">
    <cfRule type="cellIs" dxfId="1" priority="111" operator="greaterThan">
      <formula>M14</formula>
    </cfRule>
  </conditionalFormatting>
  <conditionalFormatting sqref="N15">
    <cfRule type="expression" dxfId="3" priority="116">
      <formula>AND(N15&gt;0,N15&lt;5)</formula>
    </cfRule>
    <cfRule type="cellIs" dxfId="1" priority="117" operator="greaterThan">
      <formula>M15</formula>
    </cfRule>
  </conditionalFormatting>
  <conditionalFormatting sqref="N7">
    <cfRule type="cellIs" dxfId="1" priority="79" operator="greaterThan">
      <formula>M7</formula>
    </cfRule>
  </conditionalFormatting>
  <conditionalFormatting sqref="N8">
    <cfRule type="cellIs" dxfId="1" priority="84" operator="greaterThan">
      <formula>M8</formula>
    </cfRule>
  </conditionalFormatting>
  <conditionalFormatting sqref="N9">
    <cfRule type="expression" dxfId="3" priority="89">
      <formula>AND(N9&gt;0,N9&lt;1300)</formula>
    </cfRule>
    <cfRule type="cellIs" dxfId="1" priority="90" operator="greaterThan">
      <formula>M9</formula>
    </cfRule>
  </conditionalFormatting>
  <conditionalFormatting sqref="O10">
    <cfRule type="cellIs" dxfId="4" priority="98" operator="lessThanOrEqual">
      <formula>F10</formula>
    </cfRule>
  </conditionalFormatting>
  <conditionalFormatting sqref="O12">
    <cfRule type="cellIs" dxfId="4" priority="103" operator="lessThanOrEqual">
      <formula>F12</formula>
    </cfRule>
  </conditionalFormatting>
  <conditionalFormatting sqref="O13">
    <cfRule type="cellIs" dxfId="4" priority="108" operator="lessThanOrEqual">
      <formula>F13</formula>
    </cfRule>
  </conditionalFormatting>
  <conditionalFormatting sqref="O14">
    <cfRule type="cellIs" dxfId="4" priority="113" operator="lessThanOrEqual">
      <formula>F14</formula>
    </cfRule>
  </conditionalFormatting>
  <conditionalFormatting sqref="O15">
    <cfRule type="cellIs" dxfId="4" priority="119" operator="lessThanOrEqual">
      <formula>F15</formula>
    </cfRule>
  </conditionalFormatting>
  <conditionalFormatting sqref="O7">
    <cfRule type="cellIs" dxfId="4" priority="81" operator="lessThanOrEqual">
      <formula>F7</formula>
    </cfRule>
  </conditionalFormatting>
  <conditionalFormatting sqref="O8">
    <cfRule type="cellIs" dxfId="4" priority="86" operator="lessThanOrEqual">
      <formula>F8</formula>
    </cfRule>
  </conditionalFormatting>
  <conditionalFormatting sqref="O9">
    <cfRule type="cellIs" dxfId="4" priority="92" operator="lessThanOrEqual">
      <formula>F9</formula>
    </cfRule>
  </conditionalFormatting>
  <conditionalFormatting sqref="P10">
    <cfRule type="cellIs" dxfId="4" priority="97" operator="lessThanOrEqual">
      <formula>G10</formula>
    </cfRule>
  </conditionalFormatting>
  <conditionalFormatting sqref="P12">
    <cfRule type="cellIs" dxfId="4" priority="102" operator="lessThanOrEqual">
      <formula>G12</formula>
    </cfRule>
  </conditionalFormatting>
  <conditionalFormatting sqref="P13">
    <cfRule type="cellIs" dxfId="4" priority="107" operator="lessThanOrEqual">
      <formula>G13</formula>
    </cfRule>
  </conditionalFormatting>
  <conditionalFormatting sqref="P14">
    <cfRule type="cellIs" dxfId="4" priority="112" operator="lessThanOrEqual">
      <formula>G14</formula>
    </cfRule>
  </conditionalFormatting>
  <conditionalFormatting sqref="P15">
    <cfRule type="cellIs" dxfId="4" priority="118" operator="lessThanOrEqual">
      <formula>G15</formula>
    </cfRule>
  </conditionalFormatting>
  <conditionalFormatting sqref="P7">
    <cfRule type="cellIs" dxfId="4" priority="80" operator="lessThanOrEqual">
      <formula>G7</formula>
    </cfRule>
  </conditionalFormatting>
  <conditionalFormatting sqref="P8">
    <cfRule type="cellIs" dxfId="4" priority="85" operator="lessThanOrEqual">
      <formula>G8</formula>
    </cfRule>
  </conditionalFormatting>
  <conditionalFormatting sqref="P9">
    <cfRule type="cellIs" dxfId="4" priority="91" operator="lessThanOrEqual">
      <formula>G9</formula>
    </cfRule>
  </conditionalFormatting>
  <conditionalFormatting sqref="R10">
    <cfRule type="cellIs" dxfId="1" priority="135" operator="equal">
      <formula>0</formula>
    </cfRule>
    <cfRule type="cellIs" dxfId="2" priority="136" operator="lessThan">
      <formula>E10</formula>
    </cfRule>
  </conditionalFormatting>
  <conditionalFormatting sqref="R12">
    <cfRule type="cellIs" dxfId="1" priority="140" operator="equal">
      <formula>0</formula>
    </cfRule>
    <cfRule type="cellIs" dxfId="2" priority="141" operator="lessThan">
      <formula>E12</formula>
    </cfRule>
  </conditionalFormatting>
  <conditionalFormatting sqref="R13">
    <cfRule type="cellIs" dxfId="1" priority="145" operator="equal">
      <formula>0</formula>
    </cfRule>
    <cfRule type="cellIs" dxfId="2" priority="146" operator="lessThan">
      <formula>E13</formula>
    </cfRule>
  </conditionalFormatting>
  <conditionalFormatting sqref="R14">
    <cfRule type="cellIs" dxfId="1" priority="150" operator="equal">
      <formula>0</formula>
    </cfRule>
    <cfRule type="cellIs" dxfId="2" priority="151" operator="lessThan">
      <formula>E14</formula>
    </cfRule>
  </conditionalFormatting>
  <conditionalFormatting sqref="R15">
    <cfRule type="cellIs" dxfId="1" priority="156" operator="equal">
      <formula>0</formula>
    </cfRule>
    <cfRule type="cellIs" dxfId="2" priority="157" operator="lessThan">
      <formula>E15</formula>
    </cfRule>
  </conditionalFormatting>
  <conditionalFormatting sqref="R7">
    <cfRule type="cellIs" dxfId="1" priority="120" operator="equal">
      <formula>0</formula>
    </cfRule>
    <cfRule type="cellIs" dxfId="2" priority="121" operator="lessThan">
      <formula>E7</formula>
    </cfRule>
  </conditionalFormatting>
  <conditionalFormatting sqref="R8">
    <cfRule type="cellIs" dxfId="1" priority="125" operator="equal">
      <formula>0</formula>
    </cfRule>
    <cfRule type="cellIs" dxfId="2" priority="126" operator="lessThan">
      <formula>E8</formula>
    </cfRule>
  </conditionalFormatting>
  <conditionalFormatting sqref="R9">
    <cfRule type="cellIs" dxfId="1" priority="130" operator="equal">
      <formula>0</formula>
    </cfRule>
    <cfRule type="cellIs" dxfId="2" priority="131" operator="lessThan">
      <formula>E9</formula>
    </cfRule>
  </conditionalFormatting>
  <conditionalFormatting sqref="S10">
    <cfRule type="cellIs" dxfId="1" priority="137" operator="greaterThan">
      <formula>R10</formula>
    </cfRule>
  </conditionalFormatting>
  <conditionalFormatting sqref="S12">
    <cfRule type="cellIs" dxfId="1" priority="142" operator="greaterThan">
      <formula>R12</formula>
    </cfRule>
  </conditionalFormatting>
  <conditionalFormatting sqref="S13">
    <cfRule type="cellIs" dxfId="1" priority="147" operator="greaterThan">
      <formula>R13</formula>
    </cfRule>
  </conditionalFormatting>
  <conditionalFormatting sqref="S14">
    <cfRule type="expression" dxfId="3" priority="152">
      <formula>AND(S14&gt;0,S14&lt;7000)</formula>
    </cfRule>
    <cfRule type="cellIs" dxfId="1" priority="153" operator="greaterThan">
      <formula>R14</formula>
    </cfRule>
  </conditionalFormatting>
  <conditionalFormatting sqref="S15">
    <cfRule type="cellIs" dxfId="1" priority="158" operator="greaterThan">
      <formula>R15</formula>
    </cfRule>
  </conditionalFormatting>
  <conditionalFormatting sqref="S7">
    <cfRule type="cellIs" dxfId="1" priority="122" operator="greaterThan">
      <formula>R7</formula>
    </cfRule>
  </conditionalFormatting>
  <conditionalFormatting sqref="S8">
    <cfRule type="cellIs" dxfId="1" priority="127" operator="greaterThan">
      <formula>R8</formula>
    </cfRule>
  </conditionalFormatting>
  <conditionalFormatting sqref="S9">
    <cfRule type="cellIs" dxfId="1" priority="132" operator="greaterThan">
      <formula>R9</formula>
    </cfRule>
  </conditionalFormatting>
  <conditionalFormatting sqref="T10">
    <cfRule type="cellIs" dxfId="4" priority="139" operator="lessThanOrEqual">
      <formula>F10</formula>
    </cfRule>
  </conditionalFormatting>
  <conditionalFormatting sqref="T12">
    <cfRule type="cellIs" dxfId="4" priority="144" operator="lessThanOrEqual">
      <formula>F12</formula>
    </cfRule>
  </conditionalFormatting>
  <conditionalFormatting sqref="T13">
    <cfRule type="cellIs" dxfId="4" priority="149" operator="lessThanOrEqual">
      <formula>F13</formula>
    </cfRule>
  </conditionalFormatting>
  <conditionalFormatting sqref="T14">
    <cfRule type="cellIs" dxfId="4" priority="155" operator="lessThanOrEqual">
      <formula>F14</formula>
    </cfRule>
  </conditionalFormatting>
  <conditionalFormatting sqref="T15">
    <cfRule type="cellIs" dxfId="4" priority="160" operator="lessThanOrEqual">
      <formula>F15</formula>
    </cfRule>
  </conditionalFormatting>
  <conditionalFormatting sqref="T7">
    <cfRule type="cellIs" dxfId="4" priority="124" operator="lessThanOrEqual">
      <formula>F7</formula>
    </cfRule>
  </conditionalFormatting>
  <conditionalFormatting sqref="T8">
    <cfRule type="cellIs" dxfId="4" priority="129" operator="lessThanOrEqual">
      <formula>F8</formula>
    </cfRule>
  </conditionalFormatting>
  <conditionalFormatting sqref="T9">
    <cfRule type="cellIs" dxfId="4" priority="134" operator="lessThanOrEqual">
      <formula>F9</formula>
    </cfRule>
  </conditionalFormatting>
  <conditionalFormatting sqref="U10">
    <cfRule type="cellIs" dxfId="4" priority="138" operator="lessThanOrEqual">
      <formula>G10</formula>
    </cfRule>
  </conditionalFormatting>
  <conditionalFormatting sqref="U12">
    <cfRule type="cellIs" dxfId="4" priority="143" operator="lessThanOrEqual">
      <formula>G12</formula>
    </cfRule>
  </conditionalFormatting>
  <conditionalFormatting sqref="U13">
    <cfRule type="cellIs" dxfId="4" priority="148" operator="lessThanOrEqual">
      <formula>G13</formula>
    </cfRule>
  </conditionalFormatting>
  <conditionalFormatting sqref="U14">
    <cfRule type="cellIs" dxfId="4" priority="154" operator="lessThanOrEqual">
      <formula>G14</formula>
    </cfRule>
  </conditionalFormatting>
  <conditionalFormatting sqref="U15">
    <cfRule type="cellIs" dxfId="4" priority="159" operator="lessThanOrEqual">
      <formula>G15</formula>
    </cfRule>
  </conditionalFormatting>
  <conditionalFormatting sqref="U7">
    <cfRule type="cellIs" dxfId="4" priority="123" operator="lessThanOrEqual">
      <formula>G7</formula>
    </cfRule>
  </conditionalFormatting>
  <conditionalFormatting sqref="U8">
    <cfRule type="cellIs" dxfId="4" priority="128" operator="lessThanOrEqual">
      <formula>G8</formula>
    </cfRule>
  </conditionalFormatting>
  <conditionalFormatting sqref="U9">
    <cfRule type="cellIs" dxfId="4" priority="133" operator="lessThanOrEqual">
      <formula>G9</formula>
    </cfRule>
  </conditionalFormatting>
  <conditionalFormatting sqref="W10">
    <cfRule type="cellIs" dxfId="1" priority="161" operator="equal">
      <formula>0</formula>
    </cfRule>
    <cfRule type="cellIs" dxfId="2" priority="162" operator="lessThan">
      <formula>E10</formula>
    </cfRule>
  </conditionalFormatting>
  <conditionalFormatting sqref="W12">
    <cfRule type="cellIs" dxfId="1" priority="167" operator="equal">
      <formula>0</formula>
    </cfRule>
    <cfRule type="cellIs" dxfId="2" priority="168" operator="lessThan">
      <formula>E12</formula>
    </cfRule>
  </conditionalFormatting>
  <conditionalFormatting sqref="W13">
    <cfRule type="cellIs" dxfId="1" priority="173" operator="equal">
      <formula>0</formula>
    </cfRule>
    <cfRule type="cellIs" dxfId="2" priority="174" operator="lessThan">
      <formula>E13</formula>
    </cfRule>
  </conditionalFormatting>
  <conditionalFormatting sqref="W14">
    <cfRule type="cellIs" dxfId="1" priority="179" operator="equal">
      <formula>0</formula>
    </cfRule>
    <cfRule type="cellIs" dxfId="2" priority="180" operator="lessThan">
      <formula>E14</formula>
    </cfRule>
  </conditionalFormatting>
  <conditionalFormatting sqref="X10">
    <cfRule type="expression" dxfId="3" priority="163">
      <formula>AND(X10&gt;0,X10&lt;25)</formula>
    </cfRule>
    <cfRule type="cellIs" dxfId="1" priority="164" operator="greaterThan">
      <formula>W10</formula>
    </cfRule>
  </conditionalFormatting>
  <conditionalFormatting sqref="X12">
    <cfRule type="expression" dxfId="3" priority="169">
      <formula>AND(X12&gt;0,X12&lt;10)</formula>
    </cfRule>
    <cfRule type="cellIs" dxfId="1" priority="170" operator="greaterThan">
      <formula>W12</formula>
    </cfRule>
  </conditionalFormatting>
  <conditionalFormatting sqref="X13">
    <cfRule type="expression" dxfId="3" priority="175">
      <formula>AND(X13&gt;0,X13&lt;10)</formula>
    </cfRule>
    <cfRule type="cellIs" dxfId="1" priority="176" operator="greaterThan">
      <formula>W13</formula>
    </cfRule>
  </conditionalFormatting>
  <conditionalFormatting sqref="X14">
    <cfRule type="expression" dxfId="3" priority="181">
      <formula>AND(X14&gt;0,X14&lt;100)</formula>
    </cfRule>
    <cfRule type="cellIs" dxfId="1" priority="182" operator="greaterThan">
      <formula>W14</formula>
    </cfRule>
  </conditionalFormatting>
  <conditionalFormatting sqref="Y10">
    <cfRule type="cellIs" dxfId="4" priority="166" operator="lessThanOrEqual">
      <formula>F10</formula>
    </cfRule>
  </conditionalFormatting>
  <conditionalFormatting sqref="Y12">
    <cfRule type="cellIs" dxfId="4" priority="172" operator="lessThanOrEqual">
      <formula>F12</formula>
    </cfRule>
  </conditionalFormatting>
  <conditionalFormatting sqref="Y13">
    <cfRule type="cellIs" dxfId="4" priority="178" operator="lessThanOrEqual">
      <formula>F13</formula>
    </cfRule>
  </conditionalFormatting>
  <conditionalFormatting sqref="Y14">
    <cfRule type="cellIs" dxfId="4" priority="184" operator="lessThanOrEqual">
      <formula>F14</formula>
    </cfRule>
  </conditionalFormatting>
  <conditionalFormatting sqref="Z10">
    <cfRule type="cellIs" dxfId="4" priority="165" operator="lessThanOrEqual">
      <formula>G10</formula>
    </cfRule>
  </conditionalFormatting>
  <conditionalFormatting sqref="Z12">
    <cfRule type="cellIs" dxfId="4" priority="171" operator="lessThanOrEqual">
      <formula>G12</formula>
    </cfRule>
  </conditionalFormatting>
  <conditionalFormatting sqref="Z13">
    <cfRule type="cellIs" dxfId="4" priority="177" operator="lessThanOrEqual">
      <formula>G13</formula>
    </cfRule>
  </conditionalFormatting>
  <conditionalFormatting sqref="Z14">
    <cfRule type="cellIs" dxfId="4" priority="183" operator="lessThanOrEqual">
      <formula>G14</formula>
    </cfRule>
  </conditionalFormatting>
  <hyperlinks>
    <hyperlink ref="L7" r:id="rId1"/>
    <hyperlink ref="Q7" r:id="rId2"/>
    <hyperlink ref="V7" r:id="rId3"/>
    <hyperlink ref="L8" r:id="rId4"/>
    <hyperlink ref="Q8" r:id="rId5"/>
    <hyperlink ref="V8" r:id="rId6"/>
    <hyperlink ref="L9" r:id="rId7"/>
    <hyperlink ref="Q9" r:id="rId8"/>
    <hyperlink ref="V9" r:id="rId9"/>
    <hyperlink ref="L10" r:id="rId10"/>
    <hyperlink ref="Q10" r:id="rId11"/>
    <hyperlink ref="V10" r:id="rId12"/>
    <hyperlink ref="AA10" r:id="rId13"/>
    <hyperlink ref="L12" r:id="rId14"/>
    <hyperlink ref="Q12" r:id="rId15"/>
    <hyperlink ref="V12" r:id="rId16"/>
    <hyperlink ref="AA12" r:id="rId17"/>
    <hyperlink ref="L13" r:id="rId18"/>
    <hyperlink ref="Q13" r:id="rId19"/>
    <hyperlink ref="V13" r:id="rId20"/>
    <hyperlink ref="AA13" r:id="rId21"/>
    <hyperlink ref="L14" r:id="rId22"/>
    <hyperlink ref="Q14" r:id="rId23"/>
    <hyperlink ref="V14" r:id="rId24"/>
    <hyperlink ref="AA14" r:id="rId25"/>
    <hyperlink ref="L15" r:id="rId26"/>
    <hyperlink ref="Q15" r:id="rId27"/>
    <hyperlink ref="V15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cost. </vt:lpstr>
      <vt:lpstr>BoardQty</vt:lpstr>
      <vt:lpstr>digikey_part_data</vt:lpstr>
      <vt:lpstr>farnell_part_data</vt:lpstr>
      <vt:lpstr>global_part_data</vt:lpstr>
      <vt:lpstr>mouser_part_data</vt:lpstr>
      <vt:lpstr>PURCHASE_DESCRIPTION</vt:lpstr>
      <vt:lpstr>rs_part_data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2020-10-23T22:40:44Z</dcterms:created>
  <dcterms:modified xsi:type="dcterms:W3CDTF">2020-10-23T22:40:44Z</dcterms:modified>
</cp:coreProperties>
</file>