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. " sheetId="1" r:id="rId1"/>
  </sheets>
  <definedNames>
    <definedName name="BoardQty">'cost. '!$G$1</definedName>
    <definedName name="digikey_part_data">'cost. '!$H$5:$L$14</definedName>
    <definedName name="farnell_part_data">'cost. '!$M$5:$Q$14</definedName>
    <definedName name="global_part_data">'cost. '!$A$5:$G$14</definedName>
    <definedName name="mouser_part_data">'cost. '!$R$5:$V$14</definedName>
    <definedName name="PURCHASE_DESCRIPTION">'cost. '!$G$17</definedName>
    <definedName name="rs_part_data">'cost. '!$W$5:$AA$14</definedName>
    <definedName name="TotalCost">'cost. '!$G$3</definedName>
    <definedName name="USD_GBP">'cost. '!$C$17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Z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J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$8.99      $8.99
    25   $8.54    $213.51
    50   $8.09    $404.55
   100   $7.73    $773.15</t>
        </r>
      </text>
    </comment>
    <comment ref="O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£7.00      £7.00
     5   £6.66     £33.30
    10   £6.25     £62.50</t>
        </r>
      </text>
    </comment>
    <comment ref="T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$8.99      $8.99
    10   $8.63     $86.30
    50   $7.99    $399.50
   100   $7.76    $776.00
   250   $7.48  $1,870.00
   500   $7.19  $3,595.00</t>
        </r>
      </text>
    </comment>
    <comment ref="J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$4.79      $4.79
    25   $4.55    $113.76
    50   $4.31    $215.55
   100   $4.12    $411.94</t>
        </r>
      </text>
    </comment>
    <comment ref="O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£3.16      £3.16
     5   £3.00     £15.00
    10   £2.82     £28.20</t>
        </r>
      </text>
    </comment>
    <comment ref="T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$4.79      $4.79
    10   $4.61     $46.10
    50   $4.27    $213.50
   100   $4.14    $414.00
   250   $3.99    $997.50
   500   $3.84  $1,920.00</t>
        </r>
      </text>
    </comment>
    <comment ref="H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$0.57      $0.57
    10   $0.40      $4.02
    50   $0.30     $15.21
   100   $0.26     $26.50
   500   $0.20     $98.14
  1000   $0.17    $166.83
  2500   $0.16    $392.55
  5000   $0.15    $736.00</t>
        </r>
      </text>
    </comment>
    <comment ref="M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1300   £0.13    £163.80</t>
        </r>
      </text>
    </comment>
    <comment ref="T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$0.53      $0.53
    10   $0.37      $3.69
    50   $0.29     $14.55
   100   $0.25     $25.10
   250   $0.23     $56.50
   500   $0.19     $97.00</t>
        </r>
      </text>
    </comment>
    <comment ref="J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$0.16      $1.55
    50   $0.10      $5.18
   100   $0.09      $8.81
   500   $0.06     $31.08
  1000   $0.05     $54.39
  2000   $0.05    $103.60
  4000   $0.05    $191.68
 10000   $0.05    $453.30
 14000   $0.04    $601.86
 50000   $0.04  $1,942.50</t>
        </r>
      </text>
    </comment>
    <comment ref="O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£0.17      £0.85
    50   £0.09      £4.52
   250   £0.08     £18.80
   500   £0.06     £30.05
  1000   £0.05     £53.60
  2000   £0.05     £94.40
 10000   £0.04    £367.00</t>
        </r>
      </text>
    </comment>
    <comment ref="T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$0.30      $0.30
    10   $0.20      $2.04
   100   $0.12     $11.80
   500   $0.08     $42.50
  1000   $0.07     $67.00
  2000   $0.06    $120.00</t>
        </r>
      </text>
    </comment>
    <comment ref="Y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25   £0.18      £4.38
   625   £0.09     £56.25
  2500   £0.06    £160.00
 12500   £0.04    £500.00
 25000   £0.04  £1,000.00</t>
        </r>
      </text>
    </comment>
    <comment ref="J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$0.45      $4.48
   100   $0.31     $31.38
   500   $0.27    $134.51
  1000   $0.22    $224.18
  5000   $0.19    $960.75
 10000   $0.18  $1,793.40</t>
        </r>
      </text>
    </comment>
    <comment ref="O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£0.36      £0.36
    10   £0.29      £2.91
    50   £0.25     £12.50
   100   £0.21     £20.80
   500   £0.19     £95.50
  1000   £0.17    £174.00
  9600   £0.12  £1,180.80</t>
        </r>
      </text>
    </comment>
    <comment ref="T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$0.38      $3.75
   100   $0.27     $26.90
  1000   $0.22    $224.00
  2500   $0.19    $480.00
 10000   $0.18  $1,770.00</t>
        </r>
      </text>
    </comment>
    <comment ref="Y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£0.29      £2.94
   200   £0.26     £51.00
   750   £0.22    £168.75
  3000   £0.17    £501.00
  6000   £0.16    £942.00</t>
        </r>
      </text>
    </comment>
    <comment ref="J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$0.23      $2.33
    25   $0.20      $4.96
    50   $0.17      $8.68
   100   $0.16     $16.12
   250   $0.14     $35.65
   500   $0.14     $68.20
  1000   $0.11    $111.60
  2500   $0.10    $255.75</t>
        </r>
      </text>
    </comment>
    <comment ref="O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£0.19      £0.19
    10   £0.14      £1.35
    50   £0.12      £6.15
   100   £0.11     £11.00
   500   £0.10     £52.50
  1000   £0.09     £86.20</t>
        </r>
      </text>
    </comment>
    <comment ref="T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$0.17      $1.73
   100   $0.14     $14.20
   500   $0.14     $68.00
  1000   $0.11    $111.00
  2500   $0.10    $255.00</t>
        </r>
      </text>
    </comment>
    <comment ref="Y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£0.13      £1.34</t>
        </r>
      </text>
    </comment>
    <comment ref="J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$0.73      $0.73
    10   $0.64      $6.42
    25   $0.60     $14.91
    50   $0.50     $25.23
   100   $0.46     $45.88
   250   $0.43    $107.81
   500   $0.39    $192.68
  1000   $0.31    $311.95
  3000   $0.29    $880.80
  6000   $0.28  $1,706.58
 15000   $0.28  $4,128.75
 30000   $0.27  $7,982.40
 75000   $0.26 $19,267.50</t>
        </r>
      </text>
    </comment>
    <comment ref="M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£0.70      £3.47
    10   £0.70      £6.95
    50   £0.36     £18.15
   250   £0.27     £67.50
   500   £0.25    £124.50
  1500   £0.22    £337.50
  3000   £0.22    £657.00
 15000   £0.21  £3,180.00</t>
        </r>
      </text>
    </comment>
    <comment ref="R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$0.81      $0.81
    10   $0.64      $6.35
   100   $0.53     $52.70
   500   $0.44    $221.00
  1000   $0.36    $358.00
  3000   $0.28    $840.00</t>
        </r>
      </text>
    </comment>
    <comment ref="F16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1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1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1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17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<sst xmlns="http://schemas.openxmlformats.org/spreadsheetml/2006/main" count="132" uniqueCount="84">
  <si>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</si>
  <si>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</si>
  <si>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</si>
  <si>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</si>
  <si>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</si>
  <si>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</si>
  <si>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</si>
  <si>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</si>
  <si>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BP1,BP3</t>
  </si>
  <si>
    <t>Conn_01x01</t>
  </si>
  <si>
    <t>TestPoint_Keystone_5019_Minature</t>
  </si>
  <si>
    <t>4243-0</t>
  </si>
  <si>
    <t>BP5</t>
  </si>
  <si>
    <t>3760-5</t>
  </si>
  <si>
    <t>C603,C604</t>
  </si>
  <si>
    <t>4.7n</t>
  </si>
  <si>
    <t>C_Rect_L13.0mm_W5.0mm_P10.00mm_FKS3_FKP3_MKS4</t>
  </si>
  <si>
    <t>R413F147000M1K</t>
  </si>
  <si>
    <t>C605-C608</t>
  </si>
  <si>
    <t>220p</t>
  </si>
  <si>
    <t>C_Disc_D6.0mm_W4.4mm_P5.00mm</t>
  </si>
  <si>
    <t>F221K25Y5RN6UK5R</t>
  </si>
  <si>
    <t>J1</t>
  </si>
  <si>
    <t>TestPoint_THTPad_D2.0mm_Drill1.0mm</t>
  </si>
  <si>
    <t>433-028</t>
  </si>
  <si>
    <t>J615#1</t>
  </si>
  <si>
    <t>Conn_01x04_Male - p1/2</t>
  </si>
  <si>
    <t>Molex_KK-396_A-41791-0004_1x04_P3.96mm_Vertical</t>
  </si>
  <si>
    <t>26-60-4040</t>
  </si>
  <si>
    <t>J615#2</t>
  </si>
  <si>
    <t>Conn_01x04_Male - p2/2</t>
  </si>
  <si>
    <t>09-50-8041</t>
  </si>
  <si>
    <t>L601-L606</t>
  </si>
  <si>
    <t>150n</t>
  </si>
  <si>
    <t>L_1008_2520Metric</t>
  </si>
  <si>
    <t>TFM252012ALMAR15MTAA</t>
  </si>
  <si>
    <t>Total Purchase:</t>
  </si>
  <si>
    <t>Purchase description:</t>
  </si>
  <si>
    <t>Used currency rates:</t>
  </si>
  <si>
    <t>USD($)/GBP(£):</t>
  </si>
  <si>
    <t>Prj:</t>
  </si>
  <si>
    <t>HP 6632B Front Panel Binding Posts PCB</t>
  </si>
  <si>
    <t>Co.:</t>
  </si>
  <si>
    <t>Prj date:</t>
  </si>
  <si>
    <t>2020-10-24T00:36:55 CEST</t>
  </si>
  <si>
    <t>Board Qty:</t>
  </si>
  <si>
    <t>Total Cost:</t>
  </si>
  <si>
    <t>Unit Cost:</t>
  </si>
  <si>
    <t>$ date:</t>
  </si>
  <si>
    <t>2020-10-24 00:37:01</t>
  </si>
  <si>
    <t>Digi-Key</t>
  </si>
  <si>
    <t>Avail</t>
  </si>
  <si>
    <t>Purch</t>
  </si>
  <si>
    <t>Cat#</t>
  </si>
  <si>
    <t>501-1126-ND</t>
  </si>
  <si>
    <t>501-1506-ND</t>
  </si>
  <si>
    <t>399-R413F147000M1K-ND</t>
  </si>
  <si>
    <t>NonStk</t>
  </si>
  <si>
    <t>BC5218CT-ND</t>
  </si>
  <si>
    <t>WM4622-ND</t>
  </si>
  <si>
    <t>WM2124-ND</t>
  </si>
  <si>
    <t>445-181486-6-ND</t>
  </si>
  <si>
    <t>Farnell</t>
  </si>
  <si>
    <t>1776794</t>
  </si>
  <si>
    <t>2526709</t>
  </si>
  <si>
    <t>2936422</t>
  </si>
  <si>
    <t>1141786</t>
  </si>
  <si>
    <t>1675500</t>
  </si>
  <si>
    <t>2063781</t>
  </si>
  <si>
    <t>3386927</t>
  </si>
  <si>
    <t>Mouser</t>
  </si>
  <si>
    <t>56542430</t>
  </si>
  <si>
    <t>56537605</t>
  </si>
  <si>
    <t>80R413F147000M1K</t>
  </si>
  <si>
    <t>594F221K25Y5RN6UK5R</t>
  </si>
  <si>
    <t>53826604040</t>
  </si>
  <si>
    <t>53809508041</t>
  </si>
  <si>
    <t>810TFM252012ALMAR15</t>
  </si>
  <si>
    <t>RS Components</t>
  </si>
  <si>
    <t>6832109</t>
  </si>
  <si>
    <t>433028</t>
  </si>
  <si>
    <t>6795688</t>
  </si>
  <si>
    <t>6795155</t>
  </si>
  <si>
    <t>KiCost® v.1.1.3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</si>
</sst>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ctopart.com/click/track?ai=8078&amp;sig=0a90aab&amp;sid=459&amp;ppid=4643&amp;vpid=2117570&amp;ct=offers" TargetMode="External"/><Relationship Id="rId2" Type="http://schemas.openxmlformats.org/officeDocument/2006/relationships/hyperlink" Target="https://octopart.com/click/track?ai=8078&amp;sig=067b49e&amp;sid=11744&amp;ppid=4643&amp;vpid=244851217&amp;ct=offers" TargetMode="External"/><Relationship Id="rId3" Type="http://schemas.openxmlformats.org/officeDocument/2006/relationships/hyperlink" Target="https://octopart.com/click/track?ai=8078&amp;sig=0f32b47&amp;sid=2401&amp;ppid=4643&amp;vpid=37624159&amp;ct=offers" TargetMode="External"/><Relationship Id="rId4" Type="http://schemas.openxmlformats.org/officeDocument/2006/relationships/hyperlink" Target="https://octopart.com/click/track?ai=8078&amp;sig=045d43c&amp;sid=459&amp;ppid=4344&amp;vpid=73756040&amp;ct=offers" TargetMode="External"/><Relationship Id="rId5" Type="http://schemas.openxmlformats.org/officeDocument/2006/relationships/hyperlink" Target="https://octopart.com/click/track?c=1&amp;ai=8078&amp;sig=01b0675&amp;sid=819&amp;ppid=4344&amp;vpid=252651608&amp;ct=offers" TargetMode="External"/><Relationship Id="rId6" Type="http://schemas.openxmlformats.org/officeDocument/2006/relationships/hyperlink" Target="https://octopart.com/click/track?ai=8078&amp;sig=085903b&amp;sid=2401&amp;ppid=4344&amp;vpid=37624146&amp;ct=offers" TargetMode="External"/><Relationship Id="rId7" Type="http://schemas.openxmlformats.org/officeDocument/2006/relationships/hyperlink" Target="https://octopart.com/click/track?c=1&amp;ai=8078&amp;sig=04618e0&amp;sid=459&amp;ppid=47581591&amp;vpid=658234556&amp;ct=offers" TargetMode="External"/><Relationship Id="rId8" Type="http://schemas.openxmlformats.org/officeDocument/2006/relationships/hyperlink" Target="https://octopart.com/click/track?c=1&amp;ai=8078&amp;sig=0fe3621&amp;sid=819&amp;ppid=47581591&amp;vpid=508109143&amp;ct=offers" TargetMode="External"/><Relationship Id="rId9" Type="http://schemas.openxmlformats.org/officeDocument/2006/relationships/hyperlink" Target="https://octopart.com/click/track?ai=8078&amp;sig=0211026&amp;sid=2401&amp;ppid=47581591&amp;vpid=183940164&amp;ct=offers" TargetMode="External"/><Relationship Id="rId10" Type="http://schemas.openxmlformats.org/officeDocument/2006/relationships/hyperlink" Target="https://octopart.com/click/track?ai=8078&amp;sig=07a09b9&amp;sid=459&amp;ppid=44035972&amp;vpid=473063256&amp;ct=offers" TargetMode="External"/><Relationship Id="rId11" Type="http://schemas.openxmlformats.org/officeDocument/2006/relationships/hyperlink" Target="https://octopart.com/click/track?ai=8078&amp;sig=06fc5ce&amp;sid=819&amp;ppid=44035972&amp;vpid=249363899&amp;ct=offers" TargetMode="External"/><Relationship Id="rId12" Type="http://schemas.openxmlformats.org/officeDocument/2006/relationships/hyperlink" Target="https://octopart.com/click/track?ai=8078&amp;sig=040b8dd&amp;sid=2401&amp;ppid=44035972&amp;vpid=229658092&amp;ct=offers" TargetMode="External"/><Relationship Id="rId13" Type="http://schemas.openxmlformats.org/officeDocument/2006/relationships/hyperlink" Target="https://octopart.com/click/track?ai=8078&amp;sig=08edc31&amp;sid=10022&amp;ppid=44035972&amp;vpid=199183503&amp;ct=offers" TargetMode="External"/><Relationship Id="rId14" Type="http://schemas.openxmlformats.org/officeDocument/2006/relationships/hyperlink" Target="https://octopart.com/click/track?ai=8078&amp;sig=0ad9e18&amp;sid=459&amp;ppid=22928&amp;vpid=50127390&amp;ct=offers" TargetMode="External"/><Relationship Id="rId15" Type="http://schemas.openxmlformats.org/officeDocument/2006/relationships/hyperlink" Target="https://octopart.com/click/track?ai=8078&amp;sig=02668b3&amp;sid=11744&amp;ppid=22928&amp;vpid=132408833&amp;ct=offers" TargetMode="External"/><Relationship Id="rId16" Type="http://schemas.openxmlformats.org/officeDocument/2006/relationships/hyperlink" Target="https://octopart.com/click/track?ai=8078&amp;sig=02387ca&amp;sid=2401&amp;ppid=22928&amp;vpid=37606921&amp;ct=offers" TargetMode="External"/><Relationship Id="rId17" Type="http://schemas.openxmlformats.org/officeDocument/2006/relationships/hyperlink" Target="https://octopart.com/click/track?ai=8078&amp;sig=0d3d4d4&amp;sid=10022&amp;ppid=22928&amp;vpid=199067324&amp;ct=offers" TargetMode="External"/><Relationship Id="rId18" Type="http://schemas.openxmlformats.org/officeDocument/2006/relationships/hyperlink" Target="https://octopart.com/click/track?ai=8078&amp;sig=06372b6&amp;sid=459&amp;ppid=16046&amp;vpid=81185242&amp;ct=offers" TargetMode="External"/><Relationship Id="rId19" Type="http://schemas.openxmlformats.org/officeDocument/2006/relationships/hyperlink" Target="https://octopart.com/click/track?ai=8078&amp;sig=046e169&amp;sid=11744&amp;ppid=16046&amp;vpid=132405728&amp;ct=offers" TargetMode="External"/><Relationship Id="rId20" Type="http://schemas.openxmlformats.org/officeDocument/2006/relationships/hyperlink" Target="https://octopart.com/click/track?ai=8078&amp;sig=0e19590&amp;sid=2401&amp;ppid=16046&amp;vpid=37607035&amp;ct=offers" TargetMode="External"/><Relationship Id="rId21" Type="http://schemas.openxmlformats.org/officeDocument/2006/relationships/hyperlink" Target="https://octopart.com/click/track?ai=8078&amp;sig=0e00586&amp;sid=10022&amp;ppid=16046&amp;vpid=199066354&amp;ct=offers" TargetMode="External"/><Relationship Id="rId22" Type="http://schemas.openxmlformats.org/officeDocument/2006/relationships/hyperlink" Target="https://octopart.com/click/track?ai=8078&amp;sig=03f25a8&amp;sid=459&amp;ppid=98282407&amp;vpid=524191933&amp;ct=offers" TargetMode="External"/><Relationship Id="rId23" Type="http://schemas.openxmlformats.org/officeDocument/2006/relationships/hyperlink" Target="https://octopart.com/click/track?c=1&amp;ai=8078&amp;sig=07f3955&amp;sid=11744&amp;ppid=98282407&amp;vpid=627050473&amp;ct=offers" TargetMode="External"/><Relationship Id="rId24" Type="http://schemas.openxmlformats.org/officeDocument/2006/relationships/hyperlink" Target="https://octopart.com/click/track?c=1&amp;ai=8078&amp;sig=0c0b7bf&amp;sid=2401&amp;ppid=98282407&amp;vpid=523500412&amp;ct=offers" TargetMode="External"/><Relationship Id="rId25" Type="http://schemas.openxmlformats.org/officeDocument/2006/relationships/vmlDrawing" Target="../drawings/vmlDrawing1.vml"/><Relationship Id="rId26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4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1"/>
    <col min="5" max="5" width="9.140625" outlineLevel="1"/>
    <col min="6" max="6" width="9.140625"/>
    <col min="7" max="7" width="15.7109375" customWidth="1"/>
    <col min="8" max="8" width="9.140625" outlineLevel="1"/>
    <col min="9" max="9" width="9.140625" outlineLevel="2"/>
    <col min="10" max="10" width="9.140625" outlineLevel="2"/>
    <col min="11" max="11" width="15.7109375" customWidth="1"/>
    <col min="12" max="12" width="15.7109375" customWidth="1" outlineLevel="2"/>
    <col min="13" max="13" width="9.140625" outlineLevel="1"/>
    <col min="14" max="14" width="9.140625" outlineLevel="2"/>
    <col min="15" max="15" width="9.140625" outlineLevel="2"/>
    <col min="16" max="16" width="15.7109375" customWidth="1"/>
    <col min="17" max="17" width="15.7109375" customWidth="1" outlineLevel="2"/>
    <col min="18" max="18" width="9.140625" outlineLevel="1"/>
    <col min="19" max="19" width="9.140625" outlineLevel="2"/>
    <col min="20" max="20" width="9.140625" outlineLevel="2"/>
    <col min="21" max="21" width="15.7109375" customWidth="1"/>
    <col min="22" max="22" width="15.7109375" customWidth="1" outlineLevel="2"/>
    <col min="23" max="23" width="9.140625" outlineLevel="1"/>
    <col min="24" max="24" width="9.140625" outlineLevel="2"/>
    <col min="25" max="25" width="9.140625" outlineLevel="2"/>
    <col min="26" max="26" width="15.7109375" customWidth="1"/>
    <col min="27" max="27" width="15.7109375" customWidth="1" outlineLevel="2"/>
  </cols>
  <sheetData>
    <row r="1" spans="1:27">
      <c r="A1" s="1" t="s">
        <v>40</v>
      </c>
      <c r="B1" s="2" t="s">
        <v>41</v>
      </c>
      <c r="F1" s="3" t="s">
        <v>45</v>
      </c>
      <c r="G1" s="3">
        <v>100</v>
      </c>
    </row>
    <row r="2" spans="1:27">
      <c r="A2" s="1" t="s">
        <v>42</v>
      </c>
      <c r="B2" s="2"/>
      <c r="F2" s="1" t="s">
        <v>47</v>
      </c>
      <c r="G2" s="4">
        <f>TotalCost/BoardQty</f>
        <v>0</v>
      </c>
    </row>
    <row r="3" spans="1:27">
      <c r="A3" s="1" t="s">
        <v>43</v>
      </c>
      <c r="B3" s="2" t="s">
        <v>44</v>
      </c>
      <c r="F3" s="1" t="s">
        <v>46</v>
      </c>
      <c r="G3" s="5">
        <f>SUM(G7:G14)</f>
        <v>0</v>
      </c>
      <c r="K3" s="5">
        <f>SUM(K7:K14)</f>
        <v>0</v>
      </c>
      <c r="L3" s="6">
        <f>(COUNTA(K7:K14)&amp;" of "&amp;ROWS(K7:K14)&amp;" parts found"</f>
        <v>0</v>
      </c>
      <c r="P3" s="5">
        <f>SUM(P7:P14)</f>
        <v>0</v>
      </c>
      <c r="Q3" s="6">
        <f>(COUNTA(P7:P14)&amp;" of "&amp;ROWS(P7:P14)&amp;" parts found"</f>
        <v>0</v>
      </c>
      <c r="U3" s="5">
        <f>SUM(U7:U14)</f>
        <v>0</v>
      </c>
      <c r="V3" s="6">
        <f>(COUNTA(U7:U14)&amp;" of "&amp;ROWS(U7:U14)&amp;" parts found"</f>
        <v>0</v>
      </c>
      <c r="Z3" s="5">
        <f>SUM(Z7:Z14)</f>
        <v>0</v>
      </c>
      <c r="AA3" s="6">
        <f>(COUNTA(Z7:Z14)&amp;" of "&amp;ROWS(Z7:Z14)&amp;" parts found"</f>
        <v>0</v>
      </c>
    </row>
    <row r="4" spans="1:27">
      <c r="A4" s="1" t="s">
        <v>48</v>
      </c>
      <c r="B4" s="2" t="s">
        <v>49</v>
      </c>
    </row>
    <row r="5" spans="1:27">
      <c r="A5" s="7" t="s">
        <v>0</v>
      </c>
      <c r="B5" s="7"/>
      <c r="C5" s="7"/>
      <c r="D5" s="7"/>
      <c r="E5" s="7"/>
      <c r="F5" s="7"/>
      <c r="G5" s="7"/>
      <c r="H5" s="8" t="s">
        <v>50</v>
      </c>
      <c r="I5" s="8"/>
      <c r="J5" s="8"/>
      <c r="K5" s="8"/>
      <c r="L5" s="8"/>
      <c r="M5" s="9" t="s">
        <v>62</v>
      </c>
      <c r="N5" s="9"/>
      <c r="O5" s="9"/>
      <c r="P5" s="9"/>
      <c r="Q5" s="9"/>
      <c r="R5" s="10" t="s">
        <v>70</v>
      </c>
      <c r="S5" s="10"/>
      <c r="T5" s="10"/>
      <c r="U5" s="10"/>
      <c r="V5" s="10"/>
      <c r="W5" s="11" t="s">
        <v>78</v>
      </c>
      <c r="X5" s="11"/>
      <c r="Y5" s="11"/>
      <c r="Z5" s="11"/>
      <c r="AA5" s="11"/>
    </row>
    <row r="6" spans="1:27">
      <c r="A6" s="12" t="s">
        <v>1</v>
      </c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51</v>
      </c>
      <c r="I6" s="12" t="s">
        <v>52</v>
      </c>
      <c r="J6" s="12" t="s">
        <v>6</v>
      </c>
      <c r="K6" s="12" t="s">
        <v>7</v>
      </c>
      <c r="L6" s="12" t="s">
        <v>53</v>
      </c>
      <c r="M6" s="12" t="s">
        <v>51</v>
      </c>
      <c r="N6" s="12" t="s">
        <v>52</v>
      </c>
      <c r="O6" s="12" t="s">
        <v>6</v>
      </c>
      <c r="P6" s="12" t="s">
        <v>7</v>
      </c>
      <c r="Q6" s="12" t="s">
        <v>53</v>
      </c>
      <c r="R6" s="12" t="s">
        <v>51</v>
      </c>
      <c r="S6" s="12" t="s">
        <v>52</v>
      </c>
      <c r="T6" s="12" t="s">
        <v>6</v>
      </c>
      <c r="U6" s="12" t="s">
        <v>7</v>
      </c>
      <c r="V6" s="12" t="s">
        <v>53</v>
      </c>
      <c r="W6" s="12" t="s">
        <v>51</v>
      </c>
      <c r="X6" s="12" t="s">
        <v>52</v>
      </c>
      <c r="Y6" s="12" t="s">
        <v>6</v>
      </c>
      <c r="Z6" s="12" t="s">
        <v>7</v>
      </c>
      <c r="AA6" s="12" t="s">
        <v>53</v>
      </c>
    </row>
    <row r="7" spans="1:27">
      <c r="A7" s="13" t="s">
        <v>8</v>
      </c>
      <c r="B7" s="13" t="s">
        <v>9</v>
      </c>
      <c r="C7" s="13" t="s">
        <v>10</v>
      </c>
      <c r="D7" s="13" t="s">
        <v>11</v>
      </c>
      <c r="E7" s="13">
        <f>BoardQty*2</f>
        <v>0</v>
      </c>
      <c r="F7" s="14">
        <f>MINA(INDIRECT(ADDRESS(ROW(),COLUMN(digikey_part_data)+2)),INDIRECT(ADDRESS(ROW(),COLUMN(farnell_part_data)+2)),INDIRECT(ADDRESS(ROW(),COLUMN(mouser_part_data)+2)),INDIRECT(ADDRESS(ROW(),COLUMN(rs_part_data)+2)))</f>
        <v>0</v>
      </c>
      <c r="G7" s="14">
        <f>iferror(E7*F7,"")</f>
        <v>0</v>
      </c>
      <c r="H7" s="13">
        <v>616</v>
      </c>
      <c r="J7" s="14">
        <f>iferror(lookup(if(I7="",E7,I7),{0,1,25,50,100},{0.0,8.99,8.5404,8.091,7.7315}),"")</f>
        <v>0</v>
      </c>
      <c r="K7" s="14">
        <f>iferror(if(I7="",E7,I7)*J7,"")</f>
        <v>0</v>
      </c>
      <c r="L7" s="15" t="s">
        <v>54</v>
      </c>
      <c r="M7" s="13">
        <v>82</v>
      </c>
      <c r="O7" s="14">
        <f>iferror(USD_GBP*lookup(if(N7="",E7,N7),{0,1,5,10},{0.0,7.0,6.66,6.25}),"")</f>
        <v>0</v>
      </c>
      <c r="P7" s="14">
        <f>iferror(if(N7="",E7,N7)*O7,"")</f>
        <v>0</v>
      </c>
      <c r="Q7" s="15" t="s">
        <v>63</v>
      </c>
      <c r="R7" s="13">
        <v>774</v>
      </c>
      <c r="T7" s="14">
        <f>iferror(lookup(if(S7="",E7,S7),{0,1,10,50,100,250,500},{0.0,8.99,8.63,7.99,7.76,7.48,7.19}),"")</f>
        <v>0</v>
      </c>
      <c r="U7" s="14">
        <f>iferror(if(S7="",E7,S7)*T7,"")</f>
        <v>0</v>
      </c>
      <c r="V7" s="15" t="s">
        <v>71</v>
      </c>
    </row>
    <row r="8" spans="1:27">
      <c r="A8" s="13" t="s">
        <v>12</v>
      </c>
      <c r="B8" s="13" t="s">
        <v>9</v>
      </c>
      <c r="C8" s="13" t="s">
        <v>10</v>
      </c>
      <c r="D8" s="13" t="s">
        <v>13</v>
      </c>
      <c r="E8" s="13">
        <f>BoardQty*1</f>
        <v>0</v>
      </c>
      <c r="F8" s="14">
        <f>MINA(INDIRECT(ADDRESS(ROW(),COLUMN(digikey_part_data)+2)),INDIRECT(ADDRESS(ROW(),COLUMN(farnell_part_data)+2)),INDIRECT(ADDRESS(ROW(),COLUMN(mouser_part_data)+2)),INDIRECT(ADDRESS(ROW(),COLUMN(rs_part_data)+2)))</f>
        <v>0</v>
      </c>
      <c r="G8" s="14">
        <f>iferror(E8*F8,"")</f>
        <v>0</v>
      </c>
      <c r="H8" s="13">
        <v>516</v>
      </c>
      <c r="J8" s="14">
        <f>iferror(lookup(if(I8="",E8,I8),{0,1,25,50,100},{0.0,4.79,4.5504,4.311,4.1194}),"")</f>
        <v>0</v>
      </c>
      <c r="K8" s="14">
        <f>iferror(if(I8="",E8,I8)*J8,"")</f>
        <v>0</v>
      </c>
      <c r="L8" s="15" t="s">
        <v>55</v>
      </c>
      <c r="M8" s="13">
        <v>3</v>
      </c>
      <c r="O8" s="14">
        <f>iferror(USD_GBP*lookup(if(N8="",E8,N8),{0,1,5,10},{0.0,3.16,3.0,2.82}),"")</f>
        <v>0</v>
      </c>
      <c r="P8" s="14">
        <f>iferror(if(N8="",E8,N8)*O8,"")</f>
        <v>0</v>
      </c>
      <c r="Q8" s="15" t="s">
        <v>64</v>
      </c>
      <c r="R8" s="13">
        <v>303</v>
      </c>
      <c r="T8" s="14">
        <f>iferror(lookup(if(S8="",E8,S8),{0,1,10,50,100,250,500},{0.0,4.79,4.61,4.27,4.14,3.99,3.84}),"")</f>
        <v>0</v>
      </c>
      <c r="U8" s="14">
        <f>iferror(if(S8="",E8,S8)*T8,"")</f>
        <v>0</v>
      </c>
      <c r="V8" s="15" t="s">
        <v>72</v>
      </c>
    </row>
    <row r="9" spans="1:27">
      <c r="A9" s="13" t="s">
        <v>14</v>
      </c>
      <c r="B9" s="13" t="s">
        <v>15</v>
      </c>
      <c r="C9" s="13" t="s">
        <v>16</v>
      </c>
      <c r="D9" s="13" t="s">
        <v>17</v>
      </c>
      <c r="E9" s="13">
        <f>BoardQty*2</f>
        <v>0</v>
      </c>
      <c r="F9" s="14">
        <f>MINA(INDIRECT(ADDRESS(ROW(),COLUMN(digikey_part_data)+2)),INDIRECT(ADDRESS(ROW(),COLUMN(farnell_part_data)+2)),INDIRECT(ADDRESS(ROW(),COLUMN(mouser_part_data)+2)),INDIRECT(ADDRESS(ROW(),COLUMN(rs_part_data)+2)))</f>
        <v>0</v>
      </c>
      <c r="G9" s="14">
        <f>iferror(E9*F9,"")</f>
        <v>0</v>
      </c>
      <c r="H9" s="16" t="s">
        <v>57</v>
      </c>
      <c r="J9" s="14">
        <f>iferror(lookup(if(I9="",E9,I9),{0,1,10,50,100,500,1000,2500,5000},{0.0,0.57,0.402,0.3042,0.265,0.19628,0.16683,0.15702,0.1472}),"")</f>
        <v>0</v>
      </c>
      <c r="K9" s="14">
        <f>iferror(if(I9="",E9,I9)*J9,"")</f>
        <v>0</v>
      </c>
      <c r="L9" s="15" t="s">
        <v>56</v>
      </c>
      <c r="M9" s="16" t="s">
        <v>57</v>
      </c>
      <c r="O9" s="14">
        <f>iferror(USD_GBP*lookup(if(N9="",E9,N9),{0,1,1300},{0.0,0.126,0.126}),"")</f>
        <v>0</v>
      </c>
      <c r="P9" s="14">
        <f>iferror(if(N9="",E9,N9)*O9,"")</f>
        <v>0</v>
      </c>
      <c r="Q9" s="15" t="s">
        <v>65</v>
      </c>
      <c r="R9" s="13">
        <v>1306</v>
      </c>
      <c r="T9" s="14">
        <f>iferror(lookup(if(S9="",E9,S9),{0,1,10,50,100,250,500},{0.0,0.53,0.369,0.291,0.251,0.226,0.194}),"")</f>
        <v>0</v>
      </c>
      <c r="U9" s="14">
        <f>iferror(if(S9="",E9,S9)*T9,"")</f>
        <v>0</v>
      </c>
      <c r="V9" s="15" t="s">
        <v>73</v>
      </c>
    </row>
    <row r="10" spans="1:27">
      <c r="A10" s="13" t="s">
        <v>18</v>
      </c>
      <c r="B10" s="13" t="s">
        <v>19</v>
      </c>
      <c r="C10" s="13" t="s">
        <v>20</v>
      </c>
      <c r="D10" s="13" t="s">
        <v>21</v>
      </c>
      <c r="E10" s="13">
        <f>BoardQty*4</f>
        <v>0</v>
      </c>
      <c r="F10" s="14">
        <f>MINA(INDIRECT(ADDRESS(ROW(),COLUMN(digikey_part_data)+2)),INDIRECT(ADDRESS(ROW(),COLUMN(farnell_part_data)+2)),INDIRECT(ADDRESS(ROW(),COLUMN(mouser_part_data)+2)),INDIRECT(ADDRESS(ROW(),COLUMN(rs_part_data)+2)))</f>
        <v>0</v>
      </c>
      <c r="G10" s="14">
        <f>iferror(E10*F10,"")</f>
        <v>0</v>
      </c>
      <c r="H10" s="13">
        <v>9719</v>
      </c>
      <c r="J10" s="14">
        <f>iferror(lookup(if(I10="",E10,I10),{0,1,10,50,100,500,1000,2000,4000,10000,14000,50000},{0.0,0.23,0.155,0.1036,0.0881,0.06216,0.05439,0.0518,0.04792,0.04533,0.04299,0.03885}),"")</f>
        <v>0</v>
      </c>
      <c r="K10" s="14">
        <f>iferror(if(I10="",E10,I10)*J10,"")</f>
        <v>0</v>
      </c>
      <c r="L10" s="15" t="s">
        <v>58</v>
      </c>
      <c r="M10" s="13">
        <v>24816</v>
      </c>
      <c r="O10" s="14">
        <f>iferror(USD_GBP*lookup(if(N10="",E10,N10),{0,1,5,50,250,500,1000,2000,10000},{0.0,0.169,0.169,0.0903,0.0752,0.0601,0.0536,0.0472,0.0367}),"")</f>
        <v>0</v>
      </c>
      <c r="P10" s="14">
        <f>iferror(if(N10="",E10,N10)*O10,"")</f>
        <v>0</v>
      </c>
      <c r="Q10" s="15" t="s">
        <v>66</v>
      </c>
      <c r="R10" s="13">
        <v>18674</v>
      </c>
      <c r="T10" s="14">
        <f>iferror(lookup(if(S10="",E10,S10),{0,1,10,100,500,1000,2000},{0.0,0.3,0.204,0.118,0.085,0.067,0.06}),"")</f>
        <v>0</v>
      </c>
      <c r="U10" s="14">
        <f>iferror(if(S10="",E10,S10)*T10,"")</f>
        <v>0</v>
      </c>
      <c r="V10" s="15" t="s">
        <v>74</v>
      </c>
      <c r="W10" s="13">
        <v>1975</v>
      </c>
      <c r="Y10" s="14">
        <f>iferror(USD_GBP*lookup(if(X10="",E10,X10),{0,1,25,625,2500,12500,25000},{0.0,0.175,0.175,0.09,0.064,0.04,0.04}),"")</f>
        <v>0</v>
      </c>
      <c r="Z10" s="14">
        <f>iferror(if(X10="",E10,X10)*Y10,"")</f>
        <v>0</v>
      </c>
      <c r="AA10" s="15" t="s">
        <v>79</v>
      </c>
    </row>
    <row r="11" spans="1:27">
      <c r="A11" s="13" t="s">
        <v>22</v>
      </c>
      <c r="B11" s="13" t="s">
        <v>9</v>
      </c>
      <c r="C11" s="13" t="s">
        <v>23</v>
      </c>
      <c r="D11" s="13" t="s">
        <v>24</v>
      </c>
      <c r="E11" s="13">
        <f>BoardQty*1</f>
        <v>0</v>
      </c>
      <c r="F11" s="14">
        <f>MINA(INDIRECT(ADDRESS(ROW(),COLUMN(digikey_part_data)+2)),INDIRECT(ADDRESS(ROW(),COLUMN(farnell_part_data)+2)),INDIRECT(ADDRESS(ROW(),COLUMN(mouser_part_data)+2)),INDIRECT(ADDRESS(ROW(),COLUMN(rs_part_data)+2)))</f>
        <v>0</v>
      </c>
      <c r="G11" s="14">
        <f>iferror(E11*F11,"")</f>
        <v>0</v>
      </c>
      <c r="W11" s="13">
        <v>25000</v>
      </c>
      <c r="AA11" s="13" t="s">
        <v>80</v>
      </c>
    </row>
    <row r="12" spans="1:27">
      <c r="A12" s="13" t="s">
        <v>25</v>
      </c>
      <c r="B12" s="13" t="s">
        <v>26</v>
      </c>
      <c r="C12" s="13" t="s">
        <v>27</v>
      </c>
      <c r="D12" s="13" t="s">
        <v>28</v>
      </c>
      <c r="E12" s="13">
        <f>BoardQty*1</f>
        <v>0</v>
      </c>
      <c r="F12" s="14">
        <f>MINA(INDIRECT(ADDRESS(ROW(),COLUMN(digikey_part_data)+2)),INDIRECT(ADDRESS(ROW(),COLUMN(farnell_part_data)+2)),INDIRECT(ADDRESS(ROW(),COLUMN(mouser_part_data)+2)),INDIRECT(ADDRESS(ROW(),COLUMN(rs_part_data)+2)))</f>
        <v>0</v>
      </c>
      <c r="G12" s="14">
        <f>iferror(E12*F12,"")</f>
        <v>0</v>
      </c>
      <c r="H12" s="13">
        <v>845</v>
      </c>
      <c r="J12" s="14">
        <f>iferror(lookup(if(I12="",E12,I12),{0,1,10,100,500,1000,5000,10000},{0.0,0.47,0.448,0.3138,0.26902,0.22418,0.19215,0.17934}),"")</f>
        <v>0</v>
      </c>
      <c r="K12" s="14">
        <f>iferror(if(I12="",E12,I12)*J12,"")</f>
        <v>0</v>
      </c>
      <c r="L12" s="15" t="s">
        <v>59</v>
      </c>
      <c r="M12" s="13">
        <v>9557</v>
      </c>
      <c r="O12" s="14">
        <f>iferror(USD_GBP*lookup(if(N12="",E12,N12),{0,1,10,50,100,500,1000,9600},{0.0,0.364,0.291,0.25,0.208,0.191,0.174,0.123}),"")</f>
        <v>0</v>
      </c>
      <c r="P12" s="14">
        <f>iferror(if(N12="",E12,N12)*O12,"")</f>
        <v>0</v>
      </c>
      <c r="Q12" s="15" t="s">
        <v>67</v>
      </c>
      <c r="R12" s="13">
        <v>9704</v>
      </c>
      <c r="T12" s="14">
        <f>iferror(lookup(if(S12="",E12,S12),{0,1,10,100,1000,2500,10000},{0.0,0.47,0.375,0.269,0.224,0.192,0.177}),"")</f>
        <v>0</v>
      </c>
      <c r="U12" s="14">
        <f>iferror(if(S12="",E12,S12)*T12,"")</f>
        <v>0</v>
      </c>
      <c r="V12" s="15" t="s">
        <v>75</v>
      </c>
      <c r="W12" s="13">
        <v>2510</v>
      </c>
      <c r="Y12" s="14">
        <f>iferror(USD_GBP*lookup(if(X12="",E12,X12),{0,1,10,200,750,3000,6000},{0.0,0.294,0.294,0.255,0.225,0.167,0.157}),"")</f>
        <v>0</v>
      </c>
      <c r="Z12" s="14">
        <f>iferror(if(X12="",E12,X12)*Y12,"")</f>
        <v>0</v>
      </c>
      <c r="AA12" s="15" t="s">
        <v>81</v>
      </c>
    </row>
    <row r="13" spans="1:27">
      <c r="A13" s="13" t="s">
        <v>29</v>
      </c>
      <c r="B13" s="13" t="s">
        <v>30</v>
      </c>
      <c r="C13" s="13" t="s">
        <v>27</v>
      </c>
      <c r="D13" s="13" t="s">
        <v>31</v>
      </c>
      <c r="E13" s="13">
        <f>CEILING(BoardQty*(2)*1,1)</f>
        <v>0</v>
      </c>
      <c r="F13" s="14">
        <f>MINA(INDIRECT(ADDRESS(ROW(),COLUMN(digikey_part_data)+2)),INDIRECT(ADDRESS(ROW(),COLUMN(farnell_part_data)+2)),INDIRECT(ADDRESS(ROW(),COLUMN(mouser_part_data)+2)),INDIRECT(ADDRESS(ROW(),COLUMN(rs_part_data)+2)))</f>
        <v>0</v>
      </c>
      <c r="G13" s="14">
        <f>iferror(E13*F13,"")</f>
        <v>0</v>
      </c>
      <c r="H13" s="13">
        <v>13583</v>
      </c>
      <c r="J13" s="14">
        <f>iferror(lookup(if(I13="",E13,I13),{0,1,10,25,50,100,250,500,1000,2500},{0.0,0.25,0.233,0.1984,0.1736,0.1612,0.1426,0.1364,0.1116,0.1023}),"")</f>
        <v>0</v>
      </c>
      <c r="K13" s="14">
        <f>iferror(if(I13="",E13,I13)*J13,"")</f>
        <v>0</v>
      </c>
      <c r="L13" s="15" t="s">
        <v>60</v>
      </c>
      <c r="M13" s="13">
        <v>4766</v>
      </c>
      <c r="O13" s="14">
        <f>iferror(USD_GBP*lookup(if(N13="",E13,N13),{0,1,10,50,100,500,1000},{0.0,0.194,0.135,0.123,0.11,0.105,0.0862}),"")</f>
        <v>0</v>
      </c>
      <c r="P13" s="14">
        <f>iferror(if(N13="",E13,N13)*O13,"")</f>
        <v>0</v>
      </c>
      <c r="Q13" s="15" t="s">
        <v>68</v>
      </c>
      <c r="R13" s="13">
        <v>16107</v>
      </c>
      <c r="T13" s="14">
        <f>iferror(lookup(if(S13="",E13,S13),{0,1,10,100,500,1000,2500},{0.0,0.25,0.173,0.142,0.136,0.111,0.102}),"")</f>
        <v>0</v>
      </c>
      <c r="U13" s="14">
        <f>iferror(if(S13="",E13,S13)*T13,"")</f>
        <v>0</v>
      </c>
      <c r="V13" s="15" t="s">
        <v>76</v>
      </c>
      <c r="W13" s="13">
        <v>28550</v>
      </c>
      <c r="Y13" s="14">
        <f>iferror(USD_GBP*lookup(if(X13="",E13,X13),{0,1,10},{0.0,0.134,0.134}),"")</f>
        <v>0</v>
      </c>
      <c r="Z13" s="14">
        <f>iferror(if(X13="",E13,X13)*Y13,"")</f>
        <v>0</v>
      </c>
      <c r="AA13" s="15" t="s">
        <v>82</v>
      </c>
    </row>
    <row r="14" spans="1:27">
      <c r="A14" s="13" t="s">
        <v>32</v>
      </c>
      <c r="B14" s="13" t="s">
        <v>33</v>
      </c>
      <c r="C14" s="13" t="s">
        <v>34</v>
      </c>
      <c r="D14" s="13" t="s">
        <v>35</v>
      </c>
      <c r="E14" s="13">
        <f>BoardQty*6</f>
        <v>0</v>
      </c>
      <c r="F14" s="14">
        <f>MINA(INDIRECT(ADDRESS(ROW(),COLUMN(digikey_part_data)+2)),INDIRECT(ADDRESS(ROW(),COLUMN(farnell_part_data)+2)),INDIRECT(ADDRESS(ROW(),COLUMN(mouser_part_data)+2)),INDIRECT(ADDRESS(ROW(),COLUMN(rs_part_data)+2)))</f>
        <v>0</v>
      </c>
      <c r="G14" s="14">
        <f>iferror(E14*F14,"")</f>
        <v>0</v>
      </c>
      <c r="H14" s="13">
        <v>133</v>
      </c>
      <c r="J14" s="14">
        <f>iferror(lookup(if(I14="",E14,I14),{0,1,10,25,50,100,250,500,1000,3000,6000,15000,30000,75000},{0.0,0.73,0.642,0.5964,0.5046,0.4588,0.43124,0.38536,0.31195,0.2936,0.28443,0.27525,0.26608,0.2569}),"")</f>
        <v>0</v>
      </c>
      <c r="K14" s="14">
        <f>iferror(if(I14="",E14,I14)*J14,"")</f>
        <v>0</v>
      </c>
      <c r="L14" s="15" t="s">
        <v>61</v>
      </c>
      <c r="M14" s="16" t="s">
        <v>57</v>
      </c>
      <c r="O14" s="14">
        <f>iferror(USD_GBP*lookup(if(N14="",E14,N14),{0,1,5,10,50,250,500,1500,3000,15000},{0.0,0.695,0.695,0.695,0.363,0.27,0.249,0.225,0.219,0.212}),"")</f>
        <v>0</v>
      </c>
      <c r="P14" s="14">
        <f>iferror(if(N14="",E14,N14)*O14,"")</f>
        <v>0</v>
      </c>
      <c r="Q14" s="15" t="s">
        <v>69</v>
      </c>
      <c r="R14" s="16" t="s">
        <v>57</v>
      </c>
      <c r="T14" s="14">
        <f>iferror(lookup(if(S14="",E14,S14),{0,1,10,100,500,1000,3000},{0.0,0.81,0.635,0.527,0.442,0.358,0.28}),"")</f>
        <v>0</v>
      </c>
      <c r="U14" s="14">
        <f>iferror(if(S14="",E14,S14)*T14,"")</f>
        <v>0</v>
      </c>
      <c r="V14" s="15" t="s">
        <v>77</v>
      </c>
    </row>
    <row r="16" spans="1:27">
      <c r="B16" s="17" t="s">
        <v>38</v>
      </c>
      <c r="F16" s="1" t="s">
        <v>36</v>
      </c>
      <c r="G16" s="5">
        <f>SUM(INDIRECT(ADDRESS(ROW(),COLUMN(digikey_part_data)+3)),INDIRECT(ADDRESS(ROW(),COLUMN(farnell_part_data)+3)),INDIRECT(ADDRESS(ROW(),COLUMN(mouser_part_data)+3)),INDIRECT(ADDRESS(ROW(),COLUMN(rs_part_data)+3)))</f>
        <v>0</v>
      </c>
      <c r="I16" s="6">
        <f>IFERROR(IF(OR(I7:I14),COUNTIFS(I7:I14,"&gt;0",K7:K14,"&lt;&gt;")&amp;" of "&amp;(ROWS(K7:K14)-COUNTBLANK(K7:K14))&amp;" parts purchased",""),"")</f>
        <v>0</v>
      </c>
      <c r="K16" s="5">
        <f>SUMIF(I7:I14,"&gt;0",K7:K14)</f>
        <v>0</v>
      </c>
      <c r="N16" s="6">
        <f>IFERROR(IF(OR(N7:N14),COUNTIFS(N7:N14,"&gt;0",P7:P14,"&lt;&gt;")&amp;" of "&amp;(ROWS(P7:P14)-COUNTBLANK(P7:P14))&amp;" parts purchased",""),"")</f>
        <v>0</v>
      </c>
      <c r="P16" s="5">
        <f>SUMIF(N7:N14,"&gt;0",P7:P14)</f>
        <v>0</v>
      </c>
      <c r="S16" s="6">
        <f>IFERROR(IF(OR(S7:S14),COUNTIFS(S7:S14,"&gt;0",U7:U14,"&lt;&gt;")&amp;" of "&amp;(ROWS(U7:U14)-COUNTBLANK(U7:U14))&amp;" parts purchased",""),"")</f>
        <v>0</v>
      </c>
      <c r="U16" s="5">
        <f>SUMIF(S7:S14,"&gt;0",U7:U14)</f>
        <v>0</v>
      </c>
      <c r="X16" s="6">
        <f>IFERROR(IF(OR(X7:X14),COUNTIFS(X7:X14,"&gt;0",Z7:Z14,"&lt;&gt;")&amp;" of "&amp;(ROWS(Z7:Z14)-COUNTBLANK(Z7:Z14))&amp;" parts purchased",""),"")</f>
        <v>0</v>
      </c>
      <c r="Z16" s="5">
        <f>SUMIF(X7:X14,"&gt;0",Z7:Z14)</f>
        <v>0</v>
      </c>
    </row>
    <row r="17" spans="1:24">
      <c r="B17" s="17" t="s">
        <v>39</v>
      </c>
      <c r="C17">
        <v>1.24582957619477</v>
      </c>
      <c r="F17" s="17" t="s">
        <v>37</v>
      </c>
      <c r="I17">
        <f t="array" ref="I17">IFERROR(CONCATENATE(TEXT(INDEX(I7:I14,SMALL(IF(ISNUMBER(I7:I14),IF(I7:I14&gt;0,IF(L7:L14&lt;&gt;"",ROW(I7:I14)-MIN(ROW(I7:I14))+1))),ROW()-ROW(A$17)+1)),"##0"),",",INDEX(L7:L14,SMALL(IF(ISNUMBER(I7:I14),IF(I7:I14&gt;0,IF(L7:L14&lt;&gt;"",ROW(I7:I14)-MIN(ROW(I7:I14))+1))),ROW()-ROW(A$17)+1)),",",SUBSTITUTE(INDEX(IF(PURCHASE_DESCRIPTION&lt;&gt;"",PURCHASE_DESCRIPTION&amp;":","")&amp;A7:A14,SMALL(IF(ISNUMBER(I7:I14),IF(I7:I14&gt;0,IF(L7:L14&lt;&gt;"",ROW(I7:I14)-MIN(ROW(I7:I14))+1))),ROW()-ROW(A$17)+1)),",",";")),"")</f>
        <v>0</v>
      </c>
      <c r="N17">
        <f t="array" ref="N17">IFERROR(CONCATENATE(INDEX(Q7:Q14,SMALL(IF(ISNUMBER(N7:N14),IF(N7:N14&gt;0,IF(Q7:Q14&lt;&gt;"",ROW(N7:N14)-MIN(ROW(N7:N14))+1))),ROW()-ROW(A$17)+1))," ",TEXT(INDEX(N7:N14,SMALL(IF(ISNUMBER(N7:N14),IF(N7:N14&gt;0,IF(Q7:Q14&lt;&gt;"",ROW(N7:N14)-MIN(ROW(N7:N14))+1))),ROW()-ROW(A$17)+1)),"##0")," ",SUBSTITUTE(INDEX(IF(PURCHASE_DESCRIPTION&lt;&gt;"",PURCHASE_DESCRIPTION&amp;":","")&amp;A7:A14,SMALL(IF(ISNUMBER(N7:N14),IF(N7:N14&gt;0,IF(Q7:Q14&lt;&gt;"",ROW(N7:N14)-MIN(ROW(N7:N14))+1))),ROW()-ROW(A$17)+1))," ",";")),"")</f>
        <v>0</v>
      </c>
      <c r="S17">
        <f t="array" ref="S17">IFERROR(CONCATENATE(INDEX(V7:V14,SMALL(IF(ISNUMBER(S7:S14),IF(S7:S14&gt;0,IF(V7:V14&lt;&gt;"",ROW(S7:S14)-MIN(ROW(S7:S14))+1))),ROW()-ROW(A$17)+1)),"|",TEXT(INDEX(S7:S14,SMALL(IF(ISNUMBER(S7:S14),IF(S7:S14&gt;0,IF(V7:V14&lt;&gt;"",ROW(S7:S14)-MIN(ROW(S7:S14))+1))),ROW()-ROW(A$17)+1)),"##0"),"|",SUBSTITUTE(SUBSTITUTE(INDEX(IF(PURCHASE_DESCRIPTION&lt;&gt;"",PURCHASE_DESCRIPTION&amp;":","")&amp;A7:A14,SMALL(IF(ISNUMBER(S7:S14),IF(S7:S14&gt;0,IF(V7:V14&lt;&gt;"",ROW(S7:S14)-MIN(ROW(S7:S14))+1))),ROW()-ROW(A$17)+1)),"|",";")," ","_")),"")</f>
        <v>0</v>
      </c>
      <c r="X17">
        <f t="array" ref="X17">IFERROR(CONCATENATE(INDEX(AA7:AA14,SMALL(IF(ISNUMBER(X7:X14),IF(X7:X14&gt;0,IF(AA7:AA14&lt;&gt;"",ROW(X7:X14)-MIN(ROW(X7:X14))+1))),ROW()-ROW(A$17)+1))," ",TEXT(INDEX(X7:X14,SMALL(IF(ISNUMBER(X7:X14),IF(X7:X14&gt;0,IF(AA7:AA14&lt;&gt;"",ROW(X7:X14)-MIN(ROW(X7:X14))+1))),ROW()-ROW(A$17)+1)),"##0")," ",SUBSTITUTE(INDEX(IF(PURCHASE_DESCRIPTION&lt;&gt;"",PURCHASE_DESCRIPTION&amp;":","")&amp;A7:A14,SMALL(IF(ISNUMBER(X7:X14),IF(X7:X14&gt;0,IF(AA7:AA14&lt;&gt;"",ROW(X7:X14)-MIN(ROW(X7:X14))+1))),ROW()-ROW(A$17)+1))," ",";")),"")</f>
        <v>0</v>
      </c>
    </row>
    <row r="18" spans="1:24">
      <c r="I18">
        <f t="array" ref="I18">IFERROR(CONCATENATE(TEXT(INDEX(I7:I14,SMALL(IF(ISNUMBER(I7:I14),IF(I7:I14&gt;0,IF(L7:L14&lt;&gt;"",ROW(I7:I14)-MIN(ROW(I7:I14))+1))),ROW()-ROW(A$17)+1)),"##0"),",",INDEX(L7:L14,SMALL(IF(ISNUMBER(I7:I14),IF(I7:I14&gt;0,IF(L7:L14&lt;&gt;"",ROW(I7:I14)-MIN(ROW(I7:I14))+1))),ROW()-ROW(A$17)+1)),",",SUBSTITUTE(INDEX(IF(PURCHASE_DESCRIPTION&lt;&gt;"",PURCHASE_DESCRIPTION&amp;":","")&amp;A7:A14,SMALL(IF(ISNUMBER(I7:I14),IF(I7:I14&gt;0,IF(L7:L14&lt;&gt;"",ROW(I7:I14)-MIN(ROW(I7:I14))+1))),ROW()-ROW(A$17)+1)),",",";")),"")</f>
        <v>0</v>
      </c>
      <c r="N18">
        <f t="array" ref="N18">IFERROR(CONCATENATE(INDEX(Q7:Q14,SMALL(IF(ISNUMBER(N7:N14),IF(N7:N14&gt;0,IF(Q7:Q14&lt;&gt;"",ROW(N7:N14)-MIN(ROW(N7:N14))+1))),ROW()-ROW(A$17)+1))," ",TEXT(INDEX(N7:N14,SMALL(IF(ISNUMBER(N7:N14),IF(N7:N14&gt;0,IF(Q7:Q14&lt;&gt;"",ROW(N7:N14)-MIN(ROW(N7:N14))+1))),ROW()-ROW(A$17)+1)),"##0")," ",SUBSTITUTE(INDEX(IF(PURCHASE_DESCRIPTION&lt;&gt;"",PURCHASE_DESCRIPTION&amp;":","")&amp;A7:A14,SMALL(IF(ISNUMBER(N7:N14),IF(N7:N14&gt;0,IF(Q7:Q14&lt;&gt;"",ROW(N7:N14)-MIN(ROW(N7:N14))+1))),ROW()-ROW(A$17)+1))," ",";")),"")</f>
        <v>0</v>
      </c>
      <c r="S18">
        <f t="array" ref="S18">IFERROR(CONCATENATE(INDEX(V7:V14,SMALL(IF(ISNUMBER(S7:S14),IF(S7:S14&gt;0,IF(V7:V14&lt;&gt;"",ROW(S7:S14)-MIN(ROW(S7:S14))+1))),ROW()-ROW(A$17)+1)),"|",TEXT(INDEX(S7:S14,SMALL(IF(ISNUMBER(S7:S14),IF(S7:S14&gt;0,IF(V7:V14&lt;&gt;"",ROW(S7:S14)-MIN(ROW(S7:S14))+1))),ROW()-ROW(A$17)+1)),"##0"),"|",SUBSTITUTE(SUBSTITUTE(INDEX(IF(PURCHASE_DESCRIPTION&lt;&gt;"",PURCHASE_DESCRIPTION&amp;":","")&amp;A7:A14,SMALL(IF(ISNUMBER(S7:S14),IF(S7:S14&gt;0,IF(V7:V14&lt;&gt;"",ROW(S7:S14)-MIN(ROW(S7:S14))+1))),ROW()-ROW(A$17)+1)),"|",";")," ","_")),"")</f>
        <v>0</v>
      </c>
      <c r="X18">
        <f t="array" ref="X18">IFERROR(CONCATENATE(INDEX(AA7:AA14,SMALL(IF(ISNUMBER(X7:X14),IF(X7:X14&gt;0,IF(AA7:AA14&lt;&gt;"",ROW(X7:X14)-MIN(ROW(X7:X14))+1))),ROW()-ROW(A$17)+1))," ",TEXT(INDEX(X7:X14,SMALL(IF(ISNUMBER(X7:X14),IF(X7:X14&gt;0,IF(AA7:AA14&lt;&gt;"",ROW(X7:X14)-MIN(ROW(X7:X14))+1))),ROW()-ROW(A$17)+1)),"##0")," ",SUBSTITUTE(INDEX(IF(PURCHASE_DESCRIPTION&lt;&gt;"",PURCHASE_DESCRIPTION&amp;":","")&amp;A7:A14,SMALL(IF(ISNUMBER(X7:X14),IF(X7:X14&gt;0,IF(AA7:AA14&lt;&gt;"",ROW(X7:X14)-MIN(ROW(X7:X14))+1))),ROW()-ROW(A$17)+1))," ",";")),"")</f>
        <v>0</v>
      </c>
    </row>
    <row r="19" spans="1:24">
      <c r="A19" s="2" t="s">
        <v>83</v>
      </c>
      <c r="I19">
        <f t="array" ref="I19">IFERROR(CONCATENATE(TEXT(INDEX(I7:I14,SMALL(IF(ISNUMBER(I7:I14),IF(I7:I14&gt;0,IF(L7:L14&lt;&gt;"",ROW(I7:I14)-MIN(ROW(I7:I14))+1))),ROW()-ROW(A$17)+1)),"##0"),",",INDEX(L7:L14,SMALL(IF(ISNUMBER(I7:I14),IF(I7:I14&gt;0,IF(L7:L14&lt;&gt;"",ROW(I7:I14)-MIN(ROW(I7:I14))+1))),ROW()-ROW(A$17)+1)),",",SUBSTITUTE(INDEX(IF(PURCHASE_DESCRIPTION&lt;&gt;"",PURCHASE_DESCRIPTION&amp;":","")&amp;A7:A14,SMALL(IF(ISNUMBER(I7:I14),IF(I7:I14&gt;0,IF(L7:L14&lt;&gt;"",ROW(I7:I14)-MIN(ROW(I7:I14))+1))),ROW()-ROW(A$17)+1)),",",";")),"")</f>
        <v>0</v>
      </c>
      <c r="N19">
        <f t="array" ref="N19">IFERROR(CONCATENATE(INDEX(Q7:Q14,SMALL(IF(ISNUMBER(N7:N14),IF(N7:N14&gt;0,IF(Q7:Q14&lt;&gt;"",ROW(N7:N14)-MIN(ROW(N7:N14))+1))),ROW()-ROW(A$17)+1))," ",TEXT(INDEX(N7:N14,SMALL(IF(ISNUMBER(N7:N14),IF(N7:N14&gt;0,IF(Q7:Q14&lt;&gt;"",ROW(N7:N14)-MIN(ROW(N7:N14))+1))),ROW()-ROW(A$17)+1)),"##0")," ",SUBSTITUTE(INDEX(IF(PURCHASE_DESCRIPTION&lt;&gt;"",PURCHASE_DESCRIPTION&amp;":","")&amp;A7:A14,SMALL(IF(ISNUMBER(N7:N14),IF(N7:N14&gt;0,IF(Q7:Q14&lt;&gt;"",ROW(N7:N14)-MIN(ROW(N7:N14))+1))),ROW()-ROW(A$17)+1))," ",";")),"")</f>
        <v>0</v>
      </c>
      <c r="S19">
        <f t="array" ref="S19">IFERROR(CONCATENATE(INDEX(V7:V14,SMALL(IF(ISNUMBER(S7:S14),IF(S7:S14&gt;0,IF(V7:V14&lt;&gt;"",ROW(S7:S14)-MIN(ROW(S7:S14))+1))),ROW()-ROW(A$17)+1)),"|",TEXT(INDEX(S7:S14,SMALL(IF(ISNUMBER(S7:S14),IF(S7:S14&gt;0,IF(V7:V14&lt;&gt;"",ROW(S7:S14)-MIN(ROW(S7:S14))+1))),ROW()-ROW(A$17)+1)),"##0"),"|",SUBSTITUTE(SUBSTITUTE(INDEX(IF(PURCHASE_DESCRIPTION&lt;&gt;"",PURCHASE_DESCRIPTION&amp;":","")&amp;A7:A14,SMALL(IF(ISNUMBER(S7:S14),IF(S7:S14&gt;0,IF(V7:V14&lt;&gt;"",ROW(S7:S14)-MIN(ROW(S7:S14))+1))),ROW()-ROW(A$17)+1)),"|",";")," ","_")),"")</f>
        <v>0</v>
      </c>
      <c r="X19">
        <f t="array" ref="X19">IFERROR(CONCATENATE(INDEX(AA7:AA14,SMALL(IF(ISNUMBER(X7:X14),IF(X7:X14&gt;0,IF(AA7:AA14&lt;&gt;"",ROW(X7:X14)-MIN(ROW(X7:X14))+1))),ROW()-ROW(A$17)+1))," ",TEXT(INDEX(X7:X14,SMALL(IF(ISNUMBER(X7:X14),IF(X7:X14&gt;0,IF(AA7:AA14&lt;&gt;"",ROW(X7:X14)-MIN(ROW(X7:X14))+1))),ROW()-ROW(A$17)+1)),"##0")," ",SUBSTITUTE(INDEX(IF(PURCHASE_DESCRIPTION&lt;&gt;"",PURCHASE_DESCRIPTION&amp;":","")&amp;A7:A14,SMALL(IF(ISNUMBER(X7:X14),IF(X7:X14&gt;0,IF(AA7:AA14&lt;&gt;"",ROW(X7:X14)-MIN(ROW(X7:X14))+1))),ROW()-ROW(A$17)+1))," ",";")),"")</f>
        <v>0</v>
      </c>
    </row>
    <row r="20" spans="1:24">
      <c r="I20">
        <f t="array" ref="I20">IFERROR(CONCATENATE(TEXT(INDEX(I7:I14,SMALL(IF(ISNUMBER(I7:I14),IF(I7:I14&gt;0,IF(L7:L14&lt;&gt;"",ROW(I7:I14)-MIN(ROW(I7:I14))+1))),ROW()-ROW(A$17)+1)),"##0"),",",INDEX(L7:L14,SMALL(IF(ISNUMBER(I7:I14),IF(I7:I14&gt;0,IF(L7:L14&lt;&gt;"",ROW(I7:I14)-MIN(ROW(I7:I14))+1))),ROW()-ROW(A$17)+1)),",",SUBSTITUTE(INDEX(IF(PURCHASE_DESCRIPTION&lt;&gt;"",PURCHASE_DESCRIPTION&amp;":","")&amp;A7:A14,SMALL(IF(ISNUMBER(I7:I14),IF(I7:I14&gt;0,IF(L7:L14&lt;&gt;"",ROW(I7:I14)-MIN(ROW(I7:I14))+1))),ROW()-ROW(A$17)+1)),",",";")),"")</f>
        <v>0</v>
      </c>
      <c r="N20">
        <f t="array" ref="N20">IFERROR(CONCATENATE(INDEX(Q7:Q14,SMALL(IF(ISNUMBER(N7:N14),IF(N7:N14&gt;0,IF(Q7:Q14&lt;&gt;"",ROW(N7:N14)-MIN(ROW(N7:N14))+1))),ROW()-ROW(A$17)+1))," ",TEXT(INDEX(N7:N14,SMALL(IF(ISNUMBER(N7:N14),IF(N7:N14&gt;0,IF(Q7:Q14&lt;&gt;"",ROW(N7:N14)-MIN(ROW(N7:N14))+1))),ROW()-ROW(A$17)+1)),"##0")," ",SUBSTITUTE(INDEX(IF(PURCHASE_DESCRIPTION&lt;&gt;"",PURCHASE_DESCRIPTION&amp;":","")&amp;A7:A14,SMALL(IF(ISNUMBER(N7:N14),IF(N7:N14&gt;0,IF(Q7:Q14&lt;&gt;"",ROW(N7:N14)-MIN(ROW(N7:N14))+1))),ROW()-ROW(A$17)+1))," ",";")),"")</f>
        <v>0</v>
      </c>
      <c r="S20">
        <f t="array" ref="S20">IFERROR(CONCATENATE(INDEX(V7:V14,SMALL(IF(ISNUMBER(S7:S14),IF(S7:S14&gt;0,IF(V7:V14&lt;&gt;"",ROW(S7:S14)-MIN(ROW(S7:S14))+1))),ROW()-ROW(A$17)+1)),"|",TEXT(INDEX(S7:S14,SMALL(IF(ISNUMBER(S7:S14),IF(S7:S14&gt;0,IF(V7:V14&lt;&gt;"",ROW(S7:S14)-MIN(ROW(S7:S14))+1))),ROW()-ROW(A$17)+1)),"##0"),"|",SUBSTITUTE(SUBSTITUTE(INDEX(IF(PURCHASE_DESCRIPTION&lt;&gt;"",PURCHASE_DESCRIPTION&amp;":","")&amp;A7:A14,SMALL(IF(ISNUMBER(S7:S14),IF(S7:S14&gt;0,IF(V7:V14&lt;&gt;"",ROW(S7:S14)-MIN(ROW(S7:S14))+1))),ROW()-ROW(A$17)+1)),"|",";")," ","_")),"")</f>
        <v>0</v>
      </c>
      <c r="X20">
        <f t="array" ref="X20">IFERROR(CONCATENATE(INDEX(AA7:AA14,SMALL(IF(ISNUMBER(X7:X14),IF(X7:X14&gt;0,IF(AA7:AA14&lt;&gt;"",ROW(X7:X14)-MIN(ROW(X7:X14))+1))),ROW()-ROW(A$17)+1))," ",TEXT(INDEX(X7:X14,SMALL(IF(ISNUMBER(X7:X14),IF(X7:X14&gt;0,IF(AA7:AA14&lt;&gt;"",ROW(X7:X14)-MIN(ROW(X7:X14))+1))),ROW()-ROW(A$17)+1)),"##0")," ",SUBSTITUTE(INDEX(IF(PURCHASE_DESCRIPTION&lt;&gt;"",PURCHASE_DESCRIPTION&amp;":","")&amp;A7:A14,SMALL(IF(ISNUMBER(X7:X14),IF(X7:X14&gt;0,IF(AA7:AA14&lt;&gt;"",ROW(X7:X14)-MIN(ROW(X7:X14))+1))),ROW()-ROW(A$17)+1))," ",";")),"")</f>
        <v>0</v>
      </c>
    </row>
    <row r="21" spans="1:24">
      <c r="I21">
        <f t="array" ref="I21">IFERROR(CONCATENATE(TEXT(INDEX(I7:I14,SMALL(IF(ISNUMBER(I7:I14),IF(I7:I14&gt;0,IF(L7:L14&lt;&gt;"",ROW(I7:I14)-MIN(ROW(I7:I14))+1))),ROW()-ROW(A$17)+1)),"##0"),",",INDEX(L7:L14,SMALL(IF(ISNUMBER(I7:I14),IF(I7:I14&gt;0,IF(L7:L14&lt;&gt;"",ROW(I7:I14)-MIN(ROW(I7:I14))+1))),ROW()-ROW(A$17)+1)),",",SUBSTITUTE(INDEX(IF(PURCHASE_DESCRIPTION&lt;&gt;"",PURCHASE_DESCRIPTION&amp;":","")&amp;A7:A14,SMALL(IF(ISNUMBER(I7:I14),IF(I7:I14&gt;0,IF(L7:L14&lt;&gt;"",ROW(I7:I14)-MIN(ROW(I7:I14))+1))),ROW()-ROW(A$17)+1)),",",";")),"")</f>
        <v>0</v>
      </c>
      <c r="N21">
        <f t="array" ref="N21">IFERROR(CONCATENATE(INDEX(Q7:Q14,SMALL(IF(ISNUMBER(N7:N14),IF(N7:N14&gt;0,IF(Q7:Q14&lt;&gt;"",ROW(N7:N14)-MIN(ROW(N7:N14))+1))),ROW()-ROW(A$17)+1))," ",TEXT(INDEX(N7:N14,SMALL(IF(ISNUMBER(N7:N14),IF(N7:N14&gt;0,IF(Q7:Q14&lt;&gt;"",ROW(N7:N14)-MIN(ROW(N7:N14))+1))),ROW()-ROW(A$17)+1)),"##0")," ",SUBSTITUTE(INDEX(IF(PURCHASE_DESCRIPTION&lt;&gt;"",PURCHASE_DESCRIPTION&amp;":","")&amp;A7:A14,SMALL(IF(ISNUMBER(N7:N14),IF(N7:N14&gt;0,IF(Q7:Q14&lt;&gt;"",ROW(N7:N14)-MIN(ROW(N7:N14))+1))),ROW()-ROW(A$17)+1))," ",";")),"")</f>
        <v>0</v>
      </c>
      <c r="S21">
        <f t="array" ref="S21">IFERROR(CONCATENATE(INDEX(V7:V14,SMALL(IF(ISNUMBER(S7:S14),IF(S7:S14&gt;0,IF(V7:V14&lt;&gt;"",ROW(S7:S14)-MIN(ROW(S7:S14))+1))),ROW()-ROW(A$17)+1)),"|",TEXT(INDEX(S7:S14,SMALL(IF(ISNUMBER(S7:S14),IF(S7:S14&gt;0,IF(V7:V14&lt;&gt;"",ROW(S7:S14)-MIN(ROW(S7:S14))+1))),ROW()-ROW(A$17)+1)),"##0"),"|",SUBSTITUTE(SUBSTITUTE(INDEX(IF(PURCHASE_DESCRIPTION&lt;&gt;"",PURCHASE_DESCRIPTION&amp;":","")&amp;A7:A14,SMALL(IF(ISNUMBER(S7:S14),IF(S7:S14&gt;0,IF(V7:V14&lt;&gt;"",ROW(S7:S14)-MIN(ROW(S7:S14))+1))),ROW()-ROW(A$17)+1)),"|",";")," ","_")),"")</f>
        <v>0</v>
      </c>
      <c r="X21">
        <f t="array" ref="X21">IFERROR(CONCATENATE(INDEX(AA7:AA14,SMALL(IF(ISNUMBER(X7:X14),IF(X7:X14&gt;0,IF(AA7:AA14&lt;&gt;"",ROW(X7:X14)-MIN(ROW(X7:X14))+1))),ROW()-ROW(A$17)+1))," ",TEXT(INDEX(X7:X14,SMALL(IF(ISNUMBER(X7:X14),IF(X7:X14&gt;0,IF(AA7:AA14&lt;&gt;"",ROW(X7:X14)-MIN(ROW(X7:X14))+1))),ROW()-ROW(A$17)+1)),"##0")," ",SUBSTITUTE(INDEX(IF(PURCHASE_DESCRIPTION&lt;&gt;"",PURCHASE_DESCRIPTION&amp;":","")&amp;A7:A14,SMALL(IF(ISNUMBER(X7:X14),IF(X7:X14&gt;0,IF(AA7:AA14&lt;&gt;"",ROW(X7:X14)-MIN(ROW(X7:X14))+1))),ROW()-ROW(A$17)+1))," ",";")),"")</f>
        <v>0</v>
      </c>
    </row>
    <row r="22" spans="1:24">
      <c r="I22">
        <f t="array" ref="I22">IFERROR(CONCATENATE(TEXT(INDEX(I7:I14,SMALL(IF(ISNUMBER(I7:I14),IF(I7:I14&gt;0,IF(L7:L14&lt;&gt;"",ROW(I7:I14)-MIN(ROW(I7:I14))+1))),ROW()-ROW(A$17)+1)),"##0"),",",INDEX(L7:L14,SMALL(IF(ISNUMBER(I7:I14),IF(I7:I14&gt;0,IF(L7:L14&lt;&gt;"",ROW(I7:I14)-MIN(ROW(I7:I14))+1))),ROW()-ROW(A$17)+1)),",",SUBSTITUTE(INDEX(IF(PURCHASE_DESCRIPTION&lt;&gt;"",PURCHASE_DESCRIPTION&amp;":","")&amp;A7:A14,SMALL(IF(ISNUMBER(I7:I14),IF(I7:I14&gt;0,IF(L7:L14&lt;&gt;"",ROW(I7:I14)-MIN(ROW(I7:I14))+1))),ROW()-ROW(A$17)+1)),",",";")),"")</f>
        <v>0</v>
      </c>
      <c r="N22">
        <f t="array" ref="N22">IFERROR(CONCATENATE(INDEX(Q7:Q14,SMALL(IF(ISNUMBER(N7:N14),IF(N7:N14&gt;0,IF(Q7:Q14&lt;&gt;"",ROW(N7:N14)-MIN(ROW(N7:N14))+1))),ROW()-ROW(A$17)+1))," ",TEXT(INDEX(N7:N14,SMALL(IF(ISNUMBER(N7:N14),IF(N7:N14&gt;0,IF(Q7:Q14&lt;&gt;"",ROW(N7:N14)-MIN(ROW(N7:N14))+1))),ROW()-ROW(A$17)+1)),"##0")," ",SUBSTITUTE(INDEX(IF(PURCHASE_DESCRIPTION&lt;&gt;"",PURCHASE_DESCRIPTION&amp;":","")&amp;A7:A14,SMALL(IF(ISNUMBER(N7:N14),IF(N7:N14&gt;0,IF(Q7:Q14&lt;&gt;"",ROW(N7:N14)-MIN(ROW(N7:N14))+1))),ROW()-ROW(A$17)+1))," ",";")),"")</f>
        <v>0</v>
      </c>
      <c r="S22">
        <f t="array" ref="S22">IFERROR(CONCATENATE(INDEX(V7:V14,SMALL(IF(ISNUMBER(S7:S14),IF(S7:S14&gt;0,IF(V7:V14&lt;&gt;"",ROW(S7:S14)-MIN(ROW(S7:S14))+1))),ROW()-ROW(A$17)+1)),"|",TEXT(INDEX(S7:S14,SMALL(IF(ISNUMBER(S7:S14),IF(S7:S14&gt;0,IF(V7:V14&lt;&gt;"",ROW(S7:S14)-MIN(ROW(S7:S14))+1))),ROW()-ROW(A$17)+1)),"##0"),"|",SUBSTITUTE(SUBSTITUTE(INDEX(IF(PURCHASE_DESCRIPTION&lt;&gt;"",PURCHASE_DESCRIPTION&amp;":","")&amp;A7:A14,SMALL(IF(ISNUMBER(S7:S14),IF(S7:S14&gt;0,IF(V7:V14&lt;&gt;"",ROW(S7:S14)-MIN(ROW(S7:S14))+1))),ROW()-ROW(A$17)+1)),"|",";")," ","_")),"")</f>
        <v>0</v>
      </c>
      <c r="X22">
        <f t="array" ref="X22">IFERROR(CONCATENATE(INDEX(AA7:AA14,SMALL(IF(ISNUMBER(X7:X14),IF(X7:X14&gt;0,IF(AA7:AA14&lt;&gt;"",ROW(X7:X14)-MIN(ROW(X7:X14))+1))),ROW()-ROW(A$17)+1))," ",TEXT(INDEX(X7:X14,SMALL(IF(ISNUMBER(X7:X14),IF(X7:X14&gt;0,IF(AA7:AA14&lt;&gt;"",ROW(X7:X14)-MIN(ROW(X7:X14))+1))),ROW()-ROW(A$17)+1)),"##0")," ",SUBSTITUTE(INDEX(IF(PURCHASE_DESCRIPTION&lt;&gt;"",PURCHASE_DESCRIPTION&amp;":","")&amp;A7:A14,SMALL(IF(ISNUMBER(X7:X14),IF(X7:X14&gt;0,IF(AA7:AA14&lt;&gt;"",ROW(X7:X14)-MIN(ROW(X7:X14))+1))),ROW()-ROW(A$17)+1))," ",";")),"")</f>
        <v>0</v>
      </c>
    </row>
    <row r="23" spans="1:24">
      <c r="I23">
        <f t="array" ref="I23">IFERROR(CONCATENATE(TEXT(INDEX(I7:I14,SMALL(IF(ISNUMBER(I7:I14),IF(I7:I14&gt;0,IF(L7:L14&lt;&gt;"",ROW(I7:I14)-MIN(ROW(I7:I14))+1))),ROW()-ROW(A$17)+1)),"##0"),",",INDEX(L7:L14,SMALL(IF(ISNUMBER(I7:I14),IF(I7:I14&gt;0,IF(L7:L14&lt;&gt;"",ROW(I7:I14)-MIN(ROW(I7:I14))+1))),ROW()-ROW(A$17)+1)),",",SUBSTITUTE(INDEX(IF(PURCHASE_DESCRIPTION&lt;&gt;"",PURCHASE_DESCRIPTION&amp;":","")&amp;A7:A14,SMALL(IF(ISNUMBER(I7:I14),IF(I7:I14&gt;0,IF(L7:L14&lt;&gt;"",ROW(I7:I14)-MIN(ROW(I7:I14))+1))),ROW()-ROW(A$17)+1)),",",";")),"")</f>
        <v>0</v>
      </c>
      <c r="N23">
        <f t="array" ref="N23">IFERROR(CONCATENATE(INDEX(Q7:Q14,SMALL(IF(ISNUMBER(N7:N14),IF(N7:N14&gt;0,IF(Q7:Q14&lt;&gt;"",ROW(N7:N14)-MIN(ROW(N7:N14))+1))),ROW()-ROW(A$17)+1))," ",TEXT(INDEX(N7:N14,SMALL(IF(ISNUMBER(N7:N14),IF(N7:N14&gt;0,IF(Q7:Q14&lt;&gt;"",ROW(N7:N14)-MIN(ROW(N7:N14))+1))),ROW()-ROW(A$17)+1)),"##0")," ",SUBSTITUTE(INDEX(IF(PURCHASE_DESCRIPTION&lt;&gt;"",PURCHASE_DESCRIPTION&amp;":","")&amp;A7:A14,SMALL(IF(ISNUMBER(N7:N14),IF(N7:N14&gt;0,IF(Q7:Q14&lt;&gt;"",ROW(N7:N14)-MIN(ROW(N7:N14))+1))),ROW()-ROW(A$17)+1))," ",";")),"")</f>
        <v>0</v>
      </c>
      <c r="S23">
        <f t="array" ref="S23">IFERROR(CONCATENATE(INDEX(V7:V14,SMALL(IF(ISNUMBER(S7:S14),IF(S7:S14&gt;0,IF(V7:V14&lt;&gt;"",ROW(S7:S14)-MIN(ROW(S7:S14))+1))),ROW()-ROW(A$17)+1)),"|",TEXT(INDEX(S7:S14,SMALL(IF(ISNUMBER(S7:S14),IF(S7:S14&gt;0,IF(V7:V14&lt;&gt;"",ROW(S7:S14)-MIN(ROW(S7:S14))+1))),ROW()-ROW(A$17)+1)),"##0"),"|",SUBSTITUTE(SUBSTITUTE(INDEX(IF(PURCHASE_DESCRIPTION&lt;&gt;"",PURCHASE_DESCRIPTION&amp;":","")&amp;A7:A14,SMALL(IF(ISNUMBER(S7:S14),IF(S7:S14&gt;0,IF(V7:V14&lt;&gt;"",ROW(S7:S14)-MIN(ROW(S7:S14))+1))),ROW()-ROW(A$17)+1)),"|",";")," ","_")),"")</f>
        <v>0</v>
      </c>
      <c r="X23">
        <f t="array" ref="X23">IFERROR(CONCATENATE(INDEX(AA7:AA14,SMALL(IF(ISNUMBER(X7:X14),IF(X7:X14&gt;0,IF(AA7:AA14&lt;&gt;"",ROW(X7:X14)-MIN(ROW(X7:X14))+1))),ROW()-ROW(A$17)+1))," ",TEXT(INDEX(X7:X14,SMALL(IF(ISNUMBER(X7:X14),IF(X7:X14&gt;0,IF(AA7:AA14&lt;&gt;"",ROW(X7:X14)-MIN(ROW(X7:X14))+1))),ROW()-ROW(A$17)+1)),"##0")," ",SUBSTITUTE(INDEX(IF(PURCHASE_DESCRIPTION&lt;&gt;"",PURCHASE_DESCRIPTION&amp;":","")&amp;A7:A14,SMALL(IF(ISNUMBER(X7:X14),IF(X7:X14&gt;0,IF(AA7:AA14&lt;&gt;"",ROW(X7:X14)-MIN(ROW(X7:X14))+1))),ROW()-ROW(A$17)+1))," ",";")),"")</f>
        <v>0</v>
      </c>
    </row>
    <row r="24" spans="1:24">
      <c r="I24">
        <f t="array" ref="I24">IFERROR(CONCATENATE(TEXT(INDEX(I7:I14,SMALL(IF(ISNUMBER(I7:I14),IF(I7:I14&gt;0,IF(L7:L14&lt;&gt;"",ROW(I7:I14)-MIN(ROW(I7:I14))+1))),ROW()-ROW(A$17)+1)),"##0"),",",INDEX(L7:L14,SMALL(IF(ISNUMBER(I7:I14),IF(I7:I14&gt;0,IF(L7:L14&lt;&gt;"",ROW(I7:I14)-MIN(ROW(I7:I14))+1))),ROW()-ROW(A$17)+1)),",",SUBSTITUTE(INDEX(IF(PURCHASE_DESCRIPTION&lt;&gt;"",PURCHASE_DESCRIPTION&amp;":","")&amp;A7:A14,SMALL(IF(ISNUMBER(I7:I14),IF(I7:I14&gt;0,IF(L7:L14&lt;&gt;"",ROW(I7:I14)-MIN(ROW(I7:I14))+1))),ROW()-ROW(A$17)+1)),",",";")),"")</f>
        <v>0</v>
      </c>
      <c r="N24">
        <f t="array" ref="N24">IFERROR(CONCATENATE(INDEX(Q7:Q14,SMALL(IF(ISNUMBER(N7:N14),IF(N7:N14&gt;0,IF(Q7:Q14&lt;&gt;"",ROW(N7:N14)-MIN(ROW(N7:N14))+1))),ROW()-ROW(A$17)+1))," ",TEXT(INDEX(N7:N14,SMALL(IF(ISNUMBER(N7:N14),IF(N7:N14&gt;0,IF(Q7:Q14&lt;&gt;"",ROW(N7:N14)-MIN(ROW(N7:N14))+1))),ROW()-ROW(A$17)+1)),"##0")," ",SUBSTITUTE(INDEX(IF(PURCHASE_DESCRIPTION&lt;&gt;"",PURCHASE_DESCRIPTION&amp;":","")&amp;A7:A14,SMALL(IF(ISNUMBER(N7:N14),IF(N7:N14&gt;0,IF(Q7:Q14&lt;&gt;"",ROW(N7:N14)-MIN(ROW(N7:N14))+1))),ROW()-ROW(A$17)+1))," ",";")),"")</f>
        <v>0</v>
      </c>
      <c r="S24">
        <f t="array" ref="S24">IFERROR(CONCATENATE(INDEX(V7:V14,SMALL(IF(ISNUMBER(S7:S14),IF(S7:S14&gt;0,IF(V7:V14&lt;&gt;"",ROW(S7:S14)-MIN(ROW(S7:S14))+1))),ROW()-ROW(A$17)+1)),"|",TEXT(INDEX(S7:S14,SMALL(IF(ISNUMBER(S7:S14),IF(S7:S14&gt;0,IF(V7:V14&lt;&gt;"",ROW(S7:S14)-MIN(ROW(S7:S14))+1))),ROW()-ROW(A$17)+1)),"##0"),"|",SUBSTITUTE(SUBSTITUTE(INDEX(IF(PURCHASE_DESCRIPTION&lt;&gt;"",PURCHASE_DESCRIPTION&amp;":","")&amp;A7:A14,SMALL(IF(ISNUMBER(S7:S14),IF(S7:S14&gt;0,IF(V7:V14&lt;&gt;"",ROW(S7:S14)-MIN(ROW(S7:S14))+1))),ROW()-ROW(A$17)+1)),"|",";")," ","_")),"")</f>
        <v>0</v>
      </c>
      <c r="X24">
        <f t="array" ref="X24">IFERROR(CONCATENATE(INDEX(AA7:AA14,SMALL(IF(ISNUMBER(X7:X14),IF(X7:X14&gt;0,IF(AA7:AA14&lt;&gt;"",ROW(X7:X14)-MIN(ROW(X7:X14))+1))),ROW()-ROW(A$17)+1))," ",TEXT(INDEX(X7:X14,SMALL(IF(ISNUMBER(X7:X14),IF(X7:X14&gt;0,IF(AA7:AA14&lt;&gt;"",ROW(X7:X14)-MIN(ROW(X7:X14))+1))),ROW()-ROW(A$17)+1)),"##0")," ",SUBSTITUTE(INDEX(IF(PURCHASE_DESCRIPTION&lt;&gt;"",PURCHASE_DESCRIPTION&amp;":","")&amp;A7:A14,SMALL(IF(ISNUMBER(X7:X14),IF(X7:X14&gt;0,IF(AA7:AA14&lt;&gt;"",ROW(X7:X14)-MIN(ROW(X7:X14))+1))),ROW()-ROW(A$17)+1))," ",";")),"")</f>
        <v>0</v>
      </c>
    </row>
  </sheetData>
  <mergeCells count="5">
    <mergeCell ref="A5:G5"/>
    <mergeCell ref="H5:L5"/>
    <mergeCell ref="M5:Q5"/>
    <mergeCell ref="R5:V5"/>
    <mergeCell ref="W5:AA5"/>
  </mergeCells>
  <conditionalFormatting sqref="E10">
    <cfRule type="expression" dxfId="0" priority="13">
      <formula>AND(ISBLANK(D10),ISBLANK(INDIRECT(ADDRESS(ROW(),COLUMN(digikey_part_data)+4))),ISBLANK(INDIRECT(ADDRESS(ROW(),COLUMN(farnell_part_data)+4))),ISBLANK(INDIRECT(ADDRESS(ROW(),COLUMN(mouser_part_data)+4))),ISBLANK(INDIRECT(ADDRESS(ROW(),COLUMN(rs_part_data)+4))))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14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15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1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11">
    <cfRule type="expression" dxfId="0" priority="17">
      <formula>AND(ISBLANK(D11),ISBLANK(INDIRECT(ADDRESS(ROW(),COLUMN(digikey_part_data)+4))),ISBLANK(INDIRECT(ADDRESS(ROW(),COLUMN(farnell_part_data)+4))),ISBLANK(INDIRECT(ADDRESS(ROW(),COLUMN(mouser_part_data)+4))),ISBLANK(INDIRECT(ADDRESS(ROW(),COLUMN(rs_part_data)+4))))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18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19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2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12">
    <cfRule type="expression" dxfId="0" priority="21">
      <formula>AND(ISBLANK(D12),ISBLANK(INDIRECT(ADDRESS(ROW(),COLUMN(digikey_part_data)+4))),ISBLANK(INDIRECT(ADDRESS(ROW(),COLUMN(farnell_part_data)+4))),ISBLANK(INDIRECT(ADDRESS(ROW(),COLUMN(mouser_part_data)+4))),ISBLANK(INDIRECT(ADDRESS(ROW(),COLUMN(rs_part_data)+4))))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22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23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13">
    <cfRule type="expression" dxfId="0" priority="25">
      <formula>AND(ISBLANK(D13),ISBLANK(INDIRECT(ADDRESS(ROW(),COLUMN(digikey_part_data)+4))),ISBLANK(INDIRECT(ADDRESS(ROW(),COLUMN(farnell_part_data)+4))),ISBLANK(INDIRECT(ADDRESS(ROW(),COLUMN(mouser_part_data)+4))),ISBLANK(INDIRECT(ADDRESS(ROW(),COLUMN(rs_part_data)+4))))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26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27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2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14">
    <cfRule type="expression" dxfId="0" priority="29">
      <formula>AND(ISBLANK(D14),ISBLANK(INDIRECT(ADDRESS(ROW(),COLUMN(digikey_part_data)+4))),ISBLANK(INDIRECT(ADDRESS(ROW(),COLUMN(farnell_part_data)+4))),ISBLANK(INDIRECT(ADDRESS(ROW(),COLUMN(mouser_part_data)+4))),ISBLANK(INDIRECT(ADDRESS(ROW(),COLUMN(rs_part_data)+4))))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30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31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3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7">
    <cfRule type="expression" dxfId="0" priority="1">
      <formula>AND(ISBLANK(D7),ISBLANK(INDIRECT(ADDRESS(ROW(),COLUMN(digikey_part_data)+4))),ISBLANK(INDIRECT(ADDRESS(ROW(),COLUMN(farnell_part_data)+4))),ISBLANK(INDIRECT(ADDRESS(ROW(),COLUMN(mouser_part_data)+4))),ISBLANK(INDIRECT(ADDRESS(ROW(),COLUMN(rs_part_data)+4))))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2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3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8">
    <cfRule type="expression" dxfId="0" priority="5">
      <formula>AND(ISBLANK(D8),ISBLANK(INDIRECT(ADDRESS(ROW(),COLUMN(digikey_part_data)+4))),ISBLANK(INDIRECT(ADDRESS(ROW(),COLUMN(farnell_part_data)+4))),ISBLANK(INDIRECT(ADDRESS(ROW(),COLUMN(mouser_part_data)+4))),ISBLANK(INDIRECT(ADDRESS(ROW(),COLUMN(rs_part_data)+4))))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6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7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9">
    <cfRule type="expression" dxfId="0" priority="9">
      <formula>AND(ISBLANK(D9),ISBLANK(INDIRECT(ADDRESS(ROW(),COLUMN(digikey_part_data)+4))),ISBLANK(INDIRECT(ADDRESS(ROW(),COLUMN(farnell_part_data)+4))),ISBLANK(INDIRECT(ADDRESS(ROW(),COLUMN(mouser_part_data)+4))),ISBLANK(INDIRECT(ADDRESS(ROW(),COLUMN(rs_part_data)+4))))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10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11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H10">
    <cfRule type="cellIs" dxfId="1" priority="48" operator="equal">
      <formula>0</formula>
    </cfRule>
    <cfRule type="cellIs" dxfId="2" priority="49" operator="lessThan">
      <formula>E10</formula>
    </cfRule>
  </conditionalFormatting>
  <conditionalFormatting sqref="H12">
    <cfRule type="cellIs" dxfId="1" priority="53" operator="equal">
      <formula>0</formula>
    </cfRule>
    <cfRule type="cellIs" dxfId="2" priority="54" operator="lessThan">
      <formula>E12</formula>
    </cfRule>
  </conditionalFormatting>
  <conditionalFormatting sqref="H13">
    <cfRule type="cellIs" dxfId="1" priority="58" operator="equal">
      <formula>0</formula>
    </cfRule>
    <cfRule type="cellIs" dxfId="2" priority="59" operator="lessThan">
      <formula>E13</formula>
    </cfRule>
  </conditionalFormatting>
  <conditionalFormatting sqref="H14">
    <cfRule type="cellIs" dxfId="1" priority="63" operator="equal">
      <formula>0</formula>
    </cfRule>
    <cfRule type="cellIs" dxfId="2" priority="64" operator="lessThan">
      <formula>E14</formula>
    </cfRule>
  </conditionalFormatting>
  <conditionalFormatting sqref="H7">
    <cfRule type="cellIs" dxfId="1" priority="33" operator="equal">
      <formula>0</formula>
    </cfRule>
    <cfRule type="cellIs" dxfId="2" priority="34" operator="lessThan">
      <formula>E7</formula>
    </cfRule>
  </conditionalFormatting>
  <conditionalFormatting sqref="H8">
    <cfRule type="cellIs" dxfId="1" priority="38" operator="equal">
      <formula>0</formula>
    </cfRule>
    <cfRule type="cellIs" dxfId="2" priority="39" operator="lessThan">
      <formula>E8</formula>
    </cfRule>
  </conditionalFormatting>
  <conditionalFormatting sqref="H9">
    <cfRule type="cellIs" dxfId="1" priority="43" operator="equal">
      <formula>0</formula>
    </cfRule>
    <cfRule type="cellIs" dxfId="2" priority="44" operator="lessThan">
      <formula>E9</formula>
    </cfRule>
  </conditionalFormatting>
  <conditionalFormatting sqref="I10">
    <cfRule type="cellIs" dxfId="1" priority="50" operator="greaterThan">
      <formula>H10</formula>
    </cfRule>
  </conditionalFormatting>
  <conditionalFormatting sqref="I12">
    <cfRule type="cellIs" dxfId="1" priority="55" operator="greaterThan">
      <formula>H12</formula>
    </cfRule>
  </conditionalFormatting>
  <conditionalFormatting sqref="I13">
    <cfRule type="cellIs" dxfId="1" priority="60" operator="greaterThan">
      <formula>H13</formula>
    </cfRule>
  </conditionalFormatting>
  <conditionalFormatting sqref="I14">
    <cfRule type="cellIs" dxfId="1" priority="65" operator="greaterThan">
      <formula>H14</formula>
    </cfRule>
  </conditionalFormatting>
  <conditionalFormatting sqref="I7">
    <cfRule type="cellIs" dxfId="1" priority="35" operator="greaterThan">
      <formula>H7</formula>
    </cfRule>
  </conditionalFormatting>
  <conditionalFormatting sqref="I8">
    <cfRule type="cellIs" dxfId="1" priority="40" operator="greaterThan">
      <formula>H8</formula>
    </cfRule>
  </conditionalFormatting>
  <conditionalFormatting sqref="I9">
    <cfRule type="cellIs" dxfId="1" priority="45" operator="greaterThan">
      <formula>H9</formula>
    </cfRule>
  </conditionalFormatting>
  <conditionalFormatting sqref="J10">
    <cfRule type="cellIs" dxfId="4" priority="52" operator="lessThanOrEqual">
      <formula>F10</formula>
    </cfRule>
  </conditionalFormatting>
  <conditionalFormatting sqref="J12">
    <cfRule type="cellIs" dxfId="4" priority="57" operator="lessThanOrEqual">
      <formula>F12</formula>
    </cfRule>
  </conditionalFormatting>
  <conditionalFormatting sqref="J13">
    <cfRule type="cellIs" dxfId="4" priority="62" operator="lessThanOrEqual">
      <formula>F13</formula>
    </cfRule>
  </conditionalFormatting>
  <conditionalFormatting sqref="J14">
    <cfRule type="cellIs" dxfId="4" priority="67" operator="lessThanOrEqual">
      <formula>F14</formula>
    </cfRule>
  </conditionalFormatting>
  <conditionalFormatting sqref="J7">
    <cfRule type="cellIs" dxfId="4" priority="37" operator="lessThanOrEqual">
      <formula>F7</formula>
    </cfRule>
  </conditionalFormatting>
  <conditionalFormatting sqref="J8">
    <cfRule type="cellIs" dxfId="4" priority="42" operator="lessThanOrEqual">
      <formula>F8</formula>
    </cfRule>
  </conditionalFormatting>
  <conditionalFormatting sqref="J9">
    <cfRule type="cellIs" dxfId="4" priority="47" operator="lessThanOrEqual">
      <formula>F9</formula>
    </cfRule>
  </conditionalFormatting>
  <conditionalFormatting sqref="K10">
    <cfRule type="cellIs" dxfId="4" priority="51" operator="lessThanOrEqual">
      <formula>G10</formula>
    </cfRule>
  </conditionalFormatting>
  <conditionalFormatting sqref="K12">
    <cfRule type="cellIs" dxfId="4" priority="56" operator="lessThanOrEqual">
      <formula>G12</formula>
    </cfRule>
  </conditionalFormatting>
  <conditionalFormatting sqref="K13">
    <cfRule type="cellIs" dxfId="4" priority="61" operator="lessThanOrEqual">
      <formula>G13</formula>
    </cfRule>
  </conditionalFormatting>
  <conditionalFormatting sqref="K14">
    <cfRule type="cellIs" dxfId="4" priority="66" operator="lessThanOrEqual">
      <formula>G14</formula>
    </cfRule>
  </conditionalFormatting>
  <conditionalFormatting sqref="K7">
    <cfRule type="cellIs" dxfId="4" priority="36" operator="lessThanOrEqual">
      <formula>G7</formula>
    </cfRule>
  </conditionalFormatting>
  <conditionalFormatting sqref="K8">
    <cfRule type="cellIs" dxfId="4" priority="41" operator="lessThanOrEqual">
      <formula>G8</formula>
    </cfRule>
  </conditionalFormatting>
  <conditionalFormatting sqref="K9">
    <cfRule type="cellIs" dxfId="4" priority="46" operator="lessThanOrEqual">
      <formula>G9</formula>
    </cfRule>
  </conditionalFormatting>
  <conditionalFormatting sqref="M10">
    <cfRule type="cellIs" dxfId="1" priority="84" operator="equal">
      <formula>0</formula>
    </cfRule>
    <cfRule type="cellIs" dxfId="2" priority="85" operator="lessThan">
      <formula>E10</formula>
    </cfRule>
  </conditionalFormatting>
  <conditionalFormatting sqref="M12">
    <cfRule type="cellIs" dxfId="1" priority="90" operator="equal">
      <formula>0</formula>
    </cfRule>
    <cfRule type="cellIs" dxfId="2" priority="91" operator="lessThan">
      <formula>E12</formula>
    </cfRule>
  </conditionalFormatting>
  <conditionalFormatting sqref="M13">
    <cfRule type="cellIs" dxfId="1" priority="95" operator="equal">
      <formula>0</formula>
    </cfRule>
    <cfRule type="cellIs" dxfId="2" priority="96" operator="lessThan">
      <formula>E13</formula>
    </cfRule>
  </conditionalFormatting>
  <conditionalFormatting sqref="M14">
    <cfRule type="cellIs" dxfId="1" priority="100" operator="equal">
      <formula>0</formula>
    </cfRule>
    <cfRule type="cellIs" dxfId="2" priority="101" operator="lessThan">
      <formula>E14</formula>
    </cfRule>
  </conditionalFormatting>
  <conditionalFormatting sqref="M7">
    <cfRule type="cellIs" dxfId="1" priority="68" operator="equal">
      <formula>0</formula>
    </cfRule>
    <cfRule type="cellIs" dxfId="2" priority="69" operator="lessThan">
      <formula>E7</formula>
    </cfRule>
  </conditionalFormatting>
  <conditionalFormatting sqref="M8">
    <cfRule type="cellIs" dxfId="1" priority="73" operator="equal">
      <formula>0</formula>
    </cfRule>
    <cfRule type="cellIs" dxfId="2" priority="74" operator="lessThan">
      <formula>E8</formula>
    </cfRule>
  </conditionalFormatting>
  <conditionalFormatting sqref="M9">
    <cfRule type="cellIs" dxfId="1" priority="78" operator="equal">
      <formula>0</formula>
    </cfRule>
    <cfRule type="cellIs" dxfId="2" priority="79" operator="lessThan">
      <formula>E9</formula>
    </cfRule>
  </conditionalFormatting>
  <conditionalFormatting sqref="N10">
    <cfRule type="expression" dxfId="3" priority="86">
      <formula>AND(N10&gt;0,N10&lt;5)</formula>
    </cfRule>
    <cfRule type="cellIs" dxfId="1" priority="87" operator="greaterThan">
      <formula>M10</formula>
    </cfRule>
  </conditionalFormatting>
  <conditionalFormatting sqref="N12">
    <cfRule type="cellIs" dxfId="1" priority="92" operator="greaterThan">
      <formula>M12</formula>
    </cfRule>
  </conditionalFormatting>
  <conditionalFormatting sqref="N13">
    <cfRule type="cellIs" dxfId="1" priority="97" operator="greaterThan">
      <formula>M13</formula>
    </cfRule>
  </conditionalFormatting>
  <conditionalFormatting sqref="N14">
    <cfRule type="expression" dxfId="3" priority="102">
      <formula>AND(N14&gt;0,N14&lt;5)</formula>
    </cfRule>
    <cfRule type="cellIs" dxfId="1" priority="103" operator="greaterThan">
      <formula>M14</formula>
    </cfRule>
  </conditionalFormatting>
  <conditionalFormatting sqref="N7">
    <cfRule type="cellIs" dxfId="1" priority="70" operator="greaterThan">
      <formula>M7</formula>
    </cfRule>
  </conditionalFormatting>
  <conditionalFormatting sqref="N8">
    <cfRule type="cellIs" dxfId="1" priority="75" operator="greaterThan">
      <formula>M8</formula>
    </cfRule>
  </conditionalFormatting>
  <conditionalFormatting sqref="N9">
    <cfRule type="expression" dxfId="3" priority="80">
      <formula>AND(N9&gt;0,N9&lt;1300)</formula>
    </cfRule>
    <cfRule type="cellIs" dxfId="1" priority="81" operator="greaterThan">
      <formula>M9</formula>
    </cfRule>
  </conditionalFormatting>
  <conditionalFormatting sqref="O10">
    <cfRule type="cellIs" dxfId="4" priority="89" operator="lessThanOrEqual">
      <formula>F10</formula>
    </cfRule>
  </conditionalFormatting>
  <conditionalFormatting sqref="O12">
    <cfRule type="cellIs" dxfId="4" priority="94" operator="lessThanOrEqual">
      <formula>F12</formula>
    </cfRule>
  </conditionalFormatting>
  <conditionalFormatting sqref="O13">
    <cfRule type="cellIs" dxfId="4" priority="99" operator="lessThanOrEqual">
      <formula>F13</formula>
    </cfRule>
  </conditionalFormatting>
  <conditionalFormatting sqref="O14">
    <cfRule type="cellIs" dxfId="4" priority="105" operator="lessThanOrEqual">
      <formula>F14</formula>
    </cfRule>
  </conditionalFormatting>
  <conditionalFormatting sqref="O7">
    <cfRule type="cellIs" dxfId="4" priority="72" operator="lessThanOrEqual">
      <formula>F7</formula>
    </cfRule>
  </conditionalFormatting>
  <conditionalFormatting sqref="O8">
    <cfRule type="cellIs" dxfId="4" priority="77" operator="lessThanOrEqual">
      <formula>F8</formula>
    </cfRule>
  </conditionalFormatting>
  <conditionalFormatting sqref="O9">
    <cfRule type="cellIs" dxfId="4" priority="83" operator="lessThanOrEqual">
      <formula>F9</formula>
    </cfRule>
  </conditionalFormatting>
  <conditionalFormatting sqref="P10">
    <cfRule type="cellIs" dxfId="4" priority="88" operator="lessThanOrEqual">
      <formula>G10</formula>
    </cfRule>
  </conditionalFormatting>
  <conditionalFormatting sqref="P12">
    <cfRule type="cellIs" dxfId="4" priority="93" operator="lessThanOrEqual">
      <formula>G12</formula>
    </cfRule>
  </conditionalFormatting>
  <conditionalFormatting sqref="P13">
    <cfRule type="cellIs" dxfId="4" priority="98" operator="lessThanOrEqual">
      <formula>G13</formula>
    </cfRule>
  </conditionalFormatting>
  <conditionalFormatting sqref="P14">
    <cfRule type="cellIs" dxfId="4" priority="104" operator="lessThanOrEqual">
      <formula>G14</formula>
    </cfRule>
  </conditionalFormatting>
  <conditionalFormatting sqref="P7">
    <cfRule type="cellIs" dxfId="4" priority="71" operator="lessThanOrEqual">
      <formula>G7</formula>
    </cfRule>
  </conditionalFormatting>
  <conditionalFormatting sqref="P8">
    <cfRule type="cellIs" dxfId="4" priority="76" operator="lessThanOrEqual">
      <formula>G8</formula>
    </cfRule>
  </conditionalFormatting>
  <conditionalFormatting sqref="P9">
    <cfRule type="cellIs" dxfId="4" priority="82" operator="lessThanOrEqual">
      <formula>G9</formula>
    </cfRule>
  </conditionalFormatting>
  <conditionalFormatting sqref="R10">
    <cfRule type="cellIs" dxfId="1" priority="121" operator="equal">
      <formula>0</formula>
    </cfRule>
    <cfRule type="cellIs" dxfId="2" priority="122" operator="lessThan">
      <formula>E10</formula>
    </cfRule>
  </conditionalFormatting>
  <conditionalFormatting sqref="R12">
    <cfRule type="cellIs" dxfId="1" priority="126" operator="equal">
      <formula>0</formula>
    </cfRule>
    <cfRule type="cellIs" dxfId="2" priority="127" operator="lessThan">
      <formula>E12</formula>
    </cfRule>
  </conditionalFormatting>
  <conditionalFormatting sqref="R13">
    <cfRule type="cellIs" dxfId="1" priority="131" operator="equal">
      <formula>0</formula>
    </cfRule>
    <cfRule type="cellIs" dxfId="2" priority="132" operator="lessThan">
      <formula>E13</formula>
    </cfRule>
  </conditionalFormatting>
  <conditionalFormatting sqref="R14">
    <cfRule type="cellIs" dxfId="1" priority="136" operator="equal">
      <formula>0</formula>
    </cfRule>
    <cfRule type="cellIs" dxfId="2" priority="137" operator="lessThan">
      <formula>E14</formula>
    </cfRule>
  </conditionalFormatting>
  <conditionalFormatting sqref="R7">
    <cfRule type="cellIs" dxfId="1" priority="106" operator="equal">
      <formula>0</formula>
    </cfRule>
    <cfRule type="cellIs" dxfId="2" priority="107" operator="lessThan">
      <formula>E7</formula>
    </cfRule>
  </conditionalFormatting>
  <conditionalFormatting sqref="R8">
    <cfRule type="cellIs" dxfId="1" priority="111" operator="equal">
      <formula>0</formula>
    </cfRule>
    <cfRule type="cellIs" dxfId="2" priority="112" operator="lessThan">
      <formula>E8</formula>
    </cfRule>
  </conditionalFormatting>
  <conditionalFormatting sqref="R9">
    <cfRule type="cellIs" dxfId="1" priority="116" operator="equal">
      <formula>0</formula>
    </cfRule>
    <cfRule type="cellIs" dxfId="2" priority="117" operator="lessThan">
      <formula>E9</formula>
    </cfRule>
  </conditionalFormatting>
  <conditionalFormatting sqref="S10">
    <cfRule type="cellIs" dxfId="1" priority="123" operator="greaterThan">
      <formula>R10</formula>
    </cfRule>
  </conditionalFormatting>
  <conditionalFormatting sqref="S12">
    <cfRule type="cellIs" dxfId="1" priority="128" operator="greaterThan">
      <formula>R12</formula>
    </cfRule>
  </conditionalFormatting>
  <conditionalFormatting sqref="S13">
    <cfRule type="cellIs" dxfId="1" priority="133" operator="greaterThan">
      <formula>R13</formula>
    </cfRule>
  </conditionalFormatting>
  <conditionalFormatting sqref="S14">
    <cfRule type="cellIs" dxfId="1" priority="138" operator="greaterThan">
      <formula>R14</formula>
    </cfRule>
  </conditionalFormatting>
  <conditionalFormatting sqref="S7">
    <cfRule type="cellIs" dxfId="1" priority="108" operator="greaterThan">
      <formula>R7</formula>
    </cfRule>
  </conditionalFormatting>
  <conditionalFormatting sqref="S8">
    <cfRule type="cellIs" dxfId="1" priority="113" operator="greaterThan">
      <formula>R8</formula>
    </cfRule>
  </conditionalFormatting>
  <conditionalFormatting sqref="S9">
    <cfRule type="cellIs" dxfId="1" priority="118" operator="greaterThan">
      <formula>R9</formula>
    </cfRule>
  </conditionalFormatting>
  <conditionalFormatting sqref="T10">
    <cfRule type="cellIs" dxfId="4" priority="125" operator="lessThanOrEqual">
      <formula>F10</formula>
    </cfRule>
  </conditionalFormatting>
  <conditionalFormatting sqref="T12">
    <cfRule type="cellIs" dxfId="4" priority="130" operator="lessThanOrEqual">
      <formula>F12</formula>
    </cfRule>
  </conditionalFormatting>
  <conditionalFormatting sqref="T13">
    <cfRule type="cellIs" dxfId="4" priority="135" operator="lessThanOrEqual">
      <formula>F13</formula>
    </cfRule>
  </conditionalFormatting>
  <conditionalFormatting sqref="T14">
    <cfRule type="cellIs" dxfId="4" priority="140" operator="lessThanOrEqual">
      <formula>F14</formula>
    </cfRule>
  </conditionalFormatting>
  <conditionalFormatting sqref="T7">
    <cfRule type="cellIs" dxfId="4" priority="110" operator="lessThanOrEqual">
      <formula>F7</formula>
    </cfRule>
  </conditionalFormatting>
  <conditionalFormatting sqref="T8">
    <cfRule type="cellIs" dxfId="4" priority="115" operator="lessThanOrEqual">
      <formula>F8</formula>
    </cfRule>
  </conditionalFormatting>
  <conditionalFormatting sqref="T9">
    <cfRule type="cellIs" dxfId="4" priority="120" operator="lessThanOrEqual">
      <formula>F9</formula>
    </cfRule>
  </conditionalFormatting>
  <conditionalFormatting sqref="U10">
    <cfRule type="cellIs" dxfId="4" priority="124" operator="lessThanOrEqual">
      <formula>G10</formula>
    </cfRule>
  </conditionalFormatting>
  <conditionalFormatting sqref="U12">
    <cfRule type="cellIs" dxfId="4" priority="129" operator="lessThanOrEqual">
      <formula>G12</formula>
    </cfRule>
  </conditionalFormatting>
  <conditionalFormatting sqref="U13">
    <cfRule type="cellIs" dxfId="4" priority="134" operator="lessThanOrEqual">
      <formula>G13</formula>
    </cfRule>
  </conditionalFormatting>
  <conditionalFormatting sqref="U14">
    <cfRule type="cellIs" dxfId="4" priority="139" operator="lessThanOrEqual">
      <formula>G14</formula>
    </cfRule>
  </conditionalFormatting>
  <conditionalFormatting sqref="U7">
    <cfRule type="cellIs" dxfId="4" priority="109" operator="lessThanOrEqual">
      <formula>G7</formula>
    </cfRule>
  </conditionalFormatting>
  <conditionalFormatting sqref="U8">
    <cfRule type="cellIs" dxfId="4" priority="114" operator="lessThanOrEqual">
      <formula>G8</formula>
    </cfRule>
  </conditionalFormatting>
  <conditionalFormatting sqref="U9">
    <cfRule type="cellIs" dxfId="4" priority="119" operator="lessThanOrEqual">
      <formula>G9</formula>
    </cfRule>
  </conditionalFormatting>
  <conditionalFormatting sqref="W10">
    <cfRule type="cellIs" dxfId="1" priority="141" operator="equal">
      <formula>0</formula>
    </cfRule>
    <cfRule type="cellIs" dxfId="2" priority="142" operator="lessThan">
      <formula>E10</formula>
    </cfRule>
  </conditionalFormatting>
  <conditionalFormatting sqref="W12">
    <cfRule type="cellIs" dxfId="1" priority="147" operator="equal">
      <formula>0</formula>
    </cfRule>
    <cfRule type="cellIs" dxfId="2" priority="148" operator="lessThan">
      <formula>E12</formula>
    </cfRule>
  </conditionalFormatting>
  <conditionalFormatting sqref="W13">
    <cfRule type="cellIs" dxfId="1" priority="153" operator="equal">
      <formula>0</formula>
    </cfRule>
    <cfRule type="cellIs" dxfId="2" priority="154" operator="lessThan">
      <formula>E13</formula>
    </cfRule>
  </conditionalFormatting>
  <conditionalFormatting sqref="X10">
    <cfRule type="expression" dxfId="3" priority="143">
      <formula>AND(X10&gt;0,X10&lt;25)</formula>
    </cfRule>
    <cfRule type="cellIs" dxfId="1" priority="144" operator="greaterThan">
      <formula>W10</formula>
    </cfRule>
  </conditionalFormatting>
  <conditionalFormatting sqref="X12">
    <cfRule type="expression" dxfId="3" priority="149">
      <formula>AND(X12&gt;0,X12&lt;10)</formula>
    </cfRule>
    <cfRule type="cellIs" dxfId="1" priority="150" operator="greaterThan">
      <formula>W12</formula>
    </cfRule>
  </conditionalFormatting>
  <conditionalFormatting sqref="X13">
    <cfRule type="expression" dxfId="3" priority="155">
      <formula>AND(X13&gt;0,X13&lt;10)</formula>
    </cfRule>
    <cfRule type="cellIs" dxfId="1" priority="156" operator="greaterThan">
      <formula>W13</formula>
    </cfRule>
  </conditionalFormatting>
  <conditionalFormatting sqref="Y10">
    <cfRule type="cellIs" dxfId="4" priority="146" operator="lessThanOrEqual">
      <formula>F10</formula>
    </cfRule>
  </conditionalFormatting>
  <conditionalFormatting sqref="Y12">
    <cfRule type="cellIs" dxfId="4" priority="152" operator="lessThanOrEqual">
      <formula>F12</formula>
    </cfRule>
  </conditionalFormatting>
  <conditionalFormatting sqref="Y13">
    <cfRule type="cellIs" dxfId="4" priority="158" operator="lessThanOrEqual">
      <formula>F13</formula>
    </cfRule>
  </conditionalFormatting>
  <conditionalFormatting sqref="Z10">
    <cfRule type="cellIs" dxfId="4" priority="145" operator="lessThanOrEqual">
      <formula>G10</formula>
    </cfRule>
  </conditionalFormatting>
  <conditionalFormatting sqref="Z12">
    <cfRule type="cellIs" dxfId="4" priority="151" operator="lessThanOrEqual">
      <formula>G12</formula>
    </cfRule>
  </conditionalFormatting>
  <conditionalFormatting sqref="Z13">
    <cfRule type="cellIs" dxfId="4" priority="157" operator="lessThanOrEqual">
      <formula>G13</formula>
    </cfRule>
  </conditionalFormatting>
  <hyperlinks>
    <hyperlink ref="L7" r:id="rId1"/>
    <hyperlink ref="Q7" r:id="rId2"/>
    <hyperlink ref="V7" r:id="rId3"/>
    <hyperlink ref="L8" r:id="rId4"/>
    <hyperlink ref="Q8" r:id="rId5"/>
    <hyperlink ref="V8" r:id="rId6"/>
    <hyperlink ref="L9" r:id="rId7"/>
    <hyperlink ref="Q9" r:id="rId8"/>
    <hyperlink ref="V9" r:id="rId9"/>
    <hyperlink ref="L10" r:id="rId10"/>
    <hyperlink ref="Q10" r:id="rId11"/>
    <hyperlink ref="V10" r:id="rId12"/>
    <hyperlink ref="AA10" r:id="rId13"/>
    <hyperlink ref="L12" r:id="rId14"/>
    <hyperlink ref="Q12" r:id="rId15"/>
    <hyperlink ref="V12" r:id="rId16"/>
    <hyperlink ref="AA12" r:id="rId17"/>
    <hyperlink ref="L13" r:id="rId18"/>
    <hyperlink ref="Q13" r:id="rId19"/>
    <hyperlink ref="V13" r:id="rId20"/>
    <hyperlink ref="AA13" r:id="rId21"/>
    <hyperlink ref="L14" r:id="rId22"/>
    <hyperlink ref="Q14" r:id="rId23"/>
    <hyperlink ref="V14" r:id="rId24"/>
  </hyperlinks>
  <pageMargins left="0.7" right="0.7" top="0.75" bottom="0.75" header="0.3" footer="0.3"/>
  <legacy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cost. </vt:lpstr>
      <vt:lpstr>BoardQty</vt:lpstr>
      <vt:lpstr>digikey_part_data</vt:lpstr>
      <vt:lpstr>farnell_part_data</vt:lpstr>
      <vt:lpstr>global_part_data</vt:lpstr>
      <vt:lpstr>mouser_part_data</vt:lpstr>
      <vt:lpstr>PURCHASE_DESCRIPTION</vt:lpstr>
      <vt:lpstr>rs_part_data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2020-10-23T22:37:01Z</dcterms:created>
  <dcterms:modified xsi:type="dcterms:W3CDTF">2020-10-23T22:37:01Z</dcterms:modified>
</cp:coreProperties>
</file>