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3/"/>
    </mc:Choice>
  </mc:AlternateContent>
  <xr:revisionPtr revIDLastSave="0" documentId="8_{86E527C7-D54E-BD43-ABE3-54927F2BEE1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6" i="2"/>
  <c r="H8" i="2"/>
  <c r="H9" i="2"/>
  <c r="H14" i="2"/>
  <c r="H4" i="2"/>
  <c r="B33" i="2"/>
  <c r="B31" i="2"/>
  <c r="DP14" i="1" s="1"/>
  <c r="B29" i="2"/>
  <c r="AB8" i="1" s="1"/>
  <c r="B27" i="2"/>
  <c r="AM7" i="1" s="1"/>
  <c r="B26" i="2"/>
  <c r="B25" i="2"/>
  <c r="AK13" i="1" s="1"/>
  <c r="B24" i="2"/>
  <c r="AJ11" i="1" s="1"/>
  <c r="B23" i="2"/>
  <c r="AI17" i="1" s="1"/>
  <c r="B2" i="2"/>
  <c r="B1" i="2"/>
  <c r="F4" i="1" s="1"/>
  <c r="H104" i="2"/>
  <c r="B9" i="2"/>
  <c r="CK12" i="1" s="1"/>
  <c r="B8" i="2"/>
  <c r="CQ9" i="1" s="1"/>
  <c r="B7" i="2"/>
  <c r="CP14" i="1" s="1"/>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Q24" i="1" s="1"/>
  <c r="M23" i="2"/>
  <c r="M24" i="1" s="1"/>
  <c r="P23" i="2"/>
  <c r="P24" i="1" s="1"/>
  <c r="I23" i="2"/>
  <c r="V22" i="2"/>
  <c r="H22" i="2" s="1"/>
  <c r="AT23" i="1" s="1"/>
  <c r="T22" i="2"/>
  <c r="S22" i="2"/>
  <c r="R22" i="2"/>
  <c r="Q22" i="2"/>
  <c r="O22" i="2"/>
  <c r="N22" i="2"/>
  <c r="N23" i="1" s="1"/>
  <c r="M22" i="2"/>
  <c r="M23" i="1" s="1"/>
  <c r="I22" i="2"/>
  <c r="V21" i="2"/>
  <c r="H21" i="2" s="1"/>
  <c r="U21" i="2"/>
  <c r="T21" i="2"/>
  <c r="T22" i="1" s="1"/>
  <c r="S21" i="2"/>
  <c r="R21" i="2"/>
  <c r="Q21" i="2"/>
  <c r="P21" i="2"/>
  <c r="O21" i="2"/>
  <c r="N21" i="2"/>
  <c r="M21" i="2"/>
  <c r="I21" i="2"/>
  <c r="V20" i="2"/>
  <c r="H20" i="2" s="1"/>
  <c r="U20" i="2"/>
  <c r="T20" i="2"/>
  <c r="S20" i="2"/>
  <c r="R20" i="2"/>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T17" i="2"/>
  <c r="S17" i="2"/>
  <c r="R17" i="2"/>
  <c r="Q17" i="2"/>
  <c r="P17" i="2"/>
  <c r="N17" i="2"/>
  <c r="M17" i="2"/>
  <c r="U17" i="2"/>
  <c r="U18" i="1" s="1"/>
  <c r="I17" i="2"/>
  <c r="V16" i="2"/>
  <c r="H16" i="2" s="1"/>
  <c r="U16" i="2"/>
  <c r="T16" i="2"/>
  <c r="S16" i="2"/>
  <c r="S17" i="1" s="1"/>
  <c r="R16" i="2"/>
  <c r="Q16" i="2"/>
  <c r="P16" i="2"/>
  <c r="O16" i="2"/>
  <c r="N16" i="2"/>
  <c r="M16" i="2"/>
  <c r="I16" i="2"/>
  <c r="AT17" i="1"/>
  <c r="CO17" i="1"/>
  <c r="V15" i="2"/>
  <c r="H15" i="2" s="1"/>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O9" i="1" s="1"/>
  <c r="L9" i="1" s="1"/>
  <c r="CQ23" i="1"/>
  <c r="V7" i="2"/>
  <c r="H7" i="2" s="1"/>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H5" i="2" s="1"/>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U9" i="1"/>
  <c r="CT9" i="1"/>
  <c r="CS9" i="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5" i="1"/>
  <c r="AB6" i="1"/>
  <c r="DP8" i="1"/>
  <c r="DP24" i="1"/>
  <c r="EI5" i="1"/>
  <c r="EI9" i="1"/>
  <c r="EI11" i="1"/>
  <c r="AB24" i="1"/>
  <c r="EI6" i="1"/>
  <c r="AB11" i="1"/>
  <c r="DP7" i="1"/>
  <c r="AB10" i="1"/>
  <c r="DP10" i="1"/>
  <c r="EI8" i="1"/>
  <c r="AB9" i="1"/>
  <c r="EI24" i="1"/>
  <c r="AB14" i="1"/>
  <c r="DP6" i="1"/>
  <c r="EI7" i="1"/>
  <c r="EI10"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<sst xmlns="http://schemas.openxmlformats.org/spreadsheetml/2006/main" count="865" uniqueCount="696">
  <si>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</si>
  <si>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</si>
  <si>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</si>
  <si>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</si>
  <si>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</si>
  <si>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</si>
  <si>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</si>
  <si>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</si>
  <si>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</si>
  <si>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</si>
  <si>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</si>
  <si>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</si>
  <si>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</si>
  <si>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</si>
  <si>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</si>
  <si>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</si>
  <si>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</si>
  <si>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</si>
  <si>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</si>
  <si>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</si>
  <si>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</si>
  <si>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</si>
  <si>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</si>
  <si>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</si>
  <si>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</si>
  <si>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</si>
  <si>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</si>
  <si>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</si>
  <si>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</si>
  <si>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</si>
  <si>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</si>
  <si>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</si>
  <si>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</si>
  <si>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</si>
  <si>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</si>
  <si>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</si>
  <si>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</si>
  <si>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</si>
  <si>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</si>
  <si>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</si>
  <si>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</si>
  <si>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</si>
  <si>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</si>
  <si>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</si>
  <si>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</si>
  <si>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</si>
  <si>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</si>
  <si>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</si>
  <si>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</si>
  <si>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</si>
  <si>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</si>
  <si>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</si>
  <si>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</si>
  <si>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</si>
  <si>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</si>
  <si>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</si>
  <si>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</si>
  <si>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</si>
  <si>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</si>
  <si>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</si>
  <si>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</si>
  <si>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</si>
  <si>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</si>
  <si>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</si>
  <si>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</si>
  <si>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</si>
  <si>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</si>
  <si>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</si>
  <si>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</si>
  <si>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</si>
  <si>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</si>
  <si>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</si>
  <si>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</si>
  <si>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</si>
  <si>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</si>
  <si>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</si>
  <si>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</si>
  <si>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</si>
  <si>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</si>
  <si>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</si>
  <si>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</si>
  <si>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</si>
  <si>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</si>
  <si>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</si>
  <si>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</si>
  <si>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</si>
  <si>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</si>
  <si>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</si>
  <si>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</si>
  <si>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</si>
  <si>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</si>
  <si>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</si>
  <si>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</si>
  <si>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</si>
  <si>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</si>
  <si>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</si>
  <si>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</si>
  <si>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</si>
  <si>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</si>
  <si>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</si>
  <si>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</si>
  <si>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</si>
  <si>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</si>
  <si>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</si>
  <si>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</si>
  <si>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</si>
  <si>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</si>
  <si>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</si>
  <si>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</si>
  <si>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</si>
  <si>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</si>
  <si>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</si>
  <si>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</si>
  <si>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</si>
  <si>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</si>
  <si>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</si>
  <si>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</si>
  <si>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</si>
  <si>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</si>
  <si>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</si>
  <si>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</si>
  <si>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</si>
  <si>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</si>
  <si>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</si>
  <si>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</si>
  <si>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</si>
  <si>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</si>
  <si>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</si>
  <si>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</si>
  <si>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</si>
  <si>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</si>
  <si>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</si>
  <si>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</si>
  <si>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</si>
  <si>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</si>
  <si>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</si>
  <si>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</si>
  <si>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</si>
  <si>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</si>
  <si>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</si>
  <si>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</si>
  <si>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</si>
  <si>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</si>
  <si>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</si>
  <si>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</si>
  <si>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</si>
  <si>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</si>
  <si>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</si>
  <si>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</si>
  <si>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</si>
  <si>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</si>
  <si>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</si>
  <si>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</si>
  <si>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</si>
  <si>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</si>
  <si>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</si>
  <si>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</si>
  <si>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</si>
  <si>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</si>
  <si>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</si>
  <si>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</si>
  <si>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</si>
  <si>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</si>
  <si>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</si>
  <si>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</si>
  <si>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</si>
  <si>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</si>
  <si>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</si>
  <si>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</si>
  <si>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</si>
  <si>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</si>
  <si>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</si>
  <si>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</si>
  <si>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</si>
  <si>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</si>
  <si>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</si>
  <si>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</si>
  <si>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</si>
  <si>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</si>
  <si>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</si>
  <si>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</si>
  <si>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</si>
  <si>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</si>
  <si>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</si>
  <si>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</si>
  <si>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</si>
  <si>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</si>
  <si>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</si>
  <si>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</si>
  <si>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</si>
  <si>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</si>
  <si>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</si>
  <si>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</si>
  <si>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</si>
  <si>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</si>
  <si>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</si>
  <si>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</si>
  <si>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</si>
  <si>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</si>
  <si>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</si>
  <si>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</si>
  <si>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</si>
  <si>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</si>
  <si>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</si>
  <si>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</si>
  <si>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</si>
  <si>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</si>
  <si>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</si>
  <si>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</si>
  <si>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</si>
  <si>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</si>
  <si>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</si>
  <si>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</si>
  <si>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</si>
  <si>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</si>
  <si>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</si>
  <si>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</si>
  <si>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</si>
  <si>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</si>
  <si>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</si>
  <si>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</si>
  <si>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</si>
  <si>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</si>
  <si>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</si>
  <si>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</si>
  <si>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</si>
  <si>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</si>
  <si>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</si>
  <si>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</si>
  <si>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</si>
  <si>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</si>
  <si>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</si>
  <si>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</si>
  <si>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</si>
  <si>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</si>
  <si>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</si>
  <si>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</si>
  <si>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</si>
  <si>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</si>
  <si>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</si>
  <si>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</si>
  <si>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</si>
  <si>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</si>
  <si>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</si>
  <si>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</si>
  <si>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</si>
  <si>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</si>
  <si>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</si>
  <si>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</si>
  <si>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</si>
  <si>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</si>
  <si>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</si>
  <si>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</si>
  <si>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</si>
  <si>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</si>
  <si>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</si>
  <si>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</si>
  <si>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</si>
  <si>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</si>
  <si>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</si>
  <si>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</si>
  <si>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</si>
  <si>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</si>
  <si>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</si>
  <si>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</si>
  <si>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</si>
  <si>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</si>
  <si>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</si>
  <si>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</si>
  <si>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</si>
  <si>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</si>
  <si>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</si>
  <si>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</si>
  <si>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</si>
  <si>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</si>
  <si>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</si>
  <si>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</si>
  <si>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</si>
  <si>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</si>
  <si>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</si>
  <si>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</si>
  <si>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</si>
  <si>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</si>
  <si>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</si>
  <si>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</si>
  <si>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</si>
  <si>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</si>
  <si>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</si>
  <si>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</si>
  <si>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</si>
  <si>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</si>
  <si>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</si>
  <si>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</si>
  <si>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</si>
  <si>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</si>
  <si>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</si>
  <si>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</si>
  <si>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</si>
  <si>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</si>
  <si>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</si>
  <si>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</si>
  <si>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</si>
  <si>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</si>
  <si>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</si>
  <si>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</si>
  <si>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</si>
  <si>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</si>
  <si>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</si>
  <si>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</si>
  <si>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</si>
  <si>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</si>
  <si>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</si>
  <si>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</si>
  <si>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</si>
  <si>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</si>
  <si>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</si>
  <si>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</si>
  <si>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</si>
  <si>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</si>
  <si>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</si>
  <si>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</si>
  <si>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</si>
  <si>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</si>
  <si>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</si>
  <si>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</si>
  <si>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</si>
  <si>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</si>
  <si>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</si>
  <si>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</si>
  <si>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</si>
  <si>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</si>
  <si>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</si>
  <si>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</si>
  <si>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</si>
  <si>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</si>
  <si>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</si>
  <si>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</si>
  <si>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</si>
  <si>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</si>
  <si>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</si>
  <si>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</si>
  <si>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</si>
  <si>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</si>
  <si>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</si>
  <si>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</si>
  <si>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</si>
  <si>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</si>
  <si>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</si>
  <si>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</si>
  <si>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</si>
  <si>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</si>
  <si>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</si>
  <si>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</si>
  <si>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</si>
  <si>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</si>
  <si>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</si>
  <si>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</si>
  <si>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</si>
  <si>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</si>
  <si>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</si>
  <si>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</si>
  <si>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</si>
  <si>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</si>
  <si>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</si>
  <si>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</si>
  <si>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</si>
  <si>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</si>
  <si>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</si>
  <si>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</si>
  <si>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</si>
  <si>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</si>
  <si>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</si>
  <si>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</si>
  <si>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</si>
  <si>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</si>
  <si>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</si>
  <si>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</si>
  <si>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</si>
  <si>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</si>
  <si>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</si>
  <si>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</si>
  <si>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</si>
  <si>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</si>
  <si>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</si>
  <si>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</si>
  <si>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</si>
  <si>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</si>
  <si>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</si>
  <si>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</si>
  <si>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</si>
  <si>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</si>
  <si>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</si>
  <si>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</si>
  <si>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</si>
  <si>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</si>
  <si>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</si>
  <si>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</si>
  <si>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</si>
  <si>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</si>
  <si>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</si>
  <si>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</si>
  <si>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</si>
  <si>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</si>
  <si>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</si>
  <si>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</si>
  <si>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</si>
  <si>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</si>
  <si>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</si>
  <si>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</si>
  <si>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</si>
  <si>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</si>
  <si>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</si>
  <si>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</si>
  <si>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</si>
  <si>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</si>
  <si>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</si>
  <si>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</si>
  <si>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</si>
  <si>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</si>
  <si>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</si>
  <si>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</si>
  <si>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</si>
  <si>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</si>
  <si>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</si>
  <si>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</si>
  <si>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</si>
  <si>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</si>
  <si>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</si>
  <si>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</si>
  <si>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</si>
  <si>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</si>
  <si>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</si>
  <si>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</si>
  <si>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</si>
  <si>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</si>
  <si>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</si>
  <si>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</si>
  <si>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</si>
  <si>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</si>
  <si>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</si>
  <si>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</si>
  <si>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</si>
  <si>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</si>
  <si>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</si>
  <si>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</si>
  <si>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</si>
  <si>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</si>
  <si>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</si>
  <si>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</si>
  <si>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</si>
  <si>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</si>
  <si>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</si>
  <si>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</si>
  <si>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</si>
  <si>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</si>
  <si>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</si>
  <si>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</si>
  <si>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</si>
  <si>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</si>
  <si>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</si>
  <si>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</si>
  <si>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</si>
  <si>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</si>
  <si>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</si>
  <si>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</si>
  <si>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</si>
  <si>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</si>
  <si>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</si>
  <si>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</si>
  <si>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</si>
  <si>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</si>
  <si>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</si>
  <si>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</si>
  <si>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</si>
  <si>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</si>
  <si>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</si>
  <si>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</si>
  <si>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</si>
  <si>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</si>
  <si>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</si>
  <si>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</si>
  <si>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</si>
  <si>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</si>
  <si>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</si>
  <si>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</si>
  <si>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</si>
  <si>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</si>
  <si>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</si>
  <si>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</si>
  <si>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</si>
  <si>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</si>
  <si>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</si>
  <si>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</si>
  <si>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</si>
  <si>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</si>
  <si>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</si>
  <si>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</si>
  <si>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</si>
  <si>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</si>
  <si>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</si>
  <si>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</si>
  <si>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</si>
  <si>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</si>
  <si>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</si>
  <si>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</si>
  <si>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</si>
  <si>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</si>
  <si>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</si>
  <si>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</si>
  <si>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</si>
  <si>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</si>
  <si>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</si>
  <si>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</si>
  <si>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</si>
  <si>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</si>
  <si>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</si>
  <si>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</si>
  <si>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</si>
  <si>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</si>
  <si>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</si>
  <si>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</si>
  <si>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</si>
  <si>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</si>
  <si>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</si>
  <si>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</si>
  <si>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</si>
  <si>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</si>
  <si>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</si>
  <si>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</si>
  <si>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</si>
  <si>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</si>
  <si>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</si>
  <si>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</si>
  <si>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</si>
  <si>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</si>
  <si>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</si>
  <si>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</si>
  <si>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</si>
  <si>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</si>
  <si>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</si>
  <si>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</si>
  <si>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</si>
  <si>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</si>
  <si>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</si>
  <si>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</si>
  <si>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</si>
  <si>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</si>
  <si>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</si>
  <si>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</si>
  <si>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</si>
  <si>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</si>
  <si>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</si>
  <si>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</si>
  <si>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</si>
  <si>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</si>
  <si>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</si>
  <si>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</si>
  <si>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</si>
  <si>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</si>
  <si>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</si>
  <si>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</si>
  <si>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</si>
  <si>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</si>
  <si>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</si>
  <si>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</si>
  <si>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</si>
  <si>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</si>
  <si>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</si>
  <si>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</si>
  <si>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</si>
  <si>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</si>
  <si>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</si>
  <si>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</si>
  <si>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</si>
  <si>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</si>
  <si>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</si>
  <si>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</si>
  <si>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</si>
  <si>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</si>
  <si>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</si>
  <si>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</si>
  <si>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</si>
  <si>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</si>
  <si>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</si>
  <si>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</si>
  <si>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</si>
  <si>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</si>
  <si>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</si>
  <si>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</si>
  <si>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</si>
  <si>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</si>
  <si>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</si>
  <si>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</si>
  <si>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</si>
  <si>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</si>
  <si>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</si>
  <si>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</si>
  <si>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</si>
  <si>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</si>
  <si>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</si>
  <si>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</si>
  <si>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</si>
  <si>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</si>
  <si>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</si>
  <si>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</si>
  <si>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</si>
  <si>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</si>
  <si>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</si>
  <si>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</si>
  <si>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</si>
  <si>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</si>
  <si>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</si>
  <si>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</si>
  <si>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</si>
  <si>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</si>
  <si>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</si>
  <si>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</si>
  <si>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</si>
  <si>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</si>
  <si>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</si>
  <si>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</si>
  <si>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</si>
  <si>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</si>
  <si>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</si>
  <si>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</si>
  <si>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</si>
  <si>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</si>
  <si>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</si>
  <si>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</si>
  <si>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</si>
  <si>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</si>
  <si>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</si>
  <si>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</si>
  <si>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</si>
  <si>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</si>
  <si>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</si>
  <si>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</si>
  <si>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</si>
  <si>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</si>
  <si>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</si>
  <si>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</si>
  <si>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</si>
  <si>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</si>
  <si>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</si>
  <si>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</si>
  <si>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</si>
  <si>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</si>
  <si>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</si>
  <si>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</si>
  <si>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</si>
  <si>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</si>
  <si>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</si>
  <si>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</si>
  <si>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</si>
  <si>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</si>
  <si>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</si>
  <si>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</si>
  <si>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</si>
  <si>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</si>
  <si>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</si>
  <si>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</si>
  <si>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</si>
  <si>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</si>
  <si>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</si>
  <si>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</si>
  <si>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</si>
  <si>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</si>
  <si>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</si>
  <si>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</si>
  <si>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</si>
  <si>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</si>
  <si>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</si>
  <si>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</si>
  <si>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</si>
  <si>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</si>
  <si>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</si>
  <si>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G3, 745 G3, 840 G4, 745 G4</t>
  </si>
  <si>
    <t>HP 840 G3 parent</t>
  </si>
  <si>
    <t>HP 840 G3 BL - DE</t>
  </si>
  <si>
    <t>HP 840 G3 BL - FR</t>
  </si>
  <si>
    <t>HP 840 G3 BL - IT</t>
  </si>
  <si>
    <t>HP 840 G3 BL - ES</t>
  </si>
  <si>
    <t>HP 840 G3 BL - UK</t>
  </si>
  <si>
    <t>HP 840 G3 BL - USI</t>
  </si>
  <si>
    <t>HP 840 G3 BL - US</t>
  </si>
  <si>
    <t>HP 840 G3 BL - NORDIC</t>
  </si>
  <si>
    <t>HP 840 G3 RG - US</t>
  </si>
  <si>
    <t>HP/W. PS/840 G3 SILVER/BL/DE</t>
  </si>
  <si>
    <t>HP/W. PS/840 G3 SILVER/BL/FR</t>
  </si>
  <si>
    <t>HP/W. PS/840 G3 SILVER/BL/IT</t>
  </si>
  <si>
    <t>HP/W. PS/840 G3 SILVER/BL/ES</t>
  </si>
  <si>
    <t>HP/W. PS/840 G3 SILVER/BL/UK</t>
  </si>
  <si>
    <t>HP/W. PS/840 G3 SILVER/BL/USI</t>
  </si>
  <si>
    <t>HP/W. PS/840 G3 SILVER/BL/US</t>
  </si>
  <si>
    <t>HP/W. PS/840 G3 SILVER/RG/US</t>
  </si>
  <si>
    <t>HP/W. PS/840 G3 SILVER/BL/NOR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</si>
</sst>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xf numFmtId="0" fontId="0" fillId="14" borderId="0" xfId="0" applyFill="1" applyAlignment="1">
      <alignment horizontal="left"/>
    </xf>
    <xf numFmtId="0" fontId="0" fillId="14" borderId="0" xfId="0" applyFill="1" applyAlignment="1">
      <alignment horizontal="right"/>
    </xf>
    <xf numFmtId="0" fontId="9"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parent</v>
      </c>
      <c r="C4" s="29" t="s">
        <v>345</v>
      </c>
      <c r="D4" s="30">
        <f>Values!B14</f>
        <v>5714401842996</v>
      </c>
      <c r="E4" s="31" t="s">
        <v>346</v>
      </c>
      <c r="F4" s="28" t="str">
        <f>SUBSTITUTE(Values!B1, "{language}", "") &amp; " " &amp; Values!B3</f>
        <v>Teclado de respuesto  retroiluminado  para HP   840 G3, 745 G3, 840 G4, 745 G4</v>
      </c>
      <c r="G4" s="29" t="s">
        <v>345</v>
      </c>
      <c r="H4" s="27" t="str">
        <f>Values!B16</f>
        <v>computer-keyboards</v>
      </c>
      <c r="I4" s="27" t="str">
        <f>IF(ISBLANK(Values!E3),"","4730574031")</f>
        <v>4730574031</v>
      </c>
      <c r="J4" s="32" t="str">
        <f>Values!B13</f>
        <v>HP 840 G3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computercomponent</v>
      </c>
      <c r="B5" s="38" t="str">
        <f>IF(ISBLANK(Values!E4),"",Values!F4)</f>
        <v>HP 840 G3 BL - DE</v>
      </c>
      <c r="C5" s="32" t="str">
        <f>IF(ISBLANK(Values!E4),"","TellusRem")</f>
        <v>TellusRem</v>
      </c>
      <c r="D5" s="30">
        <f>IF(ISBLANK(Values!E4),"",Values!E4)</f>
        <v>5714401842019</v>
      </c>
      <c r="E5" s="31" t="str">
        <f>IF(ISBLANK(Values!E4),"","EAN")</f>
        <v>EAN</v>
      </c>
      <c r="F5" s="28" t="str">
        <f>IF(ISBLANK(Values!E4),"",IF(Values!J4, SUBSTITUTE(Values!$B$1, "{language}", Values!H4) &amp; " " &amp;Values!$B$3, SUBSTITUTE(Values!$B$2, "{language}", Values!$H4) &amp; " " &amp;Values!$B$3))</f>
        <v>Teclado de respuesto Alemán retroiluminado  para HP   840 G3, 745 G3, 840 G4, 745 G4</v>
      </c>
      <c r="G5" s="32" t="str">
        <f>IF(ISBLANK(Values!E4),"","TellusRem")</f>
        <v>TellusRem</v>
      </c>
      <c r="H5" s="27" t="str">
        <f>IF(ISBLANK(Values!E4),"",Values!$B$16)</f>
        <v>computer-keyboards</v>
      </c>
      <c r="I5" s="27" t="str">
        <f>IF(ISBLANK(Values!E4),"","4730574031")</f>
        <v>4730574031</v>
      </c>
      <c r="J5" s="39" t="str">
        <f>IF(ISBLANK(Values!E4),"",Values!F4 )</f>
        <v>HP 840 G3 BL - DE</v>
      </c>
      <c r="K5" s="28">
        <f>IF(ISBLANK(Values!E4),"",IF(Values!J4, Values!$B$4, Values!$B$5))</f>
        <v>47.99</v>
      </c>
      <c r="L5" s="40" t="str">
        <f>IF(ISBLANK(Values!E4),"",IF($CO5="DEFAULT", Values!$B$18, ""))</f>
        <v/>
      </c>
      <c r="M5" s="28" t="str">
        <f>IF(ISBLANK(Values!E4),"",Values!$M4)</f>
        <v>https://raw.githubusercontent.com/PatrickVibild/TellusAmazonPictures/master/pictures/HP/W. PS/840 G3 SILVER/BL/DE/1.jpg</v>
      </c>
      <c r="N5" s="28" t="str">
        <f>IF(ISBLANK(Values!$F4),"",Values!N4)</f>
        <v>https://raw.githubusercontent.com/PatrickVibild/TellusAmazonPictures/master/pictures/HP/W. PS/840 G3 SILVER/BL/DE/2.jpg</v>
      </c>
      <c r="O5" s="28" t="str">
        <f>IF(ISBLANK(Values!$F4),"",Values!O4)</f>
        <v>https://raw.githubusercontent.com/PatrickVibild/TellusAmazonPictures/master/pictures/HP/W. PS/840 G3 SILVER/BL/DE/3.jpg</v>
      </c>
      <c r="P5" s="28" t="str">
        <f>IF(ISBLANK(Values!$F4),"",Values!P4)</f>
        <v>https://raw.githubusercontent.com/PatrickVibild/TellusAmazonPictures/master/pictures/HP/W. PS/840 G3 SILVER/BL/DE/4.jpg</v>
      </c>
      <c r="Q5" s="28" t="str">
        <f>IF(ISBLANK(Values!$F4),"",Values!Q4)</f>
        <v>https://raw.githubusercontent.com/PatrickVibild/TellusAmazonPictures/master/pictures/HP/W. PS/840 G3 SILVER/BL/DE/5.jpg</v>
      </c>
      <c r="R5" s="28" t="str">
        <f>IF(ISBLANK(Values!$F4),"",Values!R4)</f>
        <v>https://raw.githubusercontent.com/PatrickVibild/TellusAmazonPictures/master/pictures/HP/W. PS/840 G3 SILVER/BL/DE/6.jpg</v>
      </c>
      <c r="S5" s="28" t="str">
        <f>IF(ISBLANK(Values!$F4),"",Values!S4)</f>
        <v>https://raw.githubusercontent.com/PatrickVibild/TellusAmazonPictures/master/pictures/HP/W. PS/840 G3 SILVER/BL/DE/7.jpg</v>
      </c>
      <c r="T5" s="28" t="str">
        <f>IF(ISBLANK(Values!$F4),"",Values!T4)</f>
        <v>https://raw.githubusercontent.com/PatrickVibild/TellusAmazonPictures/master/pictures/HP/W. PS/840 G3 SILVER/BL/DE/8.jpg</v>
      </c>
      <c r="U5" s="28" t="str">
        <f>IF(ISBLANK(Values!$F4),"",Values!U4)</f>
        <v>https://raw.githubusercontent.com/PatrickVibild/TellusAmazonPictures/master/pictures/HP/W. PS/840 G3 SILVER/BL/DE/9.jpg</v>
      </c>
      <c r="W5" s="32" t="str">
        <f>IF(ISBLANK(Values!E4),"","Child")</f>
        <v>Child</v>
      </c>
      <c r="X5" s="32" t="str">
        <f>IF(ISBLANK(Values!E4),"",Values!$B$13)</f>
        <v>HP 840 G3 parent</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840 G3, 745 G3, 840 G4, 745 G4.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17" x14ac:dyDescent="0.2">
      <c r="A6" s="27" t="str">
        <f>IF(ISBLANK(Values!E5),"",IF(Values!$B$37="EU","computercomponent","computer"))</f>
        <v>computercomponent</v>
      </c>
      <c r="B6" s="38" t="str">
        <f>IF(ISBLANK(Values!E5),"",Values!F5)</f>
        <v>HP 840 G3 BL - FR</v>
      </c>
      <c r="C6" s="32" t="str">
        <f>IF(ISBLANK(Values!E5),"","TellusRem")</f>
        <v>TellusRem</v>
      </c>
      <c r="D6" s="30">
        <f>IF(ISBLANK(Values!E5),"",Values!E5)</f>
        <v>5714401842026</v>
      </c>
      <c r="E6" s="31" t="str">
        <f>IF(ISBLANK(Values!E5),"","EAN")</f>
        <v>EAN</v>
      </c>
      <c r="F6" s="28" t="str">
        <f>IF(ISBLANK(Values!E5),"",IF(Values!J5, SUBSTITUTE(Values!$B$1, "{language}", Values!H5) &amp; " " &amp;Values!$B$3, SUBSTITUTE(Values!$B$2, "{language}", Values!$H5) &amp; " " &amp;Values!$B$3))</f>
        <v>Teclado de respuesto Francés retroiluminado  para HP   840 G3, 745 G3, 840 G4, 745 G4</v>
      </c>
      <c r="G6" s="32" t="str">
        <f>IF(ISBLANK(Values!E5),"","TellusRem")</f>
        <v>TellusRem</v>
      </c>
      <c r="H6" s="27" t="str">
        <f>IF(ISBLANK(Values!E5),"",Values!$B$16)</f>
        <v>computer-keyboards</v>
      </c>
      <c r="I6" s="27" t="str">
        <f>IF(ISBLANK(Values!E5),"","4730574031")</f>
        <v>4730574031</v>
      </c>
      <c r="J6" s="39" t="str">
        <f>IF(ISBLANK(Values!E5),"",Values!F5 )</f>
        <v>HP 840 G3 BL - FR</v>
      </c>
      <c r="K6" s="28">
        <f>IF(ISBLANK(Values!E5),"",IF(Values!J5, Values!$B$4, Values!$B$5))</f>
        <v>47.99</v>
      </c>
      <c r="L6" s="40" t="str">
        <f>IF(ISBLANK(Values!E5),"",IF($CO6="DEFAULT", Values!$B$18, ""))</f>
        <v/>
      </c>
      <c r="M6" s="28" t="str">
        <f>IF(ISBLANK(Values!E5),"",Values!$M5)</f>
        <v>https://raw.githubusercontent.com/PatrickVibild/TellusAmazonPictures/master/pictures/HP/W. PS/840 G3 SILVER/BL/FR/1.jpg</v>
      </c>
      <c r="N6" s="28" t="str">
        <f>IF(ISBLANK(Values!$F5),"",Values!N5)</f>
        <v>https://raw.githubusercontent.com/PatrickVibild/TellusAmazonPictures/master/pictures/HP/W. PS/840 G3 SILVER/BL/FR/2.jpg</v>
      </c>
      <c r="O6" s="28" t="str">
        <f>IF(ISBLANK(Values!$F5),"",Values!O5)</f>
        <v>https://raw.githubusercontent.com/PatrickVibild/TellusAmazonPictures/master/pictures/HP/W. PS/840 G3 SILVER/BL/FR/3.jpg</v>
      </c>
      <c r="P6" s="28" t="str">
        <f>IF(ISBLANK(Values!$F5),"",Values!P5)</f>
        <v>https://raw.githubusercontent.com/PatrickVibild/TellusAmazonPictures/master/pictures/HP/W. PS/840 G3 SILVER/BL/FR/4.jpg</v>
      </c>
      <c r="Q6" s="28" t="str">
        <f>IF(ISBLANK(Values!$F5),"",Values!Q5)</f>
        <v>https://raw.githubusercontent.com/PatrickVibild/TellusAmazonPictures/master/pictures/HP/W. PS/840 G3 SILVER/BL/FR/5.jpg</v>
      </c>
      <c r="R6" s="28" t="str">
        <f>IF(ISBLANK(Values!$F5),"",Values!R5)</f>
        <v>https://raw.githubusercontent.com/PatrickVibild/TellusAmazonPictures/master/pictures/HP/W. PS/840 G3 SILVER/BL/FR/6.jpg</v>
      </c>
      <c r="S6" s="28" t="str">
        <f>IF(ISBLANK(Values!$F5),"",Values!S5)</f>
        <v>https://raw.githubusercontent.com/PatrickVibild/TellusAmazonPictures/master/pictures/HP/W. PS/840 G3 SILVER/BL/FR/7.jpg</v>
      </c>
      <c r="T6" s="28" t="str">
        <f>IF(ISBLANK(Values!$F5),"",Values!T5)</f>
        <v>https://raw.githubusercontent.com/PatrickVibild/TellusAmazonPictures/master/pictures/HP/W. PS/840 G3 SILVER/BL/FR/8.jpg</v>
      </c>
      <c r="U6" s="28" t="str">
        <f>IF(ISBLANK(Values!$F5),"",Values!U5)</f>
        <v>https://raw.githubusercontent.com/PatrickVibild/TellusAmazonPictures/master/pictures/HP/W. PS/840 G3 SILVER/BL/FR/9.jpg</v>
      </c>
      <c r="W6" s="32" t="str">
        <f>IF(ISBLANK(Values!E5),"","Child")</f>
        <v>Child</v>
      </c>
      <c r="X6" s="32" t="str">
        <f>IF(ISBLANK(Values!E5),"",Values!$B$13)</f>
        <v>HP 840 G3 parent</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840 G3, 745 G3, 840 G4, 745 G4.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17" x14ac:dyDescent="0.2">
      <c r="A7" s="27" t="str">
        <f>IF(ISBLANK(Values!E6),"",IF(Values!$B$37="EU","computercomponent","computer"))</f>
        <v>computercomponent</v>
      </c>
      <c r="B7" s="38" t="str">
        <f>IF(ISBLANK(Values!E6),"",Values!F6)</f>
        <v>HP 840 G3 BL - IT</v>
      </c>
      <c r="C7" s="32" t="str">
        <f>IF(ISBLANK(Values!E6),"","TellusRem")</f>
        <v>TellusRem</v>
      </c>
      <c r="D7" s="30">
        <f>IF(ISBLANK(Values!E6),"",Values!E6)</f>
        <v>5714401842033</v>
      </c>
      <c r="E7" s="31" t="str">
        <f>IF(ISBLANK(Values!E6),"","EAN")</f>
        <v>EAN</v>
      </c>
      <c r="F7" s="28" t="str">
        <f>IF(ISBLANK(Values!E6),"",IF(Values!J6, SUBSTITUTE(Values!$B$1, "{language}", Values!H6) &amp; " " &amp;Values!$B$3, SUBSTITUTE(Values!$B$2, "{language}", Values!$H6) &amp; " " &amp;Values!$B$3))</f>
        <v>Teclado de respuesto Italiano retroiluminado  para HP   840 G3, 745 G3, 840 G4, 745 G4</v>
      </c>
      <c r="G7" s="32" t="str">
        <f>IF(ISBLANK(Values!E6),"","TellusRem")</f>
        <v>TellusRem</v>
      </c>
      <c r="H7" s="27" t="str">
        <f>IF(ISBLANK(Values!E6),"",Values!$B$16)</f>
        <v>computer-keyboards</v>
      </c>
      <c r="I7" s="27" t="str">
        <f>IF(ISBLANK(Values!E6),"","4730574031")</f>
        <v>4730574031</v>
      </c>
      <c r="J7" s="39" t="str">
        <f>IF(ISBLANK(Values!E6),"",Values!F6 )</f>
        <v>HP 840 G3 BL - IT</v>
      </c>
      <c r="K7" s="28">
        <f>IF(ISBLANK(Values!E6),"",IF(Values!J6, Values!$B$4, Values!$B$5))</f>
        <v>47.99</v>
      </c>
      <c r="L7" s="40" t="str">
        <f>IF(ISBLANK(Values!E6),"",IF($CO7="DEFAULT", Values!$B$18, ""))</f>
        <v/>
      </c>
      <c r="M7" s="28" t="str">
        <f>IF(ISBLANK(Values!E6),"",Values!$M6)</f>
        <v>https://raw.githubusercontent.com/PatrickVibild/TellusAmazonPictures/master/pictures/HP/W. PS/840 G3 SILVER/BL/IT/1.jpg</v>
      </c>
      <c r="N7" s="28" t="str">
        <f>IF(ISBLANK(Values!$F6),"",Values!N6)</f>
        <v>https://raw.githubusercontent.com/PatrickVibild/TellusAmazonPictures/master/pictures/HP/W. PS/840 G3 SILVER/BL/IT/2.jpg</v>
      </c>
      <c r="O7" s="28" t="str">
        <f>IF(ISBLANK(Values!$F6),"",Values!O6)</f>
        <v>https://raw.githubusercontent.com/PatrickVibild/TellusAmazonPictures/master/pictures/HP/W. PS/840 G3 SILVER/BL/IT/3.jpg</v>
      </c>
      <c r="P7" s="28" t="str">
        <f>IF(ISBLANK(Values!$F6),"",Values!P6)</f>
        <v>https://raw.githubusercontent.com/PatrickVibild/TellusAmazonPictures/master/pictures/HP/W. PS/840 G3 SILVER/BL/IT/4.jpg</v>
      </c>
      <c r="Q7" s="28" t="str">
        <f>IF(ISBLANK(Values!$F6),"",Values!Q6)</f>
        <v>https://raw.githubusercontent.com/PatrickVibild/TellusAmazonPictures/master/pictures/HP/W. PS/840 G3 SILVER/BL/IT/5.jpg</v>
      </c>
      <c r="R7" s="28" t="str">
        <f>IF(ISBLANK(Values!$F6),"",Values!R6)</f>
        <v>https://raw.githubusercontent.com/PatrickVibild/TellusAmazonPictures/master/pictures/HP/W. PS/840 G3 SILVER/BL/IT/6.jpg</v>
      </c>
      <c r="S7" s="28" t="str">
        <f>IF(ISBLANK(Values!$F6),"",Values!S6)</f>
        <v>https://raw.githubusercontent.com/PatrickVibild/TellusAmazonPictures/master/pictures/HP/W. PS/840 G3 SILVER/BL/IT/7.jpg</v>
      </c>
      <c r="T7" s="28" t="str">
        <f>IF(ISBLANK(Values!$F6),"",Values!T6)</f>
        <v>https://raw.githubusercontent.com/PatrickVibild/TellusAmazonPictures/master/pictures/HP/W. PS/840 G3 SILVER/BL/IT/8.jpg</v>
      </c>
      <c r="U7" s="28" t="str">
        <f>IF(ISBLANK(Values!$F6),"",Values!U6)</f>
        <v>https://raw.githubusercontent.com/PatrickVibild/TellusAmazonPictures/master/pictures/HP/W. PS/840 G3 SILVER/BL/IT/9.jpg</v>
      </c>
      <c r="W7" s="32" t="str">
        <f>IF(ISBLANK(Values!E6),"","Child")</f>
        <v>Child</v>
      </c>
      <c r="X7" s="32" t="str">
        <f>IF(ISBLANK(Values!E6),"",Values!$B$13)</f>
        <v>HP 840 G3 parent</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840 G3, 745 G3, 840 G4, 745 G4.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17" x14ac:dyDescent="0.2">
      <c r="A8" s="27" t="str">
        <f>IF(ISBLANK(Values!E7),"",IF(Values!$B$37="EU","computercomponent","computer"))</f>
        <v>computercomponent</v>
      </c>
      <c r="B8" s="38" t="str">
        <f>IF(ISBLANK(Values!E7),"",Values!F7)</f>
        <v>HP 840 G3 BL - ES</v>
      </c>
      <c r="C8" s="32" t="str">
        <f>IF(ISBLANK(Values!E7),"","TellusRem")</f>
        <v>TellusRem</v>
      </c>
      <c r="D8" s="30">
        <f>IF(ISBLANK(Values!E7),"",Values!E7)</f>
        <v>5714401842040</v>
      </c>
      <c r="E8" s="31" t="str">
        <f>IF(ISBLANK(Values!E7),"","EAN")</f>
        <v>EAN</v>
      </c>
      <c r="F8" s="28" t="str">
        <f>IF(ISBLANK(Values!E7),"",IF(Values!J7, SUBSTITUTE(Values!$B$1, "{language}", Values!H7) &amp; " " &amp;Values!$B$3, SUBSTITUTE(Values!$B$2, "{language}", Values!$H7) &amp; " " &amp;Values!$B$3))</f>
        <v>Teclado de respuesto Español retroiluminado  para HP   840 G3, 745 G3, 840 G4, 745 G4</v>
      </c>
      <c r="G8" s="32" t="str">
        <f>IF(ISBLANK(Values!E7),"","TellusRem")</f>
        <v>TellusRem</v>
      </c>
      <c r="H8" s="27" t="str">
        <f>IF(ISBLANK(Values!E7),"",Values!$B$16)</f>
        <v>computer-keyboards</v>
      </c>
      <c r="I8" s="27" t="str">
        <f>IF(ISBLANK(Values!E7),"","4730574031")</f>
        <v>4730574031</v>
      </c>
      <c r="J8" s="39" t="str">
        <f>IF(ISBLANK(Values!E7),"",Values!F7 )</f>
        <v>HP 840 G3 BL - ES</v>
      </c>
      <c r="K8" s="28">
        <f>IF(ISBLANK(Values!E7),"",IF(Values!J7, Values!$B$4, Values!$B$5))</f>
        <v>47.99</v>
      </c>
      <c r="L8" s="40" t="str">
        <f>IF(ISBLANK(Values!E7),"",IF($CO8="DEFAULT", Values!$B$18, ""))</f>
        <v/>
      </c>
      <c r="M8" s="28" t="str">
        <f>IF(ISBLANK(Values!E7),"",Values!$M7)</f>
        <v>https://raw.githubusercontent.com/PatrickVibild/TellusAmazonPictures/master/pictures/HP/W. PS/840 G3 SILVER/BL/ES/1.jpg</v>
      </c>
      <c r="N8" s="28" t="str">
        <f>IF(ISBLANK(Values!$F7),"",Values!N7)</f>
        <v>https://raw.githubusercontent.com/PatrickVibild/TellusAmazonPictures/master/pictures/HP/W. PS/840 G3 SILVER/BL/ES/2.jpg</v>
      </c>
      <c r="O8" s="28" t="str">
        <f>IF(ISBLANK(Values!$F7),"",Values!O7)</f>
        <v>https://raw.githubusercontent.com/PatrickVibild/TellusAmazonPictures/master/pictures/HP/W. PS/840 G3 SILVER/BL/ES/3.jpg</v>
      </c>
      <c r="P8" s="28" t="str">
        <f>IF(ISBLANK(Values!$F7),"",Values!P7)</f>
        <v>https://raw.githubusercontent.com/PatrickVibild/TellusAmazonPictures/master/pictures/HP/W. PS/840 G3 SILVER/BL/ES/4.jpg</v>
      </c>
      <c r="Q8" s="28" t="str">
        <f>IF(ISBLANK(Values!$F7),"",Values!Q7)</f>
        <v>https://raw.githubusercontent.com/PatrickVibild/TellusAmazonPictures/master/pictures/HP/W. PS/840 G3 SILVER/BL/ES/5.jpg</v>
      </c>
      <c r="R8" s="28" t="str">
        <f>IF(ISBLANK(Values!$F7),"",Values!R7)</f>
        <v>https://raw.githubusercontent.com/PatrickVibild/TellusAmazonPictures/master/pictures/HP/W. PS/840 G3 SILVER/BL/ES/6.jpg</v>
      </c>
      <c r="S8" s="28" t="str">
        <f>IF(ISBLANK(Values!$F7),"",Values!S7)</f>
        <v>https://raw.githubusercontent.com/PatrickVibild/TellusAmazonPictures/master/pictures/HP/W. PS/840 G3 SILVER/BL/ES/7.jpg</v>
      </c>
      <c r="T8" s="28" t="str">
        <f>IF(ISBLANK(Values!$F7),"",Values!T7)</f>
        <v>https://raw.githubusercontent.com/PatrickVibild/TellusAmazonPictures/master/pictures/HP/W. PS/840 G3 SILVER/BL/ES/8.jpg</v>
      </c>
      <c r="U8" s="28" t="str">
        <f>IF(ISBLANK(Values!$F7),"",Values!U7)</f>
        <v>https://raw.githubusercontent.com/PatrickVibild/TellusAmazonPictures/master/pictures/HP/W. PS/840 G3 SILVER/BL/ES/9.jpg</v>
      </c>
      <c r="W8" s="32" t="str">
        <f>IF(ISBLANK(Values!E7),"","Child")</f>
        <v>Child</v>
      </c>
      <c r="X8" s="32" t="str">
        <f>IF(ISBLANK(Values!E7),"",Values!$B$13)</f>
        <v>HP 840 G3 parent</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840 G3, 745 G3, 840 G4, 745 G4.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17" x14ac:dyDescent="0.2">
      <c r="A9" s="27" t="str">
        <f>IF(ISBLANK(Values!E8),"",IF(Values!$B$37="EU","computercomponent","computer"))</f>
        <v>computercomponent</v>
      </c>
      <c r="B9" s="38" t="str">
        <f>IF(ISBLANK(Values!E8),"",Values!F8)</f>
        <v>HP 840 G3 BL - UK</v>
      </c>
      <c r="C9" s="32" t="str">
        <f>IF(ISBLANK(Values!E8),"","TellusRem")</f>
        <v>TellusRem</v>
      </c>
      <c r="D9" s="30">
        <f>IF(ISBLANK(Values!E8),"",Values!E8)</f>
        <v>5714401842057</v>
      </c>
      <c r="E9" s="31" t="str">
        <f>IF(ISBLANK(Values!E8),"","EAN")</f>
        <v>EAN</v>
      </c>
      <c r="F9" s="28" t="str">
        <f>IF(ISBLANK(Values!E8),"",IF(Values!J8, SUBSTITUTE(Values!$B$1, "{language}", Values!H8) &amp; " " &amp;Values!$B$3, SUBSTITUTE(Values!$B$2, "{language}", Values!$H8) &amp; " " &amp;Values!$B$3))</f>
        <v>Teclado de respuesto Ingles retroiluminado  para HP   840 G3, 745 G3, 840 G4, 745 G4</v>
      </c>
      <c r="G9" s="32" t="str">
        <f>IF(ISBLANK(Values!E8),"","TellusRem")</f>
        <v>TellusRem</v>
      </c>
      <c r="H9" s="27" t="str">
        <f>IF(ISBLANK(Values!E8),"",Values!$B$16)</f>
        <v>computer-keyboards</v>
      </c>
      <c r="I9" s="27" t="str">
        <f>IF(ISBLANK(Values!E8),"","4730574031")</f>
        <v>4730574031</v>
      </c>
      <c r="J9" s="39" t="str">
        <f>IF(ISBLANK(Values!E8),"",Values!F8 )</f>
        <v>HP 840 G3 BL - UK</v>
      </c>
      <c r="K9" s="28">
        <f>IF(ISBLANK(Values!E8),"",IF(Values!J8, Values!$B$4, Values!$B$5))</f>
        <v>47.99</v>
      </c>
      <c r="L9" s="40" t="str">
        <f>IF(ISBLANK(Values!E8),"",IF($CO9="DEFAULT", Values!$B$18, ""))</f>
        <v/>
      </c>
      <c r="M9" s="28" t="str">
        <f>IF(ISBLANK(Values!E8),"",Values!$M8)</f>
        <v>https://raw.githubusercontent.com/PatrickVibild/TellusAmazonPictures/master/pictures/HP/W. PS/840 G3 SILVER/BL/UK/1.jpg</v>
      </c>
      <c r="N9" s="28" t="str">
        <f>IF(ISBLANK(Values!$F8),"",Values!N8)</f>
        <v>https://raw.githubusercontent.com/PatrickVibild/TellusAmazonPictures/master/pictures/HP/W. PS/840 G3 SILVER/BL/UK/2.jpg</v>
      </c>
      <c r="O9" s="28" t="str">
        <f>IF(ISBLANK(Values!$F8),"",Values!O8)</f>
        <v>https://raw.githubusercontent.com/PatrickVibild/TellusAmazonPictures/master/pictures/HP/W. PS/840 G3 SILVER/BL/UK/3.jpg</v>
      </c>
      <c r="P9" s="28" t="str">
        <f>IF(ISBLANK(Values!$F8),"",Values!P8)</f>
        <v>https://raw.githubusercontent.com/PatrickVibild/TellusAmazonPictures/master/pictures/HP/W. PS/840 G3 SILVER/BL/UK/4.jpg</v>
      </c>
      <c r="Q9" s="28" t="str">
        <f>IF(ISBLANK(Values!$F8),"",Values!Q8)</f>
        <v>https://raw.githubusercontent.com/PatrickVibild/TellusAmazonPictures/master/pictures/HP/W. PS/840 G3 SILVER/BL/UK/5.jpg</v>
      </c>
      <c r="R9" s="28" t="str">
        <f>IF(ISBLANK(Values!$F8),"",Values!R8)</f>
        <v>https://raw.githubusercontent.com/PatrickVibild/TellusAmazonPictures/master/pictures/HP/W. PS/840 G3 SILVER/BL/UK/6.jpg</v>
      </c>
      <c r="S9" s="28" t="str">
        <f>IF(ISBLANK(Values!$F8),"",Values!S8)</f>
        <v>https://raw.githubusercontent.com/PatrickVibild/TellusAmazonPictures/master/pictures/HP/W. PS/840 G3 SILVER/BL/UK/7.jpg</v>
      </c>
      <c r="T9" s="28" t="str">
        <f>IF(ISBLANK(Values!$F8),"",Values!T8)</f>
        <v>https://raw.githubusercontent.com/PatrickVibild/TellusAmazonPictures/master/pictures/HP/W. PS/840 G3 SILVER/BL/UK/8.jpg</v>
      </c>
      <c r="U9" s="28" t="str">
        <f>IF(ISBLANK(Values!$F8),"",Values!U8)</f>
        <v>https://raw.githubusercontent.com/PatrickVibild/TellusAmazonPictures/master/pictures/HP/W. PS/840 G3 SILVER/BL/UK/9.jpg</v>
      </c>
      <c r="W9" s="32" t="str">
        <f>IF(ISBLANK(Values!E8),"","Child")</f>
        <v>Child</v>
      </c>
      <c r="X9" s="32" t="str">
        <f>IF(ISBLANK(Values!E8),"",Values!$B$13)</f>
        <v>HP 840 G3 parent</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840 G3, 745 G3, 840 G4, 745 G4.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27" t="str">
        <f>IF(ISBLANK(Values!E12),"",IF(Values!$B$37="EU","computercomponent","computer"))</f>
        <v>computercomponent</v>
      </c>
      <c r="B10" s="38" t="str">
        <f>IF(ISBLANK(Values!E12),"",Values!F12)</f>
        <v>HP 840 G3 BL - USI</v>
      </c>
      <c r="C10" s="32" t="str">
        <f>IF(ISBLANK(Values!E12),"","TellusRem")</f>
        <v>TellusRem</v>
      </c>
      <c r="D10" s="30">
        <f>IF(ISBLANK(Values!E12),"",Values!E12)</f>
        <v>5714401842187</v>
      </c>
      <c r="E10" s="31" t="str">
        <f>IF(ISBLANK(Values!E12),"","EAN")</f>
        <v>EAN</v>
      </c>
      <c r="F10" s="28" t="str">
        <f>IF(ISBLANK(Values!E12),"",IF(Values!J9, SUBSTITUTE(Values!$B$1, "{language}", Values!H9) &amp; " " &amp;Values!$B$3, SUBSTITUTE(Values!$B$2, "{language}", Values!$H9) &amp; " " &amp;Values!$B$3))</f>
        <v>Teclado de respuesto Escandinavo - nórdico retroiluminado  para HP   840 G3, 745 G3, 840 G4, 745 G4</v>
      </c>
      <c r="G10" s="32" t="str">
        <f>IF(ISBLANK(Values!E12),"","TellusRem")</f>
        <v>TellusRem</v>
      </c>
      <c r="H10" s="27" t="str">
        <f>IF(ISBLANK(Values!E12),"",Values!$B$16)</f>
        <v>computer-keyboards</v>
      </c>
      <c r="I10" s="27" t="str">
        <f>IF(ISBLANK(Values!E12),"","4730574031")</f>
        <v>4730574031</v>
      </c>
      <c r="J10" s="39" t="str">
        <f>IF(ISBLANK(Values!E12),"",Values!F12 )</f>
        <v>HP 840 G3 BL - USI</v>
      </c>
      <c r="K10" s="28">
        <f>IF(ISBLANK(Values!E12),"",IF(Values!J9, Values!$B$4, Values!$B$5))</f>
        <v>47.99</v>
      </c>
      <c r="L10" s="40" t="str">
        <f>IF(ISBLANK(Values!E12),"",IF($CO10="DEFAULT", Values!$B$18, ""))</f>
        <v/>
      </c>
      <c r="M10" s="28" t="str">
        <f>IF(ISBLANK(Values!E12),"",Values!$M9)</f>
        <v>https://raw.githubusercontent.com/PatrickVibild/TellusAmazonPictures/master/pictures/HP/W. PS/840 G3 SILVER/BL/USI/1.jpg</v>
      </c>
      <c r="N10" s="28" t="str">
        <f>IF(ISBLANK(Values!$F12),"",Values!N9)</f>
        <v>https://raw.githubusercontent.com/PatrickVibild/TellusAmazonPictures/master/pictures/HP/W. PS/840 G3 SILVER/BL/USI/2.jpg</v>
      </c>
      <c r="O10" s="28" t="str">
        <f>IF(ISBLANK(Values!$F12),"",Values!O9)</f>
        <v>https://raw.githubusercontent.com/PatrickVibild/TellusAmazonPictures/master/pictures/HP/W. PS/840 G3 SILVER/BL/USI/3.jpg</v>
      </c>
      <c r="P10" s="28" t="str">
        <f>IF(ISBLANK(Values!$F12),"",Values!P9)</f>
        <v>https://raw.githubusercontent.com/PatrickVibild/TellusAmazonPictures/master/pictures/HP/W. PS/840 G3 SILVER/BL/USI/4.jpg</v>
      </c>
      <c r="Q10" s="28" t="str">
        <f>IF(ISBLANK(Values!$F12),"",Values!Q9)</f>
        <v>https://raw.githubusercontent.com/PatrickVibild/TellusAmazonPictures/master/pictures/HP/W. PS/840 G3 SILVER/BL/USI/5.jpg</v>
      </c>
      <c r="R10" s="28" t="str">
        <f>IF(ISBLANK(Values!$F12),"",Values!R9)</f>
        <v>https://raw.githubusercontent.com/PatrickVibild/TellusAmazonPictures/master/pictures/HP/W. PS/840 G3 SILVER/BL/USI/6.jpg</v>
      </c>
      <c r="S10" s="28" t="str">
        <f>IF(ISBLANK(Values!$F12),"",Values!S9)</f>
        <v>https://raw.githubusercontent.com/PatrickVibild/TellusAmazonPictures/master/pictures/HP/W. PS/840 G3 SILVER/BL/USI/7.jpg</v>
      </c>
      <c r="T10" s="28" t="str">
        <f>IF(ISBLANK(Values!$F12),"",Values!T9)</f>
        <v>https://raw.githubusercontent.com/PatrickVibild/TellusAmazonPictures/master/pictures/HP/W. PS/840 G3 SILVER/BL/USI/8.jpg</v>
      </c>
      <c r="U10" s="28" t="str">
        <f>IF(ISBLANK(Values!$F12),"",Values!U9)</f>
        <v>https://raw.githubusercontent.com/PatrickVibild/TellusAmazonPictures/master/pictures/HP/W. PS/840 G3 SILVER/BL/USI/9.jpg</v>
      </c>
      <c r="W10" s="32" t="str">
        <f>IF(ISBLANK(Values!E12),"","Child")</f>
        <v>Child</v>
      </c>
      <c r="X10" s="32" t="str">
        <f>IF(ISBLANK(Values!E12),"",Values!$B$13)</f>
        <v>HP 840 G3 parent</v>
      </c>
      <c r="Y10" s="39" t="str">
        <f>IF(ISBLANK(Values!E12),"","Size-Color")</f>
        <v>Size-Color</v>
      </c>
      <c r="Z10" s="32" t="str">
        <f>IF(ISBLANK(Values!E12),"","variation")</f>
        <v>variation</v>
      </c>
      <c r="AA10" s="36" t="str">
        <f>IF(ISBLANK(Values!E12),"",Values!$B$20)</f>
        <v>Update</v>
      </c>
      <c r="AB10"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IF(ISBLANK(Values!E12),"",IF(Values!I9,Values!$B$23,Values!$B$33))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10"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IF(ISBLANK(Values!E12),"",SUBSTITUTE(SUBSTITUTE(IF(Values!$J9, Values!$B$26, Values!$B$33), "{language}", Values!$H9), "{flag}", INDEX(options!$E$1:$E$20, Values!$V9)))</f>
        <v>👉 FORMATO – 🇸🇪 🇫🇮 🇳🇴 🇩🇰 Escandinavo - nórdico con retroiluminación.</v>
      </c>
      <c r="AM10" s="1" t="str">
        <f>SUBSTITUTE(IF(ISBLANK(Values!E12),"",Values!$B$27), "{model}", Values!$B$3)</f>
        <v>👉 COMPATIBLE CON: HP 840 G3, 745 G3, 840 G4, 745 G4. Por favor, revise la imagen y la descripción cuidadosamente antes de comprar cualquier teclado. Esto asegura que obtenga el teclado correcto para su portátil. Instalación fácil.</v>
      </c>
      <c r="AT10" s="28" t="str">
        <f>IF(ISBLANK(Values!E12),"",Values!H9)</f>
        <v>Escandinavo - nórdico</v>
      </c>
      <c r="AV10" s="1" t="str">
        <f>IF(ISBLANK(Values!E12),"",IF(Values!J9,"Backlit", "Non-Backlit"))</f>
        <v>Backlit</v>
      </c>
      <c r="AW10"/>
      <c r="BE10" s="27" t="str">
        <f>IF(ISBLANK(Values!E12),"","Professional Audience")</f>
        <v>Professional Audience</v>
      </c>
      <c r="BF10" s="27" t="str">
        <f>IF(ISBLANK(Values!E12),"","Consumer Audience")</f>
        <v>Consumer Audience</v>
      </c>
      <c r="BG10" s="27" t="str">
        <f>IF(ISBLANK(Values!E12),"","Adults")</f>
        <v>Adults</v>
      </c>
      <c r="BH10" s="27" t="str">
        <f>IF(ISBLANK(Values!E12),"","People")</f>
        <v>People</v>
      </c>
      <c r="CG10" s="1">
        <f>IF(ISBLANK(Values!E12),"",Values!$B$11)</f>
        <v>150</v>
      </c>
      <c r="CH10" s="1" t="str">
        <f>IF(ISBLANK(Values!E12),"","GR")</f>
        <v>GR</v>
      </c>
      <c r="CI10" s="1" t="str">
        <f>IF(ISBLANK(Values!E12),"",Values!$B$7)</f>
        <v>32</v>
      </c>
      <c r="CJ10" s="1" t="str">
        <f>IF(ISBLANK(Values!E12),"",Values!$B$8)</f>
        <v>18</v>
      </c>
      <c r="CK10" s="1" t="str">
        <f>IF(ISBLANK(Values!E12),"",Values!$B$9)</f>
        <v>2</v>
      </c>
      <c r="CL10" s="1" t="str">
        <f>IF(ISBLANK(Values!E12),"","CM")</f>
        <v>CM</v>
      </c>
      <c r="CO10" s="1" t="str">
        <f>IF(ISBLANK(Values!E12), "", IF(AND(Values!$B$37=options!$G$2, Values!$C9), "AMAZON_NA", IF(AND(Values!$B$37=options!$G$1, Values!$D9), "AMAZON_EU", "DEFAULT")))</f>
        <v>AMAZON_EU</v>
      </c>
      <c r="CP10" s="1" t="str">
        <f>IF(ISBLANK(Values!E12),"",Values!$B$7)</f>
        <v>32</v>
      </c>
      <c r="CQ10" s="1" t="str">
        <f>IF(ISBLANK(Values!E12),"",Values!$B$8)</f>
        <v>18</v>
      </c>
      <c r="CR10" s="1" t="str">
        <f>IF(ISBLANK(Values!E12),"",Values!$B$9)</f>
        <v>2</v>
      </c>
      <c r="CS10" s="1">
        <f>IF(ISBLANK(Values!E12),"",Values!$B$11)</f>
        <v>150</v>
      </c>
      <c r="CT10" s="1" t="str">
        <f>IF(ISBLANK(Values!E12),"","GR")</f>
        <v>GR</v>
      </c>
      <c r="CU10" s="1" t="str">
        <f>IF(ISBLANK(Values!E12),"","CM")</f>
        <v>CM</v>
      </c>
      <c r="CV10"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IF(ISBLANK(Values!E12),"","No")</f>
        <v>No</v>
      </c>
      <c r="DA10" s="1" t="str">
        <f>IF(ISBLANK(Values!E12),"","No")</f>
        <v>No</v>
      </c>
      <c r="DO10" s="27" t="str">
        <f>IF(ISBLANK(Values!E12),"","Parts")</f>
        <v>Parts</v>
      </c>
      <c r="DP10"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IF(ISBLANK(Values!$E12), "", "not_applicable")</f>
        <v>not_applicable</v>
      </c>
      <c r="DZ10" s="31"/>
      <c r="EA10" s="31"/>
      <c r="EB10" s="31"/>
      <c r="EC10" s="31"/>
      <c r="EI10"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IF(ISBLANK(Values!E12),"","Amazon Tellus UPS")</f>
        <v>Amazon Tellus UPS</v>
      </c>
      <c r="EV10" s="31" t="str">
        <f>IF(ISBLANK(Values!E12),"","New")</f>
        <v>New</v>
      </c>
      <c r="FE10" s="1" t="str">
        <f>IF(ISBLANK(Values!E12),"",IF(CO10&lt;&gt;"DEFAULT", "", 3))</f>
        <v/>
      </c>
      <c r="FH10" s="1" t="str">
        <f>IF(ISBLANK(Values!E12),"","FALSE")</f>
        <v>FALSE</v>
      </c>
      <c r="FI10" s="1" t="str">
        <f>IF(ISBLANK(Values!E12),"","FALSE")</f>
        <v>FALSE</v>
      </c>
      <c r="FJ10" s="1" t="str">
        <f>IF(ISBLANK(Values!E12),"","FALSE")</f>
        <v>FALSE</v>
      </c>
      <c r="FM10" s="1" t="str">
        <f>IF(ISBLANK(Values!E12),"","1")</f>
        <v>1</v>
      </c>
      <c r="FO10" s="28">
        <f>IF(ISBLANK(Values!E12),"",IF(Values!J9, Values!$B$4, Values!$B$5))</f>
        <v>47.99</v>
      </c>
      <c r="FP10" s="1" t="str">
        <f>IF(ISBLANK(Values!E12),"","Percent")</f>
        <v>Percent</v>
      </c>
      <c r="FQ10" s="1" t="str">
        <f>IF(ISBLANK(Values!E12),"","2")</f>
        <v>2</v>
      </c>
      <c r="FR10" s="1" t="str">
        <f>IF(ISBLANK(Values!E12),"","3")</f>
        <v>3</v>
      </c>
      <c r="FS10" s="1" t="str">
        <f>IF(ISBLANK(Values!E12),"","5")</f>
        <v>5</v>
      </c>
      <c r="FT10" s="1" t="str">
        <f>IF(ISBLANK(Values!E12),"","6")</f>
        <v>6</v>
      </c>
      <c r="FU10" s="1" t="str">
        <f>IF(ISBLANK(Values!E12),"","10")</f>
        <v>10</v>
      </c>
      <c r="FV10" s="1" t="str">
        <f>IF(ISBLANK(Values!E12),"","10")</f>
        <v>10</v>
      </c>
    </row>
    <row r="11" spans="1:192" ht="17" x14ac:dyDescent="0.2">
      <c r="A11" s="27" t="str">
        <f>IF(ISBLANK(Values!E13),"",IF(Values!$B$37="EU","computercomponent","computer"))</f>
        <v>computercomponent</v>
      </c>
      <c r="B11" s="38" t="str">
        <f>IF(ISBLANK(Values!E13),"",Values!F13)</f>
        <v>HP 840 G3 BL - US</v>
      </c>
      <c r="C11" s="32" t="str">
        <f>IF(ISBLANK(Values!E13),"","TellusRem")</f>
        <v>TellusRem</v>
      </c>
      <c r="D11" s="30">
        <f>IF(ISBLANK(Values!E13),"",Values!E13)</f>
        <v>5714401842200</v>
      </c>
      <c r="E11" s="31" t="str">
        <f>IF(ISBLANK(Values!E13),"","EAN")</f>
        <v>EAN</v>
      </c>
      <c r="F11" s="28" t="str">
        <f>IF(ISBLANK(Values!E13),"",IF(Values!J10, SUBSTITUTE(Values!$B$1, "{language}", Values!H10) &amp; " " &amp;Values!$B$3, SUBSTITUTE(Values!$B$2, "{language}", Values!$H10) &amp; " " &amp;Values!$B$3))</f>
        <v>Teclado de respuesto Belga retroiluminado  para HP   840 G3, 745 G3, 840 G4, 745 G4</v>
      </c>
      <c r="G11" s="32" t="str">
        <f>IF(ISBLANK(Values!E13),"","TellusRem")</f>
        <v>TellusRem</v>
      </c>
      <c r="H11" s="27" t="str">
        <f>IF(ISBLANK(Values!E13),"",Values!$B$16)</f>
        <v>computer-keyboards</v>
      </c>
      <c r="I11" s="27" t="str">
        <f>IF(ISBLANK(Values!E13),"","4730574031")</f>
        <v>4730574031</v>
      </c>
      <c r="J11" s="39" t="str">
        <f>IF(ISBLANK(Values!E13),"",Values!F13 )</f>
        <v>HP 840 G3 BL - US</v>
      </c>
      <c r="K11" s="28">
        <f>IF(ISBLANK(Values!E13),"",IF(Values!J10, Values!$B$4, Values!$B$5))</f>
        <v>47.99</v>
      </c>
      <c r="L11" s="40" t="str">
        <f>IF(ISBLANK(Values!E13),"",IF($CO11="DEFAULT", Values!$B$18, ""))</f>
        <v/>
      </c>
      <c r="M11" s="28" t="str">
        <f>IF(ISBLANK(Values!E13),"",Values!$M10)</f>
        <v>https://raw.githubusercontent.com/PatrickVibild/TellusAmazonPictures/master/pictures/HP/W. PS/840 G3 SILVER/BL/US/1.jpg</v>
      </c>
      <c r="N11" s="28" t="str">
        <f>IF(ISBLANK(Values!$F13),"",Values!N10)</f>
        <v>https://raw.githubusercontent.com/PatrickVibild/TellusAmazonPictures/master/pictures/HP/W. PS/840 G3 SILVER/BL/US/2.jpg</v>
      </c>
      <c r="O11" s="28" t="str">
        <f>IF(ISBLANK(Values!$F13),"",Values!O10)</f>
        <v>https://raw.githubusercontent.com/PatrickVibild/TellusAmazonPictures/master/pictures/HP/W. PS/840 G3 SILVER/BL/US/3.jpg</v>
      </c>
      <c r="P11" s="28" t="str">
        <f>IF(ISBLANK(Values!$F13),"",Values!P10)</f>
        <v>https://raw.githubusercontent.com/PatrickVibild/TellusAmazonPictures/master/pictures/HP/W. PS/840 G3 SILVER/BL/US/4.jpg</v>
      </c>
      <c r="Q11" s="28" t="str">
        <f>IF(ISBLANK(Values!$F13),"",Values!Q10)</f>
        <v>https://raw.githubusercontent.com/PatrickVibild/TellusAmazonPictures/master/pictures/HP/W. PS/840 G3 SILVER/BL/US/5.jpg</v>
      </c>
      <c r="R11" s="28" t="str">
        <f>IF(ISBLANK(Values!$F13),"",Values!R10)</f>
        <v>https://raw.githubusercontent.com/PatrickVibild/TellusAmazonPictures/master/pictures/HP/W. PS/840 G3 SILVER/BL/US/6.jpg</v>
      </c>
      <c r="S11" s="28" t="str">
        <f>IF(ISBLANK(Values!$F13),"",Values!S10)</f>
        <v>https://raw.githubusercontent.com/PatrickVibild/TellusAmazonPictures/master/pictures/HP/W. PS/840 G3 SILVER/BL/US/7.jpg</v>
      </c>
      <c r="T11" s="28" t="str">
        <f>IF(ISBLANK(Values!$F13),"",Values!T10)</f>
        <v>https://raw.githubusercontent.com/PatrickVibild/TellusAmazonPictures/master/pictures/HP/W. PS/840 G3 SILVER/BL/US/8.jpg</v>
      </c>
      <c r="U11" s="28" t="str">
        <f>IF(ISBLANK(Values!$F13),"",Values!U10)</f>
        <v>https://raw.githubusercontent.com/PatrickVibild/TellusAmazonPictures/master/pictures/HP/W. PS/840 G3 SILVER/BL/US/9.jpg</v>
      </c>
      <c r="W11" s="32" t="str">
        <f>IF(ISBLANK(Values!E13),"","Child")</f>
        <v>Child</v>
      </c>
      <c r="X11" s="32" t="str">
        <f>IF(ISBLANK(Values!E13),"",Values!$B$13)</f>
        <v>HP 840 G3 parent</v>
      </c>
      <c r="Y11" s="39" t="str">
        <f>IF(ISBLANK(Values!E13),"","Size-Color")</f>
        <v>Size-Color</v>
      </c>
      <c r="Z11" s="32" t="str">
        <f>IF(ISBLANK(Values!E13),"","variation")</f>
        <v>variation</v>
      </c>
      <c r="AA11" s="36" t="str">
        <f>IF(ISBLANK(Values!E13),"",Values!$B$20)</f>
        <v>Update</v>
      </c>
      <c r="AB11"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IF(ISBLANK(Values!E13),"",IF(Values!I10,Values!$B$23,Values!$B$33))</f>
        <v>👉 REFORMADO: AHORRE DINERO - Reemplazo del teclado para portátil HP, misma calidad que los teclados OEM. TellusRem es el distribuidor líder de teclados en el mundo desde 2011. Teclado de reemplazo perfecto, fácil de reemplazar e instalar.</v>
      </c>
      <c r="AJ11"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11"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IF(ISBLANK(Values!E13),"",SUBSTITUTE(SUBSTITUTE(IF(Values!$J10, Values!$B$26, Values!$B$33), "{language}", Values!$H10), "{flag}", INDEX(options!$E$1:$E$20, Values!$V10)))</f>
        <v>👉 FORMATO – 🇧🇪 Belga con retroiluminación.</v>
      </c>
      <c r="AM11" s="1" t="str">
        <f>SUBSTITUTE(IF(ISBLANK(Values!E13),"",Values!$B$27), "{model}", Values!$B$3)</f>
        <v>👉 COMPATIBLE CON: HP 840 G3, 745 G3, 840 G4, 745 G4. Por favor, revise la imagen y la descripción cuidadosamente antes de comprar cualquier teclado. Esto asegura que obtenga el teclado correcto para su portátil. Instalación fácil.</v>
      </c>
      <c r="AT11" s="28" t="str">
        <f>IF(ISBLANK(Values!E13),"",Values!H10)</f>
        <v>Belga</v>
      </c>
      <c r="AV11" s="1" t="str">
        <f>IF(ISBLANK(Values!E13),"",IF(Values!J10,"Backlit", "Non-Backlit"))</f>
        <v>Backlit</v>
      </c>
      <c r="AW11"/>
      <c r="BE11" s="27" t="str">
        <f>IF(ISBLANK(Values!E13),"","Professional Audience")</f>
        <v>Professional Audience</v>
      </c>
      <c r="BF11" s="27" t="str">
        <f>IF(ISBLANK(Values!E13),"","Consumer Audience")</f>
        <v>Consumer Audience</v>
      </c>
      <c r="BG11" s="27" t="str">
        <f>IF(ISBLANK(Values!E13),"","Adults")</f>
        <v>Adults</v>
      </c>
      <c r="BH11" s="27" t="str">
        <f>IF(ISBLANK(Values!E13),"","People")</f>
        <v>People</v>
      </c>
      <c r="CG11" s="1">
        <f>IF(ISBLANK(Values!E13),"",Values!$B$11)</f>
        <v>150</v>
      </c>
      <c r="CH11" s="1" t="str">
        <f>IF(ISBLANK(Values!E13),"","GR")</f>
        <v>GR</v>
      </c>
      <c r="CI11" s="1" t="str">
        <f>IF(ISBLANK(Values!E13),"",Values!$B$7)</f>
        <v>32</v>
      </c>
      <c r="CJ11" s="1" t="str">
        <f>IF(ISBLANK(Values!E13),"",Values!$B$8)</f>
        <v>18</v>
      </c>
      <c r="CK11" s="1" t="str">
        <f>IF(ISBLANK(Values!E13),"",Values!$B$9)</f>
        <v>2</v>
      </c>
      <c r="CL11" s="1" t="str">
        <f>IF(ISBLANK(Values!E13),"","CM")</f>
        <v>CM</v>
      </c>
      <c r="CO11" s="1" t="str">
        <f>IF(ISBLANK(Values!E13), "", IF(AND(Values!$B$37=options!$G$2, Values!$C10), "AMAZON_NA", IF(AND(Values!$B$37=options!$G$1, Values!$D10), "AMAZON_EU", "DEFAULT")))</f>
        <v>AMAZON_EU</v>
      </c>
      <c r="CP11" s="1" t="str">
        <f>IF(ISBLANK(Values!E13),"",Values!$B$7)</f>
        <v>32</v>
      </c>
      <c r="CQ11" s="1" t="str">
        <f>IF(ISBLANK(Values!E13),"",Values!$B$8)</f>
        <v>18</v>
      </c>
      <c r="CR11" s="1" t="str">
        <f>IF(ISBLANK(Values!E13),"",Values!$B$9)</f>
        <v>2</v>
      </c>
      <c r="CS11" s="1">
        <f>IF(ISBLANK(Values!E13),"",Values!$B$11)</f>
        <v>150</v>
      </c>
      <c r="CT11" s="1" t="str">
        <f>IF(ISBLANK(Values!E13),"","GR")</f>
        <v>GR</v>
      </c>
      <c r="CU11" s="1" t="str">
        <f>IF(ISBLANK(Values!E13),"","CM")</f>
        <v>CM</v>
      </c>
      <c r="CV11"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IF(ISBLANK(Values!E13),"","No")</f>
        <v>No</v>
      </c>
      <c r="DA11" s="1" t="str">
        <f>IF(ISBLANK(Values!E13),"","No")</f>
        <v>No</v>
      </c>
      <c r="DO11" s="27" t="str">
        <f>IF(ISBLANK(Values!E13),"","Parts")</f>
        <v>Parts</v>
      </c>
      <c r="DP11"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t="str">
        <f>IF(ISBLANK(Values!$E13), "", "not_applicable")</f>
        <v>not_applicable</v>
      </c>
      <c r="DZ11" s="31"/>
      <c r="EA11" s="31"/>
      <c r="EB11" s="31"/>
      <c r="EC11" s="31"/>
      <c r="EI11"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IF(ISBLANK(Values!E13),"","Amazon Tellus UPS")</f>
        <v>Amazon Tellus UPS</v>
      </c>
      <c r="EV11" s="31" t="str">
        <f>IF(ISBLANK(Values!E13),"","New")</f>
        <v>New</v>
      </c>
      <c r="FE11" s="1" t="str">
        <f>IF(ISBLANK(Values!E13),"",IF(CO11&lt;&gt;"DEFAULT", "", 3))</f>
        <v/>
      </c>
      <c r="FH11" s="1" t="str">
        <f>IF(ISBLANK(Values!E13),"","FALSE")</f>
        <v>FALSE</v>
      </c>
      <c r="FI11" s="1" t="str">
        <f>IF(ISBLANK(Values!E13),"","FALSE")</f>
        <v>FALSE</v>
      </c>
      <c r="FJ11" s="1" t="str">
        <f>IF(ISBLANK(Values!E13),"","FALSE")</f>
        <v>FALSE</v>
      </c>
      <c r="FM11" s="1" t="str">
        <f>IF(ISBLANK(Values!E13),"","1")</f>
        <v>1</v>
      </c>
      <c r="FO11" s="28">
        <f>IF(ISBLANK(Values!E13),"",IF(Values!J10, Values!$B$4, Values!$B$5))</f>
        <v>47.99</v>
      </c>
      <c r="FP11" s="1" t="str">
        <f>IF(ISBLANK(Values!E13),"","Percent")</f>
        <v>Percent</v>
      </c>
      <c r="FQ11" s="1" t="str">
        <f>IF(ISBLANK(Values!E13),"","2")</f>
        <v>2</v>
      </c>
      <c r="FR11" s="1" t="str">
        <f>IF(ISBLANK(Values!E13),"","3")</f>
        <v>3</v>
      </c>
      <c r="FS11" s="1" t="str">
        <f>IF(ISBLANK(Values!E13),"","5")</f>
        <v>5</v>
      </c>
      <c r="FT11" s="1" t="str">
        <f>IF(ISBLANK(Values!E13),"","6")</f>
        <v>6</v>
      </c>
      <c r="FU11" s="1" t="str">
        <f>IF(ISBLANK(Values!E13),"","10")</f>
        <v>10</v>
      </c>
      <c r="FV11" s="1" t="str">
        <f>IF(ISBLANK(Values!E13),"","10")</f>
        <v>10</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IF(ISBLANK(Values!#REF!),"",IF(Values!$B$37="EU","computercomponent","computer"))</f>
        <v>computercomponent</v>
      </c>
      <c r="B13" s="38" t="e">
        <f>IF(ISBLANK(Values!#REF!),"",Values!#REF!)</f>
        <v>#REF!</v>
      </c>
      <c r="C13" s="32" t="str">
        <f>IF(ISBLANK(Values!#REF!),"","TellusRem")</f>
        <v>TellusRem</v>
      </c>
      <c r="D13" s="30" t="e">
        <f>IF(ISBLANK(Values!#REF!),"",Values!#REF!)</f>
        <v>#REF!</v>
      </c>
      <c r="E13" s="31" t="str">
        <f>IF(ISBLANK(Values!#REF!),"","EAN")</f>
        <v>EAN</v>
      </c>
      <c r="F13" s="28" t="str">
        <f>IF(ISBLANK(Values!#REF!),"",IF(Values!J12, SUBSTITUTE(Values!$B$1, "{language}", Values!H12) &amp; " " &amp;Values!$B$3, SUBSTITUTE(Values!$B$2, "{language}", Values!$H12) &amp; " " &amp;Values!$B$3))</f>
        <v>Teclado de respuesto US internacional retroiluminado  para HP   840 G3, 745 G3, 840 G4, 745 G4</v>
      </c>
      <c r="G13" s="32" t="str">
        <f>IF(ISBLANK(Values!#REF!),"","TellusRem")</f>
        <v>TellusRem</v>
      </c>
      <c r="H13" s="27" t="str">
        <f>IF(ISBLANK(Values!#REF!),"",Values!$B$16)</f>
        <v>computer-keyboards</v>
      </c>
      <c r="I13" s="27" t="str">
        <f>IF(ISBLANK(Values!#REF!),"","4730574031")</f>
        <v>4730574031</v>
      </c>
      <c r="J13" s="39" t="e">
        <f>IF(ISBLANK(Values!#REF!),"",Values!#REF! )</f>
        <v>#REF!</v>
      </c>
      <c r="K13" s="28">
        <f>IF(ISBLANK(Values!#REF!),"",IF(Values!J12, Values!$B$4, Values!$B$5))</f>
        <v>47.99</v>
      </c>
      <c r="L13" s="40" t="str">
        <f>IF(ISBLANK(Values!#REF!),"",IF($CO13="DEFAULT", Values!$B$18, ""))</f>
        <v/>
      </c>
      <c r="M13" s="28" t="e">
        <f>IF(ISBLANK(Values!#REF!),"",Values!$M12)</f>
        <v>#REF!</v>
      </c>
      <c r="N13" s="28" t="e">
        <f>IF(ISBLANK(Values!#REF!),"",Values!N12)</f>
        <v>#REF!</v>
      </c>
      <c r="O13" s="28" t="e">
        <f>IF(ISBLANK(Values!#REF!),"",Values!O12)</f>
        <v>#REF!</v>
      </c>
      <c r="P13" s="28" t="e">
        <f>IF(ISBLANK(Values!#REF!),"",Values!P12)</f>
        <v>#REF!</v>
      </c>
      <c r="Q13" s="28" t="e">
        <f>IF(ISBLANK(Values!#REF!),"",Values!Q12)</f>
        <v>#REF!</v>
      </c>
      <c r="R13" s="28" t="e">
        <f>IF(ISBLANK(Values!#REF!),"",Values!R12)</f>
        <v>#REF!</v>
      </c>
      <c r="S13" s="28" t="e">
        <f>IF(ISBLANK(Values!#REF!),"",Values!S12)</f>
        <v>#REF!</v>
      </c>
      <c r="T13" s="28" t="e">
        <f>IF(ISBLANK(Values!#REF!),"",Values!T12)</f>
        <v>#REF!</v>
      </c>
      <c r="U13" s="28" t="e">
        <f>IF(ISBLANK(Values!#REF!),"",Values!U12)</f>
        <v>#REF!</v>
      </c>
      <c r="W13" s="32" t="str">
        <f>IF(ISBLANK(Values!#REF!),"","Child")</f>
        <v>Child</v>
      </c>
      <c r="X13" s="32" t="str">
        <f>IF(ISBLANK(Values!#REF!),"",Values!$B$13)</f>
        <v>HP 840 G3 parent</v>
      </c>
      <c r="Y13" s="39" t="str">
        <f>IF(ISBLANK(Values!#REF!),"","Size-Color")</f>
        <v>Size-Color</v>
      </c>
      <c r="Z13" s="32" t="str">
        <f>IF(ISBLANK(Values!#REF!),"","variation")</f>
        <v>variation</v>
      </c>
      <c r="AA13" s="36" t="str">
        <f>IF(ISBLANK(Values!#REF!),"",Values!$B$20)</f>
        <v>Update</v>
      </c>
      <c r="AB13" s="1" t="str">
        <f>IF(ISBLANK(Values!#REF!),"",Values!$B$29)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IF(ISBLANK(Values!#REF!),"",IF(Values!I12,Values!$B$23,Values!$B$33))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IF(ISBLANK(Values!#REF!),"",Values!$B$24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13" s="1" t="str">
        <f>IF(ISBLANK(Values!#REF!),"",Values!$B$25)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IF(ISBLANK(Values!#REF!),"",SUBSTITUTE(SUBSTITUTE(IF(Values!$J12, Values!$B$26, Values!$B$33), "{language}", Values!$H12), "{flag}", INDEX(options!$E$1:$E$20, Values!$V12)))</f>
        <v>👉 FORMATO – 🇺🇸 with € symbol US internacional con retroiluminación.</v>
      </c>
      <c r="AM13" s="1" t="str">
        <f>SUBSTITUTE(IF(ISBLANK(Values!#REF!),"",Values!$B$27), "{model}", Values!$B$3)</f>
        <v>👉 COMPATIBLE CON: HP 840 G3, 745 G3, 840 G4, 745 G4. Por favor, revise la imagen y la descripción cuidadosamente antes de comprar cualquier teclado. Esto asegura que obtenga el teclado correcto para su portátil. Instalación fácil.</v>
      </c>
      <c r="AT13" s="28" t="str">
        <f>IF(ISBLANK(Values!#REF!),"",Values!H12)</f>
        <v>US internacional</v>
      </c>
      <c r="AV13" s="1" t="str">
        <f>IF(ISBLANK(Values!#REF!),"",IF(Values!J12,"Backlit", "Non-Backlit"))</f>
        <v>Backlit</v>
      </c>
      <c r="AW13"/>
      <c r="BE13" s="27" t="str">
        <f>IF(ISBLANK(Values!#REF!),"","Professional Audience")</f>
        <v>Professional Audience</v>
      </c>
      <c r="BF13" s="27" t="str">
        <f>IF(ISBLANK(Values!#REF!),"","Consumer Audience")</f>
        <v>Consumer Audience</v>
      </c>
      <c r="BG13" s="27" t="str">
        <f>IF(ISBLANK(Values!#REF!),"","Adults")</f>
        <v>Adults</v>
      </c>
      <c r="BH13" s="27" t="str">
        <f>IF(ISBLANK(Values!#REF!),"","People")</f>
        <v>People</v>
      </c>
      <c r="CG13" s="1">
        <f>IF(ISBLANK(Values!#REF!),"",Values!$B$11)</f>
        <v>150</v>
      </c>
      <c r="CH13" s="1" t="str">
        <f>IF(ISBLANK(Values!#REF!),"","GR")</f>
        <v>GR</v>
      </c>
      <c r="CI13" s="1" t="str">
        <f>IF(ISBLANK(Values!#REF!),"",Values!$B$7)</f>
        <v>32</v>
      </c>
      <c r="CJ13" s="1" t="str">
        <f>IF(ISBLANK(Values!#REF!),"",Values!$B$8)</f>
        <v>18</v>
      </c>
      <c r="CK13" s="1" t="str">
        <f>IF(ISBLANK(Values!#REF!),"",Values!$B$9)</f>
        <v>2</v>
      </c>
      <c r="CL13" s="1" t="str">
        <f>IF(ISBLANK(Values!#REF!),"","CM")</f>
        <v>CM</v>
      </c>
      <c r="CO13" s="1" t="str">
        <f>IF(ISBLANK(Values!#REF!), "", IF(AND(Values!$B$37=options!$G$2, Values!$C12), "AMAZON_NA", IF(AND(Values!$B$37=options!$G$1, Values!$D12), "AMAZON_EU", "DEFAULT")))</f>
        <v>AMAZON_EU</v>
      </c>
      <c r="CP13" s="1" t="str">
        <f>IF(ISBLANK(Values!#REF!),"",Values!$B$7)</f>
        <v>32</v>
      </c>
      <c r="CQ13" s="1" t="str">
        <f>IF(ISBLANK(Values!#REF!),"",Values!$B$8)</f>
        <v>18</v>
      </c>
      <c r="CR13" s="1" t="str">
        <f>IF(ISBLANK(Values!#REF!),"",Values!$B$9)</f>
        <v>2</v>
      </c>
      <c r="CS13" s="1">
        <f>IF(ISBLANK(Values!#REF!),"",Values!$B$11)</f>
        <v>150</v>
      </c>
      <c r="CT13" s="1" t="str">
        <f>IF(ISBLANK(Values!#REF!),"","GR")</f>
        <v>GR</v>
      </c>
      <c r="CU13" s="1" t="str">
        <f>IF(ISBLANK(Values!#REF!),"","CM")</f>
        <v>CM</v>
      </c>
      <c r="CV13" s="36"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IF(ISBLANK(Values!#REF!),"","No")</f>
        <v>No</v>
      </c>
      <c r="DA13" s="1" t="str">
        <f>IF(ISBLANK(Values!#REF!),"","No")</f>
        <v>No</v>
      </c>
      <c r="DO13" s="27" t="str">
        <f>IF(ISBLANK(Values!#REF!),"","Parts")</f>
        <v>Parts</v>
      </c>
      <c r="DP13" s="27" t="str">
        <f>IF(ISBLANK(Values!#REF!),"",Values!$B$31)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IF(ISBLANK(Values!#REF!), "", "not_applicable")</f>
        <v>not_applicable</v>
      </c>
      <c r="DZ13" s="31"/>
      <c r="EA13" s="31"/>
      <c r="EB13" s="31"/>
      <c r="EC13" s="31"/>
      <c r="EI13" s="1" t="str">
        <f>IF(ISBLANK(Values!#REF!),"",Values!$B$31)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IF(ISBLANK(Values!#REF!),"","Amazon Tellus UPS")</f>
        <v>Amazon Tellus UPS</v>
      </c>
      <c r="EV13" s="31" t="str">
        <f>IF(ISBLANK(Values!#REF!),"","New")</f>
        <v>New</v>
      </c>
      <c r="FE13" s="1" t="str">
        <f>IF(ISBLANK(Values!#REF!),"",IF(CO13&lt;&gt;"DEFAULT", "", 3))</f>
        <v/>
      </c>
      <c r="FH13" s="1" t="str">
        <f>IF(ISBLANK(Values!#REF!),"","FALSE")</f>
        <v>FALSE</v>
      </c>
      <c r="FI13" s="1" t="str">
        <f>IF(ISBLANK(Values!#REF!),"","FALSE")</f>
        <v>FALSE</v>
      </c>
      <c r="FJ13" s="1" t="str">
        <f>IF(ISBLANK(Values!#REF!),"","FALSE")</f>
        <v>FALSE</v>
      </c>
      <c r="FM13" s="1" t="str">
        <f>IF(ISBLANK(Values!#REF!),"","1")</f>
        <v>1</v>
      </c>
      <c r="FO13" s="28">
        <f>IF(ISBLANK(Values!#REF!),"",IF(Values!J12, Values!$B$4, Values!$B$5))</f>
        <v>47.99</v>
      </c>
      <c r="FP13" s="1" t="str">
        <f>IF(ISBLANK(Values!#REF!),"","Percent")</f>
        <v>Percent</v>
      </c>
      <c r="FQ13" s="1" t="str">
        <f>IF(ISBLANK(Values!#REF!),"","2")</f>
        <v>2</v>
      </c>
      <c r="FR13" s="1" t="str">
        <f>IF(ISBLANK(Values!#REF!),"","3")</f>
        <v>3</v>
      </c>
      <c r="FS13" s="1" t="str">
        <f>IF(ISBLANK(Values!#REF!),"","5")</f>
        <v>5</v>
      </c>
      <c r="FT13" s="1" t="str">
        <f>IF(ISBLANK(Values!#REF!),"","6")</f>
        <v>6</v>
      </c>
      <c r="FU13" s="1" t="str">
        <f>IF(ISBLANK(Values!#REF!),"","10")</f>
        <v>10</v>
      </c>
      <c r="FV13" s="1" t="str">
        <f>IF(ISBLANK(Values!#REF!),"","10")</f>
        <v>10</v>
      </c>
    </row>
    <row r="14" spans="1:192" ht="17" x14ac:dyDescent="0.2">
      <c r="A14" s="27" t="str">
        <f>IF(ISBLANK(Values!#REF!),"",IF(Values!$B$37="EU","computercomponent","computer"))</f>
        <v>computercomponent</v>
      </c>
      <c r="B14" s="38" t="e">
        <f>IF(ISBLANK(Values!#REF!),"",Values!#REF!)</f>
        <v>#REF!</v>
      </c>
      <c r="C14" s="32" t="str">
        <f>IF(ISBLANK(Values!#REF!),"","TellusRem")</f>
        <v>TellusRem</v>
      </c>
      <c r="D14" s="30" t="e">
        <f>IF(ISBLANK(Values!#REF!),"",Values!#REF!)</f>
        <v>#REF!</v>
      </c>
      <c r="E14" s="31" t="str">
        <f>IF(ISBLANK(Values!#REF!),"","EAN")</f>
        <v>EAN</v>
      </c>
      <c r="F14" s="28" t="str">
        <f>IF(ISBLANK(Values!#REF!),"",IF(Values!J13, SUBSTITUTE(Values!$B$1, "{language}", Values!H13) &amp; " " &amp;Values!$B$3, SUBSTITUTE(Values!$B$2, "{language}", Values!$H13) &amp; " " &amp;Values!$B$3))</f>
        <v>Teclado de respuesto US retroiluminado  para HP   840 G3, 745 G3, 840 G4, 745 G4</v>
      </c>
      <c r="G14" s="32" t="str">
        <f>IF(ISBLANK(Values!#REF!),"","TellusRem")</f>
        <v>TellusRem</v>
      </c>
      <c r="H14" s="27" t="str">
        <f>IF(ISBLANK(Values!#REF!),"",Values!$B$16)</f>
        <v>computer-keyboards</v>
      </c>
      <c r="I14" s="27" t="str">
        <f>IF(ISBLANK(Values!#REF!),"","4730574031")</f>
        <v>4730574031</v>
      </c>
      <c r="J14" s="39" t="e">
        <f>IF(ISBLANK(Values!#REF!),"",Values!#REF! )</f>
        <v>#REF!</v>
      </c>
      <c r="K14" s="28">
        <f>IF(ISBLANK(Values!#REF!),"",IF(Values!J13, Values!$B$4, Values!$B$5))</f>
        <v>47.99</v>
      </c>
      <c r="L14" s="40">
        <f>IF(ISBLANK(Values!#REF!),"",IF($CO14="DEFAULT", Values!$B$18, ""))</f>
        <v>5</v>
      </c>
      <c r="M14" s="28" t="e">
        <f>IF(ISBLANK(Values!#REF!),"",Values!$M13)</f>
        <v>#REF!</v>
      </c>
      <c r="N14" s="28" t="e">
        <f>IF(ISBLANK(Values!#REF!),"",Values!N13)</f>
        <v>#REF!</v>
      </c>
      <c r="O14" s="28" t="e">
        <f>IF(ISBLANK(Values!#REF!),"",Values!O13)</f>
        <v>#REF!</v>
      </c>
      <c r="P14" s="28" t="e">
        <f>IF(ISBLANK(Values!#REF!),"",Values!P13)</f>
        <v>#REF!</v>
      </c>
      <c r="Q14" s="28" t="e">
        <f>IF(ISBLANK(Values!#REF!),"",Values!Q13)</f>
        <v>#REF!</v>
      </c>
      <c r="R14" s="28" t="e">
        <f>IF(ISBLANK(Values!#REF!),"",Values!R13)</f>
        <v>#REF!</v>
      </c>
      <c r="S14" s="28" t="e">
        <f>IF(ISBLANK(Values!#REF!),"",Values!S13)</f>
        <v>#REF!</v>
      </c>
      <c r="T14" s="28" t="e">
        <f>IF(ISBLANK(Values!#REF!),"",Values!T13)</f>
        <v>#REF!</v>
      </c>
      <c r="U14" s="28" t="e">
        <f>IF(ISBLANK(Values!#REF!),"",Values!U13)</f>
        <v>#REF!</v>
      </c>
      <c r="W14" s="32" t="str">
        <f>IF(ISBLANK(Values!#REF!),"","Child")</f>
        <v>Child</v>
      </c>
      <c r="X14" s="32" t="str">
        <f>IF(ISBLANK(Values!#REF!),"",Values!$B$13)</f>
        <v>HP 840 G3 parent</v>
      </c>
      <c r="Y14" s="39" t="str">
        <f>IF(ISBLANK(Values!#REF!),"","Size-Color")</f>
        <v>Size-Color</v>
      </c>
      <c r="Z14" s="32" t="str">
        <f>IF(ISBLANK(Values!#REF!),"","variation")</f>
        <v>variation</v>
      </c>
      <c r="AA14" s="36" t="str">
        <f>IF(ISBLANK(Values!#REF!),"",Values!$B$20)</f>
        <v>Update</v>
      </c>
      <c r="AB14" s="1" t="str">
        <f>IF(ISBLANK(Values!#REF!),"",Values!$B$29)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IF(ISBLANK(Values!#REF!),"",IF(Values!I13,Values!$B$23,Values!$B$33))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IF(ISBLANK(Values!#REF!),"",Values!$B$24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14" s="1" t="str">
        <f>IF(ISBLANK(Values!#REF!),"",Values!$B$25)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IF(ISBLANK(Values!#REF!),"",SUBSTITUTE(SUBSTITUTE(IF(Values!$J13, Values!$B$26, Values!$B$33), "{language}", Values!$H13), "{flag}", INDEX(options!$E$1:$E$20, Values!$V13)))</f>
        <v>👉 FORMATO – 🇺🇸 US con retroiluminación.</v>
      </c>
      <c r="AM14" s="1" t="str">
        <f>SUBSTITUTE(IF(ISBLANK(Values!#REF!),"",Values!$B$27), "{model}", Values!$B$3)</f>
        <v>👉 COMPATIBLE CON: HP 840 G3, 745 G3, 840 G4, 745 G4. Por favor, revise la imagen y la descripción cuidadosamente antes de comprar cualquier teclado. Esto asegura que obtenga el teclado correcto para su portátil. Instalación fácil.</v>
      </c>
      <c r="AT14" s="28" t="str">
        <f>IF(ISBLANK(Values!#REF!),"",Values!H13)</f>
        <v>US</v>
      </c>
      <c r="AV14" s="1" t="str">
        <f>IF(ISBLANK(Values!#REF!),"",IF(Values!J13,"Backlit", "Non-Backlit"))</f>
        <v>Backlit</v>
      </c>
      <c r="AW14"/>
      <c r="BE14" s="27" t="str">
        <f>IF(ISBLANK(Values!#REF!),"","Professional Audience")</f>
        <v>Professional Audience</v>
      </c>
      <c r="BF14" s="27" t="str">
        <f>IF(ISBLANK(Values!#REF!),"","Consumer Audience")</f>
        <v>Consumer Audience</v>
      </c>
      <c r="BG14" s="27" t="str">
        <f>IF(ISBLANK(Values!#REF!),"","Adults")</f>
        <v>Adults</v>
      </c>
      <c r="BH14" s="27" t="str">
        <f>IF(ISBLANK(Values!#REF!),"","People")</f>
        <v>People</v>
      </c>
      <c r="CG14" s="1">
        <f>IF(ISBLANK(Values!#REF!),"",Values!$B$11)</f>
        <v>150</v>
      </c>
      <c r="CH14" s="1" t="str">
        <f>IF(ISBLANK(Values!#REF!),"","GR")</f>
        <v>GR</v>
      </c>
      <c r="CI14" s="1" t="str">
        <f>IF(ISBLANK(Values!#REF!),"",Values!$B$7)</f>
        <v>32</v>
      </c>
      <c r="CJ14" s="1" t="str">
        <f>IF(ISBLANK(Values!#REF!),"",Values!$B$8)</f>
        <v>18</v>
      </c>
      <c r="CK14" s="1" t="str">
        <f>IF(ISBLANK(Values!#REF!),"",Values!$B$9)</f>
        <v>2</v>
      </c>
      <c r="CL14" s="1" t="str">
        <f>IF(ISBLANK(Values!#REF!),"","CM")</f>
        <v>CM</v>
      </c>
      <c r="CO14" s="1" t="str">
        <f>IF(ISBLANK(Values!#REF!), "", IF(AND(Values!$B$37=options!$G$2, Values!$C13), "AMAZON_NA", IF(AND(Values!$B$37=options!$G$1, Values!$D13), "AMAZON_EU", "DEFAULT")))</f>
        <v>DEFAULT</v>
      </c>
      <c r="CP14" s="1" t="str">
        <f>IF(ISBLANK(Values!#REF!),"",Values!$B$7)</f>
        <v>32</v>
      </c>
      <c r="CQ14" s="1" t="str">
        <f>IF(ISBLANK(Values!#REF!),"",Values!$B$8)</f>
        <v>18</v>
      </c>
      <c r="CR14" s="1" t="str">
        <f>IF(ISBLANK(Values!#REF!),"",Values!$B$9)</f>
        <v>2</v>
      </c>
      <c r="CS14" s="1">
        <f>IF(ISBLANK(Values!#REF!),"",Values!$B$11)</f>
        <v>150</v>
      </c>
      <c r="CT14" s="1" t="str">
        <f>IF(ISBLANK(Values!#REF!),"","GR")</f>
        <v>GR</v>
      </c>
      <c r="CU14" s="1" t="str">
        <f>IF(ISBLANK(Values!#REF!),"","CM")</f>
        <v>CM</v>
      </c>
      <c r="CV14" s="36"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IF(ISBLANK(Values!#REF!),"","No")</f>
        <v>No</v>
      </c>
      <c r="DA14" s="1" t="str">
        <f>IF(ISBLANK(Values!#REF!),"","No")</f>
        <v>No</v>
      </c>
      <c r="DO14" s="27" t="str">
        <f>IF(ISBLANK(Values!#REF!),"","Parts")</f>
        <v>Parts</v>
      </c>
      <c r="DP14" s="27" t="str">
        <f>IF(ISBLANK(Values!#REF!),"",Values!$B$31)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IF(ISBLANK(Values!#REF!), "", "not_applicable")</f>
        <v>not_applicable</v>
      </c>
      <c r="DZ14" s="31"/>
      <c r="EA14" s="31"/>
      <c r="EB14" s="31"/>
      <c r="EC14" s="31"/>
      <c r="EI14" s="1" t="str">
        <f>IF(ISBLANK(Values!#REF!),"",Values!$B$31)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IF(ISBLANK(Values!#REF!),"","Amazon Tellus UPS")</f>
        <v>Amazon Tellus UPS</v>
      </c>
      <c r="EV14" s="31" t="str">
        <f>IF(ISBLANK(Values!#REF!),"","New")</f>
        <v>New</v>
      </c>
      <c r="FE14" s="1">
        <f>IF(ISBLANK(Values!#REF!),"",IF(CO14&lt;&gt;"DEFAULT", "", 3))</f>
        <v>3</v>
      </c>
      <c r="FH14" s="1" t="str">
        <f>IF(ISBLANK(Values!#REF!),"","FALSE")</f>
        <v>FALSE</v>
      </c>
      <c r="FI14" s="1" t="str">
        <f>IF(ISBLANK(Values!#REF!),"","FALSE")</f>
        <v>FALSE</v>
      </c>
      <c r="FJ14" s="1" t="str">
        <f>IF(ISBLANK(Values!#REF!),"","FALSE")</f>
        <v>FALSE</v>
      </c>
      <c r="FM14" s="1" t="str">
        <f>IF(ISBLANK(Values!#REF!),"","1")</f>
        <v>1</v>
      </c>
      <c r="FO14" s="28">
        <f>IF(ISBLANK(Values!#REF!),"",IF(Values!J13, Values!$B$4, Values!$B$5))</f>
        <v>47.99</v>
      </c>
      <c r="FP14" s="1" t="str">
        <f>IF(ISBLANK(Values!#REF!),"","Percent")</f>
        <v>Percent</v>
      </c>
      <c r="FQ14" s="1" t="str">
        <f>IF(ISBLANK(Values!#REF!),"","2")</f>
        <v>2</v>
      </c>
      <c r="FR14" s="1" t="str">
        <f>IF(ISBLANK(Values!#REF!),"","3")</f>
        <v>3</v>
      </c>
      <c r="FS14" s="1" t="str">
        <f>IF(ISBLANK(Values!#REF!),"","5")</f>
        <v>5</v>
      </c>
      <c r="FT14" s="1" t="str">
        <f>IF(ISBLANK(Values!#REF!),"","6")</f>
        <v>6</v>
      </c>
      <c r="FU14" s="1" t="str">
        <f>IF(ISBLANK(Values!#REF!),"","10")</f>
        <v>10</v>
      </c>
      <c r="FV14" s="1" t="str">
        <f>IF(ISBLANK(Values!#REF!),"","10")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computercomponent</v>
      </c>
      <c r="B24" s="38" t="str">
        <f>IF(ISBLANK(Values!E23),"",Values!F23)</f>
        <v>HP 840 G3 RG - US</v>
      </c>
      <c r="C24" s="32" t="str">
        <f>IF(ISBLANK(Values!E23),"","TellusRem")</f>
        <v>TellusRem</v>
      </c>
      <c r="D24" s="30">
        <f>IF(ISBLANK(Values!E23),"",Values!E23)</f>
        <v>5714401843191</v>
      </c>
      <c r="E24" s="31" t="str">
        <f>IF(ISBLANK(Values!E23),"","EAN")</f>
        <v>EAN</v>
      </c>
      <c r="F24" s="28" t="str">
        <f>IF(ISBLANK(Values!E23),"",IF(Values!J23, SUBSTITUTE(Values!$B$1, "{language}", Values!H23) &amp; " " &amp;Values!$B$3, SUBSTITUTE(Values!$B$2, "{language}", Values!$H23) &amp; " " &amp;Values!$B$3))</f>
        <v>Teclado de respuesto US sin retroiluminación  para HP   840 G3, 745 G3, 840 G4, 745 G4</v>
      </c>
      <c r="G24" s="32" t="str">
        <f>IF(ISBLANK(Values!E23),"","TellusRem")</f>
        <v>TellusRem</v>
      </c>
      <c r="H24" s="27" t="str">
        <f>IF(ISBLANK(Values!E23),"",Values!$B$16)</f>
        <v>computer-keyboards</v>
      </c>
      <c r="I24" s="27" t="str">
        <f>IF(ISBLANK(Values!E23),"","4730574031")</f>
        <v>4730574031</v>
      </c>
      <c r="J24" s="39" t="str">
        <f>IF(ISBLANK(Values!E23),"",Values!F23 )</f>
        <v>HP 840 G3 RG - US</v>
      </c>
      <c r="K24" s="28">
        <f>IF(ISBLANK(Values!E23),"",IF(Values!J23, Values!$B$4, Values!$B$5))</f>
        <v>37.99</v>
      </c>
      <c r="L24" s="40">
        <f>IF(ISBLANK(Values!E23),"",IF($CO24="DEFAULT", Values!$B$18, ""))</f>
        <v>5</v>
      </c>
      <c r="M24" s="28" t="str">
        <f>IF(ISBLANK(Values!E23),"",Values!$M23)</f>
        <v>https://raw.githubusercontent.com/PatrickVibild/TellusAmazonPictures/master/pictures/HP/W. PS/840 G3 SILVER/RG/US/1.jpg</v>
      </c>
      <c r="N24" s="28" t="str">
        <f>IF(ISBLANK(Values!$F23),"",Values!N23)</f>
        <v>https://raw.githubusercontent.com/PatrickVibild/TellusAmazonPictures/master/pictures/HP/W. PS/840 G3 SILVER/RG/US/2.jpg</v>
      </c>
      <c r="O24" s="28" t="str">
        <f>IF(ISBLANK(Values!$F23),"",Values!O23)</f>
        <v>https://raw.githubusercontent.com/PatrickVibild/TellusAmazonPictures/master/pictures/HP/W. PS/840 G3 SILVER/RG/US/3.jpg</v>
      </c>
      <c r="P24" s="28" t="str">
        <f>IF(ISBLANK(Values!$F23),"",Values!P23)</f>
        <v>https://raw.githubusercontent.com/PatrickVibild/TellusAmazonPictures/master/pictures/HP/W. PS/840 G3 SILVER/RG/US/4.jpg</v>
      </c>
      <c r="Q24" s="28" t="str">
        <f>IF(ISBLANK(Values!$F23),"",Values!Q23)</f>
        <v>https://raw.githubusercontent.com/PatrickVibild/TellusAmazonPictures/master/pictures/HP/W. PS/840 G3 SILVER/RG/US/5.jpg</v>
      </c>
      <c r="R24" s="28" t="str">
        <f>IF(ISBLANK(Values!$F23),"",Values!R23)</f>
        <v>https://raw.githubusercontent.com/PatrickVibild/TellusAmazonPictures/master/pictures/HP/W. PS/840 G3 SILVER/RG/US/6.jpg</v>
      </c>
      <c r="S24" s="28" t="str">
        <f>IF(ISBLANK(Values!$F23),"",Values!S23)</f>
        <v>https://raw.githubusercontent.com/PatrickVibild/TellusAmazonPictures/master/pictures/HP/W. PS/840 G3 SILVER/RG/US/7.jpg</v>
      </c>
      <c r="T24" s="28" t="str">
        <f>IF(ISBLANK(Values!$F23),"",Values!T23)</f>
        <v>https://raw.githubusercontent.com/PatrickVibild/TellusAmazonPictures/master/pictures/HP/W. PS/840 G3 SILVER/RG/US/8.jpg</v>
      </c>
      <c r="U24" s="28" t="str">
        <f>IF(ISBLANK(Values!$F23),"",Values!U23)</f>
        <v>https://raw.githubusercontent.com/PatrickVibild/TellusAmazonPictures/master/pictures/HP/W. PS/840 G3 SILVER/RG/US/9.jpg</v>
      </c>
      <c r="V24" s="1"/>
      <c r="W24" s="32" t="str">
        <f>IF(ISBLANK(Values!E23),"","Child")</f>
        <v>Child</v>
      </c>
      <c r="X24" s="32" t="str">
        <f>IF(ISBLANK(Values!E23),"",Values!$B$13)</f>
        <v>HP 840 G3 parent</v>
      </c>
      <c r="Y24" s="39" t="str">
        <f>IF(ISBLANK(Values!E23),"","Size-Color")</f>
        <v>Size-Color</v>
      </c>
      <c r="Z24" s="32" t="str">
        <f>IF(ISBLANK(Values!E23),"","variation")</f>
        <v>variation</v>
      </c>
      <c r="AA24" s="36" t="str">
        <f>IF(ISBLANK(Values!E23),"",Values!$B$20)</f>
        <v>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IF(ISBLANK(Values!E23),"",IF(Values!I23,Values!$B$23,Values!$B$33))</f>
        <v>👉 REFORMADO: AHORRE DINERO - Reemplazo del teclado para portátil HP, misma calidad que los teclados OEM. TellusRem es el distribuidor líder de teclados en el mundo desde 2011. Teclado de reemplazo perfecto, fácil de reemplazar e instalar.</v>
      </c>
      <c r="AJ24" s="4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HP 840 G3, 745 G3, 840 G4, 745 G4. Por favor, revise la imagen y la descripción cuidadosamente antes de comprar cualquier teclado. Esto asegura que obtenga el teclado correcto para su portátil. Instalación fácil.</v>
      </c>
      <c r="AN24" s="1"/>
      <c r="AO24" s="1"/>
      <c r="AP24" s="1"/>
      <c r="AQ24" s="1"/>
      <c r="AR24" s="1"/>
      <c r="AS24" s="1"/>
      <c r="AT24" s="28" t="str">
        <f>IF(ISBLANK(Values!E23),"",Values!H23)</f>
        <v>US</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37.99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36"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36"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36"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36"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36"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36"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36"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36"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36"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36"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36"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36"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36"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36"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36"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36"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36"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36"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36"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36"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36"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36"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36"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36"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36"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36"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36"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36"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36"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36"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36"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36"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36"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36"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36"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36"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36"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36"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36"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36"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36"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36"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36"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36"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36"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36"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36"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36"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36"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36"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36"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36"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36"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36"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36"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36"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36"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36"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36"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36"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36"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36"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36"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36"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36"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36"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36"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36"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36"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36"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36"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36"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36"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36"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36"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36"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36"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36"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36"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7" t="s">
        <v>574</v>
      </c>
    </row>
    <row r="21" spans="2:2" x14ac:dyDescent="0.15">
      <c r="B21" s="57" t="s">
        <v>575</v>
      </c>
    </row>
    <row r="22" spans="2:2" x14ac:dyDescent="0.15">
      <c r="B22" s="57" t="s">
        <v>576</v>
      </c>
    </row>
    <row r="23" spans="2:2" x14ac:dyDescent="0.15">
      <c r="B23" s="57" t="s">
        <v>581</v>
      </c>
    </row>
    <row r="24" spans="2:2" x14ac:dyDescent="0.15">
      <c r="B24" s="57" t="s">
        <v>577</v>
      </c>
    </row>
    <row r="25" spans="2:2" x14ac:dyDescent="0.15">
      <c r="B25" s="57" t="s">
        <v>582</v>
      </c>
    </row>
    <row r="26" spans="2:2" x14ac:dyDescent="0.15">
      <c r="B26" s="57" t="s">
        <v>583</v>
      </c>
    </row>
    <row r="27" spans="2:2" x14ac:dyDescent="0.15">
      <c r="B27" s="57" t="s">
        <v>584</v>
      </c>
    </row>
    <row r="28" spans="2:2" x14ac:dyDescent="0.15">
      <c r="B28" s="57" t="s">
        <v>585</v>
      </c>
    </row>
    <row r="29" spans="2:2" x14ac:dyDescent="0.15">
      <c r="B29" s="57" t="s">
        <v>578</v>
      </c>
    </row>
    <row r="30" spans="2:2" x14ac:dyDescent="0.15">
      <c r="B30" s="57" t="s">
        <v>586</v>
      </c>
    </row>
    <row r="31" spans="2:2" x14ac:dyDescent="0.15">
      <c r="B31" s="57" t="s">
        <v>579</v>
      </c>
    </row>
    <row r="32" spans="2:2" x14ac:dyDescent="0.15">
      <c r="B32" s="57" t="s">
        <v>587</v>
      </c>
    </row>
    <row r="33" spans="2:4" x14ac:dyDescent="0.15">
      <c r="B33" s="57" t="s">
        <v>588</v>
      </c>
    </row>
    <row r="34" spans="2:4" x14ac:dyDescent="0.15">
      <c r="B34" s="57" t="s">
        <v>589</v>
      </c>
      <c r="D34" s="48"/>
    </row>
    <row r="35" spans="2:4" x14ac:dyDescent="0.15">
      <c r="B35" s="57" t="s">
        <v>517</v>
      </c>
      <c r="D35" s="48"/>
    </row>
    <row r="36" spans="2:4" x14ac:dyDescent="0.15">
      <c r="B36" s="57" t="s">
        <v>580</v>
      </c>
      <c r="D36" s="48"/>
    </row>
    <row r="37" spans="2:4" x14ac:dyDescent="0.15">
      <c r="B37" s="57" t="s">
        <v>404</v>
      </c>
      <c r="D37" s="48"/>
    </row>
    <row r="38" spans="2:4" x14ac:dyDescent="0.15">
      <c r="B38" s="57" t="s">
        <v>590</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1" t="s">
        <v>595</v>
      </c>
    </row>
    <row r="21" spans="2:2" x14ac:dyDescent="0.15">
      <c r="B21" s="71" t="s">
        <v>596</v>
      </c>
    </row>
    <row r="22" spans="2:2" x14ac:dyDescent="0.15">
      <c r="B22" s="71" t="s">
        <v>597</v>
      </c>
    </row>
    <row r="23" spans="2:2" x14ac:dyDescent="0.15">
      <c r="B23" s="71" t="s">
        <v>598</v>
      </c>
    </row>
    <row r="24" spans="2:2" x14ac:dyDescent="0.15">
      <c r="B24" s="71" t="s">
        <v>591</v>
      </c>
    </row>
    <row r="25" spans="2:2" x14ac:dyDescent="0.15">
      <c r="B25" s="71" t="s">
        <v>592</v>
      </c>
    </row>
    <row r="26" spans="2:2" x14ac:dyDescent="0.15">
      <c r="B26" s="71" t="s">
        <v>599</v>
      </c>
    </row>
    <row r="27" spans="2:2" x14ac:dyDescent="0.15">
      <c r="B27" s="71" t="s">
        <v>600</v>
      </c>
    </row>
    <row r="28" spans="2:2" x14ac:dyDescent="0.15">
      <c r="B28" s="71" t="s">
        <v>601</v>
      </c>
    </row>
    <row r="29" spans="2:2" x14ac:dyDescent="0.15">
      <c r="B29" s="71" t="s">
        <v>602</v>
      </c>
    </row>
    <row r="30" spans="2:2" x14ac:dyDescent="0.15">
      <c r="B30" s="71" t="s">
        <v>603</v>
      </c>
    </row>
    <row r="31" spans="2:2" x14ac:dyDescent="0.15">
      <c r="B31" s="71" t="s">
        <v>604</v>
      </c>
    </row>
    <row r="32" spans="2:2" x14ac:dyDescent="0.15">
      <c r="B32" s="71" t="s">
        <v>605</v>
      </c>
    </row>
    <row r="33" spans="2:4" x14ac:dyDescent="0.15">
      <c r="B33" s="71" t="s">
        <v>593</v>
      </c>
    </row>
    <row r="34" spans="2:4" x14ac:dyDescent="0.15">
      <c r="B34" s="71" t="s">
        <v>606</v>
      </c>
      <c r="D34" s="48"/>
    </row>
    <row r="35" spans="2:4" x14ac:dyDescent="0.15">
      <c r="B35" s="71" t="s">
        <v>401</v>
      </c>
      <c r="D35" s="48"/>
    </row>
    <row r="36" spans="2:4" x14ac:dyDescent="0.15">
      <c r="B36" s="71" t="s">
        <v>607</v>
      </c>
      <c r="D36" s="48"/>
    </row>
    <row r="37" spans="2:4" x14ac:dyDescent="0.15">
      <c r="B37" s="71" t="s">
        <v>594</v>
      </c>
      <c r="D37" s="48"/>
    </row>
    <row r="38" spans="2:4" x14ac:dyDescent="0.15">
      <c r="B38" s="71" t="s">
        <v>608</v>
      </c>
      <c r="D38" s="48"/>
    </row>
    <row r="39" spans="2:4" x14ac:dyDescent="0.15">
      <c r="B39" s="71"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7" t="s">
        <v>616</v>
      </c>
    </row>
    <row r="21" spans="2:2" x14ac:dyDescent="0.15">
      <c r="B21" s="57" t="s">
        <v>617</v>
      </c>
    </row>
    <row r="22" spans="2:2" x14ac:dyDescent="0.15">
      <c r="B22" s="57" t="s">
        <v>618</v>
      </c>
    </row>
    <row r="23" spans="2:2" x14ac:dyDescent="0.15">
      <c r="B23" s="57" t="s">
        <v>619</v>
      </c>
    </row>
    <row r="24" spans="2:2" x14ac:dyDescent="0.15">
      <c r="B24" s="57" t="s">
        <v>620</v>
      </c>
    </row>
    <row r="25" spans="2:2" x14ac:dyDescent="0.15">
      <c r="B25" s="57" t="s">
        <v>621</v>
      </c>
    </row>
    <row r="26" spans="2:2" x14ac:dyDescent="0.15">
      <c r="B26" s="57" t="s">
        <v>622</v>
      </c>
    </row>
    <row r="27" spans="2:2" x14ac:dyDescent="0.15">
      <c r="B27" s="57" t="s">
        <v>623</v>
      </c>
    </row>
    <row r="28" spans="2:2" x14ac:dyDescent="0.15">
      <c r="B28" s="57" t="s">
        <v>624</v>
      </c>
    </row>
    <row r="29" spans="2:2" x14ac:dyDescent="0.15">
      <c r="B29" s="57" t="s">
        <v>625</v>
      </c>
    </row>
    <row r="30" spans="2:2" x14ac:dyDescent="0.15">
      <c r="B30" s="57" t="s">
        <v>626</v>
      </c>
    </row>
    <row r="31" spans="2:2" x14ac:dyDescent="0.15">
      <c r="B31" s="57" t="s">
        <v>627</v>
      </c>
    </row>
    <row r="32" spans="2:2" x14ac:dyDescent="0.15">
      <c r="B32" s="57" t="s">
        <v>628</v>
      </c>
    </row>
    <row r="33" spans="2:4" x14ac:dyDescent="0.15">
      <c r="B33" s="57" t="s">
        <v>629</v>
      </c>
    </row>
    <row r="34" spans="2:4" x14ac:dyDescent="0.15">
      <c r="B34" s="57" t="s">
        <v>630</v>
      </c>
      <c r="D34" s="48"/>
    </row>
    <row r="35" spans="2:4" x14ac:dyDescent="0.15">
      <c r="B35" s="57" t="s">
        <v>517</v>
      </c>
      <c r="D35" s="48"/>
    </row>
    <row r="36" spans="2:4" x14ac:dyDescent="0.15">
      <c r="B36" s="57" t="s">
        <v>631</v>
      </c>
      <c r="D36" s="48"/>
    </row>
    <row r="37" spans="2:4" x14ac:dyDescent="0.15">
      <c r="B37" s="57" t="s">
        <v>404</v>
      </c>
      <c r="D37" s="48"/>
    </row>
    <row r="38" spans="2:4" x14ac:dyDescent="0.15">
      <c r="B38" s="57" t="s">
        <v>632</v>
      </c>
      <c r="D38" s="48"/>
    </row>
    <row r="39" spans="2:4" x14ac:dyDescent="0.15">
      <c r="B39" s="57"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110" zoomScaleNormal="11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45" t="s">
        <v>354</v>
      </c>
      <c r="B3" s="75"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56" x14ac:dyDescent="0.15">
      <c r="A4" s="45" t="s">
        <v>369</v>
      </c>
      <c r="B4" s="76">
        <v>47.99</v>
      </c>
      <c r="C4" s="49" t="b">
        <f>FALSE()</f>
        <v>0</v>
      </c>
      <c r="D4" s="49" t="b">
        <f>TRUE()</f>
        <v>1</v>
      </c>
      <c r="E4" s="44">
        <v>5714401842019</v>
      </c>
      <c r="F4" s="44" t="s">
        <v>678</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2" t="b">
        <f>TRUE()</f>
        <v>1</v>
      </c>
      <c r="J4" s="53" t="b">
        <v>1</v>
      </c>
      <c r="K4" s="44" t="s">
        <v>687</v>
      </c>
      <c r="L4" s="54" t="b">
        <v>1</v>
      </c>
      <c r="M4" s="55" t="str">
        <f t="shared" ref="M4:M35" si="0">IF(ISBLANK(K4),"",IF(L4, "https://raw.githubusercontent.com/PatrickVibild/TellusAmazonPictures/master/pictures/"&amp;K4&amp;"/1.jpg","https://download.lenovo.com/Images/Parts/"&amp;K4&amp;"/"&amp;K4&amp;"_A.jpg"))</f>
        <v>https://raw.githubusercontent.com/PatrickVibild/TellusAmazonPictures/master/pictures/HP/W. PS/840 G3 SILVER/BL/DE/1.jpg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https://raw.githubusercontent.com/PatrickVibild/TellusAmazonPictures/master/pictures/HP/W. PS/840 G3 SILVER/BL/DE/2.jpg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G3 SILVER/BL/DE/3.jpg</v>
      </c>
      <c r="P4" t="str">
        <f t="shared" ref="P4:P35" si="3">IF(ISBLANK(K4),"",IF(L4, "https://raw.githubusercontent.com/PatrickVibild/TellusAmazonPictures/master/pictures/"&amp;K4&amp;"/4.jpg", ""))</f>
        <v>https://raw.githubusercontent.com/PatrickVibild/TellusAmazonPictures/master/pictures/HP/W. PS/840 G3 SILVER/BL/DE/4.jpg</v>
      </c>
      <c r="Q4" t="str">
        <f t="shared" ref="Q4:Q35" si="4">IF(ISBLANK(K4),"",IF(L4, "https://raw.githubusercontent.com/PatrickVibild/TellusAmazonPictures/master/pictures/"&amp;K4&amp;"/5.jpg", ""))</f>
        <v>https://raw.githubusercontent.com/PatrickVibild/TellusAmazonPictures/master/pictures/HP/W. PS/840 G3 SILVER/BL/DE/5.jpg</v>
      </c>
      <c r="R4" t="str">
        <f t="shared" ref="R4:R35" si="5">IF(ISBLANK(K4),"",IF(L4, "https://raw.githubusercontent.com/PatrickVibild/TellusAmazonPictures/master/pictures/"&amp;K4&amp;"/6.jpg", ""))</f>
        <v>https://raw.githubusercontent.com/PatrickVibild/TellusAmazonPictures/master/pictures/HP/W. PS/840 G3 SILVER/BL/DE/6.jpg</v>
      </c>
      <c r="S4" t="str">
        <f t="shared" ref="S4:S35" si="6">IF(ISBLANK(K4),"",IF(L4, "https://raw.githubusercontent.com/PatrickVibild/TellusAmazonPictures/master/pictures/"&amp;K4&amp;"/7.jpg", ""))</f>
        <v>https://raw.githubusercontent.com/PatrickVibild/TellusAmazonPictures/master/pictures/HP/W. PS/840 G3 SILVER/BL/DE/7.jpg</v>
      </c>
      <c r="T4" t="str">
        <f t="shared" ref="T4:T35" si="7">IF(ISBLANK(K4),"",IF(L4, "https://raw.githubusercontent.com/PatrickVibild/TellusAmazonPictures/master/pictures/"&amp;K4&amp;"/8.jpg",""))</f>
        <v>https://raw.githubusercontent.com/PatrickVibild/TellusAmazonPictures/master/pictures/HP/W. PS/840 G3 SILVER/BL/DE/8.jpg</v>
      </c>
      <c r="U4" t="str">
        <f t="shared" ref="U4:U35" si="8">IF(ISBLANK(K4),"",IF(L4, "https://raw.githubusercontent.com/PatrickVibild/TellusAmazonPictures/master/pictures/"&amp;K4&amp;"/9.jpg", ""))</f>
        <v>https://raw.githubusercontent.com/PatrickVibild/TellusAmazonPictures/master/pictures/HP/W. PS/840 G3 SILVER/BL/DE/9.jpg</v>
      </c>
      <c r="V4" s="57">
        <f>MATCH(G4,options!$D$1:$D$20,0)</f>
        <v>1</v>
      </c>
    </row>
    <row r="5" spans="1:22" ht="56" x14ac:dyDescent="0.15">
      <c r="A5" s="45" t="s">
        <v>371</v>
      </c>
      <c r="B5" s="76">
        <v>37.99</v>
      </c>
      <c r="C5" s="49" t="b">
        <f>FALSE()</f>
        <v>0</v>
      </c>
      <c r="D5" s="49" t="b">
        <f>TRUE()</f>
        <v>1</v>
      </c>
      <c r="E5" s="44">
        <v>5714401842026</v>
      </c>
      <c r="F5" s="44" t="s">
        <v>679</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2" t="b">
        <f>TRUE()</f>
        <v>1</v>
      </c>
      <c r="J5" s="53" t="b">
        <v>1</v>
      </c>
      <c r="K5" s="44" t="s">
        <v>688</v>
      </c>
      <c r="L5" s="54" t="b">
        <v>1</v>
      </c>
      <c r="M5" s="55" t="str">
        <f t="shared" si="0"/>
        <v>https://raw.githubusercontent.com/PatrickVibild/TellusAmazonPictures/master/pictures/HP/W. PS/840 G3 SILVER/BL/FR/1.jpg</v>
      </c>
      <c r="N5" s="55" t="str">
        <f t="shared" si="1"/>
        <v>https://raw.githubusercontent.com/PatrickVibild/TellusAmazonPictures/master/pictures/HP/W. PS/840 G3 SILVER/BL/FR/2.jpg</v>
      </c>
      <c r="O5" s="56" t="str">
        <f t="shared" si="2"/>
        <v>https://raw.githubusercontent.com/PatrickVibild/TellusAmazonPictures/master/pictures/HP/W. PS/840 G3 SILVER/BL/FR/3.jpg</v>
      </c>
      <c r="P5" t="str">
        <f t="shared" si="3"/>
        <v>https://raw.githubusercontent.com/PatrickVibild/TellusAmazonPictures/master/pictures/HP/W. PS/840 G3 SILVER/BL/FR/4.jpg</v>
      </c>
      <c r="Q5" t="str">
        <f t="shared" si="4"/>
        <v>https://raw.githubusercontent.com/PatrickVibild/TellusAmazonPictures/master/pictures/HP/W. PS/840 G3 SILVER/BL/FR/5.jpg</v>
      </c>
      <c r="R5" t="str">
        <f t="shared" si="5"/>
        <v>https://raw.githubusercontent.com/PatrickVibild/TellusAmazonPictures/master/pictures/HP/W. PS/840 G3 SILVER/BL/FR/6.jpg</v>
      </c>
      <c r="S5" t="str">
        <f t="shared" si="6"/>
        <v>https://raw.githubusercontent.com/PatrickVibild/TellusAmazonPictures/master/pictures/HP/W. PS/840 G3 SILVER/BL/FR/7.jpg</v>
      </c>
      <c r="T5" t="str">
        <f t="shared" si="7"/>
        <v>https://raw.githubusercontent.com/PatrickVibild/TellusAmazonPictures/master/pictures/HP/W. PS/840 G3 SILVER/BL/FR/8.jpg</v>
      </c>
      <c r="U5" t="str">
        <f t="shared" si="8"/>
        <v>https://raw.githubusercontent.com/PatrickVibild/TellusAmazonPictures/master/pictures/HP/W. PS/840 G3 SILVER/BL/FR/9.jpg</v>
      </c>
      <c r="V5" s="57">
        <f>MATCH(G5,options!$D$1:$D$20,0)</f>
        <v>2</v>
      </c>
    </row>
    <row r="6" spans="1:22" ht="42" x14ac:dyDescent="0.15">
      <c r="A6" s="45" t="s">
        <v>373</v>
      </c>
      <c r="B6" s="58" t="s">
        <v>414</v>
      </c>
      <c r="C6" s="49" t="b">
        <f>FALSE()</f>
        <v>0</v>
      </c>
      <c r="D6" s="49" t="b">
        <f>TRUE()</f>
        <v>1</v>
      </c>
      <c r="E6" s="44">
        <v>5714401842033</v>
      </c>
      <c r="F6" s="44" t="s">
        <v>680</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2" t="b">
        <f>TRUE()</f>
        <v>1</v>
      </c>
      <c r="J6" s="53" t="b">
        <v>1</v>
      </c>
      <c r="K6" s="44" t="s">
        <v>689</v>
      </c>
      <c r="L6" s="54" t="b">
        <v>1</v>
      </c>
      <c r="M6" s="55" t="str">
        <f t="shared" si="0"/>
        <v>https://raw.githubusercontent.com/PatrickVibild/TellusAmazonPictures/master/pictures/HP/W. PS/840 G3 SILVER/BL/IT/1.jpg</v>
      </c>
      <c r="N6" s="55" t="str">
        <f t="shared" si="1"/>
        <v>https://raw.githubusercontent.com/PatrickVibild/TellusAmazonPictures/master/pictures/HP/W. PS/840 G3 SILVER/BL/IT/2.jpg</v>
      </c>
      <c r="O6" s="56" t="str">
        <f t="shared" si="2"/>
        <v>https://raw.githubusercontent.com/PatrickVibild/TellusAmazonPictures/master/pictures/HP/W. PS/840 G3 SILVER/BL/IT/3.jpg</v>
      </c>
      <c r="P6" t="str">
        <f t="shared" si="3"/>
        <v>https://raw.githubusercontent.com/PatrickVibild/TellusAmazonPictures/master/pictures/HP/W. PS/840 G3 SILVER/BL/IT/4.jpg</v>
      </c>
      <c r="Q6" t="str">
        <f t="shared" si="4"/>
        <v>https://raw.githubusercontent.com/PatrickVibild/TellusAmazonPictures/master/pictures/HP/W. PS/840 G3 SILVER/BL/IT/5.jpg</v>
      </c>
      <c r="R6" t="str">
        <f t="shared" si="5"/>
        <v>https://raw.githubusercontent.com/PatrickVibild/TellusAmazonPictures/master/pictures/HP/W. PS/840 G3 SILVER/BL/IT/6.jpg</v>
      </c>
      <c r="S6" t="str">
        <f t="shared" si="6"/>
        <v>https://raw.githubusercontent.com/PatrickVibild/TellusAmazonPictures/master/pictures/HP/W. PS/840 G3 SILVER/BL/IT/7.jpg</v>
      </c>
      <c r="T6" t="str">
        <f t="shared" si="7"/>
        <v>https://raw.githubusercontent.com/PatrickVibild/TellusAmazonPictures/master/pictures/HP/W. PS/840 G3 SILVER/BL/IT/8.jpg</v>
      </c>
      <c r="U6" t="str">
        <f t="shared" si="8"/>
        <v>https://raw.githubusercontent.com/PatrickVibild/TellusAmazonPictures/master/pictures/HP/W. PS/840 G3 SILVER/BL/IT/9.jpg</v>
      </c>
      <c r="V6" s="57">
        <f>MATCH(G6,options!$D$1:$D$20,0)</f>
        <v>3</v>
      </c>
    </row>
    <row r="7" spans="1:22" ht="56" x14ac:dyDescent="0.15">
      <c r="A7" s="45" t="s">
        <v>376</v>
      </c>
      <c r="B7" s="59" t="str">
        <f>IF(B6=options!C1,"32","41")</f>
        <v>32</v>
      </c>
      <c r="C7" s="49" t="b">
        <f>FALSE()</f>
        <v>0</v>
      </c>
      <c r="D7" s="49" t="b">
        <f>TRUE()</f>
        <v>1</v>
      </c>
      <c r="E7" s="44">
        <v>5714401842040</v>
      </c>
      <c r="F7" s="44" t="s">
        <v>681</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2" t="b">
        <f>TRUE()</f>
        <v>1</v>
      </c>
      <c r="J7" s="53" t="b">
        <v>1</v>
      </c>
      <c r="K7" s="44" t="s">
        <v>690</v>
      </c>
      <c r="L7" s="54" t="b">
        <v>1</v>
      </c>
      <c r="M7" s="55" t="str">
        <f t="shared" si="0"/>
        <v>https://raw.githubusercontent.com/PatrickVibild/TellusAmazonPictures/master/pictures/HP/W. PS/840 G3 SILVER/BL/ES/1.jpg</v>
      </c>
      <c r="N7" s="55" t="str">
        <f t="shared" si="1"/>
        <v>https://raw.githubusercontent.com/PatrickVibild/TellusAmazonPictures/master/pictures/HP/W. PS/840 G3 SILVER/BL/ES/2.jpg</v>
      </c>
      <c r="O7" s="56" t="str">
        <f t="shared" si="2"/>
        <v>https://raw.githubusercontent.com/PatrickVibild/TellusAmazonPictures/master/pictures/HP/W. PS/840 G3 SILVER/BL/ES/3.jpg</v>
      </c>
      <c r="P7" t="str">
        <f t="shared" si="3"/>
        <v>https://raw.githubusercontent.com/PatrickVibild/TellusAmazonPictures/master/pictures/HP/W. PS/840 G3 SILVER/BL/ES/4.jpg</v>
      </c>
      <c r="Q7" t="str">
        <f t="shared" si="4"/>
        <v>https://raw.githubusercontent.com/PatrickVibild/TellusAmazonPictures/master/pictures/HP/W. PS/840 G3 SILVER/BL/ES/5.jpg</v>
      </c>
      <c r="R7" t="str">
        <f t="shared" si="5"/>
        <v>https://raw.githubusercontent.com/PatrickVibild/TellusAmazonPictures/master/pictures/HP/W. PS/840 G3 SILVER/BL/ES/6.jpg</v>
      </c>
      <c r="S7" t="str">
        <f t="shared" si="6"/>
        <v>https://raw.githubusercontent.com/PatrickVibild/TellusAmazonPictures/master/pictures/HP/W. PS/840 G3 SILVER/BL/ES/7.jpg</v>
      </c>
      <c r="T7" t="str">
        <f t="shared" si="7"/>
        <v>https://raw.githubusercontent.com/PatrickVibild/TellusAmazonPictures/master/pictures/HP/W. PS/840 G3 SILVER/BL/ES/8.jpg</v>
      </c>
      <c r="U7" t="str">
        <f t="shared" si="8"/>
        <v>https://raw.githubusercontent.com/PatrickVibild/TellusAmazonPictures/master/pictures/HP/W. PS/840 G3 SILVER/BL/ES/9.jpg</v>
      </c>
      <c r="V7" s="57">
        <f>MATCH(G7,options!$D$1:$D$20,0)</f>
        <v>4</v>
      </c>
    </row>
    <row r="8" spans="1:22" ht="56" x14ac:dyDescent="0.15">
      <c r="A8" s="45" t="s">
        <v>378</v>
      </c>
      <c r="B8" s="59" t="str">
        <f>IF(B6=options!C1,"18","17")</f>
        <v>18</v>
      </c>
      <c r="C8" s="49" t="b">
        <f>FALSE()</f>
        <v>0</v>
      </c>
      <c r="D8" s="49" t="b">
        <f>TRUE()</f>
        <v>1</v>
      </c>
      <c r="E8" s="44">
        <v>5714401842057</v>
      </c>
      <c r="F8" s="44" t="s">
        <v>682</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2" t="b">
        <f>TRUE()</f>
        <v>1</v>
      </c>
      <c r="J8" s="53" t="b">
        <v>1</v>
      </c>
      <c r="K8" s="44" t="s">
        <v>691</v>
      </c>
      <c r="L8" s="54" t="b">
        <v>1</v>
      </c>
      <c r="M8" s="55" t="str">
        <f t="shared" si="0"/>
        <v>https://raw.githubusercontent.com/PatrickVibild/TellusAmazonPictures/master/pictures/HP/W. PS/840 G3 SILVER/BL/UK/1.jpg</v>
      </c>
      <c r="N8" s="55" t="str">
        <f t="shared" si="1"/>
        <v>https://raw.githubusercontent.com/PatrickVibild/TellusAmazonPictures/master/pictures/HP/W. PS/840 G3 SILVER/BL/UK/2.jpg</v>
      </c>
      <c r="O8" s="56" t="str">
        <f t="shared" si="2"/>
        <v>https://raw.githubusercontent.com/PatrickVibild/TellusAmazonPictures/master/pictures/HP/W. PS/840 G3 SILVER/BL/UK/3.jpg</v>
      </c>
      <c r="P8" t="str">
        <f t="shared" si="3"/>
        <v>https://raw.githubusercontent.com/PatrickVibild/TellusAmazonPictures/master/pictures/HP/W. PS/840 G3 SILVER/BL/UK/4.jpg</v>
      </c>
      <c r="Q8" t="str">
        <f t="shared" si="4"/>
        <v>https://raw.githubusercontent.com/PatrickVibild/TellusAmazonPictures/master/pictures/HP/W. PS/840 G3 SILVER/BL/UK/5.jpg</v>
      </c>
      <c r="R8" t="str">
        <f t="shared" si="5"/>
        <v>https://raw.githubusercontent.com/PatrickVibild/TellusAmazonPictures/master/pictures/HP/W. PS/840 G3 SILVER/BL/UK/6.jpg</v>
      </c>
      <c r="S8" t="str">
        <f t="shared" si="6"/>
        <v>https://raw.githubusercontent.com/PatrickVibild/TellusAmazonPictures/master/pictures/HP/W. PS/840 G3 SILVER/BL/UK/7.jpg</v>
      </c>
      <c r="T8" t="str">
        <f t="shared" si="7"/>
        <v>https://raw.githubusercontent.com/PatrickVibild/TellusAmazonPictures/master/pictures/HP/W. PS/840 G3 SILVER/BL/UK/8.jpg</v>
      </c>
      <c r="U8" t="str">
        <f t="shared" si="8"/>
        <v>https://raw.githubusercontent.com/PatrickVibild/TellusAmazonPictures/master/pictures/HP/W. PS/840 G3 SILVER/BL/UK/9.jpg</v>
      </c>
      <c r="V8" s="57">
        <f>MATCH(G8,options!$D$1:$D$20,0)</f>
        <v>5</v>
      </c>
    </row>
    <row r="9" spans="1:22" ht="57" x14ac:dyDescent="0.2">
      <c r="A9" s="45" t="s">
        <v>380</v>
      </c>
      <c r="B9" s="59" t="str">
        <f>IF(B6=options!C1,"2","5")</f>
        <v>2</v>
      </c>
      <c r="C9" s="49" t="b">
        <f>FALSE()</f>
        <v>0</v>
      </c>
      <c r="D9" s="49" t="b">
        <f>TRUE()</f>
        <v>1</v>
      </c>
      <c r="E9" s="77">
        <v>5714401842064</v>
      </c>
      <c r="F9" s="72" t="s">
        <v>685</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2" t="b">
        <f>TRUE()</f>
        <v>1</v>
      </c>
      <c r="J9" s="53" t="b">
        <v>1</v>
      </c>
      <c r="K9" s="44" t="s">
        <v>695</v>
      </c>
      <c r="L9" s="54" t="b">
        <v>1</v>
      </c>
      <c r="M9" s="55" t="str">
        <f>IF(ISBLANK(K12),"",IF(L9, "https://raw.githubusercontent.com/PatrickVibild/TellusAmazonPictures/master/pictures/"&amp;K12&amp;"/1.jpg","https://download.lenovo.com/Images/Parts/"&amp;K12&amp;"/"&amp;K12&amp;"_A.jpg"))</f>
        <v>https://raw.githubusercontent.com/PatrickVibild/TellusAmazonPictures/master/pictures/HP/W. PS/840 G3 SILVER/BL/USI/1.jpg</v>
      </c>
      <c r="N9" s="55" t="str">
        <f>IF(ISBLANK(K12),"",IF(L9, "https://raw.githubusercontent.com/PatrickVibild/TellusAmazonPictures/master/pictures/"&amp;K12&amp;"/2.jpg","https://download.lenovo.com/Images/Parts/"&amp;K12&amp;"/"&amp;K12&amp;"_B.jpg"))</f>
        <v>https://raw.githubusercontent.com/PatrickVibild/TellusAmazonPictures/master/pictures/HP/W. PS/840 G3 SILVER/BL/USI/2.jpg</v>
      </c>
      <c r="O9" s="56" t="str">
        <f>IF(ISBLANK(K12),"",IF(L9, "https://raw.githubusercontent.com/PatrickVibild/TellusAmazonPictures/master/pictures/"&amp;K12&amp;"/3.jpg","https://download.lenovo.com/Images/Parts/"&amp;K12&amp;"/"&amp;K12&amp;"_details.jpg"))</f>
        <v>https://raw.githubusercontent.com/PatrickVibild/TellusAmazonPictures/master/pictures/HP/W. PS/840 G3 SILVER/BL/USI/3.jpg</v>
      </c>
      <c r="P9" t="str">
        <f>IF(ISBLANK(K12),"",IF(L9, "https://raw.githubusercontent.com/PatrickVibild/TellusAmazonPictures/master/pictures/"&amp;K12&amp;"/4.jpg", ""))</f>
        <v>https://raw.githubusercontent.com/PatrickVibild/TellusAmazonPictures/master/pictures/HP/W. PS/840 G3 SILVER/BL/USI/4.jpg</v>
      </c>
      <c r="Q9" t="str">
        <f>IF(ISBLANK(K12),"",IF(L9, "https://raw.githubusercontent.com/PatrickVibild/TellusAmazonPictures/master/pictures/"&amp;K12&amp;"/5.jpg", ""))</f>
        <v>https://raw.githubusercontent.com/PatrickVibild/TellusAmazonPictures/master/pictures/HP/W. PS/840 G3 SILVER/BL/USI/5.jpg</v>
      </c>
      <c r="R9" t="str">
        <f>IF(ISBLANK(K12),"",IF(L9, "https://raw.githubusercontent.com/PatrickVibild/TellusAmazonPictures/master/pictures/"&amp;K12&amp;"/6.jpg", ""))</f>
        <v>https://raw.githubusercontent.com/PatrickVibild/TellusAmazonPictures/master/pictures/HP/W. PS/840 G3 SILVER/BL/USI/6.jpg</v>
      </c>
      <c r="S9" t="str">
        <f>IF(ISBLANK(K12),"",IF(L9, "https://raw.githubusercontent.com/PatrickVibild/TellusAmazonPictures/master/pictures/"&amp;K12&amp;"/7.jpg", ""))</f>
        <v>https://raw.githubusercontent.com/PatrickVibild/TellusAmazonPictures/master/pictures/HP/W. PS/840 G3 SILVER/BL/USI/7.jpg</v>
      </c>
      <c r="T9" t="str">
        <f>IF(ISBLANK(K12),"",IF(L9, "https://raw.githubusercontent.com/PatrickVibild/TellusAmazonPictures/master/pictures/"&amp;K12&amp;"/8.jpg",""))</f>
        <v>https://raw.githubusercontent.com/PatrickVibild/TellusAmazonPictures/master/pictures/HP/W. PS/840 G3 SILVER/BL/USI/8.jpg</v>
      </c>
      <c r="U9" t="str">
        <f>IF(ISBLANK(K12),"",IF(L9, "https://raw.githubusercontent.com/PatrickVibild/TellusAmazonPictures/master/pictures/"&amp;K12&amp;"/9.jpg", ""))</f>
        <v>https://raw.githubusercontent.com/PatrickVibild/TellusAmazonPictures/master/pictures/HP/W. PS/840 G3 SILVER/BL/USI/9.jpg</v>
      </c>
      <c r="V9" s="57">
        <f>MATCH(G9,options!$D$1:$D$20,0)</f>
        <v>6</v>
      </c>
    </row>
    <row r="10" spans="1:22" x14ac:dyDescent="0.15">
      <c r="A10" t="s">
        <v>382</v>
      </c>
      <c r="B10" s="60"/>
      <c r="C10" s="49"/>
      <c r="D10" s="49"/>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2" t="b">
        <f>TRUE()</f>
        <v>1</v>
      </c>
      <c r="J10" s="53" t="b">
        <v>1</v>
      </c>
      <c r="L10" s="54" t="b">
        <v>1</v>
      </c>
      <c r="M10" s="55" t="str">
        <f>IF(ISBLANK(K13),"",IF(L10, "https://raw.githubusercontent.com/PatrickVibild/TellusAmazonPictures/master/pictures/"&amp;K13&amp;"/1.jpg","https://download.lenovo.com/Images/Parts/"&amp;K13&amp;"/"&amp;K13&amp;"_A.jpg"))</f>
        <v>https://raw.githubusercontent.com/PatrickVibild/TellusAmazonPictures/master/pictures/HP/W. PS/840 G3 SILVER/BL/US/1.jpg</v>
      </c>
      <c r="N10" s="55" t="str">
        <f>IF(ISBLANK(K13),"",IF(L10, "https://raw.githubusercontent.com/PatrickVibild/TellusAmazonPictures/master/pictures/"&amp;K13&amp;"/2.jpg","https://download.lenovo.com/Images/Parts/"&amp;K13&amp;"/"&amp;K13&amp;"_B.jpg"))</f>
        <v>https://raw.githubusercontent.com/PatrickVibild/TellusAmazonPictures/master/pictures/HP/W. PS/840 G3 SILVER/BL/US/2.jpg</v>
      </c>
      <c r="O10" s="56" t="str">
        <f>IF(ISBLANK(K13),"",IF(L10, "https://raw.githubusercontent.com/PatrickVibild/TellusAmazonPictures/master/pictures/"&amp;K13&amp;"/3.jpg","https://download.lenovo.com/Images/Parts/"&amp;K13&amp;"/"&amp;K13&amp;"_details.jpg"))</f>
        <v>https://raw.githubusercontent.com/PatrickVibild/TellusAmazonPictures/master/pictures/HP/W. PS/840 G3 SILVER/BL/US/3.jpg</v>
      </c>
      <c r="P10" t="str">
        <f>IF(ISBLANK(K13),"",IF(L10, "https://raw.githubusercontent.com/PatrickVibild/TellusAmazonPictures/master/pictures/"&amp;K13&amp;"/4.jpg", ""))</f>
        <v>https://raw.githubusercontent.com/PatrickVibild/TellusAmazonPictures/master/pictures/HP/W. PS/840 G3 SILVER/BL/US/4.jpg</v>
      </c>
      <c r="Q10" t="str">
        <f>IF(ISBLANK(K13),"",IF(L10, "https://raw.githubusercontent.com/PatrickVibild/TellusAmazonPictures/master/pictures/"&amp;K13&amp;"/5.jpg", ""))</f>
        <v>https://raw.githubusercontent.com/PatrickVibild/TellusAmazonPictures/master/pictures/HP/W. PS/840 G3 SILVER/BL/US/5.jpg</v>
      </c>
      <c r="R10" t="str">
        <f>IF(ISBLANK(K13),"",IF(L10, "https://raw.githubusercontent.com/PatrickVibild/TellusAmazonPictures/master/pictures/"&amp;K13&amp;"/6.jpg", ""))</f>
        <v>https://raw.githubusercontent.com/PatrickVibild/TellusAmazonPictures/master/pictures/HP/W. PS/840 G3 SILVER/BL/US/6.jpg</v>
      </c>
      <c r="S10" t="str">
        <f>IF(ISBLANK(K13),"",IF(L10, "https://raw.githubusercontent.com/PatrickVibild/TellusAmazonPictures/master/pictures/"&amp;K13&amp;"/7.jpg", ""))</f>
        <v>https://raw.githubusercontent.com/PatrickVibild/TellusAmazonPictures/master/pictures/HP/W. PS/840 G3 SILVER/BL/US/7.jpg</v>
      </c>
      <c r="T10" t="str">
        <f>IF(ISBLANK(K13),"",IF(L10, "https://raw.githubusercontent.com/PatrickVibild/TellusAmazonPictures/master/pictures/"&amp;K13&amp;"/8.jpg",""))</f>
        <v>https://raw.githubusercontent.com/PatrickVibild/TellusAmazonPictures/master/pictures/HP/W. PS/840 G3 SILVER/BL/US/8.jpg</v>
      </c>
      <c r="U10" t="str">
        <f>IF(ISBLANK(K13),"",IF(L10, "https://raw.githubusercontent.com/PatrickVibild/TellusAmazonPictures/master/pictures/"&amp;K13&amp;"/9.jpg", ""))</f>
        <v>https://raw.githubusercontent.com/PatrickVibild/TellusAmazonPictures/master/pictures/HP/W. PS/840 G3 SILVER/BL/US/9.jpg</v>
      </c>
      <c r="V10" s="57">
        <f>MATCH(G10,options!$D$1:$D$20,0)</f>
        <v>7</v>
      </c>
    </row>
    <row r="11" spans="1:22" ht="14" x14ac:dyDescent="0.15">
      <c r="A11" s="45" t="s">
        <v>384</v>
      </c>
      <c r="B11" s="61">
        <v>150</v>
      </c>
      <c r="C11" s="49"/>
      <c r="D11" s="49"/>
      <c r="E11" s="73"/>
      <c r="F11" s="72"/>
      <c r="G11" s="51"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2" t="b">
        <f>TRUE()</f>
        <v>1</v>
      </c>
      <c r="J11" s="53" t="b">
        <v>1</v>
      </c>
      <c r="K11" s="44"/>
      <c r="L11" s="54" t="b">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15</v>
      </c>
    </row>
    <row r="12" spans="1:22" ht="56" x14ac:dyDescent="0.15">
      <c r="B12" s="60"/>
      <c r="C12" s="49" t="b">
        <f>FALSE()</f>
        <v>0</v>
      </c>
      <c r="D12" s="49" t="b">
        <v>1</v>
      </c>
      <c r="E12" s="44">
        <v>5714401842187</v>
      </c>
      <c r="F12" s="44" t="s">
        <v>683</v>
      </c>
      <c r="G12" s="51"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2" t="b">
        <f>TRUE()</f>
        <v>1</v>
      </c>
      <c r="J12" s="53" t="b">
        <v>1</v>
      </c>
      <c r="K12" s="44" t="s">
        <v>692</v>
      </c>
      <c r="L12" s="54" t="b">
        <v>1</v>
      </c>
      <c r="M12" s="55" t="e">
        <f>IF(ISBLANK(#REF!),"",IF(L12, "https://raw.githubusercontent.com/PatrickVibild/TellusAmazonPictures/master/pictures/"&amp;#REF!&amp;"/1.jpg","https://download.lenovo.com/Images/Parts/"&amp;#REF!&amp;"/"&amp;#REF!&amp;"_A.jpg"))</f>
        <v>#REF!</v>
      </c>
      <c r="N12" s="55" t="e">
        <f>IF(ISBLANK(#REF!),"",IF(L12, "https://raw.githubusercontent.com/PatrickVibild/TellusAmazonPictures/master/pictures/"&amp;#REF!&amp;"/2.jpg","https://download.lenovo.com/Images/Parts/"&amp;#REF!&amp;"/"&amp;#REF!&amp;"_B.jpg"))</f>
        <v>#REF!</v>
      </c>
      <c r="O12" s="56" t="e">
        <f>IF(ISBLANK(#REF!),"",IF(L12, "https://raw.githubusercontent.com/PatrickVibild/TellusAmazonPictures/master/pictures/"&amp;#REF!&amp;"/3.jpg","https://download.lenovo.com/Images/Parts/"&amp;#REF!&amp;"/"&amp;#REF!&amp;"_details.jpg"))</f>
        <v>#REF!</v>
      </c>
      <c r="P12" t="e">
        <f>IF(ISBLANK(#REF!),"",IF(L12, "https://raw.githubusercontent.com/PatrickVibild/TellusAmazonPictures/master/pictures/"&amp;#REF!&amp;"/4.jpg", ""))</f>
        <v>#REF!</v>
      </c>
      <c r="Q12" t="e">
        <f>IF(ISBLANK(#REF!),"",IF(L12, "https://raw.githubusercontent.com/PatrickVibild/TellusAmazonPictures/master/pictures/"&amp;#REF!&amp;"/5.jpg", ""))</f>
        <v>#REF!</v>
      </c>
      <c r="R12" t="e">
        <f>IF(ISBLANK(#REF!),"",IF(L12, "https://raw.githubusercontent.com/PatrickVibild/TellusAmazonPictures/master/pictures/"&amp;#REF!&amp;"/6.jpg", ""))</f>
        <v>#REF!</v>
      </c>
      <c r="S12" t="e">
        <f>IF(ISBLANK(#REF!),"",IF(L12, "https://raw.githubusercontent.com/PatrickVibild/TellusAmazonPictures/master/pictures/"&amp;#REF!&amp;"/7.jpg", ""))</f>
        <v>#REF!</v>
      </c>
      <c r="T12" t="e">
        <f>IF(ISBLANK(#REF!),"",IF(L12, "https://raw.githubusercontent.com/PatrickVibild/TellusAmazonPictures/master/pictures/"&amp;#REF!&amp;"/8.jpg",""))</f>
        <v>#REF!</v>
      </c>
      <c r="U12" t="e">
        <f>IF(ISBLANK(#REF!),"",IF(L12, "https://raw.githubusercontent.com/PatrickVibild/TellusAmazonPictures/master/pictures/"&amp;#REF!&amp;"/9.jpg", ""))</f>
        <v>#REF!</v>
      </c>
      <c r="V12" s="57">
        <f>MATCH(G12,options!$D$1:$D$20,0)</f>
        <v>16</v>
      </c>
    </row>
    <row r="13" spans="1:22" ht="56" x14ac:dyDescent="0.15">
      <c r="A13" s="45" t="s">
        <v>387</v>
      </c>
      <c r="B13" s="44" t="s">
        <v>677</v>
      </c>
      <c r="C13" s="49" t="b">
        <v>1</v>
      </c>
      <c r="D13" s="49" t="b">
        <f>FALSE()</f>
        <v>0</v>
      </c>
      <c r="E13" s="44">
        <v>5714401842200</v>
      </c>
      <c r="F13" s="44" t="s">
        <v>684</v>
      </c>
      <c r="G13" s="51"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2" t="b">
        <f>TRUE()</f>
        <v>1</v>
      </c>
      <c r="J13" s="53" t="b">
        <v>1</v>
      </c>
      <c r="K13" s="44" t="s">
        <v>693</v>
      </c>
      <c r="L13" s="54" t="b">
        <v>1</v>
      </c>
      <c r="M13" s="55" t="e">
        <f>IF(ISBLANK(#REF!),"",IF(L13, "https://raw.githubusercontent.com/PatrickVibild/TellusAmazonPictures/master/pictures/"&amp;#REF!&amp;"/1.jpg","https://download.lenovo.com/Images/Parts/"&amp;#REF!&amp;"/"&amp;#REF!&amp;"_A.jpg"))</f>
        <v>#REF!</v>
      </c>
      <c r="N13" s="55" t="e">
        <f>IF(ISBLANK(#REF!),"",IF(L13, "https://raw.githubusercontent.com/PatrickVibild/TellusAmazonPictures/master/pictures/"&amp;#REF!&amp;"/2.jpg","https://download.lenovo.com/Images/Parts/"&amp;#REF!&amp;"/"&amp;#REF!&amp;"_B.jpg"))</f>
        <v>#REF!</v>
      </c>
      <c r="O13" s="56" t="e">
        <f>IF(ISBLANK(#REF!),"",IF(L13, "https://raw.githubusercontent.com/PatrickVibild/TellusAmazonPictures/master/pictures/"&amp;#REF!&amp;"/3.jpg","https://download.lenovo.com/Images/Parts/"&amp;#REF!&amp;"/"&amp;#REF!&amp;"_details.jpg"))</f>
        <v>#REF!</v>
      </c>
      <c r="P13" t="e">
        <f>IF(ISBLANK(#REF!),"",IF(L13, "https://raw.githubusercontent.com/PatrickVibild/TellusAmazonPictures/master/pictures/"&amp;#REF!&amp;"/4.jpg", ""))</f>
        <v>#REF!</v>
      </c>
      <c r="Q13" t="e">
        <f>IF(ISBLANK(#REF!),"",IF(L13, "https://raw.githubusercontent.com/PatrickVibild/TellusAmazonPictures/master/pictures/"&amp;#REF!&amp;"/5.jpg", ""))</f>
        <v>#REF!</v>
      </c>
      <c r="R13" t="e">
        <f>IF(ISBLANK(#REF!),"",IF(L13, "https://raw.githubusercontent.com/PatrickVibild/TellusAmazonPictures/master/pictures/"&amp;#REF!&amp;"/6.jpg", ""))</f>
        <v>#REF!</v>
      </c>
      <c r="S13" t="e">
        <f>IF(ISBLANK(#REF!),"",IF(L13, "https://raw.githubusercontent.com/PatrickVibild/TellusAmazonPictures/master/pictures/"&amp;#REF!&amp;"/7.jpg", ""))</f>
        <v>#REF!</v>
      </c>
      <c r="T13" t="e">
        <f>IF(ISBLANK(#REF!),"",IF(L13, "https://raw.githubusercontent.com/PatrickVibild/TellusAmazonPictures/master/pictures/"&amp;#REF!&amp;"/8.jpg",""))</f>
        <v>#REF!</v>
      </c>
      <c r="U13" t="e">
        <f>IF(ISBLANK(#REF!),"",IF(L13, "https://raw.githubusercontent.com/PatrickVibild/TellusAmazonPictures/master/pictures/"&amp;#REF!&amp;"/9.jpg", ""))</f>
        <v>#REF!</v>
      </c>
      <c r="V13" s="57">
        <f>MATCH(G13,options!$D$1:$D$20,0)</f>
        <v>18</v>
      </c>
    </row>
    <row r="14" spans="1:22" x14ac:dyDescent="0.15">
      <c r="A14" s="45" t="s">
        <v>389</v>
      </c>
      <c r="B14" s="44">
        <v>5714401842996</v>
      </c>
      <c r="C14" s="49"/>
      <c r="D14" s="49"/>
      <c r="E14" s="50"/>
      <c r="F14" s="50"/>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2" t="b">
        <f>TRUE()</f>
        <v>1</v>
      </c>
      <c r="J14" s="53" t="b">
        <v>0</v>
      </c>
      <c r="K14" s="44"/>
      <c r="L14" s="54" t="b">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x14ac:dyDescent="0.15">
      <c r="B15" s="60"/>
      <c r="C15" s="49"/>
      <c r="D15" s="49"/>
      <c r="E15" s="50"/>
      <c r="F15" s="50"/>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2" t="b">
        <f>TRUE()</f>
        <v>1</v>
      </c>
      <c r="J15" s="53" t="b">
        <v>0</v>
      </c>
      <c r="K15" s="44"/>
      <c r="L15" s="54" t="b">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565</v>
      </c>
      <c r="C16" s="49"/>
      <c r="D16" s="49"/>
      <c r="E16" s="50"/>
      <c r="F16" s="50"/>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2" t="b">
        <f>TRUE()</f>
        <v>1</v>
      </c>
      <c r="J16" s="53" t="b">
        <v>0</v>
      </c>
      <c r="K16" s="44"/>
      <c r="L16" s="54" t="b">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x14ac:dyDescent="0.15">
      <c r="B17" s="60"/>
      <c r="C17" s="49"/>
      <c r="D17" s="49"/>
      <c r="E17" s="50"/>
      <c r="F17" s="50"/>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2" t="b">
        <f>TRUE()</f>
        <v>1</v>
      </c>
      <c r="J17" s="53" t="b">
        <v>0</v>
      </c>
      <c r="K17" s="44"/>
      <c r="L17" s="54" t="b">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x14ac:dyDescent="0.15">
      <c r="A18" s="45" t="s">
        <v>395</v>
      </c>
      <c r="B18" s="61">
        <v>5</v>
      </c>
      <c r="C18" s="49"/>
      <c r="D18" s="49"/>
      <c r="E18" s="50"/>
      <c r="F18" s="50"/>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2" t="b">
        <f>TRUE()</f>
        <v>1</v>
      </c>
      <c r="J18" s="53" t="b">
        <v>0</v>
      </c>
      <c r="K18" s="44"/>
      <c r="L18" s="54" t="b">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x14ac:dyDescent="0.15">
      <c r="B19" s="60"/>
      <c r="C19" s="49"/>
      <c r="D19" s="49"/>
      <c r="E19" s="50"/>
      <c r="F19" s="50"/>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2" t="b">
        <f>TRUE()</f>
        <v>1</v>
      </c>
      <c r="J19" s="53" t="b">
        <v>0</v>
      </c>
      <c r="K19" s="44"/>
      <c r="L19" s="54" t="b">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399</v>
      </c>
      <c r="C20" s="49"/>
      <c r="D20" s="49"/>
      <c r="E20" s="50"/>
      <c r="F20" s="50"/>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2" t="b">
        <f>TRUE()</f>
        <v>1</v>
      </c>
      <c r="J20" s="53" t="b">
        <v>0</v>
      </c>
      <c r="K20" s="44"/>
      <c r="L20" s="54" t="b">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x14ac:dyDescent="0.15">
      <c r="B21" s="60"/>
      <c r="C21" s="49"/>
      <c r="D21" s="49"/>
      <c r="E21" s="50"/>
      <c r="F21" s="50"/>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2" t="b">
        <f>TRUE()</f>
        <v>1</v>
      </c>
      <c r="J21" s="53" t="b">
        <v>0</v>
      </c>
      <c r="K21" s="44"/>
      <c r="L21" s="54" t="b">
        <v>1</v>
      </c>
      <c r="M21" s="55" t="str">
        <f t="shared" si="0"/>
        <v/>
      </c>
      <c r="N21" s="55" t="str">
        <f t="shared" si="1"/>
        <v/>
      </c>
      <c r="O21" s="56" t="str">
        <f t="shared" si="2"/>
        <v/>
      </c>
      <c r="P21" t="str">
        <f t="shared" si="3"/>
        <v/>
      </c>
      <c r="Q21" t="str">
        <f t="shared" si="4"/>
        <v/>
      </c>
      <c r="R21" t="str">
        <f t="shared" si="5"/>
        <v/>
      </c>
      <c r="S21" t="str">
        <f t="shared" si="6"/>
        <v/>
      </c>
      <c r="T21" t="str">
        <f t="shared" si="7"/>
        <v/>
      </c>
      <c r="U21" t="str">
        <f t="shared" si="8"/>
        <v/>
      </c>
      <c r="V21" s="57">
        <f>MATCH(G21,options!$D$1:$D$20,0)</f>
        <v>16</v>
      </c>
    </row>
    <row r="22" spans="1:22" x14ac:dyDescent="0.15">
      <c r="B22" s="60"/>
      <c r="C22" s="49"/>
      <c r="D22" s="49"/>
      <c r="E22" s="50"/>
      <c r="F22" s="50"/>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2" t="b">
        <f>TRUE()</f>
        <v>1</v>
      </c>
      <c r="J22" s="53" t="b">
        <v>0</v>
      </c>
      <c r="K22" s="44"/>
      <c r="L22" s="54" t="b">
        <v>1</v>
      </c>
      <c r="M22" s="55" t="str">
        <f>IF(ISBLANK(K22),"",IF(L22, "https://raw.githubusercontent.com/PatrickVibild/TellusAmazonPictures/master/pictures/"&amp;K22&amp;"/1.jpg","https://download.lenovo.com/Images/Parts/"&amp;K22&amp;"/"&amp;K22&amp;"_A.jpg"))</f>
        <v/>
      </c>
      <c r="N22" s="55" t="str">
        <f>IF(ISBLANK(K22),"",IF(L22, "https://raw.githubusercontent.com/PatrickVibild/TellusAmazonPictures/master/pictures/"&amp;K22&amp;"/2.jpg","https://download.lenovo.com/Images/Parts/"&amp;K22&amp;"/"&amp;K22&amp;"_B.jpg"))</f>
        <v/>
      </c>
      <c r="O22" s="56" t="str">
        <f>IF(ISBLANK(K22),"",IF(L22, "https://raw.githubusercontent.com/PatrickVibild/TellusAmazonPictures/master/pictures/"&amp;K22&amp;"/3.jpg","https://download.lenovo.com/Images/Parts/"&amp;K22&amp;"/"&amp;K22&amp;"_details.jpg"))</f>
        <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57">
        <f>MATCH(G22,options!$D$1:$D$20,0)</f>
        <v>17</v>
      </c>
    </row>
    <row r="23" spans="1:22" ht="43" x14ac:dyDescent="0.2">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9" t="b">
        <v>1</v>
      </c>
      <c r="D23" s="49" t="b">
        <v>0</v>
      </c>
      <c r="E23" s="77">
        <v>5714401843191</v>
      </c>
      <c r="F23" s="72" t="s">
        <v>686</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2" t="b">
        <f>TRUE()</f>
        <v>1</v>
      </c>
      <c r="J23" s="53" t="b">
        <v>0</v>
      </c>
      <c r="K23" s="50" t="s">
        <v>694</v>
      </c>
      <c r="L23" s="54" t="b">
        <v>1</v>
      </c>
      <c r="M23" s="55" t="str">
        <f>IF(ISBLANK(K23),"",IF(L23, "https://raw.githubusercontent.com/PatrickVibild/TellusAmazonPictures/master/pictures/"&amp;K23&amp;"/1.jpg","https://download.lenovo.com/Images/Parts/"&amp;K23&amp;"/"&amp;K23&amp;"_A.jpg"))</f>
        <v>https://raw.githubusercontent.com/PatrickVibild/TellusAmazonPictures/master/pictures/HP/W. PS/840 G3 SILVER/RG/US/1.jpg</v>
      </c>
      <c r="N23" s="55" t="str">
        <f>IF(ISBLANK(K23),"",IF(L23, "https://raw.githubusercontent.com/PatrickVibild/TellusAmazonPictures/master/pictures/"&amp;K23&amp;"/2.jpg","https://download.lenovo.com/Images/Parts/"&amp;K23&amp;"/"&amp;K23&amp;"_B.jpg"))</f>
        <v>https://raw.githubusercontent.com/PatrickVibild/TellusAmazonPictures/master/pictures/HP/W. PS/840 G3 SILVER/RG/US/2.jpg</v>
      </c>
      <c r="O23" s="56" t="str">
        <f>IF(ISBLANK(K23),"",IF(L23, "https://raw.githubusercontent.com/PatrickVibild/TellusAmazonPictures/master/pictures/"&amp;K23&amp;"/3.jpg","https://download.lenovo.com/Images/Parts/"&amp;K23&amp;"/"&amp;K23&amp;"_details.jpg"))</f>
        <v>https://raw.githubusercontent.com/PatrickVibild/TellusAmazonPictures/master/pictures/HP/W. PS/840 G3 SILVER/RG/US/3.jpg</v>
      </c>
      <c r="P23" t="str">
        <f>IF(ISBLANK(K23),"",IF(L23, "https://raw.githubusercontent.com/PatrickVibild/TellusAmazonPictures/master/pictures/"&amp;K23&amp;"/4.jpg", ""))</f>
        <v>https://raw.githubusercontent.com/PatrickVibild/TellusAmazonPictures/master/pictures/HP/W. PS/840 G3 SILVER/RG/US/4.jpg</v>
      </c>
      <c r="Q23" t="str">
        <f>IF(ISBLANK(K23),"",IF(L23, "https://raw.githubusercontent.com/PatrickVibild/TellusAmazonPictures/master/pictures/"&amp;K23&amp;"/5.jpg", ""))</f>
        <v>https://raw.githubusercontent.com/PatrickVibild/TellusAmazonPictures/master/pictures/HP/W. PS/840 G3 SILVER/RG/US/5.jpg</v>
      </c>
      <c r="R23" t="str">
        <f>IF(ISBLANK(K23),"",IF(L23, "https://raw.githubusercontent.com/PatrickVibild/TellusAmazonPictures/master/pictures/"&amp;K23&amp;"/6.jpg", ""))</f>
        <v>https://raw.githubusercontent.com/PatrickVibild/TellusAmazonPictures/master/pictures/HP/W. PS/840 G3 SILVER/RG/US/6.jpg</v>
      </c>
      <c r="S23" t="str">
        <f>IF(ISBLANK(K23),"",IF(L23, "https://raw.githubusercontent.com/PatrickVibild/TellusAmazonPictures/master/pictures/"&amp;K23&amp;"/7.jpg", ""))</f>
        <v>https://raw.githubusercontent.com/PatrickVibild/TellusAmazonPictures/master/pictures/HP/W. PS/840 G3 SILVER/RG/US/7.jpg</v>
      </c>
      <c r="T23" t="str">
        <f>IF(ISBLANK(K23),"",IF(L23, "https://raw.githubusercontent.com/PatrickVibild/TellusAmazonPictures/master/pictures/"&amp;K23&amp;"/8.jpg",""))</f>
        <v>https://raw.githubusercontent.com/PatrickVibild/TellusAmazonPictures/master/pictures/HP/W. PS/840 G3 SILVER/RG/US/8.jpg</v>
      </c>
      <c r="U23" t="str">
        <f>IF(ISBLANK(K23),"",IF(L23, "https://raw.githubusercontent.com/PatrickVibild/TellusAmazonPictures/master/pictures/"&amp;K23&amp;"/9.jpg", ""))</f>
        <v>https://raw.githubusercontent.com/PatrickVibild/TellusAmazonPictures/master/pictures/HP/W. PS/840 G3 SILVER/RG/US/9.jpg</v>
      </c>
      <c r="V23" s="57">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9"/>
      <c r="D24" s="49"/>
      <c r="E24" s="50"/>
      <c r="F24" s="50"/>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2"/>
      <c r="J24" s="53"/>
      <c r="K24" s="50"/>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9"/>
      <c r="D25" s="49"/>
      <c r="E25" s="50"/>
      <c r="F25" s="50"/>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2"/>
      <c r="J25" s="53"/>
      <c r="K25" s="50"/>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9"/>
      <c r="D26" s="49"/>
      <c r="E26" s="50"/>
      <c r="F26" s="50"/>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2"/>
      <c r="J26" s="53"/>
      <c r="K26" s="50"/>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9"/>
      <c r="D27" s="49"/>
      <c r="E27" s="50"/>
      <c r="F27" s="50"/>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2"/>
      <c r="J27" s="53"/>
      <c r="K27" s="50"/>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49"/>
      <c r="D28" s="49"/>
      <c r="E28" s="50"/>
      <c r="F28" s="50"/>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2"/>
      <c r="J28" s="53"/>
      <c r="K28" s="50"/>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9"/>
      <c r="D29" s="49"/>
      <c r="E29" s="50"/>
      <c r="F29" s="50"/>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2"/>
      <c r="J29" s="53"/>
      <c r="K29" s="50"/>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49"/>
      <c r="D30" s="49"/>
      <c r="E30" s="50"/>
      <c r="F30" s="50"/>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2"/>
      <c r="J30" s="53"/>
      <c r="K30" s="50"/>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9"/>
      <c r="D31" s="49"/>
      <c r="E31" s="50"/>
      <c r="F31" s="50"/>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2"/>
      <c r="J31" s="53"/>
      <c r="K31" s="50"/>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49"/>
      <c r="D32" s="49"/>
      <c r="E32" s="50"/>
      <c r="F32" s="50"/>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2"/>
      <c r="J32" s="53"/>
      <c r="K32" s="50"/>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9"/>
      <c r="D33" s="49"/>
      <c r="E33" s="50"/>
      <c r="F33" s="50"/>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2"/>
      <c r="J33" s="53"/>
      <c r="K33" s="50"/>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49"/>
      <c r="D34" s="49"/>
      <c r="E34" s="50"/>
      <c r="F34" s="50"/>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2"/>
      <c r="J34" s="53"/>
      <c r="K34" s="50"/>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49"/>
      <c r="D35" s="49"/>
      <c r="E35" s="50"/>
      <c r="F35" s="50"/>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2"/>
      <c r="J35" s="53"/>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377</v>
      </c>
      <c r="C36" s="49"/>
      <c r="D36" s="49"/>
      <c r="E36" s="50"/>
      <c r="F36" s="50"/>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2"/>
      <c r="J36" s="53"/>
      <c r="K36" s="50"/>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416</v>
      </c>
      <c r="C37" s="49"/>
      <c r="D37" s="49"/>
      <c r="E37" s="50"/>
      <c r="F37" s="50"/>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2"/>
      <c r="J37" s="53"/>
      <c r="K37" s="50"/>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49"/>
      <c r="D38" s="49"/>
      <c r="E38" s="50"/>
      <c r="F38" s="50"/>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2"/>
      <c r="J38" s="53"/>
      <c r="K38" s="50"/>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49"/>
      <c r="D39" s="49"/>
      <c r="E39" s="50"/>
      <c r="F39" s="50"/>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2"/>
      <c r="J39" s="53"/>
      <c r="K39" s="50"/>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49"/>
      <c r="D40" s="49"/>
      <c r="E40" s="50"/>
      <c r="F40" s="50"/>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2"/>
      <c r="J40" s="53"/>
      <c r="K40" s="50"/>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49"/>
      <c r="D41" s="49"/>
      <c r="E41" s="50"/>
      <c r="F41" s="50"/>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2"/>
      <c r="J41" s="53"/>
      <c r="K41" s="50"/>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49"/>
      <c r="D42" s="49"/>
      <c r="E42" s="50"/>
      <c r="F42" s="50"/>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2"/>
      <c r="J42" s="53"/>
      <c r="K42" s="50"/>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49"/>
      <c r="D43" s="49"/>
      <c r="E43" s="50"/>
      <c r="F43" s="50"/>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c r="K43" s="50"/>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1" t="s">
        <v>370</v>
      </c>
      <c r="E1" t="s">
        <v>415</v>
      </c>
      <c r="F1" t="s">
        <v>412</v>
      </c>
      <c r="G1" t="s">
        <v>416</v>
      </c>
    </row>
    <row r="2" spans="1:7" x14ac:dyDescent="0.15">
      <c r="A2" t="s">
        <v>417</v>
      </c>
      <c r="B2" s="49"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566</v>
      </c>
    </row>
    <row r="9" spans="1:7" x14ac:dyDescent="0.15">
      <c r="D9" s="51" t="s">
        <v>388</v>
      </c>
      <c r="E9" t="s">
        <v>426</v>
      </c>
      <c r="F9" t="s">
        <v>567</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644</v>
      </c>
    </row>
    <row r="4" spans="1:2" ht="16" x14ac:dyDescent="0.2">
      <c r="B4" s="68" t="s">
        <v>446</v>
      </c>
    </row>
    <row r="5" spans="1:2" ht="16" x14ac:dyDescent="0.2">
      <c r="B5" s="68" t="s">
        <v>447</v>
      </c>
    </row>
    <row r="6" spans="1:2" ht="16" x14ac:dyDescent="0.2">
      <c r="B6" s="68" t="s">
        <v>448</v>
      </c>
    </row>
    <row r="7" spans="1:2" ht="16" x14ac:dyDescent="0.2">
      <c r="B7" s="6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8"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8" t="s">
        <v>656</v>
      </c>
    </row>
    <row r="4" spans="2:2" ht="16" x14ac:dyDescent="0.2">
      <c r="B4" s="68" t="s">
        <v>521</v>
      </c>
    </row>
    <row r="5" spans="2:2" x14ac:dyDescent="0.15">
      <c r="B5" t="s">
        <v>522</v>
      </c>
    </row>
    <row r="6" spans="2:2" ht="16" x14ac:dyDescent="0.2">
      <c r="B6" s="68" t="s">
        <v>523</v>
      </c>
    </row>
    <row r="7" spans="2:2" ht="16" x14ac:dyDescent="0.2">
      <c r="B7" s="68" t="s">
        <v>657</v>
      </c>
    </row>
    <row r="8" spans="2:2" x14ac:dyDescent="0.15">
      <c r="B8" t="s">
        <v>524</v>
      </c>
    </row>
    <row r="9" spans="2:2" x14ac:dyDescent="0.15">
      <c r="B9" s="69" t="s">
        <v>525</v>
      </c>
    </row>
    <row r="10" spans="2:2" x14ac:dyDescent="0.15">
      <c r="B10" t="s">
        <v>658</v>
      </c>
    </row>
    <row r="11" spans="2:2" x14ac:dyDescent="0.15">
      <c r="B11" t="s">
        <v>659</v>
      </c>
    </row>
    <row r="14" spans="2:2" ht="16" x14ac:dyDescent="0.2">
      <c r="B14" s="6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2022-10-16T10:15:07Z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