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Dell/6400/"/>
    </mc:Choice>
  </mc:AlternateContent>
  <xr:revisionPtr revIDLastSave="0" documentId="13_ncr:1_{EBA84DDD-8E57-294A-98F1-C7CA118EEBAB}" xr6:coauthVersionLast="47" xr6:coauthVersionMax="47" xr10:uidLastSave="{00000000-0000-0000-0000-000000000000}"/>
  <bookViews>
    <workbookView xWindow="0" yWindow="760" windowWidth="34560" windowHeight="203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W104" i="2"/>
  <c r="I104" i="2" s="1"/>
  <c r="P104" i="2"/>
  <c r="O104" i="2"/>
  <c r="N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V43" i="2"/>
  <c r="U43" i="2"/>
  <c r="T43" i="2"/>
  <c r="R43" i="2"/>
  <c r="Q43" i="2"/>
  <c r="O43" i="2"/>
  <c r="N43" i="2"/>
  <c r="M43" i="2"/>
  <c r="S43" i="2" s="1"/>
  <c r="K43" i="2"/>
  <c r="J43" i="2"/>
  <c r="I43" i="2"/>
  <c r="W42" i="2"/>
  <c r="I42" i="2" s="1"/>
  <c r="V42" i="2"/>
  <c r="U42" i="2"/>
  <c r="S42" i="2"/>
  <c r="R42" i="2"/>
  <c r="Q42" i="2"/>
  <c r="P42" i="2"/>
  <c r="O42" i="2"/>
  <c r="N42" i="2"/>
  <c r="M42" i="2"/>
  <c r="T42" i="2" s="1"/>
  <c r="K42" i="2"/>
  <c r="J42" i="2"/>
  <c r="W41" i="2"/>
  <c r="T41" i="2"/>
  <c r="R41" i="2"/>
  <c r="M41" i="2"/>
  <c r="Q41" i="2" s="1"/>
  <c r="K41" i="2"/>
  <c r="J41" i="2"/>
  <c r="I41" i="2"/>
  <c r="W40" i="2"/>
  <c r="V40" i="2"/>
  <c r="T40" i="2"/>
  <c r="Q40" i="2"/>
  <c r="P40" i="2"/>
  <c r="N40" i="2"/>
  <c r="M40" i="2"/>
  <c r="U40" i="2" s="1"/>
  <c r="K40" i="2"/>
  <c r="J40" i="2"/>
  <c r="I40" i="2"/>
  <c r="W39" i="2"/>
  <c r="U39" i="2"/>
  <c r="T39" i="2"/>
  <c r="R39" i="2"/>
  <c r="P39" i="2"/>
  <c r="N39" i="2"/>
  <c r="M39" i="2"/>
  <c r="O39" i="2" s="1"/>
  <c r="K39" i="2"/>
  <c r="J39" i="2"/>
  <c r="I39" i="2"/>
  <c r="W38" i="2"/>
  <c r="V38" i="2"/>
  <c r="U38" i="2"/>
  <c r="T38" i="2"/>
  <c r="R38" i="2"/>
  <c r="Q38" i="2"/>
  <c r="O38" i="2"/>
  <c r="N38" i="2"/>
  <c r="M38" i="2"/>
  <c r="S38" i="2" s="1"/>
  <c r="K38" i="2"/>
  <c r="J38" i="2"/>
  <c r="I38" i="2"/>
  <c r="W37" i="2"/>
  <c r="I37" i="2" s="1"/>
  <c r="V37" i="2"/>
  <c r="U37" i="2"/>
  <c r="T37" i="2"/>
  <c r="S37" i="2"/>
  <c r="R37" i="2"/>
  <c r="Q37" i="2"/>
  <c r="P37" i="2"/>
  <c r="O37" i="2"/>
  <c r="N37" i="2"/>
  <c r="M37" i="2"/>
  <c r="K37" i="2"/>
  <c r="J37" i="2"/>
  <c r="W36" i="2"/>
  <c r="V36" i="2"/>
  <c r="T36" i="2"/>
  <c r="R36" i="2"/>
  <c r="P36" i="2"/>
  <c r="M36" i="2"/>
  <c r="Q36" i="2" s="1"/>
  <c r="K36" i="2"/>
  <c r="J36" i="2"/>
  <c r="I36" i="2"/>
  <c r="W35" i="2"/>
  <c r="V35" i="2"/>
  <c r="T35" i="2"/>
  <c r="Q35" i="2"/>
  <c r="P35" i="2"/>
  <c r="N35" i="2"/>
  <c r="M35" i="2"/>
  <c r="U35" i="2" s="1"/>
  <c r="K35" i="2"/>
  <c r="J35" i="2"/>
  <c r="I35" i="2"/>
  <c r="W34" i="2"/>
  <c r="U34" i="2"/>
  <c r="T34" i="2"/>
  <c r="R34" i="2"/>
  <c r="P34" i="2"/>
  <c r="N34" i="2"/>
  <c r="M34" i="2"/>
  <c r="O34" i="2" s="1"/>
  <c r="K34" i="2"/>
  <c r="J34" i="2"/>
  <c r="I34" i="2"/>
  <c r="W33" i="2"/>
  <c r="V33" i="2"/>
  <c r="U33" i="2"/>
  <c r="T33" i="2"/>
  <c r="R33" i="2"/>
  <c r="Q33" i="2"/>
  <c r="O33" i="2"/>
  <c r="N33" i="2"/>
  <c r="M33" i="2"/>
  <c r="S33" i="2" s="1"/>
  <c r="K33" i="2"/>
  <c r="J33" i="2"/>
  <c r="I33" i="2"/>
  <c r="B33" i="2"/>
  <c r="W32" i="2"/>
  <c r="I32" i="2" s="1"/>
  <c r="S32" i="2"/>
  <c r="Q32" i="2"/>
  <c r="O32" i="2"/>
  <c r="M32" i="2"/>
  <c r="N32" i="2" s="1"/>
  <c r="K32" i="2"/>
  <c r="J32" i="2"/>
  <c r="W31" i="2"/>
  <c r="I31" i="2" s="1"/>
  <c r="S31" i="2"/>
  <c r="M31" i="2"/>
  <c r="R31" i="2" s="1"/>
  <c r="K31" i="2"/>
  <c r="J31" i="2"/>
  <c r="B31" i="2"/>
  <c r="W30" i="2"/>
  <c r="I30" i="2" s="1"/>
  <c r="V30" i="2"/>
  <c r="U30" i="2"/>
  <c r="S30" i="2"/>
  <c r="R30" i="2"/>
  <c r="Q30" i="2"/>
  <c r="P30" i="2"/>
  <c r="O30" i="2"/>
  <c r="N30" i="2"/>
  <c r="M30" i="2"/>
  <c r="T30" i="2" s="1"/>
  <c r="K30" i="2"/>
  <c r="J30" i="2"/>
  <c r="W29" i="2"/>
  <c r="V29" i="2"/>
  <c r="T29" i="2"/>
  <c r="R29" i="2"/>
  <c r="P29" i="2"/>
  <c r="M29" i="2"/>
  <c r="Q29" i="2" s="1"/>
  <c r="K29" i="2"/>
  <c r="J29" i="2"/>
  <c r="I29" i="2"/>
  <c r="B29" i="2"/>
  <c r="W28" i="2"/>
  <c r="I28" i="2" s="1"/>
  <c r="M28" i="2"/>
  <c r="V28" i="2" s="1"/>
  <c r="K28" i="2"/>
  <c r="J28" i="2"/>
  <c r="W27" i="2"/>
  <c r="V27" i="2"/>
  <c r="U27" i="2"/>
  <c r="T27" i="2"/>
  <c r="S27" i="2"/>
  <c r="R27" i="2"/>
  <c r="Q27" i="2"/>
  <c r="P27" i="2"/>
  <c r="O27" i="2"/>
  <c r="N27" i="2"/>
  <c r="M27" i="2"/>
  <c r="K27" i="2"/>
  <c r="J27" i="2"/>
  <c r="I27" i="2"/>
  <c r="B27" i="2"/>
  <c r="W26" i="2"/>
  <c r="V26" i="2"/>
  <c r="T26" i="2"/>
  <c r="Q26" i="2"/>
  <c r="P26" i="2"/>
  <c r="O26" i="2"/>
  <c r="N26" i="2"/>
  <c r="M26" i="2"/>
  <c r="U26" i="2" s="1"/>
  <c r="K26" i="2"/>
  <c r="J26" i="2"/>
  <c r="I26" i="2"/>
  <c r="B26" i="2"/>
  <c r="W25" i="2"/>
  <c r="V25" i="2"/>
  <c r="U25" i="2"/>
  <c r="T25" i="2"/>
  <c r="S25" i="2"/>
  <c r="R25" i="2"/>
  <c r="Q25" i="2"/>
  <c r="P25" i="2"/>
  <c r="O25" i="2"/>
  <c r="N25" i="2"/>
  <c r="M25" i="2"/>
  <c r="K25" i="2"/>
  <c r="J25" i="2"/>
  <c r="I25" i="2"/>
  <c r="B25" i="2"/>
  <c r="W24" i="2"/>
  <c r="V24" i="2"/>
  <c r="T24" i="2"/>
  <c r="S24" i="2"/>
  <c r="Q24" i="2"/>
  <c r="P24" i="2"/>
  <c r="O24" i="2"/>
  <c r="N24" i="2"/>
  <c r="M24" i="2"/>
  <c r="U24" i="2" s="1"/>
  <c r="K24" i="2"/>
  <c r="J24" i="2"/>
  <c r="I24" i="2"/>
  <c r="B24" i="2"/>
  <c r="W23" i="2"/>
  <c r="V23" i="2"/>
  <c r="U23" i="2"/>
  <c r="T23" i="2"/>
  <c r="S23" i="2"/>
  <c r="R23" i="2"/>
  <c r="Q23" i="2"/>
  <c r="P23" i="2"/>
  <c r="O23" i="2"/>
  <c r="N23" i="2"/>
  <c r="M23" i="2"/>
  <c r="K23" i="2"/>
  <c r="J23" i="2"/>
  <c r="I23" i="2"/>
  <c r="B23" i="2"/>
  <c r="W22" i="2"/>
  <c r="V22" i="2"/>
  <c r="T22" i="2"/>
  <c r="S22" i="2"/>
  <c r="Q22" i="2"/>
  <c r="P22" i="2"/>
  <c r="O22" i="2"/>
  <c r="N22" i="2"/>
  <c r="M22" i="2"/>
  <c r="U22" i="2" s="1"/>
  <c r="T23" i="1" s="1"/>
  <c r="K22" i="2"/>
  <c r="J22" i="2"/>
  <c r="I22" i="2"/>
  <c r="D22" i="2"/>
  <c r="C22" i="2"/>
  <c r="W21" i="2"/>
  <c r="V21" i="2"/>
  <c r="U21" i="2"/>
  <c r="T21" i="2"/>
  <c r="R21" i="2"/>
  <c r="P21" i="2"/>
  <c r="M21" i="2"/>
  <c r="Q21" i="2" s="1"/>
  <c r="P22" i="1" s="1"/>
  <c r="K21" i="2"/>
  <c r="J21" i="2"/>
  <c r="I21" i="2"/>
  <c r="D21" i="2"/>
  <c r="C21" i="2"/>
  <c r="W20" i="2"/>
  <c r="I20" i="2" s="1"/>
  <c r="V20" i="2"/>
  <c r="U20" i="2"/>
  <c r="S20" i="2"/>
  <c r="R20" i="2"/>
  <c r="Q20" i="2"/>
  <c r="P20" i="2"/>
  <c r="O20" i="2"/>
  <c r="N20" i="2"/>
  <c r="M20" i="2"/>
  <c r="T20" i="2" s="1"/>
  <c r="S21" i="1" s="1"/>
  <c r="K20" i="2"/>
  <c r="J20" i="2"/>
  <c r="D20" i="2"/>
  <c r="C20" i="2"/>
  <c r="W19" i="2"/>
  <c r="V19" i="2"/>
  <c r="T19" i="2"/>
  <c r="R19" i="2"/>
  <c r="N19" i="2"/>
  <c r="M19" i="2"/>
  <c r="S19" i="2" s="1"/>
  <c r="R20" i="1" s="1"/>
  <c r="K19" i="2"/>
  <c r="J19" i="2"/>
  <c r="I19" i="2"/>
  <c r="D19" i="2"/>
  <c r="C19" i="2"/>
  <c r="W18" i="2"/>
  <c r="U18" i="2"/>
  <c r="T18" i="2"/>
  <c r="S18" i="2"/>
  <c r="R18" i="2"/>
  <c r="P18" i="2"/>
  <c r="N18" i="2"/>
  <c r="M18" i="2"/>
  <c r="O18" i="2" s="1"/>
  <c r="N19" i="1" s="1"/>
  <c r="K18" i="2"/>
  <c r="J18" i="2"/>
  <c r="I18" i="2"/>
  <c r="D18" i="2"/>
  <c r="C18" i="2"/>
  <c r="W17" i="2"/>
  <c r="V17" i="2"/>
  <c r="T17" i="2"/>
  <c r="S17" i="2"/>
  <c r="Q17" i="2"/>
  <c r="P17" i="2"/>
  <c r="O17" i="2"/>
  <c r="N17" i="2"/>
  <c r="M17" i="2"/>
  <c r="U17" i="2" s="1"/>
  <c r="T18" i="1" s="1"/>
  <c r="K17" i="2"/>
  <c r="J17" i="2"/>
  <c r="I17" i="2"/>
  <c r="D17" i="2"/>
  <c r="C17" i="2"/>
  <c r="W16" i="2"/>
  <c r="V16" i="2"/>
  <c r="U16" i="2"/>
  <c r="T16" i="2"/>
  <c r="R16" i="2"/>
  <c r="P16" i="2"/>
  <c r="M16" i="2"/>
  <c r="Q16" i="2" s="1"/>
  <c r="P17" i="1" s="1"/>
  <c r="K16" i="2"/>
  <c r="J16" i="2"/>
  <c r="I16" i="2"/>
  <c r="D16" i="2"/>
  <c r="C16" i="2"/>
  <c r="W15" i="2"/>
  <c r="I15" i="2" s="1"/>
  <c r="V15" i="2"/>
  <c r="U15" i="2"/>
  <c r="S15" i="2"/>
  <c r="R15" i="2"/>
  <c r="Q15" i="2"/>
  <c r="P15" i="2"/>
  <c r="O15" i="2"/>
  <c r="N15" i="2"/>
  <c r="M15" i="2"/>
  <c r="T15" i="2" s="1"/>
  <c r="S16" i="1" s="1"/>
  <c r="K15" i="2"/>
  <c r="J15" i="2"/>
  <c r="D15" i="2"/>
  <c r="C15" i="2"/>
  <c r="W14" i="2"/>
  <c r="V14" i="2"/>
  <c r="T14" i="2"/>
  <c r="R14" i="2"/>
  <c r="N14" i="2"/>
  <c r="M14" i="2"/>
  <c r="S14" i="2" s="1"/>
  <c r="R15" i="1" s="1"/>
  <c r="K14" i="2"/>
  <c r="J14" i="2"/>
  <c r="I14" i="2"/>
  <c r="D14" i="2"/>
  <c r="C14" i="2"/>
  <c r="W13" i="2"/>
  <c r="U13" i="2"/>
  <c r="T13" i="2"/>
  <c r="S13" i="2"/>
  <c r="R13" i="2"/>
  <c r="P13" i="2"/>
  <c r="N13" i="2"/>
  <c r="M13" i="2"/>
  <c r="O13" i="2" s="1"/>
  <c r="K13" i="2"/>
  <c r="J13" i="2"/>
  <c r="I13" i="2"/>
  <c r="W12" i="2"/>
  <c r="V12" i="2"/>
  <c r="T12" i="2"/>
  <c r="R12" i="2"/>
  <c r="N12" i="2"/>
  <c r="M12" i="2"/>
  <c r="S12" i="2" s="1"/>
  <c r="K12" i="2"/>
  <c r="J12" i="2"/>
  <c r="I12" i="2"/>
  <c r="W11" i="2"/>
  <c r="I11" i="2" s="1"/>
  <c r="V11" i="2"/>
  <c r="U11" i="2"/>
  <c r="S11" i="2"/>
  <c r="R11" i="2"/>
  <c r="Q11" i="2"/>
  <c r="P11" i="2"/>
  <c r="O11" i="2"/>
  <c r="N11" i="2"/>
  <c r="M11" i="2"/>
  <c r="T11" i="2" s="1"/>
  <c r="K11" i="2"/>
  <c r="J11" i="2"/>
  <c r="W10" i="2"/>
  <c r="V10" i="2"/>
  <c r="U10" i="2"/>
  <c r="T10" i="2"/>
  <c r="R10" i="2"/>
  <c r="P10" i="2"/>
  <c r="M10" i="2"/>
  <c r="Q10" i="2" s="1"/>
  <c r="K10" i="2"/>
  <c r="J10" i="2"/>
  <c r="I10" i="2"/>
  <c r="W9" i="2"/>
  <c r="V9" i="2"/>
  <c r="T9" i="2"/>
  <c r="S9" i="2"/>
  <c r="Q9" i="2"/>
  <c r="P9" i="2"/>
  <c r="O9" i="2"/>
  <c r="N9" i="2"/>
  <c r="M9" i="2"/>
  <c r="U9" i="2" s="1"/>
  <c r="K9" i="2"/>
  <c r="J9" i="2"/>
  <c r="I9" i="2"/>
  <c r="B9" i="2"/>
  <c r="W8" i="2"/>
  <c r="V8" i="2"/>
  <c r="U8" i="2"/>
  <c r="T8" i="2"/>
  <c r="S8" i="2"/>
  <c r="R8" i="2"/>
  <c r="Q8" i="2"/>
  <c r="P8" i="2"/>
  <c r="O8" i="2"/>
  <c r="N8" i="2"/>
  <c r="M8" i="2"/>
  <c r="K8" i="2"/>
  <c r="J8" i="2"/>
  <c r="I8" i="2"/>
  <c r="B8" i="2"/>
  <c r="W7" i="2"/>
  <c r="V7" i="2"/>
  <c r="T7" i="2"/>
  <c r="S7" i="2"/>
  <c r="Q7" i="2"/>
  <c r="P7" i="2"/>
  <c r="O7" i="2"/>
  <c r="N7" i="2"/>
  <c r="M7" i="2"/>
  <c r="U7" i="2" s="1"/>
  <c r="K7" i="2"/>
  <c r="J7" i="2"/>
  <c r="I7" i="2"/>
  <c r="B7" i="2"/>
  <c r="W6" i="2"/>
  <c r="V6" i="2"/>
  <c r="U6" i="2"/>
  <c r="T6" i="2"/>
  <c r="S6" i="2"/>
  <c r="R6" i="2"/>
  <c r="Q6" i="2"/>
  <c r="P6" i="2"/>
  <c r="O6" i="2"/>
  <c r="N6" i="2"/>
  <c r="M6" i="2"/>
  <c r="K6" i="2"/>
  <c r="J6" i="2"/>
  <c r="I6" i="2"/>
  <c r="W5" i="2"/>
  <c r="I5" i="2" s="1"/>
  <c r="M5" i="2"/>
  <c r="U5" i="2" s="1"/>
  <c r="K5" i="2"/>
  <c r="J5" i="2"/>
  <c r="W4" i="2"/>
  <c r="I4" i="2" s="1"/>
  <c r="S4" i="2"/>
  <c r="Q4" i="2"/>
  <c r="O4" i="2"/>
  <c r="M4" i="2"/>
  <c r="N4" i="2" s="1"/>
  <c r="K4" i="2"/>
  <c r="J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S23" i="1"/>
  <c r="R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Q22" i="1"/>
  <c r="O22" i="1"/>
  <c r="L22" i="1"/>
  <c r="K22" i="1"/>
  <c r="J22" i="1"/>
  <c r="I22" i="1"/>
  <c r="H22" i="1"/>
  <c r="G22" i="1"/>
  <c r="F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Q21" i="1"/>
  <c r="CP21" i="1"/>
  <c r="CO21" i="1"/>
  <c r="L21" i="1" s="1"/>
  <c r="CL21" i="1"/>
  <c r="CK21" i="1"/>
  <c r="CJ21" i="1"/>
  <c r="CI21" i="1"/>
  <c r="CH21" i="1"/>
  <c r="CG21" i="1"/>
  <c r="BH21" i="1"/>
  <c r="BG21" i="1"/>
  <c r="BF21" i="1"/>
  <c r="BE21" i="1"/>
  <c r="AV21" i="1"/>
  <c r="AM21" i="1"/>
  <c r="AK21" i="1"/>
  <c r="AJ21" i="1"/>
  <c r="AI21" i="1"/>
  <c r="AB21" i="1"/>
  <c r="AA21" i="1"/>
  <c r="Z21" i="1"/>
  <c r="Y21" i="1"/>
  <c r="X21" i="1"/>
  <c r="W21" i="1"/>
  <c r="U21" i="1"/>
  <c r="T21" i="1"/>
  <c r="R21" i="1"/>
  <c r="Q21" i="1"/>
  <c r="P21" i="1"/>
  <c r="O21" i="1"/>
  <c r="N21" i="1"/>
  <c r="M21" i="1"/>
  <c r="K21" i="1"/>
  <c r="J21" i="1"/>
  <c r="I21" i="1"/>
  <c r="H21" i="1"/>
  <c r="G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R20" i="1"/>
  <c r="CQ20" i="1"/>
  <c r="CP20" i="1"/>
  <c r="CO20" i="1"/>
  <c r="L20" i="1" s="1"/>
  <c r="CL20" i="1"/>
  <c r="CK20" i="1"/>
  <c r="CJ20" i="1"/>
  <c r="CI20" i="1"/>
  <c r="CH20" i="1"/>
  <c r="CG20" i="1"/>
  <c r="BH20" i="1"/>
  <c r="BG20" i="1"/>
  <c r="BF20" i="1"/>
  <c r="BE20" i="1"/>
  <c r="AV20" i="1"/>
  <c r="AT20" i="1"/>
  <c r="AM20" i="1"/>
  <c r="AL20" i="1"/>
  <c r="AK20" i="1"/>
  <c r="AJ20" i="1"/>
  <c r="AI20" i="1"/>
  <c r="AB20" i="1"/>
  <c r="AA20" i="1"/>
  <c r="Z20" i="1"/>
  <c r="Y20" i="1"/>
  <c r="X20" i="1"/>
  <c r="W20" i="1"/>
  <c r="U20" i="1"/>
  <c r="S20" i="1"/>
  <c r="Q20" i="1"/>
  <c r="M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T19" i="1"/>
  <c r="S19" i="1"/>
  <c r="R19" i="1"/>
  <c r="Q19" i="1"/>
  <c r="O19" i="1"/>
  <c r="M19" i="1"/>
  <c r="L19" i="1"/>
  <c r="K19" i="1"/>
  <c r="J19" i="1"/>
  <c r="I19" i="1"/>
  <c r="H19" i="1"/>
  <c r="G19" i="1"/>
  <c r="F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Q18" i="1"/>
  <c r="CP18" i="1"/>
  <c r="CO18" i="1"/>
  <c r="FE18" i="1" s="1"/>
  <c r="CL18" i="1"/>
  <c r="CK18" i="1"/>
  <c r="CJ18" i="1"/>
  <c r="CI18" i="1"/>
  <c r="CH18" i="1"/>
  <c r="CG18" i="1"/>
  <c r="BH18" i="1"/>
  <c r="BG18" i="1"/>
  <c r="BF18" i="1"/>
  <c r="BE18" i="1"/>
  <c r="AV18" i="1"/>
  <c r="AT18" i="1"/>
  <c r="AM18" i="1"/>
  <c r="AL18" i="1"/>
  <c r="AK18" i="1"/>
  <c r="AJ18" i="1"/>
  <c r="AI18" i="1"/>
  <c r="AB18" i="1"/>
  <c r="AA18" i="1"/>
  <c r="Z18" i="1"/>
  <c r="Y18" i="1"/>
  <c r="X18" i="1"/>
  <c r="W18" i="1"/>
  <c r="U18" i="1"/>
  <c r="S18" i="1"/>
  <c r="R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Q17" i="1"/>
  <c r="CP17" i="1"/>
  <c r="CO17" i="1"/>
  <c r="L17" i="1" s="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Q17" i="1"/>
  <c r="O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M16" i="1"/>
  <c r="AK16" i="1"/>
  <c r="AJ16" i="1"/>
  <c r="AI16" i="1"/>
  <c r="AB16" i="1"/>
  <c r="AA16" i="1"/>
  <c r="Z16" i="1"/>
  <c r="Y16" i="1"/>
  <c r="X16" i="1"/>
  <c r="W16" i="1"/>
  <c r="U16" i="1"/>
  <c r="T16" i="1"/>
  <c r="R16" i="1"/>
  <c r="Q16" i="1"/>
  <c r="P16" i="1"/>
  <c r="O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S15" i="1"/>
  <c r="Q15" i="1"/>
  <c r="M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N13" i="1"/>
  <c r="M13" i="1"/>
  <c r="L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EI12" i="1"/>
  <c r="DY12" i="1"/>
  <c r="DP12" i="1"/>
  <c r="DO12" i="1"/>
  <c r="DA12" i="1"/>
  <c r="CZ12" i="1"/>
  <c r="CV12" i="1"/>
  <c r="CU12" i="1"/>
  <c r="CT12" i="1"/>
  <c r="CS12" i="1"/>
  <c r="CR12" i="1"/>
  <c r="CQ12" i="1"/>
  <c r="CP12" i="1"/>
  <c r="CO12" i="1"/>
  <c r="CL12" i="1"/>
  <c r="CK12" i="1"/>
  <c r="CJ12" i="1"/>
  <c r="CI12" i="1"/>
  <c r="CH12" i="1"/>
  <c r="CG12" i="1"/>
  <c r="BH12" i="1"/>
  <c r="BG12" i="1"/>
  <c r="BF12" i="1"/>
  <c r="BE12" i="1"/>
  <c r="AV12" i="1"/>
  <c r="AT12" i="1"/>
  <c r="AM12" i="1"/>
  <c r="AL12" i="1"/>
  <c r="AK12" i="1"/>
  <c r="AJ12" i="1"/>
  <c r="AI12" i="1"/>
  <c r="AB12" i="1"/>
  <c r="AA12" i="1"/>
  <c r="Z12" i="1"/>
  <c r="Y12" i="1"/>
  <c r="X12" i="1"/>
  <c r="W12" i="1"/>
  <c r="U12" i="1"/>
  <c r="T12" i="1"/>
  <c r="S12" i="1"/>
  <c r="R12" i="1"/>
  <c r="Q12" i="1"/>
  <c r="P12" i="1"/>
  <c r="O12" i="1"/>
  <c r="N12" i="1"/>
  <c r="M12" i="1"/>
  <c r="L12" i="1"/>
  <c r="K12" i="1"/>
  <c r="J12" i="1"/>
  <c r="I12" i="1"/>
  <c r="H12" i="1"/>
  <c r="G12" i="1"/>
  <c r="F12" i="1"/>
  <c r="E12" i="1"/>
  <c r="D12" i="1"/>
  <c r="C12" i="1"/>
  <c r="B12" i="1"/>
  <c r="A12" i="1"/>
  <c r="FV11" i="1"/>
  <c r="FU11" i="1"/>
  <c r="FT11" i="1"/>
  <c r="FS11" i="1"/>
  <c r="FR11" i="1"/>
  <c r="FQ11" i="1"/>
  <c r="FP11" i="1"/>
  <c r="FO11" i="1"/>
  <c r="FM11" i="1"/>
  <c r="FJ11" i="1"/>
  <c r="FI11" i="1"/>
  <c r="FH11" i="1"/>
  <c r="FE11" i="1"/>
  <c r="EV11" i="1"/>
  <c r="ES11" i="1"/>
  <c r="EI11" i="1"/>
  <c r="DY11" i="1"/>
  <c r="DP11" i="1"/>
  <c r="DO11" i="1"/>
  <c r="DA11" i="1"/>
  <c r="CZ11" i="1"/>
  <c r="CV11" i="1"/>
  <c r="CU11" i="1"/>
  <c r="CT11" i="1"/>
  <c r="CS11" i="1"/>
  <c r="CR11" i="1"/>
  <c r="CQ11" i="1"/>
  <c r="CP11" i="1"/>
  <c r="CO11" i="1"/>
  <c r="CL11" i="1"/>
  <c r="CK11" i="1"/>
  <c r="CJ11" i="1"/>
  <c r="CI11" i="1"/>
  <c r="CH11" i="1"/>
  <c r="CG11" i="1"/>
  <c r="BH11" i="1"/>
  <c r="BG11" i="1"/>
  <c r="BF11" i="1"/>
  <c r="BE11" i="1"/>
  <c r="AV11" i="1"/>
  <c r="AT11" i="1"/>
  <c r="AM11" i="1"/>
  <c r="AL11" i="1"/>
  <c r="AK11" i="1"/>
  <c r="AJ11" i="1"/>
  <c r="AI11" i="1"/>
  <c r="AB11" i="1"/>
  <c r="AA11" i="1"/>
  <c r="Z11" i="1"/>
  <c r="Y11" i="1"/>
  <c r="X11" i="1"/>
  <c r="W11" i="1"/>
  <c r="U11" i="1"/>
  <c r="T11" i="1"/>
  <c r="S11" i="1"/>
  <c r="R11" i="1"/>
  <c r="Q11" i="1"/>
  <c r="P11" i="1"/>
  <c r="O11" i="1"/>
  <c r="N11" i="1"/>
  <c r="M11" i="1"/>
  <c r="L11" i="1"/>
  <c r="K11" i="1"/>
  <c r="J11" i="1"/>
  <c r="I11" i="1"/>
  <c r="H11" i="1"/>
  <c r="G11" i="1"/>
  <c r="F11" i="1"/>
  <c r="E11" i="1"/>
  <c r="D11" i="1"/>
  <c r="C11" i="1"/>
  <c r="B11" i="1"/>
  <c r="A11" i="1"/>
  <c r="FV10" i="1"/>
  <c r="FU10" i="1"/>
  <c r="FT10" i="1"/>
  <c r="FS10" i="1"/>
  <c r="FR10" i="1"/>
  <c r="FQ10" i="1"/>
  <c r="FP10" i="1"/>
  <c r="FO10" i="1"/>
  <c r="FM10" i="1"/>
  <c r="FJ10" i="1"/>
  <c r="FI10" i="1"/>
  <c r="FH10" i="1"/>
  <c r="FE10" i="1"/>
  <c r="EV10" i="1"/>
  <c r="ES10" i="1"/>
  <c r="EI10" i="1"/>
  <c r="DY10" i="1"/>
  <c r="DP10" i="1"/>
  <c r="DO10" i="1"/>
  <c r="DA10" i="1"/>
  <c r="CZ10" i="1"/>
  <c r="CV10" i="1"/>
  <c r="CU10" i="1"/>
  <c r="CT10" i="1"/>
  <c r="CS10" i="1"/>
  <c r="CR10" i="1"/>
  <c r="CQ10" i="1"/>
  <c r="CP10" i="1"/>
  <c r="CO10" i="1"/>
  <c r="CL10" i="1"/>
  <c r="CK10" i="1"/>
  <c r="CJ10" i="1"/>
  <c r="CI10" i="1"/>
  <c r="CH10" i="1"/>
  <c r="CG10" i="1"/>
  <c r="BH10" i="1"/>
  <c r="BG10" i="1"/>
  <c r="BF10" i="1"/>
  <c r="BE10" i="1"/>
  <c r="AV10" i="1"/>
  <c r="AT10" i="1"/>
  <c r="AM10" i="1"/>
  <c r="AL10" i="1"/>
  <c r="AK10" i="1"/>
  <c r="AJ10" i="1"/>
  <c r="AI10" i="1"/>
  <c r="AB10" i="1"/>
  <c r="AA10" i="1"/>
  <c r="Z10" i="1"/>
  <c r="Y10" i="1"/>
  <c r="X10" i="1"/>
  <c r="W10" i="1"/>
  <c r="U10" i="1"/>
  <c r="T10" i="1"/>
  <c r="S10" i="1"/>
  <c r="R10" i="1"/>
  <c r="Q10" i="1"/>
  <c r="P10" i="1"/>
  <c r="O10" i="1"/>
  <c r="N10" i="1"/>
  <c r="M10" i="1"/>
  <c r="L10" i="1"/>
  <c r="K10" i="1"/>
  <c r="J10" i="1"/>
  <c r="I10" i="1"/>
  <c r="H10" i="1"/>
  <c r="G10" i="1"/>
  <c r="F10" i="1"/>
  <c r="E10" i="1"/>
  <c r="D10" i="1"/>
  <c r="C10" i="1"/>
  <c r="B10" i="1"/>
  <c r="A10" i="1"/>
  <c r="FV9" i="1"/>
  <c r="FU9" i="1"/>
  <c r="FT9" i="1"/>
  <c r="FS9" i="1"/>
  <c r="FR9" i="1"/>
  <c r="FQ9" i="1"/>
  <c r="FP9" i="1"/>
  <c r="FO9" i="1"/>
  <c r="FM9" i="1"/>
  <c r="FJ9" i="1"/>
  <c r="FI9" i="1"/>
  <c r="FH9" i="1"/>
  <c r="FE9" i="1"/>
  <c r="EV9" i="1"/>
  <c r="ES9" i="1"/>
  <c r="EI9" i="1"/>
  <c r="DY9" i="1"/>
  <c r="DP9" i="1"/>
  <c r="DO9" i="1"/>
  <c r="DA9" i="1"/>
  <c r="CZ9" i="1"/>
  <c r="CV9" i="1"/>
  <c r="CU9" i="1"/>
  <c r="CT9" i="1"/>
  <c r="CS9" i="1"/>
  <c r="CR9" i="1"/>
  <c r="CQ9" i="1"/>
  <c r="CP9" i="1"/>
  <c r="CO9" i="1"/>
  <c r="CL9" i="1"/>
  <c r="CK9" i="1"/>
  <c r="CJ9" i="1"/>
  <c r="CI9" i="1"/>
  <c r="CH9" i="1"/>
  <c r="CG9" i="1"/>
  <c r="BH9" i="1"/>
  <c r="BG9" i="1"/>
  <c r="BF9" i="1"/>
  <c r="BE9" i="1"/>
  <c r="AV9" i="1"/>
  <c r="AT9" i="1"/>
  <c r="AM9" i="1"/>
  <c r="AL9" i="1"/>
  <c r="AK9" i="1"/>
  <c r="AJ9" i="1"/>
  <c r="AI9" i="1"/>
  <c r="AB9" i="1"/>
  <c r="AA9" i="1"/>
  <c r="Z9" i="1"/>
  <c r="Y9" i="1"/>
  <c r="X9" i="1"/>
  <c r="W9" i="1"/>
  <c r="U9" i="1"/>
  <c r="T9" i="1"/>
  <c r="S9" i="1"/>
  <c r="R9" i="1"/>
  <c r="Q9" i="1"/>
  <c r="P9" i="1"/>
  <c r="O9" i="1"/>
  <c r="N9" i="1"/>
  <c r="M9" i="1"/>
  <c r="L9" i="1"/>
  <c r="K9" i="1"/>
  <c r="J9" i="1"/>
  <c r="I9" i="1"/>
  <c r="H9" i="1"/>
  <c r="G9" i="1"/>
  <c r="F9" i="1"/>
  <c r="E9" i="1"/>
  <c r="D9" i="1"/>
  <c r="C9" i="1"/>
  <c r="B9" i="1"/>
  <c r="A9" i="1"/>
  <c r="FV8" i="1"/>
  <c r="FU8" i="1"/>
  <c r="FT8" i="1"/>
  <c r="FS8" i="1"/>
  <c r="FR8" i="1"/>
  <c r="FQ8" i="1"/>
  <c r="FP8" i="1"/>
  <c r="FO8" i="1"/>
  <c r="FM8" i="1"/>
  <c r="FJ8" i="1"/>
  <c r="FI8" i="1"/>
  <c r="FH8" i="1"/>
  <c r="FE8" i="1"/>
  <c r="EV8" i="1"/>
  <c r="ES8" i="1"/>
  <c r="EI8" i="1"/>
  <c r="DY8" i="1"/>
  <c r="DP8" i="1"/>
  <c r="DO8" i="1"/>
  <c r="DA8" i="1"/>
  <c r="CZ8" i="1"/>
  <c r="CV8" i="1"/>
  <c r="CU8" i="1"/>
  <c r="CT8" i="1"/>
  <c r="CS8" i="1"/>
  <c r="CR8" i="1"/>
  <c r="CQ8" i="1"/>
  <c r="CP8" i="1"/>
  <c r="CO8" i="1"/>
  <c r="CL8" i="1"/>
  <c r="CK8" i="1"/>
  <c r="CJ8" i="1"/>
  <c r="CI8" i="1"/>
  <c r="CH8" i="1"/>
  <c r="CG8" i="1"/>
  <c r="BH8" i="1"/>
  <c r="BG8" i="1"/>
  <c r="BF8" i="1"/>
  <c r="BE8" i="1"/>
  <c r="AV8" i="1"/>
  <c r="AT8" i="1"/>
  <c r="AM8" i="1"/>
  <c r="AL8" i="1"/>
  <c r="AK8" i="1"/>
  <c r="AJ8" i="1"/>
  <c r="AI8" i="1"/>
  <c r="AB8" i="1"/>
  <c r="AA8" i="1"/>
  <c r="Z8" i="1"/>
  <c r="Y8" i="1"/>
  <c r="X8" i="1"/>
  <c r="W8" i="1"/>
  <c r="U8" i="1"/>
  <c r="T8" i="1"/>
  <c r="S8" i="1"/>
  <c r="R8" i="1"/>
  <c r="Q8" i="1"/>
  <c r="P8" i="1"/>
  <c r="O8" i="1"/>
  <c r="N8" i="1"/>
  <c r="M8" i="1"/>
  <c r="L8" i="1"/>
  <c r="K8" i="1"/>
  <c r="J8" i="1"/>
  <c r="I8" i="1"/>
  <c r="H8" i="1"/>
  <c r="G8" i="1"/>
  <c r="F8" i="1"/>
  <c r="E8" i="1"/>
  <c r="D8" i="1"/>
  <c r="C8" i="1"/>
  <c r="B8" i="1"/>
  <c r="A8" i="1"/>
  <c r="FV7" i="1"/>
  <c r="FU7" i="1"/>
  <c r="FT7" i="1"/>
  <c r="FS7" i="1"/>
  <c r="FR7" i="1"/>
  <c r="FQ7" i="1"/>
  <c r="FP7" i="1"/>
  <c r="FO7" i="1"/>
  <c r="FM7" i="1"/>
  <c r="FJ7" i="1"/>
  <c r="FI7" i="1"/>
  <c r="FH7" i="1"/>
  <c r="FE7" i="1"/>
  <c r="EV7" i="1"/>
  <c r="ES7" i="1"/>
  <c r="EI7" i="1"/>
  <c r="DY7" i="1"/>
  <c r="DP7" i="1"/>
  <c r="DO7" i="1"/>
  <c r="DA7" i="1"/>
  <c r="CZ7" i="1"/>
  <c r="CV7" i="1"/>
  <c r="CU7" i="1"/>
  <c r="CT7" i="1"/>
  <c r="CS7" i="1"/>
  <c r="CR7" i="1"/>
  <c r="CQ7" i="1"/>
  <c r="CP7" i="1"/>
  <c r="CO7" i="1"/>
  <c r="CL7" i="1"/>
  <c r="CK7" i="1"/>
  <c r="CJ7" i="1"/>
  <c r="CI7" i="1"/>
  <c r="CH7" i="1"/>
  <c r="CG7" i="1"/>
  <c r="BH7" i="1"/>
  <c r="BG7" i="1"/>
  <c r="BF7" i="1"/>
  <c r="BE7" i="1"/>
  <c r="AV7" i="1"/>
  <c r="AT7" i="1"/>
  <c r="AM7" i="1"/>
  <c r="AL7" i="1"/>
  <c r="AK7" i="1"/>
  <c r="AJ7" i="1"/>
  <c r="AI7" i="1"/>
  <c r="AB7" i="1"/>
  <c r="AA7" i="1"/>
  <c r="Z7" i="1"/>
  <c r="Y7" i="1"/>
  <c r="X7" i="1"/>
  <c r="W7" i="1"/>
  <c r="U7" i="1"/>
  <c r="T7" i="1"/>
  <c r="S7" i="1"/>
  <c r="R7" i="1"/>
  <c r="Q7" i="1"/>
  <c r="P7" i="1"/>
  <c r="O7" i="1"/>
  <c r="N7" i="1"/>
  <c r="M7" i="1"/>
  <c r="L7" i="1"/>
  <c r="K7" i="1"/>
  <c r="J7" i="1"/>
  <c r="I7" i="1"/>
  <c r="H7" i="1"/>
  <c r="G7" i="1"/>
  <c r="F7" i="1"/>
  <c r="E7" i="1"/>
  <c r="D7" i="1"/>
  <c r="C7" i="1"/>
  <c r="B7" i="1"/>
  <c r="A7" i="1"/>
  <c r="FV6" i="1"/>
  <c r="FU6" i="1"/>
  <c r="FT6" i="1"/>
  <c r="FS6" i="1"/>
  <c r="FR6" i="1"/>
  <c r="FQ6" i="1"/>
  <c r="FP6" i="1"/>
  <c r="FO6" i="1"/>
  <c r="FM6" i="1"/>
  <c r="FJ6" i="1"/>
  <c r="FI6" i="1"/>
  <c r="FH6" i="1"/>
  <c r="FE6" i="1"/>
  <c r="EV6" i="1"/>
  <c r="ES6" i="1"/>
  <c r="EI6" i="1"/>
  <c r="DY6" i="1"/>
  <c r="DP6" i="1"/>
  <c r="DO6" i="1"/>
  <c r="DA6" i="1"/>
  <c r="CZ6" i="1"/>
  <c r="CV6" i="1"/>
  <c r="CU6" i="1"/>
  <c r="CT6" i="1"/>
  <c r="CS6" i="1"/>
  <c r="CR6" i="1"/>
  <c r="CQ6" i="1"/>
  <c r="CP6" i="1"/>
  <c r="CO6" i="1"/>
  <c r="CL6" i="1"/>
  <c r="CK6" i="1"/>
  <c r="CJ6" i="1"/>
  <c r="CI6" i="1"/>
  <c r="CH6" i="1"/>
  <c r="CG6" i="1"/>
  <c r="BH6" i="1"/>
  <c r="BG6" i="1"/>
  <c r="BF6" i="1"/>
  <c r="BE6" i="1"/>
  <c r="AV6" i="1"/>
  <c r="AT6" i="1"/>
  <c r="AM6" i="1"/>
  <c r="AL6" i="1"/>
  <c r="AK6" i="1"/>
  <c r="AJ6" i="1"/>
  <c r="AI6" i="1"/>
  <c r="AB6" i="1"/>
  <c r="AA6" i="1"/>
  <c r="Z6" i="1"/>
  <c r="Y6" i="1"/>
  <c r="X6" i="1"/>
  <c r="W6" i="1"/>
  <c r="U6" i="1"/>
  <c r="T6" i="1"/>
  <c r="S6" i="1"/>
  <c r="R6" i="1"/>
  <c r="Q6" i="1"/>
  <c r="P6" i="1"/>
  <c r="O6" i="1"/>
  <c r="N6" i="1"/>
  <c r="M6" i="1"/>
  <c r="L6" i="1"/>
  <c r="K6" i="1"/>
  <c r="J6" i="1"/>
  <c r="I6" i="1"/>
  <c r="H6" i="1"/>
  <c r="G6" i="1"/>
  <c r="F6" i="1"/>
  <c r="E6" i="1"/>
  <c r="D6" i="1"/>
  <c r="C6" i="1"/>
  <c r="B6" i="1"/>
  <c r="A6" i="1"/>
  <c r="FV5" i="1"/>
  <c r="FU5" i="1"/>
  <c r="FT5" i="1"/>
  <c r="FS5" i="1"/>
  <c r="FR5" i="1"/>
  <c r="FQ5" i="1"/>
  <c r="FP5" i="1"/>
  <c r="FO5" i="1"/>
  <c r="FM5" i="1"/>
  <c r="FJ5" i="1"/>
  <c r="FI5" i="1"/>
  <c r="FH5" i="1"/>
  <c r="FE5" i="1"/>
  <c r="EV5" i="1"/>
  <c r="ES5" i="1"/>
  <c r="EI5" i="1"/>
  <c r="DY5" i="1"/>
  <c r="DP5" i="1"/>
  <c r="DO5" i="1"/>
  <c r="DA5" i="1"/>
  <c r="CZ5" i="1"/>
  <c r="CV5" i="1"/>
  <c r="CU5" i="1"/>
  <c r="CT5" i="1"/>
  <c r="CS5" i="1"/>
  <c r="CR5" i="1"/>
  <c r="CQ5" i="1"/>
  <c r="CP5" i="1"/>
  <c r="CO5" i="1"/>
  <c r="CL5" i="1"/>
  <c r="CK5" i="1"/>
  <c r="CJ5" i="1"/>
  <c r="CI5" i="1"/>
  <c r="CH5" i="1"/>
  <c r="CG5" i="1"/>
  <c r="BH5" i="1"/>
  <c r="BG5" i="1"/>
  <c r="BF5" i="1"/>
  <c r="BE5" i="1"/>
  <c r="AV5" i="1"/>
  <c r="AT5" i="1"/>
  <c r="AM5" i="1"/>
  <c r="AL5" i="1"/>
  <c r="AK5" i="1"/>
  <c r="AJ5" i="1"/>
  <c r="AI5" i="1"/>
  <c r="AB5" i="1"/>
  <c r="AA5" i="1"/>
  <c r="Z5" i="1"/>
  <c r="Y5" i="1"/>
  <c r="X5" i="1"/>
  <c r="W5" i="1"/>
  <c r="U5" i="1"/>
  <c r="T5" i="1"/>
  <c r="S5" i="1"/>
  <c r="R5" i="1"/>
  <c r="Q5" i="1"/>
  <c r="P5" i="1"/>
  <c r="O5" i="1"/>
  <c r="N5" i="1"/>
  <c r="M5" i="1"/>
  <c r="L5" i="1"/>
  <c r="K5" i="1"/>
  <c r="J5" i="1"/>
  <c r="I5" i="1"/>
  <c r="H5" i="1"/>
  <c r="G5" i="1"/>
  <c r="F5" i="1"/>
  <c r="E5" i="1"/>
  <c r="D5" i="1"/>
  <c r="C5" i="1"/>
  <c r="B5" i="1"/>
  <c r="A5" i="1"/>
  <c r="AA4" i="1"/>
  <c r="J4" i="1"/>
  <c r="I4" i="1"/>
  <c r="H4" i="1"/>
  <c r="F4" i="1"/>
  <c r="D4" i="1"/>
  <c r="B4" i="1"/>
  <c r="A4" i="1"/>
  <c r="AL16" i="1" l="1"/>
  <c r="F16" i="1"/>
  <c r="AT16" i="1"/>
  <c r="AT21" i="1"/>
  <c r="AL21" i="1"/>
  <c r="F21" i="1"/>
  <c r="P4" i="2"/>
  <c r="V5" i="2"/>
  <c r="S10" i="2"/>
  <c r="U12" i="2"/>
  <c r="Q13" i="2"/>
  <c r="U14" i="2"/>
  <c r="T15" i="1" s="1"/>
  <c r="S16" i="2"/>
  <c r="R17" i="1" s="1"/>
  <c r="Q18" i="2"/>
  <c r="P19" i="1" s="1"/>
  <c r="U19" i="2"/>
  <c r="T20" i="1" s="1"/>
  <c r="S21" i="2"/>
  <c r="R22" i="1" s="1"/>
  <c r="N28" i="2"/>
  <c r="S29" i="2"/>
  <c r="T31" i="2"/>
  <c r="P32" i="2"/>
  <c r="Q34" i="2"/>
  <c r="S36" i="2"/>
  <c r="Q39" i="2"/>
  <c r="S41" i="2"/>
  <c r="O28" i="2"/>
  <c r="U31" i="2"/>
  <c r="R4" i="2"/>
  <c r="N5" i="2"/>
  <c r="P28" i="2"/>
  <c r="U29" i="2"/>
  <c r="V31" i="2"/>
  <c r="R32" i="2"/>
  <c r="S34" i="2"/>
  <c r="O35" i="2"/>
  <c r="U36" i="2"/>
  <c r="S39" i="2"/>
  <c r="O40" i="2"/>
  <c r="U41" i="2"/>
  <c r="FE20" i="1"/>
  <c r="O5" i="2"/>
  <c r="Q28" i="2"/>
  <c r="V41" i="2"/>
  <c r="FE17" i="1"/>
  <c r="T4" i="2"/>
  <c r="P5" i="2"/>
  <c r="O12" i="2"/>
  <c r="O14" i="2"/>
  <c r="N15" i="1" s="1"/>
  <c r="O19" i="2"/>
  <c r="N20" i="1" s="1"/>
  <c r="R28" i="2"/>
  <c r="N31" i="2"/>
  <c r="T32" i="2"/>
  <c r="U4" i="2"/>
  <c r="Q5" i="2"/>
  <c r="R7" i="2"/>
  <c r="R9" i="2"/>
  <c r="N10" i="2"/>
  <c r="P12" i="2"/>
  <c r="V13" i="2"/>
  <c r="P14" i="2"/>
  <c r="O15" i="1" s="1"/>
  <c r="N16" i="2"/>
  <c r="M17" i="1" s="1"/>
  <c r="R17" i="2"/>
  <c r="Q18" i="1" s="1"/>
  <c r="V18" i="2"/>
  <c r="U19" i="1" s="1"/>
  <c r="P19" i="2"/>
  <c r="O20" i="1" s="1"/>
  <c r="N21" i="2"/>
  <c r="M22" i="1" s="1"/>
  <c r="R22" i="2"/>
  <c r="Q23" i="1" s="1"/>
  <c r="R24" i="2"/>
  <c r="R26" i="2"/>
  <c r="S28" i="2"/>
  <c r="N29" i="2"/>
  <c r="O31" i="2"/>
  <c r="U32" i="2"/>
  <c r="P33" i="2"/>
  <c r="V34" i="2"/>
  <c r="R35" i="2"/>
  <c r="N36" i="2"/>
  <c r="P38" i="2"/>
  <c r="V39" i="2"/>
  <c r="R40" i="2"/>
  <c r="N41" i="2"/>
  <c r="P43" i="2"/>
  <c r="FE21" i="1"/>
  <c r="V4" i="2"/>
  <c r="R5" i="2"/>
  <c r="O10" i="2"/>
  <c r="Q12" i="2"/>
  <c r="Q14" i="2"/>
  <c r="P15" i="1" s="1"/>
  <c r="O16" i="2"/>
  <c r="N17" i="1" s="1"/>
  <c r="Q19" i="2"/>
  <c r="P20" i="1" s="1"/>
  <c r="O21" i="2"/>
  <c r="N22" i="1" s="1"/>
  <c r="S26" i="2"/>
  <c r="T28" i="2"/>
  <c r="O29" i="2"/>
  <c r="P31" i="2"/>
  <c r="V32" i="2"/>
  <c r="S35" i="2"/>
  <c r="O36" i="2"/>
  <c r="S40" i="2"/>
  <c r="O41" i="2"/>
  <c r="S5" i="2"/>
  <c r="U28" i="2"/>
  <c r="Q31" i="2"/>
  <c r="P41" i="2"/>
  <c r="T5" i="2"/>
</calcChain>
</file>

<file path=xl/sharedStrings.xml><?xml version="1.0" encoding="utf-8"?>
<sst xmlns="http://schemas.openxmlformats.org/spreadsheetml/2006/main" count="793" uniqueCount="630">
  <si>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</si>
  <si>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</si>
  <si>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</si>
  <si>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</si>
  <si>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</si>
  <si>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</si>
  <si>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</si>
  <si>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</si>
  <si>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</si>
  <si>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</si>
  <si>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</si>
  <si>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</si>
  <si>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</si>
  <si>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</si>
  <si>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</si>
  <si>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</si>
  <si>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</si>
  <si>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</si>
  <si>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</si>
  <si>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</si>
  <si>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</si>
  <si>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</si>
  <si>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</si>
  <si>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</si>
  <si>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</si>
  <si>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</si>
  <si>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</si>
  <si>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</si>
  <si>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</si>
  <si>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</si>
  <si>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</si>
  <si>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</si>
  <si>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</si>
  <si>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</si>
  <si>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</si>
  <si>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</si>
  <si>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</si>
  <si>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</si>
  <si>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</si>
  <si>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</si>
  <si>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</si>
  <si>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</si>
  <si>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</si>
  <si>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</si>
  <si>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</si>
  <si>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</si>
  <si>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</si>
  <si>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</si>
  <si>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</si>
  <si>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</si>
  <si>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</si>
  <si>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</si>
  <si>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</si>
  <si>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</si>
  <si>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</si>
  <si>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</si>
  <si>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</si>
  <si>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</si>
  <si>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</si>
  <si>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</si>
  <si>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</si>
  <si>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</si>
  <si>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</si>
  <si>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</si>
  <si>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</si>
  <si>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</si>
  <si>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</si>
  <si>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</si>
  <si>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</si>
  <si>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</si>
  <si>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</si>
  <si>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</si>
  <si>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</si>
  <si>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</si>
  <si>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</si>
  <si>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</si>
  <si>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</si>
  <si>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</si>
  <si>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</si>
  <si>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</si>
  <si>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</si>
  <si>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</si>
  <si>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</si>
  <si>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</si>
  <si>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</si>
  <si>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</si>
  <si>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</si>
  <si>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</si>
  <si>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</si>
  <si>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</si>
  <si>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</si>
  <si>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</si>
  <si>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</si>
  <si>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</si>
  <si>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</si>
  <si>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</si>
  <si>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</si>
  <si>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</si>
  <si>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</si>
  <si>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</si>
  <si>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</si>
  <si>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</si>
  <si>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</si>
  <si>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</si>
  <si>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</si>
  <si>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</si>
  <si>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</si>
  <si>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</si>
  <si>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</si>
  <si>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</si>
  <si>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</si>
  <si>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</si>
  <si>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</si>
  <si>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</si>
  <si>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</si>
  <si>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</si>
  <si>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</si>
  <si>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</si>
  <si>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</si>
  <si>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</si>
  <si>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</si>
  <si>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</si>
  <si>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</si>
  <si>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</si>
  <si>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</si>
  <si>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</si>
  <si>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</si>
  <si>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</si>
  <si>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</si>
  <si>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</si>
  <si>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</si>
  <si>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</si>
  <si>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</si>
  <si>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</si>
  <si>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</si>
  <si>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</si>
  <si>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</si>
  <si>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</si>
  <si>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</si>
  <si>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</si>
  <si>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</si>
  <si>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</si>
  <si>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</si>
  <si>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</si>
  <si>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</si>
  <si>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</si>
  <si>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</si>
  <si>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</si>
  <si>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</si>
  <si>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</si>
  <si>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</si>
  <si>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</si>
  <si>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</si>
  <si>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</si>
  <si>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</si>
  <si>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</si>
  <si>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</si>
  <si>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</si>
  <si>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</si>
  <si>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</si>
  <si>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</si>
  <si>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</si>
  <si>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</si>
  <si>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</si>
  <si>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</si>
  <si>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</si>
  <si>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</si>
  <si>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</si>
  <si>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</si>
  <si>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</si>
  <si>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</si>
  <si>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</si>
  <si>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</si>
  <si>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</si>
  <si>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</si>
  <si>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</si>
  <si>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</si>
  <si>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</si>
  <si>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</si>
  <si>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</si>
  <si>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</si>
  <si>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</si>
  <si>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</si>
  <si>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</si>
  <si>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</si>
  <si>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</si>
  <si>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</si>
  <si>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</si>
  <si>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</si>
  <si>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</si>
  <si>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</si>
  <si>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</si>
  <si>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</si>
  <si>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</si>
  <si>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</si>
  <si>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</si>
  <si>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</si>
  <si>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</si>
  <si>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</si>
  <si>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</si>
  <si>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</si>
  <si>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</si>
  <si>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</si>
  <si>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</si>
  <si>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</si>
  <si>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</si>
  <si>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</si>
  <si>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</si>
  <si>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</si>
  <si>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</si>
  <si>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</si>
  <si>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</si>
  <si>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</si>
  <si>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</si>
  <si>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</si>
  <si>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</si>
  <si>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</si>
  <si>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</si>
  <si>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</si>
  <si>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</si>
  <si>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</si>
  <si>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</si>
  <si>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</si>
  <si>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</si>
  <si>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</si>
  <si>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</si>
  <si>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</si>
  <si>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</si>
  <si>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</si>
  <si>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</si>
  <si>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</si>
  <si>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</si>
  <si>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</si>
  <si>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</si>
  <si>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</si>
  <si>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</si>
  <si>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</si>
  <si>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</si>
  <si>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</si>
  <si>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</si>
  <si>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</si>
  <si>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</si>
  <si>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</si>
  <si>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</si>
  <si>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</si>
  <si>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</si>
  <si>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</si>
  <si>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</si>
  <si>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</si>
  <si>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</si>
  <si>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</si>
  <si>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</si>
  <si>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</si>
  <si>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</si>
  <si>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</si>
  <si>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</si>
  <si>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</si>
  <si>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</si>
  <si>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</si>
  <si>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</si>
  <si>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</si>
  <si>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</si>
  <si>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</si>
  <si>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</si>
  <si>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</si>
  <si>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</si>
  <si>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</si>
  <si>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</si>
  <si>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</si>
  <si>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</si>
  <si>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</si>
  <si>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</si>
  <si>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</si>
  <si>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</si>
  <si>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</si>
  <si>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</si>
  <si>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</si>
  <si>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</si>
  <si>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</si>
  <si>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</si>
  <si>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</si>
  <si>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</si>
  <si>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</si>
  <si>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</si>
  <si>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</si>
  <si>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</si>
  <si>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</si>
  <si>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</si>
  <si>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</si>
  <si>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</si>
  <si>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</si>
  <si>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</si>
  <si>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</si>
  <si>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</si>
  <si>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</si>
  <si>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</si>
  <si>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</si>
  <si>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</si>
  <si>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</si>
  <si>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</si>
  <si>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</si>
  <si>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</si>
  <si>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</si>
  <si>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</si>
  <si>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</si>
  <si>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</si>
  <si>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</si>
  <si>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</si>
  <si>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</si>
  <si>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</si>
  <si>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</si>
  <si>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</si>
  <si>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</si>
  <si>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</si>
  <si>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</si>
  <si>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</si>
  <si>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</si>
  <si>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</si>
  <si>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</si>
  <si>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</si>
  <si>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</si>
  <si>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</si>
  <si>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</si>
  <si>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</si>
  <si>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</si>
  <si>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</si>
  <si>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</si>
  <si>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</si>
  <si>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</si>
  <si>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</si>
  <si>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</si>
  <si>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</si>
  <si>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</si>
  <si>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</si>
  <si>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</si>
  <si>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</si>
  <si>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</si>
  <si>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</si>
  <si>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</si>
  <si>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</si>
  <si>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</si>
  <si>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</si>
  <si>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</si>
  <si>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</si>
  <si>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</si>
  <si>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</si>
  <si>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</si>
  <si>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</si>
  <si>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</si>
  <si>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</si>
  <si>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</si>
  <si>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</si>
  <si>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</si>
  <si>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</si>
  <si>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</si>
  <si>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Latitude E6400, Latitude E6410, Latitude E6500, Latitude E6510</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</si>
  <si>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</si>
  <si>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</si>
  <si>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</si>
  <si>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</si>
  <si>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</si>
  <si>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</si>
  <si>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</si>
  <si>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</si>
  <si>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</si>
  <si>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</si>
  <si>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</si>
  <si>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</si>
  <si>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</si>
  <si>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</si>
  <si>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</si>
  <si>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</si>
  <si>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German</t>
  </si>
  <si>
    <t>DELL/E6400/BL/DE</t>
  </si>
  <si>
    <t>Price – NON-Backlit</t>
  </si>
  <si>
    <t>French</t>
  </si>
  <si>
    <t>DELL/E6400/BL/FR</t>
  </si>
  <si>
    <t>Packing size</t>
  </si>
  <si>
    <t>Big</t>
  </si>
  <si>
    <t>Italian</t>
  </si>
  <si>
    <t>DELL/E6400/BL/IT</t>
  </si>
  <si>
    <t>Package height (CM)</t>
  </si>
  <si>
    <t>Spanish</t>
  </si>
  <si>
    <t>DELL/E6400/BL/ES</t>
  </si>
  <si>
    <t>Package width (CM)</t>
  </si>
  <si>
    <t>UK</t>
  </si>
  <si>
    <t>DELL/E6400/BL/UK</t>
  </si>
  <si>
    <t>Package length (CM)</t>
  </si>
  <si>
    <t>Scandinavian – Nordic</t>
  </si>
  <si>
    <t>DELL/E6400/BL/NOR</t>
  </si>
  <si>
    <t>Origin of Product</t>
  </si>
  <si>
    <t>Belgian</t>
  </si>
  <si>
    <t>DELL/E6400/BL/BE</t>
  </si>
  <si>
    <t>Package weight (GR)</t>
  </si>
  <si>
    <t>Swiss</t>
  </si>
  <si>
    <t>DELL/E6400/BL/CH</t>
  </si>
  <si>
    <t>US International</t>
  </si>
  <si>
    <t>DELL/E6400/BL/USI</t>
  </si>
  <si>
    <t>Parent sku</t>
  </si>
  <si>
    <t>Dell E6400</t>
  </si>
  <si>
    <t>US</t>
  </si>
  <si>
    <t>DELL/E6400/BL/US</t>
  </si>
  <si>
    <t>Parent EAN</t>
  </si>
  <si>
    <t>Dell e6400 - Reg DE</t>
  </si>
  <si>
    <t>DELL/E6400/RG/DE</t>
  </si>
  <si>
    <t>Dell e6400 - Reg FR</t>
  </si>
  <si>
    <t>Item_type</t>
  </si>
  <si>
    <t>laptop-computer-replacement-parts</t>
  </si>
  <si>
    <t>Dell e6400 - Reg IT</t>
  </si>
  <si>
    <t>Dell e6400 - Reg ES</t>
  </si>
  <si>
    <t>Default quantity</t>
  </si>
  <si>
    <t>Dell e6400 - Reg NOR</t>
  </si>
  <si>
    <t>Format</t>
  </si>
  <si>
    <t>PartialUpdate</t>
  </si>
  <si>
    <t>Dell e6400 - Reg CH</t>
  </si>
  <si>
    <t>Dell e6400 - Reg BE</t>
  </si>
  <si>
    <t>Dell e6400 - Reg US</t>
  </si>
  <si>
    <t>Bullet Point 1:</t>
  </si>
  <si>
    <t>Bullet Point 2:</t>
  </si>
  <si>
    <t>Bullet Point 5:</t>
  </si>
  <si>
    <t>Bullet Point 4:</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</si>
  <si>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</si>
  <si>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</si>
  <si>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</si>
  <si>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</si>
  <si>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</si>
  <si>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</si>
  <si>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</si>
  <si>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</si>
  <si>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</si>
  <si>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</si>
  <si>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</si>
  <si>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</si>
  <si>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</si>
  <si>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</si>
  <si>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</si>
  <si>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</si>
  <si>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</si>
  <si>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English</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</si>
  <si>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</si>
  <si>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</si>
  <si>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</si>
  <si>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</si>
  <si>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</si>
  <si>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</si>
  <si>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</si>
  <si>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</si>
  <si>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</si>
  <si>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</si>
  <si>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</si>
  <si>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</si>
  <si>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</si>
  <si>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</si>
  <si>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</si>
  <si>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</si>
  <si>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</si>
  <si>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t>
  </si>
  <si>
    <t>Delete</t>
  </si>
  <si>
    <t>🇮🇹</t>
  </si>
  <si>
    <t>🇪🇸</t>
  </si>
  <si>
    <t>🇬🇧</t>
  </si>
  <si>
    <t>🇸🇪 🇫🇮 🇳🇴 🇩🇰</t>
  </si>
  <si>
    <t>🇧🇪</t>
  </si>
  <si>
    <t>🇧🇬</t>
  </si>
  <si>
    <t>🇩🇰</t>
  </si>
  <si>
    <t>🇳🇱</t>
  </si>
  <si>
    <t>🇳🇴</t>
  </si>
  <si>
    <t>🇵🇱</t>
  </si>
  <si>
    <t>🇵🇹</t>
  </si>
  <si>
    <t>🇸🇪 🇫🇮</t>
  </si>
  <si>
    <t>🇨🇭</t>
  </si>
  <si>
    <t>🇺🇸 with € symbol</t>
  </si>
  <si>
    <t>🇷🇺</t>
  </si>
  <si>
    <t>🇺🇸</t>
  </si>
  <si>
    <t>🇭🇺</t>
  </si>
  <si>
    <t>🇨🇿</t>
  </si>
  <si>
    <t>👉 REFURBISHED:  SAVE MONEY -  Replacement Dell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</si>
  <si>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</si>
  <si>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</si>
  <si>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</si>
  <si>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</si>
  <si>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</si>
  <si>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</si>
  <si>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</si>
  <si>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</si>
  <si>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</si>
  <si>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</si>
  <si>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</si>
  <si>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</si>
  <si>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</si>
  <si>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</si>
  <si>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</si>
  <si>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</si>
  <si>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</si>
  <si>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</si>
  <si>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</si>
  <si>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</si>
  <si>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</si>
  <si>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</si>
  <si>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</si>
  <si>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</si>
  <si>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</si>
  <si>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</si>
  <si>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</si>
  <si>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</si>
  <si>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</si>
  <si>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</si>
  <si>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</si>
  <si>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</si>
  <si>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</si>
  <si>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</si>
  <si>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</si>
  <si>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</si>
  <si>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</si>
  <si>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</si>
  <si>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</si>
  <si>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</si>
  <si>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</si>
  <si>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Dell,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</si>
  <si>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</si>
  <si>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</si>
  <si>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</si>
  <si>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Dell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</si>
  <si>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</si>
  <si>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</si>
  <si>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</si>
  <si>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</si>
  <si>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</si>
  <si>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</si>
  <si>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</si>
  <si>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</si>
  <si>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</si>
  <si>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</si>
  <si>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</si>
  <si>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</si>
  <si>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</si>
  <si>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</si>
  <si>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</si>
  <si>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</si>
  <si>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</si>
  <si>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</si>
  <si>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</si>
  <si>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</si>
  <si>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</si>
  <si>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</si>
  <si>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</si>
  <si>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</si>
  <si>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</si>
  <si>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</si>
  <si>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</si>
  <si>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</si>
  <si>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</si>
  <si>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</si>
  <si>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</si>
  <si>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</si>
  <si>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</si>
  <si>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</si>
  <si>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</si>
  <si>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</si>
  <si>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</si>
  <si>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</si>
  <si>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</si>
  <si>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</si>
  <si>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</si>
  <si>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</si>
  <si>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</si>
  <si>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</si>
  <si>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</si>
  <si>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</si>
  <si>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</si>
  <si>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</si>
  <si>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</si>
  <si>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</si>
  <si>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</si>
  <si>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</si>
  <si>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</si>
  <si>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</si>
  <si>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</si>
  <si>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</si>
  <si>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</si>
  <si>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</si>
  <si>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</si>
  <si>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</si>
  <si>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</si>
  <si>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</si>
  <si>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</si>
  <si>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</si>
  <si>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</si>
  <si>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</si>
  <si>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</si>
  <si>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</si>
  <si>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</si>
  <si>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</si>
  <si>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</si>
  <si>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</si>
  <si>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</si>
  <si>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</si>
  <si>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</si>
  <si>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</si>
  <si>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</si>
  <si>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</si>
  <si>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</si>
  <si>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</si>
  <si>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</si>
  <si>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</si>
  <si>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</si>
  <si>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</si>
  <si>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</si>
  <si>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</si>
  <si>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</si>
  <si>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</si>
  <si>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</si>
  <si>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</si>
  <si>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</si>
  <si>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</si>
  <si>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</si>
  <si>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</si>
  <si>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</si>
  <si>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</si>
  <si>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</si>
  <si>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</si>
  <si>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</si>
  <si>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</si>
  <si>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</si>
  <si>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</si>
  <si>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</si>
  <si>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</si>
  <si>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Dell e6400 - Reg UK II</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</si>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</sst>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0" fontId="0" fillId="0" borderId="0" xfId="0" applyAlignment="1">
      <alignment horizontal="right" wrapText="1"/>
    </xf>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6"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9">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Dell/640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943330EC" TargetMode="External"/><Relationship Id="rId1" Type="http://schemas.openxmlformats.org/officeDocument/2006/relationships/externalLinkPath" Target="file:///943330EC/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H1" zoomScaleNormal="100" workbookViewId="0">
      <selection activeCell="J13" sqref="J13"/>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628</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629</v>
      </c>
    </row>
    <row r="4" spans="1:193" ht="17" x14ac:dyDescent="0.2">
      <c r="A4" s="2" t="str">
        <f>IF(ISBLANK(Values!F3),"",IF(Values!$B$37="EU","computercomponent","computer"))</f>
        <v>computercomponent</v>
      </c>
      <c r="B4" s="28" t="str">
        <f>Values!B13</f>
        <v>Dell E6400</v>
      </c>
      <c r="C4" s="28" t="s">
        <v>345</v>
      </c>
      <c r="D4" s="29">
        <f>Values!B14</f>
        <v>5714401641995</v>
      </c>
      <c r="E4" s="2" t="s">
        <v>346</v>
      </c>
      <c r="F4" s="28" t="str">
        <f>SUBSTITUTE(Values!B1, "{language}", "") &amp; " " &amp; Values!B3</f>
        <v>replacement  backlit keyboard for Dell   Latitude E6400, Latitude E6410, Latitude E6500, Latitude E6510</v>
      </c>
      <c r="G4" s="28" t="s">
        <v>345</v>
      </c>
      <c r="H4" s="2" t="str">
        <f>Values!B16</f>
        <v>laptop-computer-replacement-parts</v>
      </c>
      <c r="I4" s="2" t="str">
        <f>IF(ISBLANK(Values!F3),"","4730574031")</f>
        <v>4730574031</v>
      </c>
      <c r="J4" s="30" t="str">
        <f>Values!B13</f>
        <v>Dell E6400</v>
      </c>
      <c r="K4" s="31"/>
      <c r="L4" s="28"/>
      <c r="M4" s="28"/>
      <c r="W4" s="28" t="s">
        <v>347</v>
      </c>
      <c r="X4" s="28"/>
      <c r="Y4" s="32" t="s">
        <v>348</v>
      </c>
      <c r="Z4" s="28"/>
      <c r="AA4" s="2" t="str">
        <f>Values!B20</f>
        <v>PartialUpdate</v>
      </c>
      <c r="DY4" s="33" t="s">
        <v>349</v>
      </c>
      <c r="DZ4" s="33" t="s">
        <v>349</v>
      </c>
      <c r="EA4" s="33" t="s">
        <v>349</v>
      </c>
      <c r="EB4" s="33" t="s">
        <v>349</v>
      </c>
      <c r="EC4" s="33" t="s">
        <v>349</v>
      </c>
      <c r="EV4" s="2" t="s">
        <v>350</v>
      </c>
      <c r="GK4" s="3">
        <f>K4</f>
        <v>0</v>
      </c>
    </row>
    <row r="5" spans="1:193" ht="17" x14ac:dyDescent="0.2">
      <c r="A5" s="2" t="str">
        <f>IF(ISBLANK(Values!F4),"",IF(Values!$B$37="EU","computercomponent","computer"))</f>
        <v/>
      </c>
      <c r="B5" s="34" t="str">
        <f>IF(ISBLANK(Values!F4),"",Values!G4)</f>
        <v/>
      </c>
      <c r="C5" s="30" t="str">
        <f>IF(ISBLANK(Values!F4),"","TellusRem")</f>
        <v/>
      </c>
      <c r="D5" s="29" t="str">
        <f>IF(ISBLANK(Values!F4),"",Values!F4)</f>
        <v/>
      </c>
      <c r="E5" s="2" t="str">
        <f>IF(ISBLANK(Values!F4),"","EAN")</f>
        <v/>
      </c>
      <c r="F5" s="28" t="str">
        <f>IF(ISBLANK(Values!F4),"",IF(Values!K4, SUBSTITUTE(Values!$B$1, "{language}", Values!I4) &amp; " " &amp;Values!$B$3, SUBSTITUTE(Values!$B$2, "{language}", Values!$I4) &amp; " " &amp;Values!$B$3))</f>
        <v/>
      </c>
      <c r="G5" s="30" t="str">
        <f>IF(ISBLANK(Values!F4),"","TellusRem")</f>
        <v/>
      </c>
      <c r="H5" s="2" t="str">
        <f>IF(ISBLANK(Values!F4),"",Values!$B$16)</f>
        <v/>
      </c>
      <c r="I5" s="2" t="str">
        <f>IF(ISBLANK(Values!F4),"","4730574031")</f>
        <v/>
      </c>
      <c r="J5" s="32" t="str">
        <f>IF(ISBLANK(Values!F4),"",Values!G4 )</f>
        <v/>
      </c>
      <c r="K5" s="28" t="str">
        <f>IF(ISBLANK(Values!F4),"",IF(Values!K4, Values!$B$4, Values!$B$5))</f>
        <v/>
      </c>
      <c r="L5" s="28" t="str">
        <f>IF(ISBLANK(Values!F4),"",IF($CO5="DEFAULT", Values!$B$18, ""))</f>
        <v/>
      </c>
      <c r="M5" s="28" t="str">
        <f>IF(ISBLANK(Values!F4),"",Values!$N4)</f>
        <v/>
      </c>
      <c r="N5" s="28" t="str">
        <f>IF(ISBLANK(Values!$G4),"",Values!O4)</f>
        <v/>
      </c>
      <c r="O5" s="28" t="str">
        <f>IF(ISBLANK(Values!$G4),"",Values!P4)</f>
        <v/>
      </c>
      <c r="P5" s="28" t="str">
        <f>IF(ISBLANK(Values!$G4),"",Values!Q4)</f>
        <v/>
      </c>
      <c r="Q5" s="28" t="str">
        <f>IF(ISBLANK(Values!$G4),"",Values!R4)</f>
        <v/>
      </c>
      <c r="R5" s="28" t="str">
        <f>IF(ISBLANK(Values!$G4),"",Values!S4)</f>
        <v/>
      </c>
      <c r="S5" s="28" t="str">
        <f>IF(ISBLANK(Values!$G4),"",Values!T4)</f>
        <v/>
      </c>
      <c r="T5" s="28" t="str">
        <f>IF(ISBLANK(Values!$G4),"",Values!U4)</f>
        <v/>
      </c>
      <c r="U5" s="28" t="str">
        <f>IF(ISBLANK(Values!$G4),"",Values!V4)</f>
        <v/>
      </c>
      <c r="W5" s="30" t="str">
        <f>IF(ISBLANK(Values!F4),"","Child")</f>
        <v/>
      </c>
      <c r="X5" s="30" t="str">
        <f>IF(ISBLANK(Values!F4),"",Values!$B$13)</f>
        <v/>
      </c>
      <c r="Y5" s="32" t="str">
        <f>IF(ISBLANK(Values!F4),"","Size-Color")</f>
        <v/>
      </c>
      <c r="Z5" s="30" t="str">
        <f>IF(ISBLANK(Values!F4),"","variation")</f>
        <v/>
      </c>
      <c r="AA5" s="2" t="str">
        <f>IF(ISBLANK(Values!F4),"",Values!$B$20)</f>
        <v/>
      </c>
      <c r="AB5" s="2" t="str">
        <f>IF(ISBLANK(Values!F4),"",Values!$B$29)</f>
        <v/>
      </c>
      <c r="AI5" s="35" t="str">
        <f>IF(ISBLANK(Values!F4),"",IF(Values!J4,Values!$B$23,Values!$B$33))</f>
        <v/>
      </c>
      <c r="AJ5" s="33" t="str">
        <f>IF(ISBLANK(Values!F4),"",Values!$B$24 &amp;" "&amp;Values!$B$3)</f>
        <v/>
      </c>
      <c r="AK5" s="2" t="str">
        <f>IF(ISBLANK(Values!F4),"",Values!$B$25)</f>
        <v/>
      </c>
      <c r="AL5" s="2" t="str">
        <f>IF(ISBLANK(Values!F4),"",SUBSTITUTE(SUBSTITUTE(IF(Values!$K4, Values!$B$26, Values!$B$33), "{language}", Values!$I4), "{flag}", INDEX(options!$E$1:$E$20, Values!$W4)))</f>
        <v/>
      </c>
      <c r="AM5" s="2" t="str">
        <f>SUBSTITUTE(IF(ISBLANK(Values!F4),"",Values!$B$27), "{model}", Values!$B$3)</f>
        <v/>
      </c>
      <c r="AT5" s="28" t="str">
        <f>IF(ISBLANK(Values!F4),"",Values!I4)</f>
        <v/>
      </c>
      <c r="AV5" s="2" t="str">
        <f>IF(ISBLANK(Values!F4),"",IF(Values!K4,"Backlit", "Non-Backlit"))</f>
        <v/>
      </c>
      <c r="AW5"/>
      <c r="BE5" s="2" t="str">
        <f>IF(ISBLANK(Values!F4),"","Professional Audience")</f>
        <v/>
      </c>
      <c r="BF5" s="2" t="str">
        <f>IF(ISBLANK(Values!F4),"","Consumer Audience")</f>
        <v/>
      </c>
      <c r="BG5" s="2" t="str">
        <f>IF(ISBLANK(Values!F4),"","Adults")</f>
        <v/>
      </c>
      <c r="BH5" s="2" t="str">
        <f>IF(ISBLANK(Values!F4),"","People")</f>
        <v/>
      </c>
      <c r="CG5" s="2" t="str">
        <f>IF(ISBLANK(Values!F4),"",Values!$B$11)</f>
        <v/>
      </c>
      <c r="CH5" s="2" t="str">
        <f>IF(ISBLANK(Values!F4),"","GR")</f>
        <v/>
      </c>
      <c r="CI5" s="2" t="str">
        <f>IF(ISBLANK(Values!F4),"",Values!$B$7)</f>
        <v/>
      </c>
      <c r="CJ5" s="2" t="str">
        <f>IF(ISBLANK(Values!F4),"",Values!$B$8)</f>
        <v/>
      </c>
      <c r="CK5" s="2" t="str">
        <f>IF(ISBLANK(Values!F4),"",Values!$B$9)</f>
        <v/>
      </c>
      <c r="CL5" s="2" t="str">
        <f>IF(ISBLANK(Values!F4),"","CM")</f>
        <v/>
      </c>
      <c r="CO5" s="2" t="str">
        <f>IF(ISBLANK(Values!F4), "", IF(AND(Values!$B$37=options!$G$2, Values!$C4), "AMAZON_NA", IF(AND(Values!$B$37=options!$G$1, Values!$D4), "AMAZON_EU", "DEFAULT")))</f>
        <v/>
      </c>
      <c r="CP5" s="2" t="str">
        <f>IF(ISBLANK(Values!F4),"",Values!$B$7)</f>
        <v/>
      </c>
      <c r="CQ5" s="2" t="str">
        <f>IF(ISBLANK(Values!F4),"",Values!$B$8)</f>
        <v/>
      </c>
      <c r="CR5" s="2" t="str">
        <f>IF(ISBLANK(Values!F4),"",Values!$B$9)</f>
        <v/>
      </c>
      <c r="CS5" s="2" t="str">
        <f>IF(ISBLANK(Values!F4),"",Values!$B$11)</f>
        <v/>
      </c>
      <c r="CT5" s="2" t="str">
        <f>IF(ISBLANK(Values!F4),"","GR")</f>
        <v/>
      </c>
      <c r="CU5" s="2" t="str">
        <f>IF(ISBLANK(Values!F4),"","CM")</f>
        <v/>
      </c>
      <c r="CV5" s="2" t="str">
        <f>IF(ISBLANK(Values!F4),"",IF(Values!$B$36=options!$F$1,"Denmark", IF(Values!$B$36=options!$F$2, "Danemark",IF(Values!$B$36=options!$F$3, "Dänemark",IF(Values!$B$36=options!$F$4, "Danimarca",IF(Values!$B$36=options!$F$5, "Dinamarca",IF(Values!$B$36=options!$F$6, "Denemarken","" ) ) ) ) )))</f>
        <v/>
      </c>
      <c r="CZ5" s="2" t="str">
        <f>IF(ISBLANK(Values!F4),"","No")</f>
        <v/>
      </c>
      <c r="DA5" s="2" t="str">
        <f>IF(ISBLANK(Values!F4),"","No")</f>
        <v/>
      </c>
      <c r="DO5" s="2" t="str">
        <f>IF(ISBLANK(Values!F4),"","Parts")</f>
        <v/>
      </c>
      <c r="DP5" s="2" t="str">
        <f>IF(ISBLANK(Values!F4),"",Values!$B$31)</f>
        <v/>
      </c>
      <c r="DY5" t="str">
        <f>IF(ISBLANK(Values!$F4), "", "not_applicable")</f>
        <v/>
      </c>
      <c r="EI5" s="2" t="str">
        <f>IF(ISBLANK(Values!F4),"",Values!$B$31)</f>
        <v/>
      </c>
      <c r="ES5" s="2" t="str">
        <f>IF(ISBLANK(Values!F4),"","Amazon Tellus UPS")</f>
        <v/>
      </c>
      <c r="EV5" s="2" t="str">
        <f>IF(ISBLANK(Values!F4),"","New")</f>
        <v/>
      </c>
      <c r="FE5" s="2" t="str">
        <f>IF(ISBLANK(Values!F4),"",IF(CO5&lt;&gt;"DEFAULT", "", 3))</f>
        <v/>
      </c>
      <c r="FH5" s="2" t="str">
        <f>IF(ISBLANK(Values!F4),"","FALSE")</f>
        <v/>
      </c>
      <c r="FI5" s="2" t="str">
        <f>IF(ISBLANK(Values!F4),"","FALSE")</f>
        <v/>
      </c>
      <c r="FJ5" s="2" t="str">
        <f>IF(ISBLANK(Values!F4),"","FALSE")</f>
        <v/>
      </c>
      <c r="FM5" s="2" t="str">
        <f>IF(ISBLANK(Values!F4),"","1")</f>
        <v/>
      </c>
      <c r="FO5" s="28" t="str">
        <f>IF(ISBLANK(Values!F4),"",IF(Values!K4, Values!$B$4, Values!$B$5))</f>
        <v/>
      </c>
      <c r="FP5" s="2" t="str">
        <f>IF(ISBLANK(Values!F4),"","Percent")</f>
        <v/>
      </c>
      <c r="FQ5" s="2" t="str">
        <f>IF(ISBLANK(Values!F4),"","2")</f>
        <v/>
      </c>
      <c r="FR5" s="2" t="str">
        <f>IF(ISBLANK(Values!F4),"","3")</f>
        <v/>
      </c>
      <c r="FS5" s="2" t="str">
        <f>IF(ISBLANK(Values!F4),"","5")</f>
        <v/>
      </c>
      <c r="FT5" s="2" t="str">
        <f>IF(ISBLANK(Values!F4),"","6")</f>
        <v/>
      </c>
      <c r="FU5" s="2" t="str">
        <f>IF(ISBLANK(Values!F4),"","10")</f>
        <v/>
      </c>
      <c r="FV5" s="2" t="str">
        <f>IF(ISBLANK(Values!F4),"","10")</f>
        <v/>
      </c>
      <c r="GK5" s="61" t="str">
        <f>K5</f>
        <v/>
      </c>
    </row>
    <row r="6" spans="1:193" ht="17" x14ac:dyDescent="0.2">
      <c r="A6" s="2" t="str">
        <f>IF(ISBLANK(Values!F5),"",IF(Values!$B$37="EU","computercomponent","computer"))</f>
        <v/>
      </c>
      <c r="B6" s="34" t="str">
        <f>IF(ISBLANK(Values!F5),"",Values!G5)</f>
        <v/>
      </c>
      <c r="C6" s="30" t="str">
        <f>IF(ISBLANK(Values!F5),"","TellusRem")</f>
        <v/>
      </c>
      <c r="D6" s="29" t="str">
        <f>IF(ISBLANK(Values!F5),"",Values!F5)</f>
        <v/>
      </c>
      <c r="E6" s="2" t="str">
        <f>IF(ISBLANK(Values!F5),"","EAN")</f>
        <v/>
      </c>
      <c r="F6" s="28" t="str">
        <f>IF(ISBLANK(Values!F5),"",IF(Values!K5, SUBSTITUTE(Values!$B$1, "{language}", Values!I5) &amp; " " &amp;Values!$B$3, SUBSTITUTE(Values!$B$2, "{language}", Values!$I5) &amp; " " &amp;Values!$B$3))</f>
        <v/>
      </c>
      <c r="G6" s="30" t="str">
        <f>IF(ISBLANK(Values!F5),"","TellusRem")</f>
        <v/>
      </c>
      <c r="H6" s="2" t="str">
        <f>IF(ISBLANK(Values!F5),"",Values!$B$16)</f>
        <v/>
      </c>
      <c r="I6" s="2" t="str">
        <f>IF(ISBLANK(Values!F5),"","4730574031")</f>
        <v/>
      </c>
      <c r="J6" s="32" t="str">
        <f>IF(ISBLANK(Values!F5),"",Values!G5 )</f>
        <v/>
      </c>
      <c r="K6" s="28" t="str">
        <f>IF(ISBLANK(Values!F5),"",IF(Values!K5, Values!$B$4, Values!$B$5))</f>
        <v/>
      </c>
      <c r="L6" s="28" t="str">
        <f>IF(ISBLANK(Values!F5),"",IF($CO6="DEFAULT", Values!$B$18, ""))</f>
        <v/>
      </c>
      <c r="M6" s="28" t="str">
        <f>IF(ISBLANK(Values!F5),"",Values!$N5)</f>
        <v/>
      </c>
      <c r="N6" s="28" t="str">
        <f>IF(ISBLANK(Values!$G5),"",Values!O5)</f>
        <v/>
      </c>
      <c r="O6" s="28" t="str">
        <f>IF(ISBLANK(Values!$G5),"",Values!P5)</f>
        <v/>
      </c>
      <c r="P6" s="28" t="str">
        <f>IF(ISBLANK(Values!$G5),"",Values!Q5)</f>
        <v/>
      </c>
      <c r="Q6" s="28" t="str">
        <f>IF(ISBLANK(Values!$G5),"",Values!R5)</f>
        <v/>
      </c>
      <c r="R6" s="28" t="str">
        <f>IF(ISBLANK(Values!$G5),"",Values!S5)</f>
        <v/>
      </c>
      <c r="S6" s="28" t="str">
        <f>IF(ISBLANK(Values!$G5),"",Values!T5)</f>
        <v/>
      </c>
      <c r="T6" s="28" t="str">
        <f>IF(ISBLANK(Values!$G5),"",Values!U5)</f>
        <v/>
      </c>
      <c r="U6" s="28" t="str">
        <f>IF(ISBLANK(Values!$G5),"",Values!V5)</f>
        <v/>
      </c>
      <c r="W6" s="30" t="str">
        <f>IF(ISBLANK(Values!F5),"","Child")</f>
        <v/>
      </c>
      <c r="X6" s="30" t="str">
        <f>IF(ISBLANK(Values!F5),"",Values!$B$13)</f>
        <v/>
      </c>
      <c r="Y6" s="32" t="str">
        <f>IF(ISBLANK(Values!F5),"","Size-Color")</f>
        <v/>
      </c>
      <c r="Z6" s="30" t="str">
        <f>IF(ISBLANK(Values!F5),"","variation")</f>
        <v/>
      </c>
      <c r="AA6" s="2" t="str">
        <f>IF(ISBLANK(Values!F5),"",Values!$B$20)</f>
        <v/>
      </c>
      <c r="AB6" s="2" t="str">
        <f>IF(ISBLANK(Values!F5),"",Values!$B$29)</f>
        <v/>
      </c>
      <c r="AI6" s="35" t="str">
        <f>IF(ISBLANK(Values!F5),"",IF(Values!J5,Values!$B$23,Values!$B$33))</f>
        <v/>
      </c>
      <c r="AJ6" s="33" t="str">
        <f>IF(ISBLANK(Values!F5),"",Values!$B$24 &amp;" "&amp;Values!$B$3)</f>
        <v/>
      </c>
      <c r="AK6" s="2" t="str">
        <f>IF(ISBLANK(Values!F5),"",Values!$B$25)</f>
        <v/>
      </c>
      <c r="AL6" s="2" t="str">
        <f>IF(ISBLANK(Values!F5),"",SUBSTITUTE(SUBSTITUTE(IF(Values!$K5, Values!$B$26, Values!$B$33), "{language}", Values!$I5), "{flag}", INDEX(options!$E$1:$E$20, Values!$W5)))</f>
        <v/>
      </c>
      <c r="AM6" s="2" t="str">
        <f>SUBSTITUTE(IF(ISBLANK(Values!F5),"",Values!$B$27), "{model}", Values!$B$3)</f>
        <v/>
      </c>
      <c r="AT6" s="28" t="str">
        <f>IF(ISBLANK(Values!F5),"",Values!I5)</f>
        <v/>
      </c>
      <c r="AV6" s="2" t="str">
        <f>IF(ISBLANK(Values!F5),"",IF(Values!K5,"Backlit", "Non-Backlit"))</f>
        <v/>
      </c>
      <c r="BE6" s="2" t="str">
        <f>IF(ISBLANK(Values!F5),"","Professional Audience")</f>
        <v/>
      </c>
      <c r="BF6" s="2" t="str">
        <f>IF(ISBLANK(Values!F5),"","Consumer Audience")</f>
        <v/>
      </c>
      <c r="BG6" s="2" t="str">
        <f>IF(ISBLANK(Values!F5),"","Adults")</f>
        <v/>
      </c>
      <c r="BH6" s="2" t="str">
        <f>IF(ISBLANK(Values!F5),"","People")</f>
        <v/>
      </c>
      <c r="CG6" s="2" t="str">
        <f>IF(ISBLANK(Values!F5),"",Values!$B$11)</f>
        <v/>
      </c>
      <c r="CH6" s="2" t="str">
        <f>IF(ISBLANK(Values!F5),"","GR")</f>
        <v/>
      </c>
      <c r="CI6" s="2" t="str">
        <f>IF(ISBLANK(Values!F5),"",Values!$B$7)</f>
        <v/>
      </c>
      <c r="CJ6" s="2" t="str">
        <f>IF(ISBLANK(Values!F5),"",Values!$B$8)</f>
        <v/>
      </c>
      <c r="CK6" s="2" t="str">
        <f>IF(ISBLANK(Values!F5),"",Values!$B$9)</f>
        <v/>
      </c>
      <c r="CL6" s="2" t="str">
        <f>IF(ISBLANK(Values!F5),"","CM")</f>
        <v/>
      </c>
      <c r="CO6" s="2" t="str">
        <f>IF(ISBLANK(Values!F5), "", IF(AND(Values!$B$37=options!$G$2, Values!$C5), "AMAZON_NA", IF(AND(Values!$B$37=options!$G$1, Values!$D5), "AMAZON_EU", "DEFAULT")))</f>
        <v/>
      </c>
      <c r="CP6" s="2" t="str">
        <f>IF(ISBLANK(Values!F5),"",Values!$B$7)</f>
        <v/>
      </c>
      <c r="CQ6" s="2" t="str">
        <f>IF(ISBLANK(Values!F5),"",Values!$B$8)</f>
        <v/>
      </c>
      <c r="CR6" s="2" t="str">
        <f>IF(ISBLANK(Values!F5),"",Values!$B$9)</f>
        <v/>
      </c>
      <c r="CS6" s="2" t="str">
        <f>IF(ISBLANK(Values!F5),"",Values!$B$11)</f>
        <v/>
      </c>
      <c r="CT6" s="2" t="str">
        <f>IF(ISBLANK(Values!F5),"","GR")</f>
        <v/>
      </c>
      <c r="CU6" s="2" t="str">
        <f>IF(ISBLANK(Values!F5),"","CM")</f>
        <v/>
      </c>
      <c r="CV6" s="2" t="str">
        <f>IF(ISBLANK(Values!F5),"",IF(Values!$B$36=options!$F$1,"Denmark", IF(Values!$B$36=options!$F$2, "Danemark",IF(Values!$B$36=options!$F$3, "Dänemark",IF(Values!$B$36=options!$F$4, "Danimarca",IF(Values!$B$36=options!$F$5, "Dinamarca",IF(Values!$B$36=options!$F$6, "Denemarken","" ) ) ) ) )))</f>
        <v/>
      </c>
      <c r="CZ6" s="2" t="str">
        <f>IF(ISBLANK(Values!F5),"","No")</f>
        <v/>
      </c>
      <c r="DA6" s="2" t="str">
        <f>IF(ISBLANK(Values!F5),"","No")</f>
        <v/>
      </c>
      <c r="DO6" s="2" t="str">
        <f>IF(ISBLANK(Values!F5),"","Parts")</f>
        <v/>
      </c>
      <c r="DP6" s="2" t="str">
        <f>IF(ISBLANK(Values!F5),"",Values!$B$31)</f>
        <v/>
      </c>
      <c r="DY6" t="str">
        <f>IF(ISBLANK(Values!$F5), "", "not_applicable")</f>
        <v/>
      </c>
      <c r="EI6" s="2" t="str">
        <f>IF(ISBLANK(Values!F5),"",Values!$B$31)</f>
        <v/>
      </c>
      <c r="ES6" s="2" t="str">
        <f>IF(ISBLANK(Values!F5),"","Amazon Tellus UPS")</f>
        <v/>
      </c>
      <c r="EV6" s="2" t="str">
        <f>IF(ISBLANK(Values!F5),"","New")</f>
        <v/>
      </c>
      <c r="FE6" s="2" t="str">
        <f>IF(ISBLANK(Values!F5),"",IF(CO6&lt;&gt;"DEFAULT", "", 3))</f>
        <v/>
      </c>
      <c r="FH6" s="2" t="str">
        <f>IF(ISBLANK(Values!F5),"","FALSE")</f>
        <v/>
      </c>
      <c r="FI6" s="2" t="str">
        <f>IF(ISBLANK(Values!F5),"","FALSE")</f>
        <v/>
      </c>
      <c r="FJ6" s="2" t="str">
        <f>IF(ISBLANK(Values!F5),"","FALSE")</f>
        <v/>
      </c>
      <c r="FM6" s="2" t="str">
        <f>IF(ISBLANK(Values!F5),"","1")</f>
        <v/>
      </c>
      <c r="FO6" s="28" t="str">
        <f>IF(ISBLANK(Values!F5),"",IF(Values!K5, Values!$B$4, Values!$B$5))</f>
        <v/>
      </c>
      <c r="FP6" s="2" t="str">
        <f>IF(ISBLANK(Values!F5),"","Percent")</f>
        <v/>
      </c>
      <c r="FQ6" s="2" t="str">
        <f>IF(ISBLANK(Values!F5),"","2")</f>
        <v/>
      </c>
      <c r="FR6" s="2" t="str">
        <f>IF(ISBLANK(Values!F5),"","3")</f>
        <v/>
      </c>
      <c r="FS6" s="2" t="str">
        <f>IF(ISBLANK(Values!F5),"","5")</f>
        <v/>
      </c>
      <c r="FT6" s="2" t="str">
        <f>IF(ISBLANK(Values!F5),"","6")</f>
        <v/>
      </c>
      <c r="FU6" s="2" t="str">
        <f>IF(ISBLANK(Values!F5),"","10")</f>
        <v/>
      </c>
      <c r="FV6" s="2" t="str">
        <f>IF(ISBLANK(Values!F5),"","10")</f>
        <v/>
      </c>
      <c r="GK6" s="61" t="str">
        <f>K6</f>
        <v/>
      </c>
    </row>
    <row r="7" spans="1:193" ht="17" x14ac:dyDescent="0.2">
      <c r="A7" s="2" t="str">
        <f>IF(ISBLANK(Values!F6),"",IF(Values!$B$37="EU","computercomponent","computer"))</f>
        <v/>
      </c>
      <c r="B7" s="34" t="str">
        <f>IF(ISBLANK(Values!F6),"",Values!G6)</f>
        <v/>
      </c>
      <c r="C7" s="30" t="str">
        <f>IF(ISBLANK(Values!F6),"","TellusRem")</f>
        <v/>
      </c>
      <c r="D7" s="29" t="str">
        <f>IF(ISBLANK(Values!F6),"",Values!F6)</f>
        <v/>
      </c>
      <c r="E7" s="2" t="str">
        <f>IF(ISBLANK(Values!F6),"","EAN")</f>
        <v/>
      </c>
      <c r="F7" s="28" t="str">
        <f>IF(ISBLANK(Values!F6),"",IF(Values!K6, SUBSTITUTE(Values!$B$1, "{language}", Values!I6) &amp; " " &amp;Values!$B$3, SUBSTITUTE(Values!$B$2, "{language}", Values!$I6) &amp; " " &amp;Values!$B$3))</f>
        <v/>
      </c>
      <c r="G7" s="30" t="str">
        <f>IF(ISBLANK(Values!F6),"","TellusRem")</f>
        <v/>
      </c>
      <c r="H7" s="2" t="str">
        <f>IF(ISBLANK(Values!F6),"",Values!$B$16)</f>
        <v/>
      </c>
      <c r="I7" s="2" t="str">
        <f>IF(ISBLANK(Values!F6),"","4730574031")</f>
        <v/>
      </c>
      <c r="J7" s="32" t="str">
        <f>IF(ISBLANK(Values!F6),"",Values!G6 )</f>
        <v/>
      </c>
      <c r="K7" s="28" t="str">
        <f>IF(ISBLANK(Values!F6),"",IF(Values!K6, Values!$B$4, Values!$B$5))</f>
        <v/>
      </c>
      <c r="L7" s="28" t="str">
        <f>IF(ISBLANK(Values!F6),"",IF($CO7="DEFAULT", Values!$B$18, ""))</f>
        <v/>
      </c>
      <c r="M7" s="28" t="str">
        <f>IF(ISBLANK(Values!F6),"",Values!$N6)</f>
        <v/>
      </c>
      <c r="N7" s="28" t="str">
        <f>IF(ISBLANK(Values!$G6),"",Values!O6)</f>
        <v/>
      </c>
      <c r="O7" s="28" t="str">
        <f>IF(ISBLANK(Values!$G6),"",Values!P6)</f>
        <v/>
      </c>
      <c r="P7" s="28" t="str">
        <f>IF(ISBLANK(Values!$G6),"",Values!Q6)</f>
        <v/>
      </c>
      <c r="Q7" s="28" t="str">
        <f>IF(ISBLANK(Values!$G6),"",Values!R6)</f>
        <v/>
      </c>
      <c r="R7" s="28" t="str">
        <f>IF(ISBLANK(Values!$G6),"",Values!S6)</f>
        <v/>
      </c>
      <c r="S7" s="28" t="str">
        <f>IF(ISBLANK(Values!$G6),"",Values!T6)</f>
        <v/>
      </c>
      <c r="T7" s="28" t="str">
        <f>IF(ISBLANK(Values!$G6),"",Values!U6)</f>
        <v/>
      </c>
      <c r="U7" s="28" t="str">
        <f>IF(ISBLANK(Values!$G6),"",Values!V6)</f>
        <v/>
      </c>
      <c r="W7" s="30" t="str">
        <f>IF(ISBLANK(Values!F6),"","Child")</f>
        <v/>
      </c>
      <c r="X7" s="30" t="str">
        <f>IF(ISBLANK(Values!F6),"",Values!$B$13)</f>
        <v/>
      </c>
      <c r="Y7" s="32" t="str">
        <f>IF(ISBLANK(Values!F6),"","Size-Color")</f>
        <v/>
      </c>
      <c r="Z7" s="30" t="str">
        <f>IF(ISBLANK(Values!F6),"","variation")</f>
        <v/>
      </c>
      <c r="AA7" s="2" t="str">
        <f>IF(ISBLANK(Values!F6),"",Values!$B$20)</f>
        <v/>
      </c>
      <c r="AB7" s="2" t="str">
        <f>IF(ISBLANK(Values!F6),"",Values!$B$29)</f>
        <v/>
      </c>
      <c r="AI7" s="35" t="str">
        <f>IF(ISBLANK(Values!F6),"",IF(Values!J6,Values!$B$23,Values!$B$33))</f>
        <v/>
      </c>
      <c r="AJ7" s="33" t="str">
        <f>IF(ISBLANK(Values!F6),"",Values!$B$24 &amp;" "&amp;Values!$B$3)</f>
        <v/>
      </c>
      <c r="AK7" s="2" t="str">
        <f>IF(ISBLANK(Values!F6),"",Values!$B$25)</f>
        <v/>
      </c>
      <c r="AL7" s="2" t="str">
        <f>IF(ISBLANK(Values!F6),"",SUBSTITUTE(SUBSTITUTE(IF(Values!$K6, Values!$B$26, Values!$B$33), "{language}", Values!$I6), "{flag}", INDEX(options!$E$1:$E$20, Values!$W6)))</f>
        <v/>
      </c>
      <c r="AM7" s="2" t="str">
        <f>SUBSTITUTE(IF(ISBLANK(Values!F6),"",Values!$B$27), "{model}", Values!$B$3)</f>
        <v/>
      </c>
      <c r="AT7" s="28" t="str">
        <f>IF(ISBLANK(Values!F6),"",Values!I6)</f>
        <v/>
      </c>
      <c r="AV7" s="2" t="str">
        <f>IF(ISBLANK(Values!F6),"",IF(Values!K6,"Backlit", "Non-Backlit"))</f>
        <v/>
      </c>
      <c r="BE7" s="2" t="str">
        <f>IF(ISBLANK(Values!F6),"","Professional Audience")</f>
        <v/>
      </c>
      <c r="BF7" s="2" t="str">
        <f>IF(ISBLANK(Values!F6),"","Consumer Audience")</f>
        <v/>
      </c>
      <c r="BG7" s="2" t="str">
        <f>IF(ISBLANK(Values!F6),"","Adults")</f>
        <v/>
      </c>
      <c r="BH7" s="2" t="str">
        <f>IF(ISBLANK(Values!F6),"","People")</f>
        <v/>
      </c>
      <c r="CG7" s="2" t="str">
        <f>IF(ISBLANK(Values!F6),"",Values!$B$11)</f>
        <v/>
      </c>
      <c r="CH7" s="2" t="str">
        <f>IF(ISBLANK(Values!F6),"","GR")</f>
        <v/>
      </c>
      <c r="CI7" s="2" t="str">
        <f>IF(ISBLANK(Values!F6),"",Values!$B$7)</f>
        <v/>
      </c>
      <c r="CJ7" s="2" t="str">
        <f>IF(ISBLANK(Values!F6),"",Values!$B$8)</f>
        <v/>
      </c>
      <c r="CK7" s="2" t="str">
        <f>IF(ISBLANK(Values!F6),"",Values!$B$9)</f>
        <v/>
      </c>
      <c r="CL7" s="2" t="str">
        <f>IF(ISBLANK(Values!F6),"","CM")</f>
        <v/>
      </c>
      <c r="CO7" s="2" t="str">
        <f>IF(ISBLANK(Values!F6), "", IF(AND(Values!$B$37=options!$G$2, Values!$C6), "AMAZON_NA", IF(AND(Values!$B$37=options!$G$1, Values!$D6), "AMAZON_EU", "DEFAULT")))</f>
        <v/>
      </c>
      <c r="CP7" s="2" t="str">
        <f>IF(ISBLANK(Values!F6),"",Values!$B$7)</f>
        <v/>
      </c>
      <c r="CQ7" s="2" t="str">
        <f>IF(ISBLANK(Values!F6),"",Values!$B$8)</f>
        <v/>
      </c>
      <c r="CR7" s="2" t="str">
        <f>IF(ISBLANK(Values!F6),"",Values!$B$9)</f>
        <v/>
      </c>
      <c r="CS7" s="2" t="str">
        <f>IF(ISBLANK(Values!F6),"",Values!$B$11)</f>
        <v/>
      </c>
      <c r="CT7" s="2" t="str">
        <f>IF(ISBLANK(Values!F6),"","GR")</f>
        <v/>
      </c>
      <c r="CU7" s="2" t="str">
        <f>IF(ISBLANK(Values!F6),"","CM")</f>
        <v/>
      </c>
      <c r="CV7" s="2" t="str">
        <f>IF(ISBLANK(Values!F6),"",IF(Values!$B$36=options!$F$1,"Denmark", IF(Values!$B$36=options!$F$2, "Danemark",IF(Values!$B$36=options!$F$3, "Dänemark",IF(Values!$B$36=options!$F$4, "Danimarca",IF(Values!$B$36=options!$F$5, "Dinamarca",IF(Values!$B$36=options!$F$6, "Denemarken","" ) ) ) ) )))</f>
        <v/>
      </c>
      <c r="CZ7" s="2" t="str">
        <f>IF(ISBLANK(Values!F6),"","No")</f>
        <v/>
      </c>
      <c r="DA7" s="2" t="str">
        <f>IF(ISBLANK(Values!F6),"","No")</f>
        <v/>
      </c>
      <c r="DO7" s="2" t="str">
        <f>IF(ISBLANK(Values!F6),"","Parts")</f>
        <v/>
      </c>
      <c r="DP7" s="2" t="str">
        <f>IF(ISBLANK(Values!F6),"",Values!$B$31)</f>
        <v/>
      </c>
      <c r="DY7" t="str">
        <f>IF(ISBLANK(Values!$F6), "", "not_applicable")</f>
        <v/>
      </c>
      <c r="EI7" s="2" t="str">
        <f>IF(ISBLANK(Values!F6),"",Values!$B$31)</f>
        <v/>
      </c>
      <c r="ES7" s="2" t="str">
        <f>IF(ISBLANK(Values!F6),"","Amazon Tellus UPS")</f>
        <v/>
      </c>
      <c r="EV7" s="2" t="str">
        <f>IF(ISBLANK(Values!F6),"","New")</f>
        <v/>
      </c>
      <c r="FE7" s="2" t="str">
        <f>IF(ISBLANK(Values!F6),"",IF(CO7&lt;&gt;"DEFAULT", "", 3))</f>
        <v/>
      </c>
      <c r="FH7" s="2" t="str">
        <f>IF(ISBLANK(Values!F6),"","FALSE")</f>
        <v/>
      </c>
      <c r="FI7" s="2" t="str">
        <f>IF(ISBLANK(Values!F6),"","FALSE")</f>
        <v/>
      </c>
      <c r="FJ7" s="2" t="str">
        <f>IF(ISBLANK(Values!F6),"","FALSE")</f>
        <v/>
      </c>
      <c r="FM7" s="2" t="str">
        <f>IF(ISBLANK(Values!F6),"","1")</f>
        <v/>
      </c>
      <c r="FO7" s="28" t="str">
        <f>IF(ISBLANK(Values!F6),"",IF(Values!K6, Values!$B$4, Values!$B$5))</f>
        <v/>
      </c>
      <c r="FP7" s="2" t="str">
        <f>IF(ISBLANK(Values!F6),"","Percent")</f>
        <v/>
      </c>
      <c r="FQ7" s="2" t="str">
        <f>IF(ISBLANK(Values!F6),"","2")</f>
        <v/>
      </c>
      <c r="FR7" s="2" t="str">
        <f>IF(ISBLANK(Values!F6),"","3")</f>
        <v/>
      </c>
      <c r="FS7" s="2" t="str">
        <f>IF(ISBLANK(Values!F6),"","5")</f>
        <v/>
      </c>
      <c r="FT7" s="2" t="str">
        <f>IF(ISBLANK(Values!F6),"","6")</f>
        <v/>
      </c>
      <c r="FU7" s="2" t="str">
        <f>IF(ISBLANK(Values!F6),"","10")</f>
        <v/>
      </c>
      <c r="FV7" s="2" t="str">
        <f>IF(ISBLANK(Values!F6),"","10")</f>
        <v/>
      </c>
      <c r="GK7" s="61" t="str">
        <f>K7</f>
        <v/>
      </c>
    </row>
    <row r="8" spans="1:193" ht="17" x14ac:dyDescent="0.2">
      <c r="A8" s="2" t="str">
        <f>IF(ISBLANK(Values!F7),"",IF(Values!$B$37="EU","computercomponent","computer"))</f>
        <v/>
      </c>
      <c r="B8" s="34" t="str">
        <f>IF(ISBLANK(Values!F7),"",Values!G7)</f>
        <v/>
      </c>
      <c r="C8" s="30" t="str">
        <f>IF(ISBLANK(Values!F7),"","TellusRem")</f>
        <v/>
      </c>
      <c r="D8" s="29" t="str">
        <f>IF(ISBLANK(Values!F7),"",Values!F7)</f>
        <v/>
      </c>
      <c r="E8" s="2" t="str">
        <f>IF(ISBLANK(Values!F7),"","EAN")</f>
        <v/>
      </c>
      <c r="F8" s="28" t="str">
        <f>IF(ISBLANK(Values!F7),"",IF(Values!K7, SUBSTITUTE(Values!$B$1, "{language}", Values!I7) &amp; " " &amp;Values!$B$3, SUBSTITUTE(Values!$B$2, "{language}", Values!$I7) &amp; " " &amp;Values!$B$3))</f>
        <v/>
      </c>
      <c r="G8" s="30" t="str">
        <f>IF(ISBLANK(Values!F7),"","TellusRem")</f>
        <v/>
      </c>
      <c r="H8" s="2" t="str">
        <f>IF(ISBLANK(Values!F7),"",Values!$B$16)</f>
        <v/>
      </c>
      <c r="I8" s="2" t="str">
        <f>IF(ISBLANK(Values!F7),"","4730574031")</f>
        <v/>
      </c>
      <c r="J8" s="32" t="str">
        <f>IF(ISBLANK(Values!F7),"",Values!G7 )</f>
        <v/>
      </c>
      <c r="K8" s="28" t="str">
        <f>IF(ISBLANK(Values!F7),"",IF(Values!K7, Values!$B$4, Values!$B$5))</f>
        <v/>
      </c>
      <c r="L8" s="28" t="str">
        <f>IF(ISBLANK(Values!F7),"",IF($CO8="DEFAULT", Values!$B$18, ""))</f>
        <v/>
      </c>
      <c r="M8" s="28" t="str">
        <f>IF(ISBLANK(Values!F7),"",Values!$N7)</f>
        <v/>
      </c>
      <c r="N8" s="28" t="str">
        <f>IF(ISBLANK(Values!$G7),"",Values!O7)</f>
        <v/>
      </c>
      <c r="O8" s="28" t="str">
        <f>IF(ISBLANK(Values!$G7),"",Values!P7)</f>
        <v/>
      </c>
      <c r="P8" s="28" t="str">
        <f>IF(ISBLANK(Values!$G7),"",Values!Q7)</f>
        <v/>
      </c>
      <c r="Q8" s="28" t="str">
        <f>IF(ISBLANK(Values!$G7),"",Values!R7)</f>
        <v/>
      </c>
      <c r="R8" s="28" t="str">
        <f>IF(ISBLANK(Values!$G7),"",Values!S7)</f>
        <v/>
      </c>
      <c r="S8" s="28" t="str">
        <f>IF(ISBLANK(Values!$G7),"",Values!T7)</f>
        <v/>
      </c>
      <c r="T8" s="28" t="str">
        <f>IF(ISBLANK(Values!$G7),"",Values!U7)</f>
        <v/>
      </c>
      <c r="U8" s="28" t="str">
        <f>IF(ISBLANK(Values!$G7),"",Values!V7)</f>
        <v/>
      </c>
      <c r="W8" s="30" t="str">
        <f>IF(ISBLANK(Values!F7),"","Child")</f>
        <v/>
      </c>
      <c r="X8" s="30" t="str">
        <f>IF(ISBLANK(Values!F7),"",Values!$B$13)</f>
        <v/>
      </c>
      <c r="Y8" s="32" t="str">
        <f>IF(ISBLANK(Values!F7),"","Size-Color")</f>
        <v/>
      </c>
      <c r="Z8" s="30" t="str">
        <f>IF(ISBLANK(Values!F7),"","variation")</f>
        <v/>
      </c>
      <c r="AA8" s="2" t="str">
        <f>IF(ISBLANK(Values!F7),"",Values!$B$20)</f>
        <v/>
      </c>
      <c r="AB8" s="2" t="str">
        <f>IF(ISBLANK(Values!F7),"",Values!$B$29)</f>
        <v/>
      </c>
      <c r="AI8" s="35" t="str">
        <f>IF(ISBLANK(Values!F7),"",IF(Values!J7,Values!$B$23,Values!$B$33))</f>
        <v/>
      </c>
      <c r="AJ8" s="33" t="str">
        <f>IF(ISBLANK(Values!F7),"",Values!$B$24 &amp;" "&amp;Values!$B$3)</f>
        <v/>
      </c>
      <c r="AK8" s="2" t="str">
        <f>IF(ISBLANK(Values!F7),"",Values!$B$25)</f>
        <v/>
      </c>
      <c r="AL8" s="2" t="str">
        <f>IF(ISBLANK(Values!F7),"",SUBSTITUTE(SUBSTITUTE(IF(Values!$K7, Values!$B$26, Values!$B$33), "{language}", Values!$I7), "{flag}", INDEX(options!$E$1:$E$20, Values!$W7)))</f>
        <v/>
      </c>
      <c r="AM8" s="2" t="str">
        <f>SUBSTITUTE(IF(ISBLANK(Values!F7),"",Values!$B$27), "{model}", Values!$B$3)</f>
        <v/>
      </c>
      <c r="AT8" s="28" t="str">
        <f>IF(ISBLANK(Values!F7),"",Values!I7)</f>
        <v/>
      </c>
      <c r="AV8" s="2" t="str">
        <f>IF(ISBLANK(Values!F7),"",IF(Values!K7,"Backlit", "Non-Backlit"))</f>
        <v/>
      </c>
      <c r="BE8" s="2" t="str">
        <f>IF(ISBLANK(Values!F7),"","Professional Audience")</f>
        <v/>
      </c>
      <c r="BF8" s="2" t="str">
        <f>IF(ISBLANK(Values!F7),"","Consumer Audience")</f>
        <v/>
      </c>
      <c r="BG8" s="2" t="str">
        <f>IF(ISBLANK(Values!F7),"","Adults")</f>
        <v/>
      </c>
      <c r="BH8" s="2" t="str">
        <f>IF(ISBLANK(Values!F7),"","People")</f>
        <v/>
      </c>
      <c r="CG8" s="2" t="str">
        <f>IF(ISBLANK(Values!F7),"",Values!$B$11)</f>
        <v/>
      </c>
      <c r="CH8" s="2" t="str">
        <f>IF(ISBLANK(Values!F7),"","GR")</f>
        <v/>
      </c>
      <c r="CI8" s="2" t="str">
        <f>IF(ISBLANK(Values!F7),"",Values!$B$7)</f>
        <v/>
      </c>
      <c r="CJ8" s="2" t="str">
        <f>IF(ISBLANK(Values!F7),"",Values!$B$8)</f>
        <v/>
      </c>
      <c r="CK8" s="2" t="str">
        <f>IF(ISBLANK(Values!F7),"",Values!$B$9)</f>
        <v/>
      </c>
      <c r="CL8" s="2" t="str">
        <f>IF(ISBLANK(Values!F7),"","CM")</f>
        <v/>
      </c>
      <c r="CO8" s="2" t="str">
        <f>IF(ISBLANK(Values!F7), "", IF(AND(Values!$B$37=options!$G$2, Values!$C7), "AMAZON_NA", IF(AND(Values!$B$37=options!$G$1, Values!$D7), "AMAZON_EU", "DEFAULT")))</f>
        <v/>
      </c>
      <c r="CP8" s="2" t="str">
        <f>IF(ISBLANK(Values!F7),"",Values!$B$7)</f>
        <v/>
      </c>
      <c r="CQ8" s="2" t="str">
        <f>IF(ISBLANK(Values!F7),"",Values!$B$8)</f>
        <v/>
      </c>
      <c r="CR8" s="2" t="str">
        <f>IF(ISBLANK(Values!F7),"",Values!$B$9)</f>
        <v/>
      </c>
      <c r="CS8" s="2" t="str">
        <f>IF(ISBLANK(Values!F7),"",Values!$B$11)</f>
        <v/>
      </c>
      <c r="CT8" s="2" t="str">
        <f>IF(ISBLANK(Values!F7),"","GR")</f>
        <v/>
      </c>
      <c r="CU8" s="2" t="str">
        <f>IF(ISBLANK(Values!F7),"","CM")</f>
        <v/>
      </c>
      <c r="CV8" s="2" t="str">
        <f>IF(ISBLANK(Values!F7),"",IF(Values!$B$36=options!$F$1,"Denmark", IF(Values!$B$36=options!$F$2, "Danemark",IF(Values!$B$36=options!$F$3, "Dänemark",IF(Values!$B$36=options!$F$4, "Danimarca",IF(Values!$B$36=options!$F$5, "Dinamarca",IF(Values!$B$36=options!$F$6, "Denemarken","" ) ) ) ) )))</f>
        <v/>
      </c>
      <c r="CZ8" s="2" t="str">
        <f>IF(ISBLANK(Values!F7),"","No")</f>
        <v/>
      </c>
      <c r="DA8" s="2" t="str">
        <f>IF(ISBLANK(Values!F7),"","No")</f>
        <v/>
      </c>
      <c r="DO8" s="2" t="str">
        <f>IF(ISBLANK(Values!F7),"","Parts")</f>
        <v/>
      </c>
      <c r="DP8" s="2" t="str">
        <f>IF(ISBLANK(Values!F7),"",Values!$B$31)</f>
        <v/>
      </c>
      <c r="DY8" t="str">
        <f>IF(ISBLANK(Values!$F7), "", "not_applicable")</f>
        <v/>
      </c>
      <c r="EI8" s="2" t="str">
        <f>IF(ISBLANK(Values!F7),"",Values!$B$31)</f>
        <v/>
      </c>
      <c r="ES8" s="2" t="str">
        <f>IF(ISBLANK(Values!F7),"","Amazon Tellus UPS")</f>
        <v/>
      </c>
      <c r="EV8" s="2" t="str">
        <f>IF(ISBLANK(Values!F7),"","New")</f>
        <v/>
      </c>
      <c r="FE8" s="2" t="str">
        <f>IF(ISBLANK(Values!F7),"",IF(CO8&lt;&gt;"DEFAULT", "", 3))</f>
        <v/>
      </c>
      <c r="FH8" s="2" t="str">
        <f>IF(ISBLANK(Values!F7),"","FALSE")</f>
        <v/>
      </c>
      <c r="FI8" s="2" t="str">
        <f>IF(ISBLANK(Values!F7),"","FALSE")</f>
        <v/>
      </c>
      <c r="FJ8" s="2" t="str">
        <f>IF(ISBLANK(Values!F7),"","FALSE")</f>
        <v/>
      </c>
      <c r="FM8" s="2" t="str">
        <f>IF(ISBLANK(Values!F7),"","1")</f>
        <v/>
      </c>
      <c r="FO8" s="28" t="str">
        <f>IF(ISBLANK(Values!F7),"",IF(Values!K7, Values!$B$4, Values!$B$5))</f>
        <v/>
      </c>
      <c r="FP8" s="2" t="str">
        <f>IF(ISBLANK(Values!F7),"","Percent")</f>
        <v/>
      </c>
      <c r="FQ8" s="2" t="str">
        <f>IF(ISBLANK(Values!F7),"","2")</f>
        <v/>
      </c>
      <c r="FR8" s="2" t="str">
        <f>IF(ISBLANK(Values!F7),"","3")</f>
        <v/>
      </c>
      <c r="FS8" s="2" t="str">
        <f>IF(ISBLANK(Values!F7),"","5")</f>
        <v/>
      </c>
      <c r="FT8" s="2" t="str">
        <f>IF(ISBLANK(Values!F7),"","6")</f>
        <v/>
      </c>
      <c r="FU8" s="2" t="str">
        <f>IF(ISBLANK(Values!F7),"","10")</f>
        <v/>
      </c>
      <c r="FV8" s="2" t="str">
        <f>IF(ISBLANK(Values!F7),"","10")</f>
        <v/>
      </c>
      <c r="GK8" s="61" t="str">
        <f>K8</f>
        <v/>
      </c>
    </row>
    <row r="9" spans="1:193" ht="17" x14ac:dyDescent="0.2">
      <c r="A9" s="2" t="str">
        <f>IF(ISBLANK(Values!F8),"",IF(Values!$B$37="EU","computercomponent","computer"))</f>
        <v/>
      </c>
      <c r="B9" s="34" t="str">
        <f>IF(ISBLANK(Values!F8),"",Values!G8)</f>
        <v/>
      </c>
      <c r="C9" s="30" t="str">
        <f>IF(ISBLANK(Values!F8),"","TellusRem")</f>
        <v/>
      </c>
      <c r="D9" s="29" t="str">
        <f>IF(ISBLANK(Values!F8),"",Values!F8)</f>
        <v/>
      </c>
      <c r="E9" s="2" t="str">
        <f>IF(ISBLANK(Values!F8),"","EAN")</f>
        <v/>
      </c>
      <c r="F9" s="28" t="str">
        <f>IF(ISBLANK(Values!F8),"",IF(Values!K8, SUBSTITUTE(Values!$B$1, "{language}", Values!I8) &amp; " " &amp;Values!$B$3, SUBSTITUTE(Values!$B$2, "{language}", Values!$I8) &amp; " " &amp;Values!$B$3))</f>
        <v/>
      </c>
      <c r="G9" s="30" t="str">
        <f>IF(ISBLANK(Values!F8),"","TellusRem")</f>
        <v/>
      </c>
      <c r="H9" s="2" t="str">
        <f>IF(ISBLANK(Values!F8),"",Values!$B$16)</f>
        <v/>
      </c>
      <c r="I9" s="2" t="str">
        <f>IF(ISBLANK(Values!F8),"","4730574031")</f>
        <v/>
      </c>
      <c r="J9" s="32" t="str">
        <f>IF(ISBLANK(Values!F8),"",Values!G8 )</f>
        <v/>
      </c>
      <c r="K9" s="28" t="str">
        <f>IF(ISBLANK(Values!F8),"",IF(Values!K8, Values!$B$4, Values!$B$5))</f>
        <v/>
      </c>
      <c r="L9" s="28" t="str">
        <f>IF(ISBLANK(Values!F8),"",IF($CO9="DEFAULT", Values!$B$18, ""))</f>
        <v/>
      </c>
      <c r="M9" s="28" t="str">
        <f>IF(ISBLANK(Values!F8),"",Values!$N8)</f>
        <v/>
      </c>
      <c r="N9" s="28" t="str">
        <f>IF(ISBLANK(Values!$G8),"",Values!O8)</f>
        <v/>
      </c>
      <c r="O9" s="28" t="str">
        <f>IF(ISBLANK(Values!$G8),"",Values!P8)</f>
        <v/>
      </c>
      <c r="P9" s="28" t="str">
        <f>IF(ISBLANK(Values!$G8),"",Values!Q8)</f>
        <v/>
      </c>
      <c r="Q9" s="28" t="str">
        <f>IF(ISBLANK(Values!$G8),"",Values!R8)</f>
        <v/>
      </c>
      <c r="R9" s="28" t="str">
        <f>IF(ISBLANK(Values!$G8),"",Values!S8)</f>
        <v/>
      </c>
      <c r="S9" s="28" t="str">
        <f>IF(ISBLANK(Values!$G8),"",Values!T8)</f>
        <v/>
      </c>
      <c r="T9" s="28" t="str">
        <f>IF(ISBLANK(Values!$G8),"",Values!U8)</f>
        <v/>
      </c>
      <c r="U9" s="28" t="str">
        <f>IF(ISBLANK(Values!$G8),"",Values!V8)</f>
        <v/>
      </c>
      <c r="W9" s="30" t="str">
        <f>IF(ISBLANK(Values!F8),"","Child")</f>
        <v/>
      </c>
      <c r="X9" s="30" t="str">
        <f>IF(ISBLANK(Values!F8),"",Values!$B$13)</f>
        <v/>
      </c>
      <c r="Y9" s="32" t="str">
        <f>IF(ISBLANK(Values!F8),"","Size-Color")</f>
        <v/>
      </c>
      <c r="Z9" s="30" t="str">
        <f>IF(ISBLANK(Values!F8),"","variation")</f>
        <v/>
      </c>
      <c r="AA9" s="2" t="str">
        <f>IF(ISBLANK(Values!F8),"",Values!$B$20)</f>
        <v/>
      </c>
      <c r="AB9" s="2" t="str">
        <f>IF(ISBLANK(Values!F8),"",Values!$B$29)</f>
        <v/>
      </c>
      <c r="AI9" s="35" t="str">
        <f>IF(ISBLANK(Values!F8),"",IF(Values!J8,Values!$B$23,Values!$B$33))</f>
        <v/>
      </c>
      <c r="AJ9" s="33" t="str">
        <f>IF(ISBLANK(Values!F8),"",Values!$B$24 &amp;" "&amp;Values!$B$3)</f>
        <v/>
      </c>
      <c r="AK9" s="2" t="str">
        <f>IF(ISBLANK(Values!F8),"",Values!$B$25)</f>
        <v/>
      </c>
      <c r="AL9" s="2" t="str">
        <f>IF(ISBLANK(Values!F8),"",SUBSTITUTE(SUBSTITUTE(IF(Values!$K8, Values!$B$26, Values!$B$33), "{language}", Values!$I8), "{flag}", INDEX(options!$E$1:$E$20, Values!$W8)))</f>
        <v/>
      </c>
      <c r="AM9" s="2" t="str">
        <f>SUBSTITUTE(IF(ISBLANK(Values!F8),"",Values!$B$27), "{model}", Values!$B$3)</f>
        <v/>
      </c>
      <c r="AT9" s="28" t="str">
        <f>IF(ISBLANK(Values!F8),"",Values!I8)</f>
        <v/>
      </c>
      <c r="AV9" s="2" t="str">
        <f>IF(ISBLANK(Values!F8),"",IF(Values!K8,"Backlit", "Non-Backlit"))</f>
        <v/>
      </c>
      <c r="BE9" s="2" t="str">
        <f>IF(ISBLANK(Values!F8),"","Professional Audience")</f>
        <v/>
      </c>
      <c r="BF9" s="2" t="str">
        <f>IF(ISBLANK(Values!F8),"","Consumer Audience")</f>
        <v/>
      </c>
      <c r="BG9" s="2" t="str">
        <f>IF(ISBLANK(Values!F8),"","Adults")</f>
        <v/>
      </c>
      <c r="BH9" s="2" t="str">
        <f>IF(ISBLANK(Values!F8),"","People")</f>
        <v/>
      </c>
      <c r="CG9" s="2" t="str">
        <f>IF(ISBLANK(Values!F8),"",Values!$B$11)</f>
        <v/>
      </c>
      <c r="CH9" s="2" t="str">
        <f>IF(ISBLANK(Values!F8),"","GR")</f>
        <v/>
      </c>
      <c r="CI9" s="2" t="str">
        <f>IF(ISBLANK(Values!F8),"",Values!$B$7)</f>
        <v/>
      </c>
      <c r="CJ9" s="2" t="str">
        <f>IF(ISBLANK(Values!F8),"",Values!$B$8)</f>
        <v/>
      </c>
      <c r="CK9" s="2" t="str">
        <f>IF(ISBLANK(Values!F8),"",Values!$B$9)</f>
        <v/>
      </c>
      <c r="CL9" s="2" t="str">
        <f>IF(ISBLANK(Values!F8),"","CM")</f>
        <v/>
      </c>
      <c r="CO9" s="2" t="str">
        <f>IF(ISBLANK(Values!F8), "", IF(AND(Values!$B$37=options!$G$2, Values!$C8), "AMAZON_NA", IF(AND(Values!$B$37=options!$G$1, Values!$D8), "AMAZON_EU", "DEFAULT")))</f>
        <v/>
      </c>
      <c r="CP9" s="2" t="str">
        <f>IF(ISBLANK(Values!F8),"",Values!$B$7)</f>
        <v/>
      </c>
      <c r="CQ9" s="2" t="str">
        <f>IF(ISBLANK(Values!F8),"",Values!$B$8)</f>
        <v/>
      </c>
      <c r="CR9" s="2" t="str">
        <f>IF(ISBLANK(Values!F8),"",Values!$B$9)</f>
        <v/>
      </c>
      <c r="CS9" s="2" t="str">
        <f>IF(ISBLANK(Values!F8),"",Values!$B$11)</f>
        <v/>
      </c>
      <c r="CT9" s="2" t="str">
        <f>IF(ISBLANK(Values!F8),"","GR")</f>
        <v/>
      </c>
      <c r="CU9" s="2" t="str">
        <f>IF(ISBLANK(Values!F8),"","CM")</f>
        <v/>
      </c>
      <c r="CV9" s="2" t="str">
        <f>IF(ISBLANK(Values!F8),"",IF(Values!$B$36=options!$F$1,"Denmark", IF(Values!$B$36=options!$F$2, "Danemark",IF(Values!$B$36=options!$F$3, "Dänemark",IF(Values!$B$36=options!$F$4, "Danimarca",IF(Values!$B$36=options!$F$5, "Dinamarca",IF(Values!$B$36=options!$F$6, "Denemarken","" ) ) ) ) )))</f>
        <v/>
      </c>
      <c r="CZ9" s="2" t="str">
        <f>IF(ISBLANK(Values!F8),"","No")</f>
        <v/>
      </c>
      <c r="DA9" s="2" t="str">
        <f>IF(ISBLANK(Values!F8),"","No")</f>
        <v/>
      </c>
      <c r="DO9" s="2" t="str">
        <f>IF(ISBLANK(Values!F8),"","Parts")</f>
        <v/>
      </c>
      <c r="DP9" s="2" t="str">
        <f>IF(ISBLANK(Values!F8),"",Values!$B$31)</f>
        <v/>
      </c>
      <c r="DY9" t="str">
        <f>IF(ISBLANK(Values!$F8), "", "not_applicable")</f>
        <v/>
      </c>
      <c r="EI9" s="2" t="str">
        <f>IF(ISBLANK(Values!F8),"",Values!$B$31)</f>
        <v/>
      </c>
      <c r="ES9" s="2" t="str">
        <f>IF(ISBLANK(Values!F8),"","Amazon Tellus UPS")</f>
        <v/>
      </c>
      <c r="EV9" s="2" t="str">
        <f>IF(ISBLANK(Values!F8),"","New")</f>
        <v/>
      </c>
      <c r="FE9" s="2" t="str">
        <f>IF(ISBLANK(Values!F8),"",IF(CO9&lt;&gt;"DEFAULT", "", 3))</f>
        <v/>
      </c>
      <c r="FH9" s="2" t="str">
        <f>IF(ISBLANK(Values!F8),"","FALSE")</f>
        <v/>
      </c>
      <c r="FI9" s="2" t="str">
        <f>IF(ISBLANK(Values!F8),"","FALSE")</f>
        <v/>
      </c>
      <c r="FJ9" s="2" t="str">
        <f>IF(ISBLANK(Values!F8),"","FALSE")</f>
        <v/>
      </c>
      <c r="FM9" s="2" t="str">
        <f>IF(ISBLANK(Values!F8),"","1")</f>
        <v/>
      </c>
      <c r="FO9" s="28" t="str">
        <f>IF(ISBLANK(Values!F8),"",IF(Values!K8, Values!$B$4, Values!$B$5))</f>
        <v/>
      </c>
      <c r="FP9" s="2" t="str">
        <f>IF(ISBLANK(Values!F8),"","Percent")</f>
        <v/>
      </c>
      <c r="FQ9" s="2" t="str">
        <f>IF(ISBLANK(Values!F8),"","2")</f>
        <v/>
      </c>
      <c r="FR9" s="2" t="str">
        <f>IF(ISBLANK(Values!F8),"","3")</f>
        <v/>
      </c>
      <c r="FS9" s="2" t="str">
        <f>IF(ISBLANK(Values!F8),"","5")</f>
        <v/>
      </c>
      <c r="FT9" s="2" t="str">
        <f>IF(ISBLANK(Values!F8),"","6")</f>
        <v/>
      </c>
      <c r="FU9" s="2" t="str">
        <f>IF(ISBLANK(Values!F8),"","10")</f>
        <v/>
      </c>
      <c r="FV9" s="2" t="str">
        <f>IF(ISBLANK(Values!F8),"","10")</f>
        <v/>
      </c>
      <c r="GK9" s="61" t="str">
        <f>K9</f>
        <v/>
      </c>
    </row>
    <row r="10" spans="1:193" ht="17" x14ac:dyDescent="0.2">
      <c r="A10" s="2" t="str">
        <f>IF(ISBLANK(Values!F9),"",IF(Values!$B$37="EU","computercomponent","computer"))</f>
        <v/>
      </c>
      <c r="B10" s="34" t="str">
        <f>IF(ISBLANK(Values!F9),"",Values!G9)</f>
        <v/>
      </c>
      <c r="C10" s="30" t="str">
        <f>IF(ISBLANK(Values!F9),"","TellusRem")</f>
        <v/>
      </c>
      <c r="D10" s="29" t="str">
        <f>IF(ISBLANK(Values!F9),"",Values!F9)</f>
        <v/>
      </c>
      <c r="E10" s="2" t="str">
        <f>IF(ISBLANK(Values!F9),"","EAN")</f>
        <v/>
      </c>
      <c r="F10" s="28" t="str">
        <f>IF(ISBLANK(Values!F9),"",IF(Values!K9, SUBSTITUTE(Values!$B$1, "{language}", Values!I9) &amp; " " &amp;Values!$B$3, SUBSTITUTE(Values!$B$2, "{language}", Values!$I9) &amp; " " &amp;Values!$B$3))</f>
        <v/>
      </c>
      <c r="G10" s="30" t="str">
        <f>IF(ISBLANK(Values!F9),"","TellusRem")</f>
        <v/>
      </c>
      <c r="H10" s="2" t="str">
        <f>IF(ISBLANK(Values!F9),"",Values!$B$16)</f>
        <v/>
      </c>
      <c r="I10" s="2" t="str">
        <f>IF(ISBLANK(Values!F9),"","4730574031")</f>
        <v/>
      </c>
      <c r="J10" s="32" t="str">
        <f>IF(ISBLANK(Values!F9),"",Values!G9 )</f>
        <v/>
      </c>
      <c r="K10" s="28" t="str">
        <f>IF(ISBLANK(Values!F9),"",IF(Values!K9, Values!$B$4, Values!$B$5))</f>
        <v/>
      </c>
      <c r="L10" s="28" t="str">
        <f>IF(ISBLANK(Values!F9),"",IF($CO10="DEFAULT", Values!$B$18, ""))</f>
        <v/>
      </c>
      <c r="M10" s="28" t="str">
        <f>IF(ISBLANK(Values!F9),"",Values!$N9)</f>
        <v/>
      </c>
      <c r="N10" s="28" t="str">
        <f>IF(ISBLANK(Values!$G9),"",Values!O9)</f>
        <v/>
      </c>
      <c r="O10" s="28" t="str">
        <f>IF(ISBLANK(Values!$G9),"",Values!P9)</f>
        <v/>
      </c>
      <c r="P10" s="28" t="str">
        <f>IF(ISBLANK(Values!$G9),"",Values!Q9)</f>
        <v/>
      </c>
      <c r="Q10" s="28" t="str">
        <f>IF(ISBLANK(Values!$G9),"",Values!R9)</f>
        <v/>
      </c>
      <c r="R10" s="28" t="str">
        <f>IF(ISBLANK(Values!$G9),"",Values!S9)</f>
        <v/>
      </c>
      <c r="S10" s="28" t="str">
        <f>IF(ISBLANK(Values!$G9),"",Values!T9)</f>
        <v/>
      </c>
      <c r="T10" s="28" t="str">
        <f>IF(ISBLANK(Values!$G9),"",Values!U9)</f>
        <v/>
      </c>
      <c r="U10" s="28" t="str">
        <f>IF(ISBLANK(Values!$G9),"",Values!V9)</f>
        <v/>
      </c>
      <c r="W10" s="30" t="str">
        <f>IF(ISBLANK(Values!F9),"","Child")</f>
        <v/>
      </c>
      <c r="X10" s="30" t="str">
        <f>IF(ISBLANK(Values!F9),"",Values!$B$13)</f>
        <v/>
      </c>
      <c r="Y10" s="32" t="str">
        <f>IF(ISBLANK(Values!F9),"","Size-Color")</f>
        <v/>
      </c>
      <c r="Z10" s="30" t="str">
        <f>IF(ISBLANK(Values!F9),"","variation")</f>
        <v/>
      </c>
      <c r="AA10" s="2" t="str">
        <f>IF(ISBLANK(Values!F9),"",Values!$B$20)</f>
        <v/>
      </c>
      <c r="AB10" s="2" t="str">
        <f>IF(ISBLANK(Values!F9),"",Values!$B$29)</f>
        <v/>
      </c>
      <c r="AI10" s="35" t="str">
        <f>IF(ISBLANK(Values!F9),"",IF(Values!J9,Values!$B$23,Values!$B$33))</f>
        <v/>
      </c>
      <c r="AJ10" s="33" t="str">
        <f>IF(ISBLANK(Values!F9),"",Values!$B$24 &amp;" "&amp;Values!$B$3)</f>
        <v/>
      </c>
      <c r="AK10" s="2" t="str">
        <f>IF(ISBLANK(Values!F9),"",Values!$B$25)</f>
        <v/>
      </c>
      <c r="AL10" s="2" t="str">
        <f>IF(ISBLANK(Values!F9),"",SUBSTITUTE(SUBSTITUTE(IF(Values!$K9, Values!$B$26, Values!$B$33), "{language}", Values!$I9), "{flag}", INDEX(options!$E$1:$E$20, Values!$W9)))</f>
        <v/>
      </c>
      <c r="AM10" s="2" t="str">
        <f>SUBSTITUTE(IF(ISBLANK(Values!F9),"",Values!$B$27), "{model}", Values!$B$3)</f>
        <v/>
      </c>
      <c r="AT10" s="28" t="str">
        <f>IF(ISBLANK(Values!F9),"",Values!I9)</f>
        <v/>
      </c>
      <c r="AV10" s="2" t="str">
        <f>IF(ISBLANK(Values!F9),"",IF(Values!K9,"Backlit", "Non-Backlit"))</f>
        <v/>
      </c>
      <c r="BE10" s="2" t="str">
        <f>IF(ISBLANK(Values!F9),"","Professional Audience")</f>
        <v/>
      </c>
      <c r="BF10" s="2" t="str">
        <f>IF(ISBLANK(Values!F9),"","Consumer Audience")</f>
        <v/>
      </c>
      <c r="BG10" s="2" t="str">
        <f>IF(ISBLANK(Values!F9),"","Adults")</f>
        <v/>
      </c>
      <c r="BH10" s="2" t="str">
        <f>IF(ISBLANK(Values!F9),"","People")</f>
        <v/>
      </c>
      <c r="CG10" s="2" t="str">
        <f>IF(ISBLANK(Values!F9),"",Values!$B$11)</f>
        <v/>
      </c>
      <c r="CH10" s="2" t="str">
        <f>IF(ISBLANK(Values!F9),"","GR")</f>
        <v/>
      </c>
      <c r="CI10" s="2" t="str">
        <f>IF(ISBLANK(Values!F9),"",Values!$B$7)</f>
        <v/>
      </c>
      <c r="CJ10" s="2" t="str">
        <f>IF(ISBLANK(Values!F9),"",Values!$B$8)</f>
        <v/>
      </c>
      <c r="CK10" s="2" t="str">
        <f>IF(ISBLANK(Values!F9),"",Values!$B$9)</f>
        <v/>
      </c>
      <c r="CL10" s="2" t="str">
        <f>IF(ISBLANK(Values!F9),"","CM")</f>
        <v/>
      </c>
      <c r="CO10" s="2" t="str">
        <f>IF(ISBLANK(Values!F9), "", IF(AND(Values!$B$37=options!$G$2, Values!$C9), "AMAZON_NA", IF(AND(Values!$B$37=options!$G$1, Values!$D9), "AMAZON_EU", "DEFAULT")))</f>
        <v/>
      </c>
      <c r="CP10" s="2" t="str">
        <f>IF(ISBLANK(Values!F9),"",Values!$B$7)</f>
        <v/>
      </c>
      <c r="CQ10" s="2" t="str">
        <f>IF(ISBLANK(Values!F9),"",Values!$B$8)</f>
        <v/>
      </c>
      <c r="CR10" s="2" t="str">
        <f>IF(ISBLANK(Values!F9),"",Values!$B$9)</f>
        <v/>
      </c>
      <c r="CS10" s="2" t="str">
        <f>IF(ISBLANK(Values!F9),"",Values!$B$11)</f>
        <v/>
      </c>
      <c r="CT10" s="2" t="str">
        <f>IF(ISBLANK(Values!F9),"","GR")</f>
        <v/>
      </c>
      <c r="CU10" s="2" t="str">
        <f>IF(ISBLANK(Values!F9),"","CM")</f>
        <v/>
      </c>
      <c r="CV10" s="2" t="str">
        <f>IF(ISBLANK(Values!F9),"",IF(Values!$B$36=options!$F$1,"Denmark", IF(Values!$B$36=options!$F$2, "Danemark",IF(Values!$B$36=options!$F$3, "Dänemark",IF(Values!$B$36=options!$F$4, "Danimarca",IF(Values!$B$36=options!$F$5, "Dinamarca",IF(Values!$B$36=options!$F$6, "Denemarken","" ) ) ) ) )))</f>
        <v/>
      </c>
      <c r="CZ10" s="2" t="str">
        <f>IF(ISBLANK(Values!F9),"","No")</f>
        <v/>
      </c>
      <c r="DA10" s="2" t="str">
        <f>IF(ISBLANK(Values!F9),"","No")</f>
        <v/>
      </c>
      <c r="DO10" s="2" t="str">
        <f>IF(ISBLANK(Values!F9),"","Parts")</f>
        <v/>
      </c>
      <c r="DP10" s="2" t="str">
        <f>IF(ISBLANK(Values!F9),"",Values!$B$31)</f>
        <v/>
      </c>
      <c r="DY10" t="str">
        <f>IF(ISBLANK(Values!$F9), "", "not_applicable")</f>
        <v/>
      </c>
      <c r="EI10" s="2" t="str">
        <f>IF(ISBLANK(Values!F9),"",Values!$B$31)</f>
        <v/>
      </c>
      <c r="ES10" s="2" t="str">
        <f>IF(ISBLANK(Values!F9),"","Amazon Tellus UPS")</f>
        <v/>
      </c>
      <c r="EV10" s="2" t="str">
        <f>IF(ISBLANK(Values!F9),"","New")</f>
        <v/>
      </c>
      <c r="FE10" s="2" t="str">
        <f>IF(ISBLANK(Values!F9),"",IF(CO10&lt;&gt;"DEFAULT", "", 3))</f>
        <v/>
      </c>
      <c r="FH10" s="2" t="str">
        <f>IF(ISBLANK(Values!F9),"","FALSE")</f>
        <v/>
      </c>
      <c r="FI10" s="2" t="str">
        <f>IF(ISBLANK(Values!F9),"","FALSE")</f>
        <v/>
      </c>
      <c r="FJ10" s="2" t="str">
        <f>IF(ISBLANK(Values!F9),"","FALSE")</f>
        <v/>
      </c>
      <c r="FM10" s="2" t="str">
        <f>IF(ISBLANK(Values!F9),"","1")</f>
        <v/>
      </c>
      <c r="FO10" s="28" t="str">
        <f>IF(ISBLANK(Values!F9),"",IF(Values!K9, Values!$B$4, Values!$B$5))</f>
        <v/>
      </c>
      <c r="FP10" s="2" t="str">
        <f>IF(ISBLANK(Values!F9),"","Percent")</f>
        <v/>
      </c>
      <c r="FQ10" s="2" t="str">
        <f>IF(ISBLANK(Values!F9),"","2")</f>
        <v/>
      </c>
      <c r="FR10" s="2" t="str">
        <f>IF(ISBLANK(Values!F9),"","3")</f>
        <v/>
      </c>
      <c r="FS10" s="2" t="str">
        <f>IF(ISBLANK(Values!F9),"","5")</f>
        <v/>
      </c>
      <c r="FT10" s="2" t="str">
        <f>IF(ISBLANK(Values!F9),"","6")</f>
        <v/>
      </c>
      <c r="FU10" s="2" t="str">
        <f>IF(ISBLANK(Values!F9),"","10")</f>
        <v/>
      </c>
      <c r="FV10" s="2" t="str">
        <f>IF(ISBLANK(Values!F9),"","10")</f>
        <v/>
      </c>
      <c r="GK10" s="61" t="str">
        <f>K10</f>
        <v/>
      </c>
    </row>
    <row r="11" spans="1:193" ht="17" x14ac:dyDescent="0.2">
      <c r="A11" s="2" t="str">
        <f>IF(ISBLANK(Values!F10),"",IF(Values!$B$37="EU","computercomponent","computer"))</f>
        <v/>
      </c>
      <c r="B11" s="34" t="str">
        <f>IF(ISBLANK(Values!F10),"",Values!G10)</f>
        <v/>
      </c>
      <c r="C11" s="30" t="str">
        <f>IF(ISBLANK(Values!F10),"","TellusRem")</f>
        <v/>
      </c>
      <c r="D11" s="29" t="str">
        <f>IF(ISBLANK(Values!F10),"",Values!F10)</f>
        <v/>
      </c>
      <c r="E11" s="2" t="str">
        <f>IF(ISBLANK(Values!F10),"","EAN")</f>
        <v/>
      </c>
      <c r="F11" s="28" t="str">
        <f>IF(ISBLANK(Values!F10),"",IF(Values!K10, SUBSTITUTE(Values!$B$1, "{language}", Values!I10) &amp; " " &amp;Values!$B$3, SUBSTITUTE(Values!$B$2, "{language}", Values!$I10) &amp; " " &amp;Values!$B$3))</f>
        <v/>
      </c>
      <c r="G11" s="30" t="str">
        <f>IF(ISBLANK(Values!F10),"","TellusRem")</f>
        <v/>
      </c>
      <c r="H11" s="2" t="str">
        <f>IF(ISBLANK(Values!F10),"",Values!$B$16)</f>
        <v/>
      </c>
      <c r="I11" s="2" t="str">
        <f>IF(ISBLANK(Values!F10),"","4730574031")</f>
        <v/>
      </c>
      <c r="J11" s="32" t="str">
        <f>IF(ISBLANK(Values!F10),"",Values!G10 )</f>
        <v/>
      </c>
      <c r="K11" s="28" t="str">
        <f>IF(ISBLANK(Values!F10),"",IF(Values!K10, Values!$B$4, Values!$B$5))</f>
        <v/>
      </c>
      <c r="L11" s="28" t="str">
        <f>IF(ISBLANK(Values!F10),"",IF($CO11="DEFAULT", Values!$B$18, ""))</f>
        <v/>
      </c>
      <c r="M11" s="28" t="str">
        <f>IF(ISBLANK(Values!F10),"",Values!$N10)</f>
        <v/>
      </c>
      <c r="N11" s="28" t="str">
        <f>IF(ISBLANK(Values!$G10),"",Values!O10)</f>
        <v/>
      </c>
      <c r="O11" s="28" t="str">
        <f>IF(ISBLANK(Values!$G10),"",Values!P10)</f>
        <v/>
      </c>
      <c r="P11" s="28" t="str">
        <f>IF(ISBLANK(Values!$G10),"",Values!Q10)</f>
        <v/>
      </c>
      <c r="Q11" s="28" t="str">
        <f>IF(ISBLANK(Values!$G10),"",Values!R10)</f>
        <v/>
      </c>
      <c r="R11" s="28" t="str">
        <f>IF(ISBLANK(Values!$G10),"",Values!S10)</f>
        <v/>
      </c>
      <c r="S11" s="28" t="str">
        <f>IF(ISBLANK(Values!$G10),"",Values!T10)</f>
        <v/>
      </c>
      <c r="T11" s="28" t="str">
        <f>IF(ISBLANK(Values!$G10),"",Values!U10)</f>
        <v/>
      </c>
      <c r="U11" s="28" t="str">
        <f>IF(ISBLANK(Values!$G10),"",Values!V10)</f>
        <v/>
      </c>
      <c r="W11" s="30" t="str">
        <f>IF(ISBLANK(Values!F10),"","Child")</f>
        <v/>
      </c>
      <c r="X11" s="30" t="str">
        <f>IF(ISBLANK(Values!F10),"",Values!$B$13)</f>
        <v/>
      </c>
      <c r="Y11" s="32" t="str">
        <f>IF(ISBLANK(Values!F10),"","Size-Color")</f>
        <v/>
      </c>
      <c r="Z11" s="30" t="str">
        <f>IF(ISBLANK(Values!F10),"","variation")</f>
        <v/>
      </c>
      <c r="AA11" s="2" t="str">
        <f>IF(ISBLANK(Values!F10),"",Values!$B$20)</f>
        <v/>
      </c>
      <c r="AB11" s="2" t="str">
        <f>IF(ISBLANK(Values!F10),"",Values!$B$29)</f>
        <v/>
      </c>
      <c r="AI11" s="35" t="str">
        <f>IF(ISBLANK(Values!F10),"",IF(Values!J10,Values!$B$23,Values!$B$33))</f>
        <v/>
      </c>
      <c r="AJ11" s="33" t="str">
        <f>IF(ISBLANK(Values!F10),"",Values!$B$24 &amp;" "&amp;Values!$B$3)</f>
        <v/>
      </c>
      <c r="AK11" s="2" t="str">
        <f>IF(ISBLANK(Values!F10),"",Values!$B$25)</f>
        <v/>
      </c>
      <c r="AL11" s="2" t="str">
        <f>IF(ISBLANK(Values!F10),"",SUBSTITUTE(SUBSTITUTE(IF(Values!$K10, Values!$B$26, Values!$B$33), "{language}", Values!$I10), "{flag}", INDEX(options!$E$1:$E$20, Values!$W10)))</f>
        <v/>
      </c>
      <c r="AM11" s="2" t="str">
        <f>SUBSTITUTE(IF(ISBLANK(Values!F10),"",Values!$B$27), "{model}", Values!$B$3)</f>
        <v/>
      </c>
      <c r="AT11" s="28" t="str">
        <f>IF(ISBLANK(Values!F10),"",Values!I10)</f>
        <v/>
      </c>
      <c r="AV11" s="2" t="str">
        <f>IF(ISBLANK(Values!F10),"",IF(Values!K10,"Backlit", "Non-Backlit"))</f>
        <v/>
      </c>
      <c r="BE11" s="2" t="str">
        <f>IF(ISBLANK(Values!F10),"","Professional Audience")</f>
        <v/>
      </c>
      <c r="BF11" s="2" t="str">
        <f>IF(ISBLANK(Values!F10),"","Consumer Audience")</f>
        <v/>
      </c>
      <c r="BG11" s="2" t="str">
        <f>IF(ISBLANK(Values!F10),"","Adults")</f>
        <v/>
      </c>
      <c r="BH11" s="2" t="str">
        <f>IF(ISBLANK(Values!F10),"","People")</f>
        <v/>
      </c>
      <c r="CG11" s="2" t="str">
        <f>IF(ISBLANK(Values!F10),"",Values!$B$11)</f>
        <v/>
      </c>
      <c r="CH11" s="2" t="str">
        <f>IF(ISBLANK(Values!F10),"","GR")</f>
        <v/>
      </c>
      <c r="CI11" s="2" t="str">
        <f>IF(ISBLANK(Values!F10),"",Values!$B$7)</f>
        <v/>
      </c>
      <c r="CJ11" s="2" t="str">
        <f>IF(ISBLANK(Values!F10),"",Values!$B$8)</f>
        <v/>
      </c>
      <c r="CK11" s="2" t="str">
        <f>IF(ISBLANK(Values!F10),"",Values!$B$9)</f>
        <v/>
      </c>
      <c r="CL11" s="2" t="str">
        <f>IF(ISBLANK(Values!F10),"","CM")</f>
        <v/>
      </c>
      <c r="CO11" s="2" t="str">
        <f>IF(ISBLANK(Values!F10), "", IF(AND(Values!$B$37=options!$G$2, Values!$C10), "AMAZON_NA", IF(AND(Values!$B$37=options!$G$1, Values!$D10), "AMAZON_EU", "DEFAULT")))</f>
        <v/>
      </c>
      <c r="CP11" s="2" t="str">
        <f>IF(ISBLANK(Values!F10),"",Values!$B$7)</f>
        <v/>
      </c>
      <c r="CQ11" s="2" t="str">
        <f>IF(ISBLANK(Values!F10),"",Values!$B$8)</f>
        <v/>
      </c>
      <c r="CR11" s="2" t="str">
        <f>IF(ISBLANK(Values!F10),"",Values!$B$9)</f>
        <v/>
      </c>
      <c r="CS11" s="2" t="str">
        <f>IF(ISBLANK(Values!F10),"",Values!$B$11)</f>
        <v/>
      </c>
      <c r="CT11" s="2" t="str">
        <f>IF(ISBLANK(Values!F10),"","GR")</f>
        <v/>
      </c>
      <c r="CU11" s="2" t="str">
        <f>IF(ISBLANK(Values!F10),"","CM")</f>
        <v/>
      </c>
      <c r="CV11" s="2" t="str">
        <f>IF(ISBLANK(Values!F10),"",IF(Values!$B$36=options!$F$1,"Denmark", IF(Values!$B$36=options!$F$2, "Danemark",IF(Values!$B$36=options!$F$3, "Dänemark",IF(Values!$B$36=options!$F$4, "Danimarca",IF(Values!$B$36=options!$F$5, "Dinamarca",IF(Values!$B$36=options!$F$6, "Denemarken","" ) ) ) ) )))</f>
        <v/>
      </c>
      <c r="CZ11" s="2" t="str">
        <f>IF(ISBLANK(Values!F10),"","No")</f>
        <v/>
      </c>
      <c r="DA11" s="2" t="str">
        <f>IF(ISBLANK(Values!F10),"","No")</f>
        <v/>
      </c>
      <c r="DO11" s="2" t="str">
        <f>IF(ISBLANK(Values!F10),"","Parts")</f>
        <v/>
      </c>
      <c r="DP11" s="2" t="str">
        <f>IF(ISBLANK(Values!F10),"",Values!$B$31)</f>
        <v/>
      </c>
      <c r="DY11" t="str">
        <f>IF(ISBLANK(Values!$F10), "", "not_applicable")</f>
        <v/>
      </c>
      <c r="EI11" s="2" t="str">
        <f>IF(ISBLANK(Values!F10),"",Values!$B$31)</f>
        <v/>
      </c>
      <c r="ES11" s="2" t="str">
        <f>IF(ISBLANK(Values!F10),"","Amazon Tellus UPS")</f>
        <v/>
      </c>
      <c r="EV11" s="2" t="str">
        <f>IF(ISBLANK(Values!F10),"","New")</f>
        <v/>
      </c>
      <c r="FE11" s="2" t="str">
        <f>IF(ISBLANK(Values!F10),"",IF(CO11&lt;&gt;"DEFAULT", "", 3))</f>
        <v/>
      </c>
      <c r="FH11" s="2" t="str">
        <f>IF(ISBLANK(Values!F10),"","FALSE")</f>
        <v/>
      </c>
      <c r="FI11" s="2" t="str">
        <f>IF(ISBLANK(Values!F10),"","FALSE")</f>
        <v/>
      </c>
      <c r="FJ11" s="2" t="str">
        <f>IF(ISBLANK(Values!F10),"","FALSE")</f>
        <v/>
      </c>
      <c r="FM11" s="2" t="str">
        <f>IF(ISBLANK(Values!F10),"","1")</f>
        <v/>
      </c>
      <c r="FO11" s="28" t="str">
        <f>IF(ISBLANK(Values!F10),"",IF(Values!K10, Values!$B$4, Values!$B$5))</f>
        <v/>
      </c>
      <c r="FP11" s="2" t="str">
        <f>IF(ISBLANK(Values!F10),"","Percent")</f>
        <v/>
      </c>
      <c r="FQ11" s="2" t="str">
        <f>IF(ISBLANK(Values!F10),"","2")</f>
        <v/>
      </c>
      <c r="FR11" s="2" t="str">
        <f>IF(ISBLANK(Values!F10),"","3")</f>
        <v/>
      </c>
      <c r="FS11" s="2" t="str">
        <f>IF(ISBLANK(Values!F10),"","5")</f>
        <v/>
      </c>
      <c r="FT11" s="2" t="str">
        <f>IF(ISBLANK(Values!F10),"","6")</f>
        <v/>
      </c>
      <c r="FU11" s="2" t="str">
        <f>IF(ISBLANK(Values!F10),"","10")</f>
        <v/>
      </c>
      <c r="FV11" s="2" t="str">
        <f>IF(ISBLANK(Values!F10),"","10")</f>
        <v/>
      </c>
      <c r="GK11" s="61" t="str">
        <f>K11</f>
        <v/>
      </c>
    </row>
    <row r="12" spans="1:193" ht="17" x14ac:dyDescent="0.2">
      <c r="A12" s="2" t="str">
        <f>IF(ISBLANK(Values!F11),"",IF(Values!$B$37="EU","computercomponent","computer"))</f>
        <v/>
      </c>
      <c r="B12" s="34" t="str">
        <f>IF(ISBLANK(Values!F11),"",Values!G11)</f>
        <v/>
      </c>
      <c r="C12" s="30" t="str">
        <f>IF(ISBLANK(Values!F11),"","TellusRem")</f>
        <v/>
      </c>
      <c r="D12" s="29" t="str">
        <f>IF(ISBLANK(Values!F11),"",Values!F11)</f>
        <v/>
      </c>
      <c r="E12" s="2" t="str">
        <f>IF(ISBLANK(Values!F11),"","EAN")</f>
        <v/>
      </c>
      <c r="F12" s="28" t="str">
        <f>IF(ISBLANK(Values!F11),"",IF(Values!K11, SUBSTITUTE(Values!$B$1, "{language}", Values!I11) &amp; " " &amp;Values!$B$3, SUBSTITUTE(Values!$B$2, "{language}", Values!$I11) &amp; " " &amp;Values!$B$3))</f>
        <v/>
      </c>
      <c r="G12" s="30" t="str">
        <f>IF(ISBLANK(Values!F11),"","TellusRem")</f>
        <v/>
      </c>
      <c r="H12" s="2" t="str">
        <f>IF(ISBLANK(Values!F11),"",Values!$B$16)</f>
        <v/>
      </c>
      <c r="I12" s="2" t="str">
        <f>IF(ISBLANK(Values!F11),"","4730574031")</f>
        <v/>
      </c>
      <c r="J12" s="32" t="str">
        <f>IF(ISBLANK(Values!F11),"",Values!G11 )</f>
        <v/>
      </c>
      <c r="K12" s="28" t="str">
        <f>IF(ISBLANK(Values!F11),"",IF(Values!K11, Values!$B$4, Values!$B$5))</f>
        <v/>
      </c>
      <c r="L12" s="28" t="str">
        <f>IF(ISBLANK(Values!F11),"",IF($CO12="DEFAULT", Values!$B$18, ""))</f>
        <v/>
      </c>
      <c r="M12" s="28" t="str">
        <f>IF(ISBLANK(Values!F11),"",Values!$N11)</f>
        <v/>
      </c>
      <c r="N12" s="28" t="str">
        <f>IF(ISBLANK(Values!$G11),"",Values!O11)</f>
        <v/>
      </c>
      <c r="O12" s="28" t="str">
        <f>IF(ISBLANK(Values!$G11),"",Values!P11)</f>
        <v/>
      </c>
      <c r="P12" s="28" t="str">
        <f>IF(ISBLANK(Values!$G11),"",Values!Q11)</f>
        <v/>
      </c>
      <c r="Q12" s="28" t="str">
        <f>IF(ISBLANK(Values!$G11),"",Values!R11)</f>
        <v/>
      </c>
      <c r="R12" s="28" t="str">
        <f>IF(ISBLANK(Values!$G11),"",Values!S11)</f>
        <v/>
      </c>
      <c r="S12" s="28" t="str">
        <f>IF(ISBLANK(Values!$G11),"",Values!T11)</f>
        <v/>
      </c>
      <c r="T12" s="28" t="str">
        <f>IF(ISBLANK(Values!$G11),"",Values!U11)</f>
        <v/>
      </c>
      <c r="U12" s="28" t="str">
        <f>IF(ISBLANK(Values!$G11),"",Values!V11)</f>
        <v/>
      </c>
      <c r="W12" s="30" t="str">
        <f>IF(ISBLANK(Values!F11),"","Child")</f>
        <v/>
      </c>
      <c r="X12" s="30" t="str">
        <f>IF(ISBLANK(Values!F11),"",Values!$B$13)</f>
        <v/>
      </c>
      <c r="Y12" s="32" t="str">
        <f>IF(ISBLANK(Values!F11),"","Size-Color")</f>
        <v/>
      </c>
      <c r="Z12" s="30" t="str">
        <f>IF(ISBLANK(Values!F11),"","variation")</f>
        <v/>
      </c>
      <c r="AA12" s="2" t="str">
        <f>IF(ISBLANK(Values!F11),"",Values!$B$20)</f>
        <v/>
      </c>
      <c r="AB12" s="2" t="str">
        <f>IF(ISBLANK(Values!F11),"",Values!$B$29)</f>
        <v/>
      </c>
      <c r="AI12" s="35" t="str">
        <f>IF(ISBLANK(Values!F11),"",IF(Values!J11,Values!$B$23,Values!$B$33))</f>
        <v/>
      </c>
      <c r="AJ12" s="33" t="str">
        <f>IF(ISBLANK(Values!F11),"",Values!$B$24 &amp;" "&amp;Values!$B$3)</f>
        <v/>
      </c>
      <c r="AK12" s="2" t="str">
        <f>IF(ISBLANK(Values!F11),"",Values!$B$25)</f>
        <v/>
      </c>
      <c r="AL12" s="2" t="str">
        <f>IF(ISBLANK(Values!F11),"",SUBSTITUTE(SUBSTITUTE(IF(Values!$K11, Values!$B$26, Values!$B$33), "{language}", Values!$I11), "{flag}", INDEX(options!$E$1:$E$20, Values!$W11)))</f>
        <v/>
      </c>
      <c r="AM12" s="2" t="str">
        <f>SUBSTITUTE(IF(ISBLANK(Values!F11),"",Values!$B$27), "{model}", Values!$B$3)</f>
        <v/>
      </c>
      <c r="AT12" s="28" t="str">
        <f>IF(ISBLANK(Values!F11),"",Values!I11)</f>
        <v/>
      </c>
      <c r="AV12" s="2" t="str">
        <f>IF(ISBLANK(Values!F11),"",IF(Values!K11,"Backlit", "Non-Backlit"))</f>
        <v/>
      </c>
      <c r="BE12" s="2" t="str">
        <f>IF(ISBLANK(Values!F11),"","Professional Audience")</f>
        <v/>
      </c>
      <c r="BF12" s="2" t="str">
        <f>IF(ISBLANK(Values!F11),"","Consumer Audience")</f>
        <v/>
      </c>
      <c r="BG12" s="2" t="str">
        <f>IF(ISBLANK(Values!F11),"","Adults")</f>
        <v/>
      </c>
      <c r="BH12" s="2" t="str">
        <f>IF(ISBLANK(Values!F11),"","People")</f>
        <v/>
      </c>
      <c r="CG12" s="2" t="str">
        <f>IF(ISBLANK(Values!F11),"",Values!$B$11)</f>
        <v/>
      </c>
      <c r="CH12" s="2" t="str">
        <f>IF(ISBLANK(Values!F11),"","GR")</f>
        <v/>
      </c>
      <c r="CI12" s="2" t="str">
        <f>IF(ISBLANK(Values!F11),"",Values!$B$7)</f>
        <v/>
      </c>
      <c r="CJ12" s="2" t="str">
        <f>IF(ISBLANK(Values!F11),"",Values!$B$8)</f>
        <v/>
      </c>
      <c r="CK12" s="2" t="str">
        <f>IF(ISBLANK(Values!F11),"",Values!$B$9)</f>
        <v/>
      </c>
      <c r="CL12" s="2" t="str">
        <f>IF(ISBLANK(Values!F11),"","CM")</f>
        <v/>
      </c>
      <c r="CO12" s="2" t="str">
        <f>IF(ISBLANK(Values!F11), "", IF(AND(Values!$B$37=options!$G$2, Values!$C11), "AMAZON_NA", IF(AND(Values!$B$37=options!$G$1, Values!$D11), "AMAZON_EU", "DEFAULT")))</f>
        <v/>
      </c>
      <c r="CP12" s="2" t="str">
        <f>IF(ISBLANK(Values!F11),"",Values!$B$7)</f>
        <v/>
      </c>
      <c r="CQ12" s="2" t="str">
        <f>IF(ISBLANK(Values!F11),"",Values!$B$8)</f>
        <v/>
      </c>
      <c r="CR12" s="2" t="str">
        <f>IF(ISBLANK(Values!F11),"",Values!$B$9)</f>
        <v/>
      </c>
      <c r="CS12" s="2" t="str">
        <f>IF(ISBLANK(Values!F11),"",Values!$B$11)</f>
        <v/>
      </c>
      <c r="CT12" s="2" t="str">
        <f>IF(ISBLANK(Values!F11),"","GR")</f>
        <v/>
      </c>
      <c r="CU12" s="2" t="str">
        <f>IF(ISBLANK(Values!F11),"","CM")</f>
        <v/>
      </c>
      <c r="CV12" s="2" t="str">
        <f>IF(ISBLANK(Values!F11),"",IF(Values!$B$36=options!$F$1,"Denmark", IF(Values!$B$36=options!$F$2, "Danemark",IF(Values!$B$36=options!$F$3, "Dänemark",IF(Values!$B$36=options!$F$4, "Danimarca",IF(Values!$B$36=options!$F$5, "Dinamarca",IF(Values!$B$36=options!$F$6, "Denemarken","" ) ) ) ) )))</f>
        <v/>
      </c>
      <c r="CZ12" s="2" t="str">
        <f>IF(ISBLANK(Values!F11),"","No")</f>
        <v/>
      </c>
      <c r="DA12" s="2" t="str">
        <f>IF(ISBLANK(Values!F11),"","No")</f>
        <v/>
      </c>
      <c r="DO12" s="2" t="str">
        <f>IF(ISBLANK(Values!F11),"","Parts")</f>
        <v/>
      </c>
      <c r="DP12" s="2" t="str">
        <f>IF(ISBLANK(Values!F11),"",Values!$B$31)</f>
        <v/>
      </c>
      <c r="DY12" t="str">
        <f>IF(ISBLANK(Values!$F11), "", "not_applicable")</f>
        <v/>
      </c>
      <c r="EI12" s="2" t="str">
        <f>IF(ISBLANK(Values!F11),"",Values!$B$31)</f>
        <v/>
      </c>
      <c r="ES12" s="2" t="str">
        <f>IF(ISBLANK(Values!F11),"","Amazon Tellus UPS")</f>
        <v/>
      </c>
      <c r="EV12" s="2" t="str">
        <f>IF(ISBLANK(Values!F11),"","New")</f>
        <v/>
      </c>
      <c r="FE12" s="2" t="str">
        <f>IF(ISBLANK(Values!F11),"",IF(CO12&lt;&gt;"DEFAULT", "", 3))</f>
        <v/>
      </c>
      <c r="FH12" s="2" t="str">
        <f>IF(ISBLANK(Values!F11),"","FALSE")</f>
        <v/>
      </c>
      <c r="FI12" s="2" t="str">
        <f>IF(ISBLANK(Values!F11),"","FALSE")</f>
        <v/>
      </c>
      <c r="FJ12" s="2" t="str">
        <f>IF(ISBLANK(Values!F11),"","FALSE")</f>
        <v/>
      </c>
      <c r="FM12" s="2" t="str">
        <f>IF(ISBLANK(Values!F11),"","1")</f>
        <v/>
      </c>
      <c r="FO12" s="28" t="str">
        <f>IF(ISBLANK(Values!F11),"",IF(Values!K11, Values!$B$4, Values!$B$5))</f>
        <v/>
      </c>
      <c r="FP12" s="2" t="str">
        <f>IF(ISBLANK(Values!F11),"","Percent")</f>
        <v/>
      </c>
      <c r="FQ12" s="2" t="str">
        <f>IF(ISBLANK(Values!F11),"","2")</f>
        <v/>
      </c>
      <c r="FR12" s="2" t="str">
        <f>IF(ISBLANK(Values!F11),"","3")</f>
        <v/>
      </c>
      <c r="FS12" s="2" t="str">
        <f>IF(ISBLANK(Values!F11),"","5")</f>
        <v/>
      </c>
      <c r="FT12" s="2" t="str">
        <f>IF(ISBLANK(Values!F11),"","6")</f>
        <v/>
      </c>
      <c r="FU12" s="2" t="str">
        <f>IF(ISBLANK(Values!F11),"","10")</f>
        <v/>
      </c>
      <c r="FV12" s="2" t="str">
        <f>IF(ISBLANK(Values!F11),"","10")</f>
        <v/>
      </c>
      <c r="GK12" s="61" t="str">
        <f>K12</f>
        <v/>
      </c>
    </row>
    <row r="13" spans="1:193" ht="17" x14ac:dyDescent="0.2">
      <c r="A13" s="2" t="str">
        <f>IF(ISBLANK(Values!F12),"",IF(Values!$B$37="EU","computercomponent","computer"))</f>
        <v/>
      </c>
      <c r="B13" s="34" t="str">
        <f>IF(ISBLANK(Values!F12),"",Values!G12)</f>
        <v/>
      </c>
      <c r="C13" s="30" t="str">
        <f>IF(ISBLANK(Values!F12),"","TellusRem")</f>
        <v/>
      </c>
      <c r="D13" s="29" t="str">
        <f>IF(ISBLANK(Values!F12),"",Values!F12)</f>
        <v/>
      </c>
      <c r="E13" s="2" t="str">
        <f>IF(ISBLANK(Values!F12),"","EAN")</f>
        <v/>
      </c>
      <c r="F13" s="28" t="str">
        <f>IF(ISBLANK(Values!F12),"",IF(Values!K12, SUBSTITUTE(Values!$B$1, "{language}", Values!I12) &amp; " " &amp;Values!$B$3, SUBSTITUTE(Values!$B$2, "{language}", Values!$I12) &amp; " " &amp;Values!$B$3))</f>
        <v/>
      </c>
      <c r="G13" s="30" t="str">
        <f>IF(ISBLANK(Values!F12),"","TellusRem")</f>
        <v/>
      </c>
      <c r="H13" s="2" t="str">
        <f>IF(ISBLANK(Values!F12),"",Values!$B$16)</f>
        <v/>
      </c>
      <c r="I13" s="2" t="str">
        <f>IF(ISBLANK(Values!F12),"","4730574031")</f>
        <v/>
      </c>
      <c r="J13" s="32" t="str">
        <f>IF(ISBLANK(Values!F12),"",Values!G12 )</f>
        <v/>
      </c>
      <c r="K13" s="28" t="str">
        <f>IF(ISBLANK(Values!F12),"",IF(Values!K12, Values!$B$4, Values!$B$5))</f>
        <v/>
      </c>
      <c r="L13" s="28" t="str">
        <f>IF(ISBLANK(Values!F12),"",IF($CO13="DEFAULT", Values!$B$18, ""))</f>
        <v/>
      </c>
      <c r="M13" s="28" t="str">
        <f>IF(ISBLANK(Values!F12),"",Values!$N12)</f>
        <v/>
      </c>
      <c r="N13" s="28" t="str">
        <f>IF(ISBLANK(Values!$G12),"",Values!O12)</f>
        <v/>
      </c>
      <c r="O13" s="28" t="str">
        <f>IF(ISBLANK(Values!$G12),"",Values!P12)</f>
        <v/>
      </c>
      <c r="P13" s="28" t="str">
        <f>IF(ISBLANK(Values!$G12),"",Values!Q12)</f>
        <v/>
      </c>
      <c r="Q13" s="28" t="str">
        <f>IF(ISBLANK(Values!$G12),"",Values!R12)</f>
        <v/>
      </c>
      <c r="R13" s="28" t="str">
        <f>IF(ISBLANK(Values!$G12),"",Values!S12)</f>
        <v/>
      </c>
      <c r="S13" s="28" t="str">
        <f>IF(ISBLANK(Values!$G12),"",Values!T12)</f>
        <v/>
      </c>
      <c r="T13" s="28" t="str">
        <f>IF(ISBLANK(Values!$G12),"",Values!U12)</f>
        <v/>
      </c>
      <c r="U13" s="28" t="str">
        <f>IF(ISBLANK(Values!$G12),"",Values!V12)</f>
        <v/>
      </c>
      <c r="W13" s="30" t="str">
        <f>IF(ISBLANK(Values!F12),"","Child")</f>
        <v/>
      </c>
      <c r="X13" s="30" t="str">
        <f>IF(ISBLANK(Values!F12),"",Values!$B$13)</f>
        <v/>
      </c>
      <c r="Y13" s="32" t="str">
        <f>IF(ISBLANK(Values!F12),"","Size-Color")</f>
        <v/>
      </c>
      <c r="Z13" s="30" t="str">
        <f>IF(ISBLANK(Values!F12),"","variation")</f>
        <v/>
      </c>
      <c r="AA13" s="2" t="str">
        <f>IF(ISBLANK(Values!F12),"",Values!$B$20)</f>
        <v/>
      </c>
      <c r="AB13" s="2" t="str">
        <f>IF(ISBLANK(Values!F12),"",Values!$B$29)</f>
        <v/>
      </c>
      <c r="AI13" s="35" t="str">
        <f>IF(ISBLANK(Values!F12),"",IF(Values!J12,Values!$B$23,Values!$B$33))</f>
        <v/>
      </c>
      <c r="AJ13" s="33" t="str">
        <f>IF(ISBLANK(Values!F12),"",Values!$B$24 &amp;" "&amp;Values!$B$3)</f>
        <v/>
      </c>
      <c r="AK13" s="2" t="str">
        <f>IF(ISBLANK(Values!F12),"",Values!$B$25)</f>
        <v/>
      </c>
      <c r="AL13" s="2" t="str">
        <f>IF(ISBLANK(Values!F12),"",SUBSTITUTE(SUBSTITUTE(IF(Values!$K12, Values!$B$26, Values!$B$33), "{language}", Values!$I12), "{flag}", INDEX(options!$E$1:$E$20, Values!$W12)))</f>
        <v/>
      </c>
      <c r="AM13" s="2" t="str">
        <f>SUBSTITUTE(IF(ISBLANK(Values!F12),"",Values!$B$27), "{model}", Values!$B$3)</f>
        <v/>
      </c>
      <c r="AT13" s="28" t="str">
        <f>IF(ISBLANK(Values!F12),"",Values!I12)</f>
        <v/>
      </c>
      <c r="AV13" s="2" t="str">
        <f>IF(ISBLANK(Values!F12),"",IF(Values!K12,"Backlit", "Non-Backlit"))</f>
        <v/>
      </c>
      <c r="BE13" s="2" t="str">
        <f>IF(ISBLANK(Values!F12),"","Professional Audience")</f>
        <v/>
      </c>
      <c r="BF13" s="2" t="str">
        <f>IF(ISBLANK(Values!F12),"","Consumer Audience")</f>
        <v/>
      </c>
      <c r="BG13" s="2" t="str">
        <f>IF(ISBLANK(Values!F12),"","Adults")</f>
        <v/>
      </c>
      <c r="BH13" s="2" t="str">
        <f>IF(ISBLANK(Values!F12),"","People")</f>
        <v/>
      </c>
      <c r="CG13" s="2" t="str">
        <f>IF(ISBLANK(Values!F12),"",Values!$B$11)</f>
        <v/>
      </c>
      <c r="CH13" s="2" t="str">
        <f>IF(ISBLANK(Values!F12),"","GR")</f>
        <v/>
      </c>
      <c r="CI13" s="2" t="str">
        <f>IF(ISBLANK(Values!F12),"",Values!$B$7)</f>
        <v/>
      </c>
      <c r="CJ13" s="2" t="str">
        <f>IF(ISBLANK(Values!F12),"",Values!$B$8)</f>
        <v/>
      </c>
      <c r="CK13" s="2" t="str">
        <f>IF(ISBLANK(Values!F12),"",Values!$B$9)</f>
        <v/>
      </c>
      <c r="CL13" s="2" t="str">
        <f>IF(ISBLANK(Values!F12),"","CM")</f>
        <v/>
      </c>
      <c r="CO13" s="2" t="str">
        <f>IF(ISBLANK(Values!F12), "", IF(AND(Values!$B$37=options!$G$2, Values!$C12), "AMAZON_NA", IF(AND(Values!$B$37=options!$G$1, Values!$D12), "AMAZON_EU", "DEFAULT")))</f>
        <v/>
      </c>
      <c r="CP13" s="2" t="str">
        <f>IF(ISBLANK(Values!F12),"",Values!$B$7)</f>
        <v/>
      </c>
      <c r="CQ13" s="2" t="str">
        <f>IF(ISBLANK(Values!F12),"",Values!$B$8)</f>
        <v/>
      </c>
      <c r="CR13" s="2" t="str">
        <f>IF(ISBLANK(Values!F12),"",Values!$B$9)</f>
        <v/>
      </c>
      <c r="CS13" s="2" t="str">
        <f>IF(ISBLANK(Values!F12),"",Values!$B$11)</f>
        <v/>
      </c>
      <c r="CT13" s="2" t="str">
        <f>IF(ISBLANK(Values!F12),"","GR")</f>
        <v/>
      </c>
      <c r="CU13" s="2" t="str">
        <f>IF(ISBLANK(Values!F12),"","CM")</f>
        <v/>
      </c>
      <c r="CV13" s="2" t="str">
        <f>IF(ISBLANK(Values!F12),"",IF(Values!$B$36=options!$F$1,"Denmark", IF(Values!$B$36=options!$F$2, "Danemark",IF(Values!$B$36=options!$F$3, "Dänemark",IF(Values!$B$36=options!$F$4, "Danimarca",IF(Values!$B$36=options!$F$5, "Dinamarca",IF(Values!$B$36=options!$F$6, "Denemarken","" ) ) ) ) )))</f>
        <v/>
      </c>
      <c r="CZ13" s="2" t="str">
        <f>IF(ISBLANK(Values!F12),"","No")</f>
        <v/>
      </c>
      <c r="DA13" s="2" t="str">
        <f>IF(ISBLANK(Values!F12),"","No")</f>
        <v/>
      </c>
      <c r="DO13" s="2" t="str">
        <f>IF(ISBLANK(Values!F12),"","Parts")</f>
        <v/>
      </c>
      <c r="DP13" s="2" t="str">
        <f>IF(ISBLANK(Values!F12),"",Values!$B$31)</f>
        <v/>
      </c>
      <c r="DY13" t="str">
        <f>IF(ISBLANK(Values!$F12), "", "not_applicable")</f>
        <v/>
      </c>
      <c r="EI13" s="2" t="str">
        <f>IF(ISBLANK(Values!F12),"",Values!$B$31)</f>
        <v/>
      </c>
      <c r="ES13" s="2" t="str">
        <f>IF(ISBLANK(Values!F12),"","Amazon Tellus UPS")</f>
        <v/>
      </c>
      <c r="EV13" s="2" t="str">
        <f>IF(ISBLANK(Values!F12),"","New")</f>
        <v/>
      </c>
      <c r="FE13" s="2" t="str">
        <f>IF(ISBLANK(Values!F12),"",IF(CO13&lt;&gt;"DEFAULT", "", 3))</f>
        <v/>
      </c>
      <c r="FH13" s="2" t="str">
        <f>IF(ISBLANK(Values!F12),"","FALSE")</f>
        <v/>
      </c>
      <c r="FI13" s="2" t="str">
        <f>IF(ISBLANK(Values!F12),"","FALSE")</f>
        <v/>
      </c>
      <c r="FJ13" s="2" t="str">
        <f>IF(ISBLANK(Values!F12),"","FALSE")</f>
        <v/>
      </c>
      <c r="FM13" s="2" t="str">
        <f>IF(ISBLANK(Values!F12),"","1")</f>
        <v/>
      </c>
      <c r="FO13" s="28" t="str">
        <f>IF(ISBLANK(Values!F12),"",IF(Values!K12, Values!$B$4, Values!$B$5))</f>
        <v/>
      </c>
      <c r="FP13" s="2" t="str">
        <f>IF(ISBLANK(Values!F12),"","Percent")</f>
        <v/>
      </c>
      <c r="FQ13" s="2" t="str">
        <f>IF(ISBLANK(Values!F12),"","2")</f>
        <v/>
      </c>
      <c r="FR13" s="2" t="str">
        <f>IF(ISBLANK(Values!F12),"","3")</f>
        <v/>
      </c>
      <c r="FS13" s="2" t="str">
        <f>IF(ISBLANK(Values!F12),"","5")</f>
        <v/>
      </c>
      <c r="FT13" s="2" t="str">
        <f>IF(ISBLANK(Values!F12),"","6")</f>
        <v/>
      </c>
      <c r="FU13" s="2" t="str">
        <f>IF(ISBLANK(Values!F12),"","10")</f>
        <v/>
      </c>
      <c r="FV13" s="2" t="str">
        <f>IF(ISBLANK(Values!F12),"","10")</f>
        <v/>
      </c>
      <c r="GK13" s="61" t="str">
        <f>K13</f>
        <v/>
      </c>
    </row>
    <row r="14" spans="1:193" ht="17" x14ac:dyDescent="0.2">
      <c r="A14" s="2" t="str">
        <f>IF(ISBLANK(Values!F13),"",IF(Values!$B$37="EU","computercomponent","computer"))</f>
        <v/>
      </c>
      <c r="B14" s="34" t="str">
        <f>IF(ISBLANK(Values!F13),"",Values!G13)</f>
        <v/>
      </c>
      <c r="C14" s="30" t="str">
        <f>IF(ISBLANK(Values!F13),"","TellusRem")</f>
        <v/>
      </c>
      <c r="D14" s="29" t="str">
        <f>IF(ISBLANK(Values!F13),"",Values!F13)</f>
        <v/>
      </c>
      <c r="E14" s="2" t="str">
        <f>IF(ISBLANK(Values!F13),"","EAN")</f>
        <v/>
      </c>
      <c r="F14" s="28" t="str">
        <f>IF(ISBLANK(Values!F13),"",IF(Values!K13, SUBSTITUTE(Values!$B$1, "{language}", Values!I13) &amp; " " &amp;Values!$B$3, SUBSTITUTE(Values!$B$2, "{language}", Values!$I13) &amp; " " &amp;Values!$B$3))</f>
        <v/>
      </c>
      <c r="G14" s="30" t="str">
        <f>IF(ISBLANK(Values!F13),"","TellusRem")</f>
        <v/>
      </c>
      <c r="H14" s="2" t="str">
        <f>IF(ISBLANK(Values!F13),"",Values!$B$16)</f>
        <v/>
      </c>
      <c r="I14" s="2" t="str">
        <f>IF(ISBLANK(Values!F13),"","4730574031")</f>
        <v/>
      </c>
      <c r="J14" s="32" t="str">
        <f>IF(ISBLANK(Values!F13),"",Values!G13 )</f>
        <v/>
      </c>
      <c r="K14" s="28" t="str">
        <f>IF(ISBLANK(Values!F13),"",IF(Values!K13, Values!$B$4, Values!$B$5))</f>
        <v/>
      </c>
      <c r="L14" s="28" t="str">
        <f>IF(ISBLANK(Values!F13),"",IF($CO14="DEFAULT", Values!$B$18, ""))</f>
        <v/>
      </c>
      <c r="M14" s="28" t="str">
        <f>IF(ISBLANK(Values!F13),"",Values!$N13)</f>
        <v/>
      </c>
      <c r="N14" s="28" t="str">
        <f>IF(ISBLANK(Values!$G13),"",Values!O13)</f>
        <v/>
      </c>
      <c r="O14" s="28" t="str">
        <f>IF(ISBLANK(Values!$G13),"",Values!P13)</f>
        <v/>
      </c>
      <c r="P14" s="28" t="str">
        <f>IF(ISBLANK(Values!$G13),"",Values!Q13)</f>
        <v/>
      </c>
      <c r="Q14" s="28" t="str">
        <f>IF(ISBLANK(Values!$G13),"",Values!R13)</f>
        <v/>
      </c>
      <c r="R14" s="28" t="str">
        <f>IF(ISBLANK(Values!$G13),"",Values!S13)</f>
        <v/>
      </c>
      <c r="S14" s="28" t="str">
        <f>IF(ISBLANK(Values!$G13),"",Values!T13)</f>
        <v/>
      </c>
      <c r="T14" s="28" t="str">
        <f>IF(ISBLANK(Values!$G13),"",Values!U13)</f>
        <v/>
      </c>
      <c r="U14" s="28" t="str">
        <f>IF(ISBLANK(Values!$G13),"",Values!V13)</f>
        <v/>
      </c>
      <c r="W14" s="30" t="str">
        <f>IF(ISBLANK(Values!F13),"","Child")</f>
        <v/>
      </c>
      <c r="X14" s="30" t="str">
        <f>IF(ISBLANK(Values!F13),"",Values!$B$13)</f>
        <v/>
      </c>
      <c r="Y14" s="32" t="str">
        <f>IF(ISBLANK(Values!F13),"","Size-Color")</f>
        <v/>
      </c>
      <c r="Z14" s="30" t="str">
        <f>IF(ISBLANK(Values!F13),"","variation")</f>
        <v/>
      </c>
      <c r="AA14" s="2" t="str">
        <f>IF(ISBLANK(Values!F13),"",Values!$B$20)</f>
        <v/>
      </c>
      <c r="AB14" s="2" t="str">
        <f>IF(ISBLANK(Values!F13),"",Values!$B$29)</f>
        <v/>
      </c>
      <c r="AI14" s="35" t="str">
        <f>IF(ISBLANK(Values!F13),"",IF(Values!J13,Values!$B$23,Values!$B$33))</f>
        <v/>
      </c>
      <c r="AJ14" s="33" t="str">
        <f>IF(ISBLANK(Values!F13),"",Values!$B$24 &amp;" "&amp;Values!$B$3)</f>
        <v/>
      </c>
      <c r="AK14" s="2" t="str">
        <f>IF(ISBLANK(Values!F13),"",Values!$B$25)</f>
        <v/>
      </c>
      <c r="AL14" s="2" t="str">
        <f>IF(ISBLANK(Values!F13),"",SUBSTITUTE(SUBSTITUTE(IF(Values!$K13, Values!$B$26, Values!$B$33), "{language}", Values!$I13), "{flag}", INDEX(options!$E$1:$E$20, Values!$W13)))</f>
        <v/>
      </c>
      <c r="AM14" s="2" t="str">
        <f>SUBSTITUTE(IF(ISBLANK(Values!F13),"",Values!$B$27), "{model}", Values!$B$3)</f>
        <v/>
      </c>
      <c r="AT14" s="28" t="str">
        <f>IF(ISBLANK(Values!F13),"",Values!I13)</f>
        <v/>
      </c>
      <c r="AV14" s="2" t="str">
        <f>IF(ISBLANK(Values!F13),"",IF(Values!K13,"Backlit", "Non-Backlit"))</f>
        <v/>
      </c>
      <c r="BE14" s="2" t="str">
        <f>IF(ISBLANK(Values!F13),"","Professional Audience")</f>
        <v/>
      </c>
      <c r="BF14" s="2" t="str">
        <f>IF(ISBLANK(Values!F13),"","Consumer Audience")</f>
        <v/>
      </c>
      <c r="BG14" s="2" t="str">
        <f>IF(ISBLANK(Values!F13),"","Adults")</f>
        <v/>
      </c>
      <c r="BH14" s="2" t="str">
        <f>IF(ISBLANK(Values!F13),"","People")</f>
        <v/>
      </c>
      <c r="CG14" s="2" t="str">
        <f>IF(ISBLANK(Values!F13),"",Values!$B$11)</f>
        <v/>
      </c>
      <c r="CH14" s="2" t="str">
        <f>IF(ISBLANK(Values!F13),"","GR")</f>
        <v/>
      </c>
      <c r="CI14" s="2" t="str">
        <f>IF(ISBLANK(Values!F13),"",Values!$B$7)</f>
        <v/>
      </c>
      <c r="CJ14" s="2" t="str">
        <f>IF(ISBLANK(Values!F13),"",Values!$B$8)</f>
        <v/>
      </c>
      <c r="CK14" s="2" t="str">
        <f>IF(ISBLANK(Values!F13),"",Values!$B$9)</f>
        <v/>
      </c>
      <c r="CL14" s="2" t="str">
        <f>IF(ISBLANK(Values!F13),"","CM")</f>
        <v/>
      </c>
      <c r="CO14" s="2" t="str">
        <f>IF(ISBLANK(Values!F13), "", IF(AND(Values!$B$37=options!$G$2, Values!$C13), "AMAZON_NA", IF(AND(Values!$B$37=options!$G$1, Values!$D13), "AMAZON_EU", "DEFAULT")))</f>
        <v/>
      </c>
      <c r="CP14" s="2" t="str">
        <f>IF(ISBLANK(Values!F13),"",Values!$B$7)</f>
        <v/>
      </c>
      <c r="CQ14" s="2" t="str">
        <f>IF(ISBLANK(Values!F13),"",Values!$B$8)</f>
        <v/>
      </c>
      <c r="CR14" s="2" t="str">
        <f>IF(ISBLANK(Values!F13),"",Values!$B$9)</f>
        <v/>
      </c>
      <c r="CS14" s="2" t="str">
        <f>IF(ISBLANK(Values!F13),"",Values!$B$11)</f>
        <v/>
      </c>
      <c r="CT14" s="2" t="str">
        <f>IF(ISBLANK(Values!F13),"","GR")</f>
        <v/>
      </c>
      <c r="CU14" s="2" t="str">
        <f>IF(ISBLANK(Values!F13),"","CM")</f>
        <v/>
      </c>
      <c r="CV14" s="2" t="str">
        <f>IF(ISBLANK(Values!F13),"",IF(Values!$B$36=options!$F$1,"Denmark", IF(Values!$B$36=options!$F$2, "Danemark",IF(Values!$B$36=options!$F$3, "Dänemark",IF(Values!$B$36=options!$F$4, "Danimarca",IF(Values!$B$36=options!$F$5, "Dinamarca",IF(Values!$B$36=options!$F$6, "Denemarken","" ) ) ) ) )))</f>
        <v/>
      </c>
      <c r="CZ14" s="2" t="str">
        <f>IF(ISBLANK(Values!F13),"","No")</f>
        <v/>
      </c>
      <c r="DA14" s="2" t="str">
        <f>IF(ISBLANK(Values!F13),"","No")</f>
        <v/>
      </c>
      <c r="DO14" s="2" t="str">
        <f>IF(ISBLANK(Values!F13),"","Parts")</f>
        <v/>
      </c>
      <c r="DP14" s="2" t="str">
        <f>IF(ISBLANK(Values!F13),"",Values!$B$31)</f>
        <v/>
      </c>
      <c r="DY14" t="str">
        <f>IF(ISBLANK(Values!$F13), "", "not_applicable")</f>
        <v/>
      </c>
      <c r="EI14" s="2" t="str">
        <f>IF(ISBLANK(Values!F13),"",Values!$B$31)</f>
        <v/>
      </c>
      <c r="ES14" s="2" t="str">
        <f>IF(ISBLANK(Values!F13),"","Amazon Tellus UPS")</f>
        <v/>
      </c>
      <c r="EV14" s="2" t="str">
        <f>IF(ISBLANK(Values!F13),"","New")</f>
        <v/>
      </c>
      <c r="FE14" s="2" t="str">
        <f>IF(ISBLANK(Values!F13),"",IF(CO14&lt;&gt;"DEFAULT", "", 3))</f>
        <v/>
      </c>
      <c r="FH14" s="2" t="str">
        <f>IF(ISBLANK(Values!F13),"","FALSE")</f>
        <v/>
      </c>
      <c r="FI14" s="2" t="str">
        <f>IF(ISBLANK(Values!F13),"","FALSE")</f>
        <v/>
      </c>
      <c r="FJ14" s="2" t="str">
        <f>IF(ISBLANK(Values!F13),"","FALSE")</f>
        <v/>
      </c>
      <c r="FM14" s="2" t="str">
        <f>IF(ISBLANK(Values!F13),"","1")</f>
        <v/>
      </c>
      <c r="FO14" s="28" t="str">
        <f>IF(ISBLANK(Values!F13),"",IF(Values!K13, Values!$B$4, Values!$B$5))</f>
        <v/>
      </c>
      <c r="FP14" s="2" t="str">
        <f>IF(ISBLANK(Values!F13),"","Percent")</f>
        <v/>
      </c>
      <c r="FQ14" s="2" t="str">
        <f>IF(ISBLANK(Values!F13),"","2")</f>
        <v/>
      </c>
      <c r="FR14" s="2" t="str">
        <f>IF(ISBLANK(Values!F13),"","3")</f>
        <v/>
      </c>
      <c r="FS14" s="2" t="str">
        <f>IF(ISBLANK(Values!F13),"","5")</f>
        <v/>
      </c>
      <c r="FT14" s="2" t="str">
        <f>IF(ISBLANK(Values!F13),"","6")</f>
        <v/>
      </c>
      <c r="FU14" s="2" t="str">
        <f>IF(ISBLANK(Values!F13),"","10")</f>
        <v/>
      </c>
      <c r="FV14" s="2" t="str">
        <f>IF(ISBLANK(Values!F13),"","10")</f>
        <v/>
      </c>
      <c r="GK14" s="61" t="str">
        <f>K14</f>
        <v/>
      </c>
    </row>
    <row r="15" spans="1:193" ht="48" x14ac:dyDescent="0.2">
      <c r="A15" s="2" t="str">
        <f>IF(ISBLANK(Values!F14),"",IF(Values!$B$37="EU","computercomponent","computer"))</f>
        <v>computercomponent</v>
      </c>
      <c r="B15" s="34" t="str">
        <f>IF(ISBLANK(Values!F14),"",Values!G14)</f>
        <v>Dell e6400 - Reg DE</v>
      </c>
      <c r="C15" s="30" t="str">
        <f>IF(ISBLANK(Values!F14),"","TellusRem")</f>
        <v>TellusRem</v>
      </c>
      <c r="D15" s="29">
        <f>IF(ISBLANK(Values!F14),"",Values!F14)</f>
        <v>5714401640103</v>
      </c>
      <c r="E15" s="2" t="str">
        <f>IF(ISBLANK(Values!F14),"","EAN")</f>
        <v>EAN</v>
      </c>
      <c r="F15" s="28" t="str">
        <f>IF(ISBLANK(Values!F14),"",IF(Values!K14, SUBSTITUTE(Values!$B$1, "{language}", Values!I14) &amp; " " &amp;Values!$B$3, SUBSTITUTE(Values!$B$2, "{language}", Values!$I14) &amp; " " &amp;Values!$B$3))</f>
        <v>replacement German non-backlit keyboard for Dell   Latitude E6400, Latitude E6410, Latitude E6500, Latitude E6510</v>
      </c>
      <c r="G15" s="30" t="str">
        <f>IF(ISBLANK(Values!F14),"","TellusRem")</f>
        <v>TellusRem</v>
      </c>
      <c r="H15" s="2" t="str">
        <f>IF(ISBLANK(Values!F14),"",Values!$B$16)</f>
        <v>laptop-computer-replacement-parts</v>
      </c>
      <c r="I15" s="2" t="str">
        <f>IF(ISBLANK(Values!F14),"","4730574031")</f>
        <v>4730574031</v>
      </c>
      <c r="J15" s="32" t="str">
        <f>IF(ISBLANK(Values!F14),"",Values!G14 )</f>
        <v>Dell e6400 - Reg DE</v>
      </c>
      <c r="K15" s="28">
        <f>IF(ISBLANK(Values!F14),"",IF(Values!K14, Values!$B$4, Values!$B$5))</f>
        <v>27.99</v>
      </c>
      <c r="L15" s="28" t="str">
        <f>IF(ISBLANK(Values!F14),"",IF($CO15="DEFAULT", Values!$B$18, ""))</f>
        <v/>
      </c>
      <c r="M15" s="28" t="str">
        <f>IF(ISBLANK(Values!F14),"",Values!$N14)</f>
        <v>https://raw.githubusercontent.com/PatrickVibild/TellusAmazonPictures/master/pictures/DELL/E6400/RG/DE/1.jpg</v>
      </c>
      <c r="N15" s="28" t="str">
        <f>IF(ISBLANK(Values!$G14),"",Values!O14)</f>
        <v>https://raw.githubusercontent.com/PatrickVibild/TellusAmazonPictures/master/pictures/DELL/E6400/RG/DE/2.jpg</v>
      </c>
      <c r="O15" s="28" t="str">
        <f>IF(ISBLANK(Values!$G14),"",Values!P14)</f>
        <v>https://raw.githubusercontent.com/PatrickVibild/TellusAmazonPictures/master/pictures/DELL/E6400/RG/DE/3.jpg</v>
      </c>
      <c r="P15" s="28" t="str">
        <f>IF(ISBLANK(Values!$G14),"",Values!Q14)</f>
        <v>https://raw.githubusercontent.com/PatrickVibild/TellusAmazonPictures/master/pictures/DELL/E6400/RG/DE/4.jpg</v>
      </c>
      <c r="Q15" s="28" t="str">
        <f>IF(ISBLANK(Values!$G14),"",Values!R14)</f>
        <v>https://raw.githubusercontent.com/PatrickVibild/TellusAmazonPictures/master/pictures/DELL/E6400/RG/DE/5.jpg</v>
      </c>
      <c r="R15" s="28" t="str">
        <f>IF(ISBLANK(Values!$G14),"",Values!S14)</f>
        <v>https://raw.githubusercontent.com/PatrickVibild/TellusAmazonPictures/master/pictures/DELL/E6400/RG/DE/6.jpg</v>
      </c>
      <c r="S15" s="28" t="str">
        <f>IF(ISBLANK(Values!$G14),"",Values!T14)</f>
        <v>https://raw.githubusercontent.com/PatrickVibild/TellusAmazonPictures/master/pictures/DELL/E6400/RG/DE/7.jpg</v>
      </c>
      <c r="T15" s="28" t="str">
        <f>IF(ISBLANK(Values!$G14),"",Values!U14)</f>
        <v>https://raw.githubusercontent.com/PatrickVibild/TellusAmazonPictures/master/pictures/DELL/E6400/RG/DE/8.jpg</v>
      </c>
      <c r="U15" s="28" t="str">
        <f>IF(ISBLANK(Values!$G14),"",Values!V14)</f>
        <v>https://raw.githubusercontent.com/PatrickVibild/TellusAmazonPictures/master/pictures/DELL/E6400/RG/DE/9.jpg</v>
      </c>
      <c r="W15" s="30" t="str">
        <f>IF(ISBLANK(Values!F14),"","Child")</f>
        <v>Child</v>
      </c>
      <c r="X15" s="30" t="str">
        <f>IF(ISBLANK(Values!F14),"",Values!$B$13)</f>
        <v>Dell E6400</v>
      </c>
      <c r="Y15" s="32" t="str">
        <f>IF(ISBLANK(Values!F14),"","Size-Color")</f>
        <v>Size-Color</v>
      </c>
      <c r="Z15" s="30" t="str">
        <f>IF(ISBLANK(Values!F14),"","variation")</f>
        <v>variation</v>
      </c>
      <c r="AA15" s="2" t="str">
        <f>IF(ISBLANK(Values!F14),"",Values!$B$20)</f>
        <v>PartialUpdate</v>
      </c>
      <c r="AB15" s="2" t="str">
        <f>IF(ISBLANK(Values!F14),"",Values!$B$29)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5" t="str">
        <f>IF(ISBLANK(Values!F14),"",IF(Values!J14,Values!$B$23,Values!$B$33))</f>
        <v>👉 REFURBISHED:  SAVE MONEY -  Replacement Dell laptop keyboard, same quality as OEM keyboards. TellusRem is the Leading keyboards distributor in the world since 2011. Perfect replacement keyboard, easy to replace and install.</v>
      </c>
      <c r="AJ15" s="33" t="str">
        <f>IF(ISBLANK(Values!F14),"",Values!$B$24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E6400, Latitude E6410, Latitude E6500, Latitude E6510</v>
      </c>
      <c r="AK15" s="2" t="str">
        <f>IF(ISBLANK(Values!F14),"",Values!$B$25)</f>
        <v>♻️ ECOFRIENDLY PRODUCT - Buy refurbished, BUY GREEN! Reduce more than 80% carbon dioxide by buying our refurbished keyboards, compared to getting a new keyboard! Perfect OEM replacement part for your keyboard.</v>
      </c>
      <c r="AL15" s="2" t="str">
        <f>IF(ISBLANK(Values!F14),"",SUBSTITUTE(SUBSTITUTE(IF(Values!$K14, Values!$B$26, Values!$B$33), "{language}", Values!$I14), "{flag}", INDEX(options!$E$1:$E$20, Values!$W14)))</f>
        <v>👉 LAYOUT -  🇩🇪 German NO backlit.</v>
      </c>
      <c r="AM15" s="2" t="str">
        <f>SUBSTITUTE(IF(ISBLANK(Values!F14),"",Values!$B$27), "{model}", Values!$B$3)</f>
        <v>👉 COMPATIBLE WITH - Dell Latitude E6400, Latitude E6410, Latitude E6500, Latitude E6510. Please check the picture and description carefully before purchasing any keyboard. This ensures that you get the correct laptop keyboard for your computer. Super easy installation.</v>
      </c>
      <c r="AT15" s="28" t="str">
        <f>IF(ISBLANK(Values!F14),"",Values!I14)</f>
        <v>German</v>
      </c>
      <c r="AV15" s="2" t="str">
        <f>IF(ISBLANK(Values!F14),"",IF(Values!K14,"Backlit", "Non-Backlit"))</f>
        <v>Non-Backlit</v>
      </c>
      <c r="BE15" s="2" t="str">
        <f>IF(ISBLANK(Values!F14),"","Professional Audience")</f>
        <v>Professional Audience</v>
      </c>
      <c r="BF15" s="2" t="str">
        <f>IF(ISBLANK(Values!F14),"","Consumer Audience")</f>
        <v>Consumer Audience</v>
      </c>
      <c r="BG15" s="2" t="str">
        <f>IF(ISBLANK(Values!F14),"","Adults")</f>
        <v>Adults</v>
      </c>
      <c r="BH15" s="2" t="str">
        <f>IF(ISBLANK(Values!F14),"","People")</f>
        <v>People</v>
      </c>
      <c r="CG15" s="2">
        <f>IF(ISBLANK(Values!F14),"",Values!$B$11)</f>
        <v>100</v>
      </c>
      <c r="CH15" s="2" t="str">
        <f>IF(ISBLANK(Values!F14),"","GR")</f>
        <v>GR</v>
      </c>
      <c r="CI15" s="2" t="str">
        <f>IF(ISBLANK(Values!F14),"",Values!$B$7)</f>
        <v>41</v>
      </c>
      <c r="CJ15" s="2" t="str">
        <f>IF(ISBLANK(Values!F14),"",Values!$B$8)</f>
        <v>17</v>
      </c>
      <c r="CK15" s="2" t="str">
        <f>IF(ISBLANK(Values!F14),"",Values!$B$9)</f>
        <v>5</v>
      </c>
      <c r="CL15" s="2" t="str">
        <f>IF(ISBLANK(Values!F14),"","CM")</f>
        <v>CM</v>
      </c>
      <c r="CO15" s="2" t="str">
        <f>IF(ISBLANK(Values!F14), "", IF(AND(Values!$B$37=options!$G$2, Values!$C14), "AMAZON_NA", IF(AND(Values!$B$37=options!$G$1, Values!$D14), "AMAZON_EU", "DEFAULT")))</f>
        <v>AMAZON_EU</v>
      </c>
      <c r="CP15" s="2" t="str">
        <f>IF(ISBLANK(Values!F14),"",Values!$B$7)</f>
        <v>41</v>
      </c>
      <c r="CQ15" s="2" t="str">
        <f>IF(ISBLANK(Values!F14),"",Values!$B$8)</f>
        <v>17</v>
      </c>
      <c r="CR15" s="2" t="str">
        <f>IF(ISBLANK(Values!F14),"",Values!$B$9)</f>
        <v>5</v>
      </c>
      <c r="CS15" s="2">
        <f>IF(ISBLANK(Values!F14),"",Values!$B$11)</f>
        <v>100</v>
      </c>
      <c r="CT15" s="2" t="str">
        <f>IF(ISBLANK(Values!F14),"","GR")</f>
        <v>GR</v>
      </c>
      <c r="CU15" s="2" t="str">
        <f>IF(ISBLANK(Values!F14),"","CM")</f>
        <v>CM</v>
      </c>
      <c r="CV15" s="2" t="str">
        <f>IF(ISBLANK(Values!F14),"",IF(Values!$B$36=options!$F$1,"Denmark", IF(Values!$B$36=options!$F$2, "Danemark",IF(Values!$B$36=options!$F$3, "Dänemark",IF(Values!$B$36=options!$F$4, "Danimarca",IF(Values!$B$36=options!$F$5, "Dinamarca",IF(Values!$B$36=options!$F$6, "Denemarken","" ) ) ) ) )))</f>
        <v>Denmark</v>
      </c>
      <c r="CZ15" s="2" t="str">
        <f>IF(ISBLANK(Values!F14),"","No")</f>
        <v>No</v>
      </c>
      <c r="DA15" s="2" t="str">
        <f>IF(ISBLANK(Values!F14),"","No")</f>
        <v>No</v>
      </c>
      <c r="DO15" s="2" t="str">
        <f>IF(ISBLANK(Values!F14),"","Parts")</f>
        <v>Parts</v>
      </c>
      <c r="DP15" s="2" t="str">
        <f>IF(ISBLANK(Values!F14),"",Values!$B$31)</f>
        <v>6 month warranty after the delivery date. In case of any malfunction of the keyboard a new unit or a spare part for the keyboard of the product will be sent. In case of shortage of stock a full refund is issued.</v>
      </c>
      <c r="DY15" t="str">
        <f>IF(ISBLANK(Values!$F14), "", "not_applicable")</f>
        <v>not_applicable</v>
      </c>
      <c r="EI15" s="2" t="str">
        <f>IF(ISBLANK(Values!F14),"",Values!$B$31)</f>
        <v>6 month warranty after the delivery date. In case of any malfunction of the keyboard a new unit or a spare part for the keyboard of the product will be sent. In case of shortage of stock a full refund is issued.</v>
      </c>
      <c r="ES15" s="2" t="str">
        <f>IF(ISBLANK(Values!F14),"","Amazon Tellus UPS")</f>
        <v>Amazon Tellus UPS</v>
      </c>
      <c r="EV15" s="2" t="str">
        <f>IF(ISBLANK(Values!F14),"","New")</f>
        <v>New</v>
      </c>
      <c r="FE15" s="2" t="str">
        <f>IF(ISBLANK(Values!F14),"",IF(CO15&lt;&gt;"DEFAULT", "", 3))</f>
        <v/>
      </c>
      <c r="FH15" s="2" t="str">
        <f>IF(ISBLANK(Values!F14),"","FALSE")</f>
        <v>FALSE</v>
      </c>
      <c r="FI15" s="2" t="str">
        <f>IF(ISBLANK(Values!F14),"","FALSE")</f>
        <v>FALSE</v>
      </c>
      <c r="FJ15" s="2" t="str">
        <f>IF(ISBLANK(Values!F14),"","FALSE")</f>
        <v>FALSE</v>
      </c>
      <c r="FM15" s="2" t="str">
        <f>IF(ISBLANK(Values!F14),"","1")</f>
        <v>1</v>
      </c>
      <c r="FO15" s="28">
        <f>IF(ISBLANK(Values!F14),"",IF(Values!K14, Values!$B$4, Values!$B$5))</f>
        <v>27.99</v>
      </c>
      <c r="FP15" s="2" t="str">
        <f>IF(ISBLANK(Values!F14),"","Percent")</f>
        <v>Percent</v>
      </c>
      <c r="FQ15" s="2" t="str">
        <f>IF(ISBLANK(Values!F14),"","2")</f>
        <v>2</v>
      </c>
      <c r="FR15" s="2" t="str">
        <f>IF(ISBLANK(Values!F14),"","3")</f>
        <v>3</v>
      </c>
      <c r="FS15" s="2" t="str">
        <f>IF(ISBLANK(Values!F14),"","5")</f>
        <v>5</v>
      </c>
      <c r="FT15" s="2" t="str">
        <f>IF(ISBLANK(Values!F14),"","6")</f>
        <v>6</v>
      </c>
      <c r="FU15" s="2" t="str">
        <f>IF(ISBLANK(Values!F14),"","10")</f>
        <v>10</v>
      </c>
      <c r="FV15" s="2" t="str">
        <f>IF(ISBLANK(Values!F14),"","10")</f>
        <v>10</v>
      </c>
      <c r="GK15" s="61">
        <f>K15</f>
        <v>27.99</v>
      </c>
    </row>
    <row r="16" spans="1:193" ht="48" x14ac:dyDescent="0.2">
      <c r="A16" s="2" t="str">
        <f>IF(ISBLANK(Values!F15),"",IF(Values!$B$37="EU","computercomponent","computer"))</f>
        <v>computercomponent</v>
      </c>
      <c r="B16" s="34" t="str">
        <f>IF(ISBLANK(Values!F15),"",Values!G15)</f>
        <v>Dell e6400 - Reg FR</v>
      </c>
      <c r="C16" s="30" t="str">
        <f>IF(ISBLANK(Values!F15),"","TellusRem")</f>
        <v>TellusRem</v>
      </c>
      <c r="D16" s="29">
        <f>IF(ISBLANK(Values!F15),"",Values!F15)</f>
        <v>5714401640110</v>
      </c>
      <c r="E16" s="2" t="str">
        <f>IF(ISBLANK(Values!F15),"","EAN")</f>
        <v>EAN</v>
      </c>
      <c r="F16" s="28" t="str">
        <f>IF(ISBLANK(Values!F15),"",IF(Values!K15, SUBSTITUTE(Values!$B$1, "{language}", Values!I15) &amp; " " &amp;Values!$B$3, SUBSTITUTE(Values!$B$2, "{language}", Values!$I15) &amp; " " &amp;Values!$B$3))</f>
        <v>replacement French non-backlit keyboard for Dell   Latitude E6400, Latitude E6410, Latitude E6500, Latitude E6510</v>
      </c>
      <c r="G16" s="30" t="str">
        <f>IF(ISBLANK(Values!F15),"","TellusRem")</f>
        <v>TellusRem</v>
      </c>
      <c r="H16" s="2" t="str">
        <f>IF(ISBLANK(Values!F15),"",Values!$B$16)</f>
        <v>laptop-computer-replacement-parts</v>
      </c>
      <c r="I16" s="2" t="str">
        <f>IF(ISBLANK(Values!F15),"","4730574031")</f>
        <v>4730574031</v>
      </c>
      <c r="J16" s="32" t="str">
        <f>IF(ISBLANK(Values!F15),"",Values!G15 )</f>
        <v>Dell e6400 - Reg FR</v>
      </c>
      <c r="K16" s="28">
        <f>IF(ISBLANK(Values!F15),"",IF(Values!K15, Values!$B$4, Values!$B$5))</f>
        <v>27.99</v>
      </c>
      <c r="L16" s="28" t="str">
        <f>IF(ISBLANK(Values!F15),"",IF($CO16="DEFAULT", Values!$B$18, ""))</f>
        <v/>
      </c>
      <c r="M16" s="28" t="str">
        <f>IF(ISBLANK(Values!F15),"",Values!$N15)</f>
        <v>https://raw.githubusercontent.com/PatrickVibild/TellusAmazonPictures/master/pictures/DELL/E6400/RG/DE/1.jpg</v>
      </c>
      <c r="N16" s="28" t="str">
        <f>IF(ISBLANK(Values!$G15),"",Values!O15)</f>
        <v>https://raw.githubusercontent.com/PatrickVibild/TellusAmazonPictures/master/pictures/DELL/E6400/RG/DE/2.jpg</v>
      </c>
      <c r="O16" s="28" t="str">
        <f>IF(ISBLANK(Values!$G15),"",Values!P15)</f>
        <v>https://raw.githubusercontent.com/PatrickVibild/TellusAmazonPictures/master/pictures/DELL/E6400/RG/DE/3.jpg</v>
      </c>
      <c r="P16" s="28" t="str">
        <f>IF(ISBLANK(Values!$G15),"",Values!Q15)</f>
        <v>https://raw.githubusercontent.com/PatrickVibild/TellusAmazonPictures/master/pictures/DELL/E6400/RG/DE/4.jpg</v>
      </c>
      <c r="Q16" s="28" t="str">
        <f>IF(ISBLANK(Values!$G15),"",Values!R15)</f>
        <v>https://raw.githubusercontent.com/PatrickVibild/TellusAmazonPictures/master/pictures/DELL/E6400/RG/DE/5.jpg</v>
      </c>
      <c r="R16" s="28" t="str">
        <f>IF(ISBLANK(Values!$G15),"",Values!S15)</f>
        <v>https://raw.githubusercontent.com/PatrickVibild/TellusAmazonPictures/master/pictures/DELL/E6400/RG/DE/6.jpg</v>
      </c>
      <c r="S16" s="28" t="str">
        <f>IF(ISBLANK(Values!$G15),"",Values!T15)</f>
        <v>https://raw.githubusercontent.com/PatrickVibild/TellusAmazonPictures/master/pictures/DELL/E6400/RG/DE/7.jpg</v>
      </c>
      <c r="T16" s="28" t="str">
        <f>IF(ISBLANK(Values!$G15),"",Values!U15)</f>
        <v>https://raw.githubusercontent.com/PatrickVibild/TellusAmazonPictures/master/pictures/DELL/E6400/RG/DE/8.jpg</v>
      </c>
      <c r="U16" s="28" t="str">
        <f>IF(ISBLANK(Values!$G15),"",Values!V15)</f>
        <v>https://raw.githubusercontent.com/PatrickVibild/TellusAmazonPictures/master/pictures/DELL/E6400/RG/DE/9.jpg</v>
      </c>
      <c r="W16" s="30" t="str">
        <f>IF(ISBLANK(Values!F15),"","Child")</f>
        <v>Child</v>
      </c>
      <c r="X16" s="30" t="str">
        <f>IF(ISBLANK(Values!F15),"",Values!$B$13)</f>
        <v>Dell E6400</v>
      </c>
      <c r="Y16" s="32" t="str">
        <f>IF(ISBLANK(Values!F15),"","Size-Color")</f>
        <v>Size-Color</v>
      </c>
      <c r="Z16" s="30" t="str">
        <f>IF(ISBLANK(Values!F15),"","variation")</f>
        <v>variation</v>
      </c>
      <c r="AA16" s="2" t="str">
        <f>IF(ISBLANK(Values!F15),"",Values!$B$20)</f>
        <v>PartialUpdate</v>
      </c>
      <c r="AB16" s="2" t="str">
        <f>IF(ISBLANK(Values!F15),"",Values!$B$29)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5" t="str">
        <f>IF(ISBLANK(Values!F15),"",IF(Values!J15,Values!$B$23,Values!$B$33))</f>
        <v>👉 REFURBISHED:  SAVE MONEY -  Replacement Dell laptop keyboard, same quality as OEM keyboards. TellusRem is the Leading keyboards distributor in the world since 2011. Perfect replacement keyboard, easy to replace and install.</v>
      </c>
      <c r="AJ16" s="33" t="str">
        <f>IF(ISBLANK(Values!F15),"",Values!$B$24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E6400, Latitude E6410, Latitude E6500, Latitude E6510</v>
      </c>
      <c r="AK16" s="2" t="str">
        <f>IF(ISBLANK(Values!F15),"",Values!$B$25)</f>
        <v>♻️ ECOFRIENDLY PRODUCT - Buy refurbished, BUY GREEN! Reduce more than 80% carbon dioxide by buying our refurbished keyboards, compared to getting a new keyboard! Perfect OEM replacement part for your keyboard.</v>
      </c>
      <c r="AL16" s="2" t="str">
        <f>IF(ISBLANK(Values!F15),"",SUBSTITUTE(SUBSTITUTE(IF(Values!$K15, Values!$B$26, Values!$B$33), "{language}", Values!$I15), "{flag}", INDEX(options!$E$1:$E$20, Values!$W15)))</f>
        <v>👉 LAYOUT -  🇫🇷 French NO backlit.</v>
      </c>
      <c r="AM16" s="2" t="str">
        <f>SUBSTITUTE(IF(ISBLANK(Values!F15),"",Values!$B$27), "{model}", Values!$B$3)</f>
        <v>👉 COMPATIBLE WITH - Dell Latitude E6400, Latitude E6410, Latitude E6500, Latitude E6510. Please check the picture and description carefully before purchasing any keyboard. This ensures that you get the correct laptop keyboard for your computer. Super easy installation.</v>
      </c>
      <c r="AT16" s="28" t="str">
        <f>IF(ISBLANK(Values!F15),"",Values!I15)</f>
        <v>French</v>
      </c>
      <c r="AV16" s="2" t="str">
        <f>IF(ISBLANK(Values!F15),"",IF(Values!K15,"Backlit", "Non-Backlit"))</f>
        <v>Non-Backlit</v>
      </c>
      <c r="BE16" s="2" t="str">
        <f>IF(ISBLANK(Values!F15),"","Professional Audience")</f>
        <v>Professional Audience</v>
      </c>
      <c r="BF16" s="2" t="str">
        <f>IF(ISBLANK(Values!F15),"","Consumer Audience")</f>
        <v>Consumer Audience</v>
      </c>
      <c r="BG16" s="2" t="str">
        <f>IF(ISBLANK(Values!F15),"","Adults")</f>
        <v>Adults</v>
      </c>
      <c r="BH16" s="2" t="str">
        <f>IF(ISBLANK(Values!F15),"","People")</f>
        <v>People</v>
      </c>
      <c r="CG16" s="2">
        <f>IF(ISBLANK(Values!F15),"",Values!$B$11)</f>
        <v>100</v>
      </c>
      <c r="CH16" s="2" t="str">
        <f>IF(ISBLANK(Values!F15),"","GR")</f>
        <v>GR</v>
      </c>
      <c r="CI16" s="2" t="str">
        <f>IF(ISBLANK(Values!F15),"",Values!$B$7)</f>
        <v>41</v>
      </c>
      <c r="CJ16" s="2" t="str">
        <f>IF(ISBLANK(Values!F15),"",Values!$B$8)</f>
        <v>17</v>
      </c>
      <c r="CK16" s="2" t="str">
        <f>IF(ISBLANK(Values!F15),"",Values!$B$9)</f>
        <v>5</v>
      </c>
      <c r="CL16" s="2" t="str">
        <f>IF(ISBLANK(Values!F15),"","CM")</f>
        <v>CM</v>
      </c>
      <c r="CO16" s="2" t="str">
        <f>IF(ISBLANK(Values!F15), "", IF(AND(Values!$B$37=options!$G$2, Values!$C15), "AMAZON_NA", IF(AND(Values!$B$37=options!$G$1, Values!$D15), "AMAZON_EU", "DEFAULT")))</f>
        <v>AMAZON_EU</v>
      </c>
      <c r="CP16" s="2" t="str">
        <f>IF(ISBLANK(Values!F15),"",Values!$B$7)</f>
        <v>41</v>
      </c>
      <c r="CQ16" s="2" t="str">
        <f>IF(ISBLANK(Values!F15),"",Values!$B$8)</f>
        <v>17</v>
      </c>
      <c r="CR16" s="2" t="str">
        <f>IF(ISBLANK(Values!F15),"",Values!$B$9)</f>
        <v>5</v>
      </c>
      <c r="CS16" s="2">
        <f>IF(ISBLANK(Values!F15),"",Values!$B$11)</f>
        <v>100</v>
      </c>
      <c r="CT16" s="2" t="str">
        <f>IF(ISBLANK(Values!F15),"","GR")</f>
        <v>GR</v>
      </c>
      <c r="CU16" s="2" t="str">
        <f>IF(ISBLANK(Values!F15),"","CM")</f>
        <v>CM</v>
      </c>
      <c r="CV16" s="2" t="str">
        <f>IF(ISBLANK(Values!F15),"",IF(Values!$B$36=options!$F$1,"Denmark", IF(Values!$B$36=options!$F$2, "Danemark",IF(Values!$B$36=options!$F$3, "Dänemark",IF(Values!$B$36=options!$F$4, "Danimarca",IF(Values!$B$36=options!$F$5, "Dinamarca",IF(Values!$B$36=options!$F$6, "Denemarken","" ) ) ) ) )))</f>
        <v>Denmark</v>
      </c>
      <c r="CZ16" s="2" t="str">
        <f>IF(ISBLANK(Values!F15),"","No")</f>
        <v>No</v>
      </c>
      <c r="DA16" s="2" t="str">
        <f>IF(ISBLANK(Values!F15),"","No")</f>
        <v>No</v>
      </c>
      <c r="DO16" s="2" t="str">
        <f>IF(ISBLANK(Values!F15),"","Parts")</f>
        <v>Parts</v>
      </c>
      <c r="DP16" s="2" t="str">
        <f>IF(ISBLANK(Values!F15),"",Values!$B$31)</f>
        <v>6 month warranty after the delivery date. In case of any malfunction of the keyboard a new unit or a spare part for the keyboard of the product will be sent. In case of shortage of stock a full refund is issued.</v>
      </c>
      <c r="DY16" t="str">
        <f>IF(ISBLANK(Values!$F15), "", "not_applicable")</f>
        <v>not_applicable</v>
      </c>
      <c r="EI16" s="2" t="str">
        <f>IF(ISBLANK(Values!F15),"",Values!$B$31)</f>
        <v>6 month warranty after the delivery date. In case of any malfunction of the keyboard a new unit or a spare part for the keyboard of the product will be sent. In case of shortage of stock a full refund is issued.</v>
      </c>
      <c r="ES16" s="2" t="str">
        <f>IF(ISBLANK(Values!F15),"","Amazon Tellus UPS")</f>
        <v>Amazon Tellus UPS</v>
      </c>
      <c r="EV16" s="2" t="str">
        <f>IF(ISBLANK(Values!F15),"","New")</f>
        <v>New</v>
      </c>
      <c r="FE16" s="2" t="str">
        <f>IF(ISBLANK(Values!F15),"",IF(CO16&lt;&gt;"DEFAULT", "", 3))</f>
        <v/>
      </c>
      <c r="FH16" s="2" t="str">
        <f>IF(ISBLANK(Values!F15),"","FALSE")</f>
        <v>FALSE</v>
      </c>
      <c r="FI16" s="2" t="str">
        <f>IF(ISBLANK(Values!F15),"","FALSE")</f>
        <v>FALSE</v>
      </c>
      <c r="FJ16" s="2" t="str">
        <f>IF(ISBLANK(Values!F15),"","FALSE")</f>
        <v>FALSE</v>
      </c>
      <c r="FM16" s="2" t="str">
        <f>IF(ISBLANK(Values!F15),"","1")</f>
        <v>1</v>
      </c>
      <c r="FO16" s="28">
        <f>IF(ISBLANK(Values!F15),"",IF(Values!K15, Values!$B$4, Values!$B$5))</f>
        <v>27.99</v>
      </c>
      <c r="FP16" s="2" t="str">
        <f>IF(ISBLANK(Values!F15),"","Percent")</f>
        <v>Percent</v>
      </c>
      <c r="FQ16" s="2" t="str">
        <f>IF(ISBLANK(Values!F15),"","2")</f>
        <v>2</v>
      </c>
      <c r="FR16" s="2" t="str">
        <f>IF(ISBLANK(Values!F15),"","3")</f>
        <v>3</v>
      </c>
      <c r="FS16" s="2" t="str">
        <f>IF(ISBLANK(Values!F15),"","5")</f>
        <v>5</v>
      </c>
      <c r="FT16" s="2" t="str">
        <f>IF(ISBLANK(Values!F15),"","6")</f>
        <v>6</v>
      </c>
      <c r="FU16" s="2" t="str">
        <f>IF(ISBLANK(Values!F15),"","10")</f>
        <v>10</v>
      </c>
      <c r="FV16" s="2" t="str">
        <f>IF(ISBLANK(Values!F15),"","10")</f>
        <v>10</v>
      </c>
      <c r="GK16" s="61">
        <f>K16</f>
        <v>27.99</v>
      </c>
    </row>
    <row r="17" spans="1:193" ht="48" x14ac:dyDescent="0.2">
      <c r="A17" s="2" t="str">
        <f>IF(ISBLANK(Values!F16),"",IF(Values!$B$37="EU","computercomponent","computer"))</f>
        <v>computercomponent</v>
      </c>
      <c r="B17" s="34" t="str">
        <f>IF(ISBLANK(Values!F16),"",Values!G16)</f>
        <v>Dell e6400 - Reg IT</v>
      </c>
      <c r="C17" s="30" t="str">
        <f>IF(ISBLANK(Values!F16),"","TellusRem")</f>
        <v>TellusRem</v>
      </c>
      <c r="D17" s="29">
        <f>IF(ISBLANK(Values!F16),"",Values!F16)</f>
        <v>5714401640127</v>
      </c>
      <c r="E17" s="2" t="str">
        <f>IF(ISBLANK(Values!F16),"","EAN")</f>
        <v>EAN</v>
      </c>
      <c r="F17" s="28" t="str">
        <f>IF(ISBLANK(Values!F16),"",IF(Values!K16, SUBSTITUTE(Values!$B$1, "{language}", Values!I16) &amp; " " &amp;Values!$B$3, SUBSTITUTE(Values!$B$2, "{language}", Values!$I16) &amp; " " &amp;Values!$B$3))</f>
        <v>replacement Italian non-backlit keyboard for Dell   Latitude E6400, Latitude E6410, Latitude E6500, Latitude E6510</v>
      </c>
      <c r="G17" s="30" t="str">
        <f>IF(ISBLANK(Values!F16),"","TellusRem")</f>
        <v>TellusRem</v>
      </c>
      <c r="H17" s="2" t="str">
        <f>IF(ISBLANK(Values!F16),"",Values!$B$16)</f>
        <v>laptop-computer-replacement-parts</v>
      </c>
      <c r="I17" s="2" t="str">
        <f>IF(ISBLANK(Values!F16),"","4730574031")</f>
        <v>4730574031</v>
      </c>
      <c r="J17" s="32" t="str">
        <f>IF(ISBLANK(Values!F16),"",Values!G16 )</f>
        <v>Dell e6400 - Reg IT</v>
      </c>
      <c r="K17" s="28">
        <f>IF(ISBLANK(Values!F16),"",IF(Values!K16, Values!$B$4, Values!$B$5))</f>
        <v>27.99</v>
      </c>
      <c r="L17" s="28" t="str">
        <f>IF(ISBLANK(Values!F16),"",IF($CO17="DEFAULT", Values!$B$18, ""))</f>
        <v/>
      </c>
      <c r="M17" s="28" t="str">
        <f>IF(ISBLANK(Values!F16),"",Values!$N16)</f>
        <v>https://raw.githubusercontent.com/PatrickVibild/TellusAmazonPictures/master/pictures/DELL/E6400/RG/DE/1.jpg</v>
      </c>
      <c r="N17" s="28" t="str">
        <f>IF(ISBLANK(Values!$G16),"",Values!O16)</f>
        <v>https://raw.githubusercontent.com/PatrickVibild/TellusAmazonPictures/master/pictures/DELL/E6400/RG/DE/2.jpg</v>
      </c>
      <c r="O17" s="28" t="str">
        <f>IF(ISBLANK(Values!$G16),"",Values!P16)</f>
        <v>https://raw.githubusercontent.com/PatrickVibild/TellusAmazonPictures/master/pictures/DELL/E6400/RG/DE/3.jpg</v>
      </c>
      <c r="P17" s="28" t="str">
        <f>IF(ISBLANK(Values!$G16),"",Values!Q16)</f>
        <v>https://raw.githubusercontent.com/PatrickVibild/TellusAmazonPictures/master/pictures/DELL/E6400/RG/DE/4.jpg</v>
      </c>
      <c r="Q17" s="28" t="str">
        <f>IF(ISBLANK(Values!$G16),"",Values!R16)</f>
        <v>https://raw.githubusercontent.com/PatrickVibild/TellusAmazonPictures/master/pictures/DELL/E6400/RG/DE/5.jpg</v>
      </c>
      <c r="R17" s="28" t="str">
        <f>IF(ISBLANK(Values!$G16),"",Values!S16)</f>
        <v>https://raw.githubusercontent.com/PatrickVibild/TellusAmazonPictures/master/pictures/DELL/E6400/RG/DE/6.jpg</v>
      </c>
      <c r="S17" s="28" t="str">
        <f>IF(ISBLANK(Values!$G16),"",Values!T16)</f>
        <v>https://raw.githubusercontent.com/PatrickVibild/TellusAmazonPictures/master/pictures/DELL/E6400/RG/DE/7.jpg</v>
      </c>
      <c r="T17" s="28" t="str">
        <f>IF(ISBLANK(Values!$G16),"",Values!U16)</f>
        <v>https://raw.githubusercontent.com/PatrickVibild/TellusAmazonPictures/master/pictures/DELL/E6400/RG/DE/8.jpg</v>
      </c>
      <c r="U17" s="28" t="str">
        <f>IF(ISBLANK(Values!$G16),"",Values!V16)</f>
        <v>https://raw.githubusercontent.com/PatrickVibild/TellusAmazonPictures/master/pictures/DELL/E6400/RG/DE/9.jpg</v>
      </c>
      <c r="W17" s="30" t="str">
        <f>IF(ISBLANK(Values!F16),"","Child")</f>
        <v>Child</v>
      </c>
      <c r="X17" s="30" t="str">
        <f>IF(ISBLANK(Values!F16),"",Values!$B$13)</f>
        <v>Dell E6400</v>
      </c>
      <c r="Y17" s="32" t="str">
        <f>IF(ISBLANK(Values!F16),"","Size-Color")</f>
        <v>Size-Color</v>
      </c>
      <c r="Z17" s="30" t="str">
        <f>IF(ISBLANK(Values!F16),"","variation")</f>
        <v>variation</v>
      </c>
      <c r="AA17" s="2" t="str">
        <f>IF(ISBLANK(Values!F16),"",Values!$B$20)</f>
        <v>PartialUpdate</v>
      </c>
      <c r="AB17" s="2" t="str">
        <f>IF(ISBLANK(Values!F16),"",Values!$B$29)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5" t="str">
        <f>IF(ISBLANK(Values!F16),"",IF(Values!J16,Values!$B$23,Values!$B$33))</f>
        <v>👉 REFURBISHED:  SAVE MONEY -  Replacement Dell laptop keyboard, same quality as OEM keyboards. TellusRem is the Leading keyboards distributor in the world since 2011. Perfect replacement keyboard, easy to replace and install.</v>
      </c>
      <c r="AJ17" s="33" t="str">
        <f>IF(ISBLANK(Values!F16),"",Values!$B$24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E6400, Latitude E6410, Latitude E6500, Latitude E6510</v>
      </c>
      <c r="AK17" s="2" t="str">
        <f>IF(ISBLANK(Values!F16),"",Values!$B$25)</f>
        <v>♻️ ECOFRIENDLY PRODUCT - Buy refurbished, BUY GREEN! Reduce more than 80% carbon dioxide by buying our refurbished keyboards, compared to getting a new keyboard! Perfect OEM replacement part for your keyboard.</v>
      </c>
      <c r="AL17" s="2" t="str">
        <f>IF(ISBLANK(Values!F16),"",SUBSTITUTE(SUBSTITUTE(IF(Values!$K16, Values!$B$26, Values!$B$33), "{language}", Values!$I16), "{flag}", INDEX(options!$E$1:$E$20, Values!$W16)))</f>
        <v>👉 LAYOUT -  🇮🇹 Italian NO backlit.</v>
      </c>
      <c r="AM17" s="2" t="str">
        <f>SUBSTITUTE(IF(ISBLANK(Values!F16),"",Values!$B$27), "{model}", Values!$B$3)</f>
        <v>👉 COMPATIBLE WITH - Dell Latitude E6400, Latitude E6410, Latitude E6500, Latitude E6510. Please check the picture and description carefully before purchasing any keyboard. This ensures that you get the correct laptop keyboard for your computer. Super easy installation.</v>
      </c>
      <c r="AT17" s="28" t="str">
        <f>IF(ISBLANK(Values!F16),"",Values!I16)</f>
        <v>Italian</v>
      </c>
      <c r="AV17" s="2" t="str">
        <f>IF(ISBLANK(Values!F16),"",IF(Values!K16,"Backlit", "Non-Backlit"))</f>
        <v>Non-Backlit</v>
      </c>
      <c r="BE17" s="2" t="str">
        <f>IF(ISBLANK(Values!F16),"","Professional Audience")</f>
        <v>Professional Audience</v>
      </c>
      <c r="BF17" s="2" t="str">
        <f>IF(ISBLANK(Values!F16),"","Consumer Audience")</f>
        <v>Consumer Audience</v>
      </c>
      <c r="BG17" s="2" t="str">
        <f>IF(ISBLANK(Values!F16),"","Adults")</f>
        <v>Adults</v>
      </c>
      <c r="BH17" s="2" t="str">
        <f>IF(ISBLANK(Values!F16),"","People")</f>
        <v>People</v>
      </c>
      <c r="CG17" s="2">
        <f>IF(ISBLANK(Values!F16),"",Values!$B$11)</f>
        <v>100</v>
      </c>
      <c r="CH17" s="2" t="str">
        <f>IF(ISBLANK(Values!F16),"","GR")</f>
        <v>GR</v>
      </c>
      <c r="CI17" s="2" t="str">
        <f>IF(ISBLANK(Values!F16),"",Values!$B$7)</f>
        <v>41</v>
      </c>
      <c r="CJ17" s="2" t="str">
        <f>IF(ISBLANK(Values!F16),"",Values!$B$8)</f>
        <v>17</v>
      </c>
      <c r="CK17" s="2" t="str">
        <f>IF(ISBLANK(Values!F16),"",Values!$B$9)</f>
        <v>5</v>
      </c>
      <c r="CL17" s="2" t="str">
        <f>IF(ISBLANK(Values!F16),"","CM")</f>
        <v>CM</v>
      </c>
      <c r="CO17" s="2" t="str">
        <f>IF(ISBLANK(Values!F16), "", IF(AND(Values!$B$37=options!$G$2, Values!$C16), "AMAZON_NA", IF(AND(Values!$B$37=options!$G$1, Values!$D16), "AMAZON_EU", "DEFAULT")))</f>
        <v>AMAZON_EU</v>
      </c>
      <c r="CP17" s="2" t="str">
        <f>IF(ISBLANK(Values!F16),"",Values!$B$7)</f>
        <v>41</v>
      </c>
      <c r="CQ17" s="2" t="str">
        <f>IF(ISBLANK(Values!F16),"",Values!$B$8)</f>
        <v>17</v>
      </c>
      <c r="CR17" s="2" t="str">
        <f>IF(ISBLANK(Values!F16),"",Values!$B$9)</f>
        <v>5</v>
      </c>
      <c r="CS17" s="2">
        <f>IF(ISBLANK(Values!F16),"",Values!$B$11)</f>
        <v>100</v>
      </c>
      <c r="CT17" s="2" t="str">
        <f>IF(ISBLANK(Values!F16),"","GR")</f>
        <v>GR</v>
      </c>
      <c r="CU17" s="2" t="str">
        <f>IF(ISBLANK(Values!F16),"","CM")</f>
        <v>CM</v>
      </c>
      <c r="CV17" s="2" t="str">
        <f>IF(ISBLANK(Values!F16),"",IF(Values!$B$36=options!$F$1,"Denmark", IF(Values!$B$36=options!$F$2, "Danemark",IF(Values!$B$36=options!$F$3, "Dänemark",IF(Values!$B$36=options!$F$4, "Danimarca",IF(Values!$B$36=options!$F$5, "Dinamarca",IF(Values!$B$36=options!$F$6, "Denemarken","" ) ) ) ) )))</f>
        <v>Denmark</v>
      </c>
      <c r="CZ17" s="2" t="str">
        <f>IF(ISBLANK(Values!F16),"","No")</f>
        <v>No</v>
      </c>
      <c r="DA17" s="2" t="str">
        <f>IF(ISBLANK(Values!F16),"","No")</f>
        <v>No</v>
      </c>
      <c r="DO17" s="2" t="str">
        <f>IF(ISBLANK(Values!F16),"","Parts")</f>
        <v>Parts</v>
      </c>
      <c r="DP17" s="2" t="str">
        <f>IF(ISBLANK(Values!F16),"",Values!$B$31)</f>
        <v>6 month warranty after the delivery date. In case of any malfunction of the keyboard a new unit or a spare part for the keyboard of the product will be sent. In case of shortage of stock a full refund is issued.</v>
      </c>
      <c r="DY17" t="str">
        <f>IF(ISBLANK(Values!$F16), "", "not_applicable")</f>
        <v>not_applicable</v>
      </c>
      <c r="EI17" s="2" t="str">
        <f>IF(ISBLANK(Values!F16),"",Values!$B$31)</f>
        <v>6 month warranty after the delivery date. In case of any malfunction of the keyboard a new unit or a spare part for the keyboard of the product will be sent. In case of shortage of stock a full refund is issued.</v>
      </c>
      <c r="ES17" s="2" t="str">
        <f>IF(ISBLANK(Values!F16),"","Amazon Tellus UPS")</f>
        <v>Amazon Tellus UPS</v>
      </c>
      <c r="EV17" s="2" t="str">
        <f>IF(ISBLANK(Values!F16),"","New")</f>
        <v>New</v>
      </c>
      <c r="FE17" s="2" t="str">
        <f>IF(ISBLANK(Values!F16),"",IF(CO17&lt;&gt;"DEFAULT", "", 3))</f>
        <v/>
      </c>
      <c r="FH17" s="2" t="str">
        <f>IF(ISBLANK(Values!F16),"","FALSE")</f>
        <v>FALSE</v>
      </c>
      <c r="FI17" s="2" t="str">
        <f>IF(ISBLANK(Values!F16),"","FALSE")</f>
        <v>FALSE</v>
      </c>
      <c r="FJ17" s="2" t="str">
        <f>IF(ISBLANK(Values!F16),"","FALSE")</f>
        <v>FALSE</v>
      </c>
      <c r="FM17" s="2" t="str">
        <f>IF(ISBLANK(Values!F16),"","1")</f>
        <v>1</v>
      </c>
      <c r="FO17" s="28">
        <f>IF(ISBLANK(Values!F16),"",IF(Values!K16, Values!$B$4, Values!$B$5))</f>
        <v>27.99</v>
      </c>
      <c r="FP17" s="2" t="str">
        <f>IF(ISBLANK(Values!F16),"","Percent")</f>
        <v>Percent</v>
      </c>
      <c r="FQ17" s="2" t="str">
        <f>IF(ISBLANK(Values!F16),"","2")</f>
        <v>2</v>
      </c>
      <c r="FR17" s="2" t="str">
        <f>IF(ISBLANK(Values!F16),"","3")</f>
        <v>3</v>
      </c>
      <c r="FS17" s="2" t="str">
        <f>IF(ISBLANK(Values!F16),"","5")</f>
        <v>5</v>
      </c>
      <c r="FT17" s="2" t="str">
        <f>IF(ISBLANK(Values!F16),"","6")</f>
        <v>6</v>
      </c>
      <c r="FU17" s="2" t="str">
        <f>IF(ISBLANK(Values!F16),"","10")</f>
        <v>10</v>
      </c>
      <c r="FV17" s="2" t="str">
        <f>IF(ISBLANK(Values!F16),"","10")</f>
        <v>10</v>
      </c>
      <c r="GK17" s="61">
        <f>K17</f>
        <v>27.99</v>
      </c>
    </row>
    <row r="18" spans="1:193" ht="48" x14ac:dyDescent="0.2">
      <c r="A18" s="2" t="str">
        <f>IF(ISBLANK(Values!F17),"",IF(Values!$B$37="EU","computercomponent","computer"))</f>
        <v>computercomponent</v>
      </c>
      <c r="B18" s="34" t="str">
        <f>IF(ISBLANK(Values!F17),"",Values!G17)</f>
        <v>Dell e6400 - Reg ES</v>
      </c>
      <c r="C18" s="30" t="str">
        <f>IF(ISBLANK(Values!F17),"","TellusRem")</f>
        <v>TellusRem</v>
      </c>
      <c r="D18" s="29">
        <f>IF(ISBLANK(Values!F17),"",Values!F17)</f>
        <v>5714401640134</v>
      </c>
      <c r="E18" s="2" t="str">
        <f>IF(ISBLANK(Values!F17),"","EAN")</f>
        <v>EAN</v>
      </c>
      <c r="F18" s="28" t="str">
        <f>IF(ISBLANK(Values!F17),"",IF(Values!K17, SUBSTITUTE(Values!$B$1, "{language}", Values!I17) &amp; " " &amp;Values!$B$3, SUBSTITUTE(Values!$B$2, "{language}", Values!$I17) &amp; " " &amp;Values!$B$3))</f>
        <v>replacement Spanish non-backlit keyboard for Dell   Latitude E6400, Latitude E6410, Latitude E6500, Latitude E6510</v>
      </c>
      <c r="G18" s="30" t="str">
        <f>IF(ISBLANK(Values!F17),"","TellusRem")</f>
        <v>TellusRem</v>
      </c>
      <c r="H18" s="2" t="str">
        <f>IF(ISBLANK(Values!F17),"",Values!$B$16)</f>
        <v>laptop-computer-replacement-parts</v>
      </c>
      <c r="I18" s="2" t="str">
        <f>IF(ISBLANK(Values!F17),"","4730574031")</f>
        <v>4730574031</v>
      </c>
      <c r="J18" s="32" t="str">
        <f>IF(ISBLANK(Values!F17),"",Values!G17 )</f>
        <v>Dell e6400 - Reg ES</v>
      </c>
      <c r="K18" s="28">
        <f>IF(ISBLANK(Values!F17),"",IF(Values!K17, Values!$B$4, Values!$B$5))</f>
        <v>27.99</v>
      </c>
      <c r="L18" s="28" t="str">
        <f>IF(ISBLANK(Values!F17),"",IF($CO18="DEFAULT", Values!$B$18, ""))</f>
        <v/>
      </c>
      <c r="M18" s="28" t="str">
        <f>IF(ISBLANK(Values!F17),"",Values!$N17)</f>
        <v>https://raw.githubusercontent.com/PatrickVibild/TellusAmazonPictures/master/pictures/DELL/E6400/RG/DE/1.jpg</v>
      </c>
      <c r="N18" s="28" t="str">
        <f>IF(ISBLANK(Values!$G17),"",Values!O17)</f>
        <v>https://raw.githubusercontent.com/PatrickVibild/TellusAmazonPictures/master/pictures/DELL/E6400/RG/DE/2.jpg</v>
      </c>
      <c r="O18" s="28" t="str">
        <f>IF(ISBLANK(Values!$G17),"",Values!P17)</f>
        <v>https://raw.githubusercontent.com/PatrickVibild/TellusAmazonPictures/master/pictures/DELL/E6400/RG/DE/3.jpg</v>
      </c>
      <c r="P18" s="28" t="str">
        <f>IF(ISBLANK(Values!$G17),"",Values!Q17)</f>
        <v>https://raw.githubusercontent.com/PatrickVibild/TellusAmazonPictures/master/pictures/DELL/E6400/RG/DE/4.jpg</v>
      </c>
      <c r="Q18" s="28" t="str">
        <f>IF(ISBLANK(Values!$G17),"",Values!R17)</f>
        <v>https://raw.githubusercontent.com/PatrickVibild/TellusAmazonPictures/master/pictures/DELL/E6400/RG/DE/5.jpg</v>
      </c>
      <c r="R18" s="28" t="str">
        <f>IF(ISBLANK(Values!$G17),"",Values!S17)</f>
        <v>https://raw.githubusercontent.com/PatrickVibild/TellusAmazonPictures/master/pictures/DELL/E6400/RG/DE/6.jpg</v>
      </c>
      <c r="S18" s="28" t="str">
        <f>IF(ISBLANK(Values!$G17),"",Values!T17)</f>
        <v>https://raw.githubusercontent.com/PatrickVibild/TellusAmazonPictures/master/pictures/DELL/E6400/RG/DE/7.jpg</v>
      </c>
      <c r="T18" s="28" t="str">
        <f>IF(ISBLANK(Values!$G17),"",Values!U17)</f>
        <v>https://raw.githubusercontent.com/PatrickVibild/TellusAmazonPictures/master/pictures/DELL/E6400/RG/DE/8.jpg</v>
      </c>
      <c r="U18" s="28" t="str">
        <f>IF(ISBLANK(Values!$G17),"",Values!V17)</f>
        <v>https://raw.githubusercontent.com/PatrickVibild/TellusAmazonPictures/master/pictures/DELL/E6400/RG/DE/9.jpg</v>
      </c>
      <c r="W18" s="30" t="str">
        <f>IF(ISBLANK(Values!F17),"","Child")</f>
        <v>Child</v>
      </c>
      <c r="X18" s="30" t="str">
        <f>IF(ISBLANK(Values!F17),"",Values!$B$13)</f>
        <v>Dell E6400</v>
      </c>
      <c r="Y18" s="32" t="str">
        <f>IF(ISBLANK(Values!F17),"","Size-Color")</f>
        <v>Size-Color</v>
      </c>
      <c r="Z18" s="30" t="str">
        <f>IF(ISBLANK(Values!F17),"","variation")</f>
        <v>variation</v>
      </c>
      <c r="AA18" s="2" t="str">
        <f>IF(ISBLANK(Values!F17),"",Values!$B$20)</f>
        <v>PartialUpdate</v>
      </c>
      <c r="AB18" s="2" t="str">
        <f>IF(ISBLANK(Values!F17),"",Values!$B$29)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5" t="str">
        <f>IF(ISBLANK(Values!F17),"",IF(Values!J17,Values!$B$23,Values!$B$33))</f>
        <v>👉 REFURBISHED:  SAVE MONEY -  Replacement Dell laptop keyboard, same quality as OEM keyboards. TellusRem is the Leading keyboards distributor in the world since 2011. Perfect replacement keyboard, easy to replace and install.</v>
      </c>
      <c r="AJ18" s="33" t="str">
        <f>IF(ISBLANK(Values!F17),"",Values!$B$24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E6400, Latitude E6410, Latitude E6500, Latitude E6510</v>
      </c>
      <c r="AK18" s="2" t="str">
        <f>IF(ISBLANK(Values!F17),"",Values!$B$25)</f>
        <v>♻️ ECOFRIENDLY PRODUCT - Buy refurbished, BUY GREEN! Reduce more than 80% carbon dioxide by buying our refurbished keyboards, compared to getting a new keyboard! Perfect OEM replacement part for your keyboard.</v>
      </c>
      <c r="AL18" s="2" t="str">
        <f>IF(ISBLANK(Values!F17),"",SUBSTITUTE(SUBSTITUTE(IF(Values!$K17, Values!$B$26, Values!$B$33), "{language}", Values!$I17), "{flag}", INDEX(options!$E$1:$E$20, Values!$W17)))</f>
        <v>👉 LAYOUT -  🇪🇸 Spanish NO backlit.</v>
      </c>
      <c r="AM18" s="2" t="str">
        <f>SUBSTITUTE(IF(ISBLANK(Values!F17),"",Values!$B$27), "{model}", Values!$B$3)</f>
        <v>👉 COMPATIBLE WITH - Dell Latitude E6400, Latitude E6410, Latitude E6500, Latitude E6510. Please check the picture and description carefully before purchasing any keyboard. This ensures that you get the correct laptop keyboard for your computer. Super easy installation.</v>
      </c>
      <c r="AT18" s="28" t="str">
        <f>IF(ISBLANK(Values!F17),"",Values!I17)</f>
        <v>Spanish</v>
      </c>
      <c r="AV18" s="2" t="str">
        <f>IF(ISBLANK(Values!F17),"",IF(Values!K17,"Backlit", "Non-Backlit"))</f>
        <v>Non-Backlit</v>
      </c>
      <c r="BE18" s="2" t="str">
        <f>IF(ISBLANK(Values!F17),"","Professional Audience")</f>
        <v>Professional Audience</v>
      </c>
      <c r="BF18" s="2" t="str">
        <f>IF(ISBLANK(Values!F17),"","Consumer Audience")</f>
        <v>Consumer Audience</v>
      </c>
      <c r="BG18" s="2" t="str">
        <f>IF(ISBLANK(Values!F17),"","Adults")</f>
        <v>Adults</v>
      </c>
      <c r="BH18" s="2" t="str">
        <f>IF(ISBLANK(Values!F17),"","People")</f>
        <v>People</v>
      </c>
      <c r="CG18" s="2">
        <f>IF(ISBLANK(Values!F17),"",Values!$B$11)</f>
        <v>100</v>
      </c>
      <c r="CH18" s="2" t="str">
        <f>IF(ISBLANK(Values!F17),"","GR")</f>
        <v>GR</v>
      </c>
      <c r="CI18" s="2" t="str">
        <f>IF(ISBLANK(Values!F17),"",Values!$B$7)</f>
        <v>41</v>
      </c>
      <c r="CJ18" s="2" t="str">
        <f>IF(ISBLANK(Values!F17),"",Values!$B$8)</f>
        <v>17</v>
      </c>
      <c r="CK18" s="2" t="str">
        <f>IF(ISBLANK(Values!F17),"",Values!$B$9)</f>
        <v>5</v>
      </c>
      <c r="CL18" s="2" t="str">
        <f>IF(ISBLANK(Values!F17),"","CM")</f>
        <v>CM</v>
      </c>
      <c r="CO18" s="2" t="str">
        <f>IF(ISBLANK(Values!F17), "", IF(AND(Values!$B$37=options!$G$2, Values!$C17), "AMAZON_NA", IF(AND(Values!$B$37=options!$G$1, Values!$D17), "AMAZON_EU", "DEFAULT")))</f>
        <v>AMAZON_EU</v>
      </c>
      <c r="CP18" s="2" t="str">
        <f>IF(ISBLANK(Values!F17),"",Values!$B$7)</f>
        <v>41</v>
      </c>
      <c r="CQ18" s="2" t="str">
        <f>IF(ISBLANK(Values!F17),"",Values!$B$8)</f>
        <v>17</v>
      </c>
      <c r="CR18" s="2" t="str">
        <f>IF(ISBLANK(Values!F17),"",Values!$B$9)</f>
        <v>5</v>
      </c>
      <c r="CS18" s="2">
        <f>IF(ISBLANK(Values!F17),"",Values!$B$11)</f>
        <v>100</v>
      </c>
      <c r="CT18" s="2" t="str">
        <f>IF(ISBLANK(Values!F17),"","GR")</f>
        <v>GR</v>
      </c>
      <c r="CU18" s="2" t="str">
        <f>IF(ISBLANK(Values!F17),"","CM")</f>
        <v>CM</v>
      </c>
      <c r="CV18" s="2" t="str">
        <f>IF(ISBLANK(Values!F17),"",IF(Values!$B$36=options!$F$1,"Denmark", IF(Values!$B$36=options!$F$2, "Danemark",IF(Values!$B$36=options!$F$3, "Dänemark",IF(Values!$B$36=options!$F$4, "Danimarca",IF(Values!$B$36=options!$F$5, "Dinamarca",IF(Values!$B$36=options!$F$6, "Denemarken","" ) ) ) ) )))</f>
        <v>Denmark</v>
      </c>
      <c r="CZ18" s="2" t="str">
        <f>IF(ISBLANK(Values!F17),"","No")</f>
        <v>No</v>
      </c>
      <c r="DA18" s="2" t="str">
        <f>IF(ISBLANK(Values!F17),"","No")</f>
        <v>No</v>
      </c>
      <c r="DO18" s="2" t="str">
        <f>IF(ISBLANK(Values!F17),"","Parts")</f>
        <v>Parts</v>
      </c>
      <c r="DP18" s="2" t="str">
        <f>IF(ISBLANK(Values!F17),"",Values!$B$31)</f>
        <v>6 month warranty after the delivery date. In case of any malfunction of the keyboard a new unit or a spare part for the keyboard of the product will be sent. In case of shortage of stock a full refund is issued.</v>
      </c>
      <c r="DY18" t="str">
        <f>IF(ISBLANK(Values!$F17), "", "not_applicable")</f>
        <v>not_applicable</v>
      </c>
      <c r="EI18" s="2" t="str">
        <f>IF(ISBLANK(Values!F17),"",Values!$B$31)</f>
        <v>6 month warranty after the delivery date. In case of any malfunction of the keyboard a new unit or a spare part for the keyboard of the product will be sent. In case of shortage of stock a full refund is issued.</v>
      </c>
      <c r="ES18" s="2" t="str">
        <f>IF(ISBLANK(Values!F17),"","Amazon Tellus UPS")</f>
        <v>Amazon Tellus UPS</v>
      </c>
      <c r="EV18" s="2" t="str">
        <f>IF(ISBLANK(Values!F17),"","New")</f>
        <v>New</v>
      </c>
      <c r="FE18" s="2" t="str">
        <f>IF(ISBLANK(Values!F17),"",IF(CO18&lt;&gt;"DEFAULT", "", 3))</f>
        <v/>
      </c>
      <c r="FH18" s="2" t="str">
        <f>IF(ISBLANK(Values!F17),"","FALSE")</f>
        <v>FALSE</v>
      </c>
      <c r="FI18" s="2" t="str">
        <f>IF(ISBLANK(Values!F17),"","FALSE")</f>
        <v>FALSE</v>
      </c>
      <c r="FJ18" s="2" t="str">
        <f>IF(ISBLANK(Values!F17),"","FALSE")</f>
        <v>FALSE</v>
      </c>
      <c r="FM18" s="2" t="str">
        <f>IF(ISBLANK(Values!F17),"","1")</f>
        <v>1</v>
      </c>
      <c r="FO18" s="28">
        <f>IF(ISBLANK(Values!F17),"",IF(Values!K17, Values!$B$4, Values!$B$5))</f>
        <v>27.99</v>
      </c>
      <c r="FP18" s="2" t="str">
        <f>IF(ISBLANK(Values!F17),"","Percent")</f>
        <v>Percent</v>
      </c>
      <c r="FQ18" s="2" t="str">
        <f>IF(ISBLANK(Values!F17),"","2")</f>
        <v>2</v>
      </c>
      <c r="FR18" s="2" t="str">
        <f>IF(ISBLANK(Values!F17),"","3")</f>
        <v>3</v>
      </c>
      <c r="FS18" s="2" t="str">
        <f>IF(ISBLANK(Values!F17),"","5")</f>
        <v>5</v>
      </c>
      <c r="FT18" s="2" t="str">
        <f>IF(ISBLANK(Values!F17),"","6")</f>
        <v>6</v>
      </c>
      <c r="FU18" s="2" t="str">
        <f>IF(ISBLANK(Values!F17),"","10")</f>
        <v>10</v>
      </c>
      <c r="FV18" s="2" t="str">
        <f>IF(ISBLANK(Values!F17),"","10")</f>
        <v>10</v>
      </c>
      <c r="GK18" s="61">
        <f>K18</f>
        <v>27.99</v>
      </c>
    </row>
    <row r="19" spans="1:193" ht="48" x14ac:dyDescent="0.2">
      <c r="A19" s="2" t="str">
        <f>IF(ISBLANK(Values!F18),"",IF(Values!$B$37="EU","computercomponent","computer"))</f>
        <v>computercomponent</v>
      </c>
      <c r="B19" s="34" t="str">
        <f>IF(ISBLANK(Values!F18),"",Values!G18)</f>
        <v>Dell e6400 - Reg UK II</v>
      </c>
      <c r="C19" s="30" t="str">
        <f>IF(ISBLANK(Values!F18),"","TellusRem")</f>
        <v>TellusRem</v>
      </c>
      <c r="D19" s="29">
        <f>IF(ISBLANK(Values!F18),"",Values!F18)</f>
        <v>5714401640141</v>
      </c>
      <c r="E19" s="2" t="str">
        <f>IF(ISBLANK(Values!F18),"","EAN")</f>
        <v>EAN</v>
      </c>
      <c r="F19" s="28" t="str">
        <f>IF(ISBLANK(Values!F18),"",IF(Values!K18, SUBSTITUTE(Values!$B$1, "{language}", Values!I18) &amp; " " &amp;Values!$B$3, SUBSTITUTE(Values!$B$2, "{language}", Values!$I18) &amp; " " &amp;Values!$B$3))</f>
        <v>replacement UK non-backlit keyboard for Dell   Latitude E6400, Latitude E6410, Latitude E6500, Latitude E6510</v>
      </c>
      <c r="G19" s="30" t="str">
        <f>IF(ISBLANK(Values!F18),"","TellusRem")</f>
        <v>TellusRem</v>
      </c>
      <c r="H19" s="2" t="str">
        <f>IF(ISBLANK(Values!F18),"",Values!$B$16)</f>
        <v>laptop-computer-replacement-parts</v>
      </c>
      <c r="I19" s="2" t="str">
        <f>IF(ISBLANK(Values!F18),"","4730574031")</f>
        <v>4730574031</v>
      </c>
      <c r="J19" s="32" t="str">
        <f>IF(ISBLANK(Values!F18),"",Values!G18 )</f>
        <v>Dell e6400 - Reg UK II</v>
      </c>
      <c r="K19" s="28">
        <f>IF(ISBLANK(Values!F18),"",IF(Values!K18, Values!$B$4, Values!$B$5))</f>
        <v>27.99</v>
      </c>
      <c r="L19" s="28" t="str">
        <f>IF(ISBLANK(Values!F18),"",IF($CO19="DEFAULT", Values!$B$18, ""))</f>
        <v/>
      </c>
      <c r="M19" s="28" t="str">
        <f>IF(ISBLANK(Values!F18),"",Values!$N18)</f>
        <v>https://raw.githubusercontent.com/PatrickVibild/TellusAmazonPictures/master/pictures/DELL/E6400/RG/DE/1.jpg</v>
      </c>
      <c r="N19" s="28" t="str">
        <f>IF(ISBLANK(Values!$G18),"",Values!O18)</f>
        <v>https://raw.githubusercontent.com/PatrickVibild/TellusAmazonPictures/master/pictures/DELL/E6400/RG/DE/2.jpg</v>
      </c>
      <c r="O19" s="28" t="str">
        <f>IF(ISBLANK(Values!$G18),"",Values!P18)</f>
        <v>https://raw.githubusercontent.com/PatrickVibild/TellusAmazonPictures/master/pictures/DELL/E6400/RG/DE/3.jpg</v>
      </c>
      <c r="P19" s="28" t="str">
        <f>IF(ISBLANK(Values!$G18),"",Values!Q18)</f>
        <v>https://raw.githubusercontent.com/PatrickVibild/TellusAmazonPictures/master/pictures/DELL/E6400/RG/DE/4.jpg</v>
      </c>
      <c r="Q19" s="28" t="str">
        <f>IF(ISBLANK(Values!$G18),"",Values!R18)</f>
        <v>https://raw.githubusercontent.com/PatrickVibild/TellusAmazonPictures/master/pictures/DELL/E6400/RG/DE/5.jpg</v>
      </c>
      <c r="R19" s="28" t="str">
        <f>IF(ISBLANK(Values!$G18),"",Values!S18)</f>
        <v>https://raw.githubusercontent.com/PatrickVibild/TellusAmazonPictures/master/pictures/DELL/E6400/RG/DE/6.jpg</v>
      </c>
      <c r="S19" s="28" t="str">
        <f>IF(ISBLANK(Values!$G18),"",Values!T18)</f>
        <v>https://raw.githubusercontent.com/PatrickVibild/TellusAmazonPictures/master/pictures/DELL/E6400/RG/DE/7.jpg</v>
      </c>
      <c r="T19" s="28" t="str">
        <f>IF(ISBLANK(Values!$G18),"",Values!U18)</f>
        <v>https://raw.githubusercontent.com/PatrickVibild/TellusAmazonPictures/master/pictures/DELL/E6400/RG/DE/8.jpg</v>
      </c>
      <c r="U19" s="28" t="str">
        <f>IF(ISBLANK(Values!$G18),"",Values!V18)</f>
        <v>https://raw.githubusercontent.com/PatrickVibild/TellusAmazonPictures/master/pictures/DELL/E6400/RG/DE/9.jpg</v>
      </c>
      <c r="W19" s="30" t="str">
        <f>IF(ISBLANK(Values!F18),"","Child")</f>
        <v>Child</v>
      </c>
      <c r="X19" s="30" t="str">
        <f>IF(ISBLANK(Values!F18),"",Values!$B$13)</f>
        <v>Dell E6400</v>
      </c>
      <c r="Y19" s="32" t="str">
        <f>IF(ISBLANK(Values!F18),"","Size-Color")</f>
        <v>Size-Color</v>
      </c>
      <c r="Z19" s="30" t="str">
        <f>IF(ISBLANK(Values!F18),"","variation")</f>
        <v>variation</v>
      </c>
      <c r="AA19" s="2" t="str">
        <f>IF(ISBLANK(Values!F18),"",Values!$B$20)</f>
        <v>PartialUpdate</v>
      </c>
      <c r="AB19" s="2" t="str">
        <f>IF(ISBLANK(Values!F18),"",Values!$B$29)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5" t="str">
        <f>IF(ISBLANK(Values!F18),"",IF(Values!J18,Values!$B$23,Values!$B$33))</f>
        <v>👉 REFURBISHED:  SAVE MONEY -  Replacement Dell laptop keyboard, same quality as OEM keyboards. TellusRem is the Leading keyboards distributor in the world since 2011. Perfect replacement keyboard, easy to replace and install.</v>
      </c>
      <c r="AJ19" s="33" t="str">
        <f>IF(ISBLANK(Values!F18),"",Values!$B$24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E6400, Latitude E6410, Latitude E6500, Latitude E6510</v>
      </c>
      <c r="AK19" s="2" t="str">
        <f>IF(ISBLANK(Values!F18),"",Values!$B$25)</f>
        <v>♻️ ECOFRIENDLY PRODUCT - Buy refurbished, BUY GREEN! Reduce more than 80% carbon dioxide by buying our refurbished keyboards, compared to getting a new keyboard! Perfect OEM replacement part for your keyboard.</v>
      </c>
      <c r="AL19" s="2" t="str">
        <f>IF(ISBLANK(Values!F18),"",SUBSTITUTE(SUBSTITUTE(IF(Values!$K18, Values!$B$26, Values!$B$33), "{language}", Values!$I18), "{flag}", INDEX(options!$E$1:$E$20, Values!$W18)))</f>
        <v>👉 LAYOUT -  🇬🇧 UK NO backlit.</v>
      </c>
      <c r="AM19" s="2" t="str">
        <f>SUBSTITUTE(IF(ISBLANK(Values!F18),"",Values!$B$27), "{model}", Values!$B$3)</f>
        <v>👉 COMPATIBLE WITH - Dell Latitude E6400, Latitude E6410, Latitude E6500, Latitude E6510. Please check the picture and description carefully before purchasing any keyboard. This ensures that you get the correct laptop keyboard for your computer. Super easy installation.</v>
      </c>
      <c r="AT19" s="28" t="str">
        <f>IF(ISBLANK(Values!F18),"",Values!I18)</f>
        <v>UK</v>
      </c>
      <c r="AV19" s="2" t="str">
        <f>IF(ISBLANK(Values!F18),"",IF(Values!K18,"Backlit", "Non-Backlit"))</f>
        <v>Non-Backlit</v>
      </c>
      <c r="BE19" s="2" t="str">
        <f>IF(ISBLANK(Values!F18),"","Professional Audience")</f>
        <v>Professional Audience</v>
      </c>
      <c r="BF19" s="2" t="str">
        <f>IF(ISBLANK(Values!F18),"","Consumer Audience")</f>
        <v>Consumer Audience</v>
      </c>
      <c r="BG19" s="2" t="str">
        <f>IF(ISBLANK(Values!F18),"","Adults")</f>
        <v>Adults</v>
      </c>
      <c r="BH19" s="2" t="str">
        <f>IF(ISBLANK(Values!F18),"","People")</f>
        <v>People</v>
      </c>
      <c r="CG19" s="2">
        <f>IF(ISBLANK(Values!F18),"",Values!$B$11)</f>
        <v>100</v>
      </c>
      <c r="CH19" s="2" t="str">
        <f>IF(ISBLANK(Values!F18),"","GR")</f>
        <v>GR</v>
      </c>
      <c r="CI19" s="2" t="str">
        <f>IF(ISBLANK(Values!F18),"",Values!$B$7)</f>
        <v>41</v>
      </c>
      <c r="CJ19" s="2" t="str">
        <f>IF(ISBLANK(Values!F18),"",Values!$B$8)</f>
        <v>17</v>
      </c>
      <c r="CK19" s="2" t="str">
        <f>IF(ISBLANK(Values!F18),"",Values!$B$9)</f>
        <v>5</v>
      </c>
      <c r="CL19" s="2" t="str">
        <f>IF(ISBLANK(Values!F18),"","CM")</f>
        <v>CM</v>
      </c>
      <c r="CO19" s="2" t="str">
        <f>IF(ISBLANK(Values!F18), "", IF(AND(Values!$B$37=options!$G$2, Values!$C18), "AMAZON_NA", IF(AND(Values!$B$37=options!$G$1, Values!$D18), "AMAZON_EU", "DEFAULT")))</f>
        <v>AMAZON_EU</v>
      </c>
      <c r="CP19" s="2" t="str">
        <f>IF(ISBLANK(Values!F18),"",Values!$B$7)</f>
        <v>41</v>
      </c>
      <c r="CQ19" s="2" t="str">
        <f>IF(ISBLANK(Values!F18),"",Values!$B$8)</f>
        <v>17</v>
      </c>
      <c r="CR19" s="2" t="str">
        <f>IF(ISBLANK(Values!F18),"",Values!$B$9)</f>
        <v>5</v>
      </c>
      <c r="CS19" s="2">
        <f>IF(ISBLANK(Values!F18),"",Values!$B$11)</f>
        <v>100</v>
      </c>
      <c r="CT19" s="2" t="str">
        <f>IF(ISBLANK(Values!F18),"","GR")</f>
        <v>GR</v>
      </c>
      <c r="CU19" s="2" t="str">
        <f>IF(ISBLANK(Values!F18),"","CM")</f>
        <v>CM</v>
      </c>
      <c r="CV19" s="2" t="str">
        <f>IF(ISBLANK(Values!F18),"",IF(Values!$B$36=options!$F$1,"Denmark", IF(Values!$B$36=options!$F$2, "Danemark",IF(Values!$B$36=options!$F$3, "Dänemark",IF(Values!$B$36=options!$F$4, "Danimarca",IF(Values!$B$36=options!$F$5, "Dinamarca",IF(Values!$B$36=options!$F$6, "Denemarken","" ) ) ) ) )))</f>
        <v>Denmark</v>
      </c>
      <c r="CZ19" s="2" t="str">
        <f>IF(ISBLANK(Values!F18),"","No")</f>
        <v>No</v>
      </c>
      <c r="DA19" s="2" t="str">
        <f>IF(ISBLANK(Values!F18),"","No")</f>
        <v>No</v>
      </c>
      <c r="DO19" s="2" t="str">
        <f>IF(ISBLANK(Values!F18),"","Parts")</f>
        <v>Parts</v>
      </c>
      <c r="DP19" s="2" t="str">
        <f>IF(ISBLANK(Values!F18),"",Values!$B$31)</f>
        <v>6 month warranty after the delivery date. In case of any malfunction of the keyboard a new unit or a spare part for the keyboard of the product will be sent. In case of shortage of stock a full refund is issued.</v>
      </c>
      <c r="DY19" t="str">
        <f>IF(ISBLANK(Values!$F18), "", "not_applicable")</f>
        <v>not_applicable</v>
      </c>
      <c r="EI19" s="2" t="str">
        <f>IF(ISBLANK(Values!F18),"",Values!$B$31)</f>
        <v>6 month warranty after the delivery date. In case of any malfunction of the keyboard a new unit or a spare part for the keyboard of the product will be sent. In case of shortage of stock a full refund is issued.</v>
      </c>
      <c r="ES19" s="2" t="str">
        <f>IF(ISBLANK(Values!F18),"","Amazon Tellus UPS")</f>
        <v>Amazon Tellus UPS</v>
      </c>
      <c r="EV19" s="2" t="str">
        <f>IF(ISBLANK(Values!F18),"","New")</f>
        <v>New</v>
      </c>
      <c r="FE19" s="2" t="str">
        <f>IF(ISBLANK(Values!F18),"",IF(CO19&lt;&gt;"DEFAULT", "", 3))</f>
        <v/>
      </c>
      <c r="FH19" s="2" t="str">
        <f>IF(ISBLANK(Values!F18),"","FALSE")</f>
        <v>FALSE</v>
      </c>
      <c r="FI19" s="2" t="str">
        <f>IF(ISBLANK(Values!F18),"","FALSE")</f>
        <v>FALSE</v>
      </c>
      <c r="FJ19" s="2" t="str">
        <f>IF(ISBLANK(Values!F18),"","FALSE")</f>
        <v>FALSE</v>
      </c>
      <c r="FM19" s="2" t="str">
        <f>IF(ISBLANK(Values!F18),"","1")</f>
        <v>1</v>
      </c>
      <c r="FO19" s="28">
        <f>IF(ISBLANK(Values!F18),"",IF(Values!K18, Values!$B$4, Values!$B$5))</f>
        <v>27.99</v>
      </c>
      <c r="FP19" s="2" t="str">
        <f>IF(ISBLANK(Values!F18),"","Percent")</f>
        <v>Percent</v>
      </c>
      <c r="FQ19" s="2" t="str">
        <f>IF(ISBLANK(Values!F18),"","2")</f>
        <v>2</v>
      </c>
      <c r="FR19" s="2" t="str">
        <f>IF(ISBLANK(Values!F18),"","3")</f>
        <v>3</v>
      </c>
      <c r="FS19" s="2" t="str">
        <f>IF(ISBLANK(Values!F18),"","5")</f>
        <v>5</v>
      </c>
      <c r="FT19" s="2" t="str">
        <f>IF(ISBLANK(Values!F18),"","6")</f>
        <v>6</v>
      </c>
      <c r="FU19" s="2" t="str">
        <f>IF(ISBLANK(Values!F18),"","10")</f>
        <v>10</v>
      </c>
      <c r="FV19" s="2" t="str">
        <f>IF(ISBLANK(Values!F18),"","10")</f>
        <v>10</v>
      </c>
      <c r="GK19" s="61">
        <f>K19</f>
        <v>27.99</v>
      </c>
    </row>
    <row r="20" spans="1:193" ht="48" x14ac:dyDescent="0.2">
      <c r="A20" s="2" t="str">
        <f>IF(ISBLANK(Values!F19),"",IF(Values!$B$37="EU","computercomponent","computer"))</f>
        <v>computercomponent</v>
      </c>
      <c r="B20" s="34" t="str">
        <f>IF(ISBLANK(Values!F19),"",Values!G19)</f>
        <v>Dell e6400 - Reg NOR</v>
      </c>
      <c r="C20" s="30" t="str">
        <f>IF(ISBLANK(Values!F19),"","TellusRem")</f>
        <v>TellusRem</v>
      </c>
      <c r="D20" s="29">
        <f>IF(ISBLANK(Values!F19),"",Values!F19)</f>
        <v>5714401640158</v>
      </c>
      <c r="E20" s="2" t="str">
        <f>IF(ISBLANK(Values!F19),"","EAN")</f>
        <v>EAN</v>
      </c>
      <c r="F20" s="28" t="str">
        <f>IF(ISBLANK(Values!F19),"",IF(Values!K19, SUBSTITUTE(Values!$B$1, "{language}", Values!I19) &amp; " " &amp;Values!$B$3, SUBSTITUTE(Values!$B$2, "{language}", Values!$I19) &amp; " " &amp;Values!$B$3))</f>
        <v>replacement Scandinavian – Nordic non-backlit keyboard for Dell   Latitude E6400, Latitude E6410, Latitude E6500, Latitude E6510</v>
      </c>
      <c r="G20" s="30" t="str">
        <f>IF(ISBLANK(Values!F19),"","TellusRem")</f>
        <v>TellusRem</v>
      </c>
      <c r="H20" s="2" t="str">
        <f>IF(ISBLANK(Values!F19),"",Values!$B$16)</f>
        <v>laptop-computer-replacement-parts</v>
      </c>
      <c r="I20" s="2" t="str">
        <f>IF(ISBLANK(Values!F19),"","4730574031")</f>
        <v>4730574031</v>
      </c>
      <c r="J20" s="32" t="str">
        <f>IF(ISBLANK(Values!F19),"",Values!G19 )</f>
        <v>Dell e6400 - Reg NOR</v>
      </c>
      <c r="K20" s="28">
        <f>IF(ISBLANK(Values!F19),"",IF(Values!K19, Values!$B$4, Values!$B$5))</f>
        <v>27.99</v>
      </c>
      <c r="L20" s="28" t="str">
        <f>IF(ISBLANK(Values!F19),"",IF($CO20="DEFAULT", Values!$B$18, ""))</f>
        <v/>
      </c>
      <c r="M20" s="28" t="str">
        <f>IF(ISBLANK(Values!F19),"",Values!$N19)</f>
        <v>https://raw.githubusercontent.com/PatrickVibild/TellusAmazonPictures/master/pictures/DELL/E6400/RG/DE/1.jpg</v>
      </c>
      <c r="N20" s="28" t="str">
        <f>IF(ISBLANK(Values!$G19),"",Values!O19)</f>
        <v>https://raw.githubusercontent.com/PatrickVibild/TellusAmazonPictures/master/pictures/DELL/E6400/RG/DE/2.jpg</v>
      </c>
      <c r="O20" s="28" t="str">
        <f>IF(ISBLANK(Values!$G19),"",Values!P19)</f>
        <v>https://raw.githubusercontent.com/PatrickVibild/TellusAmazonPictures/master/pictures/DELL/E6400/RG/DE/3.jpg</v>
      </c>
      <c r="P20" s="28" t="str">
        <f>IF(ISBLANK(Values!$G19),"",Values!Q19)</f>
        <v>https://raw.githubusercontent.com/PatrickVibild/TellusAmazonPictures/master/pictures/DELL/E6400/RG/DE/4.jpg</v>
      </c>
      <c r="Q20" s="28" t="str">
        <f>IF(ISBLANK(Values!$G19),"",Values!R19)</f>
        <v>https://raw.githubusercontent.com/PatrickVibild/TellusAmazonPictures/master/pictures/DELL/E6400/RG/DE/5.jpg</v>
      </c>
      <c r="R20" s="28" t="str">
        <f>IF(ISBLANK(Values!$G19),"",Values!S19)</f>
        <v>https://raw.githubusercontent.com/PatrickVibild/TellusAmazonPictures/master/pictures/DELL/E6400/RG/DE/6.jpg</v>
      </c>
      <c r="S20" s="28" t="str">
        <f>IF(ISBLANK(Values!$G19),"",Values!T19)</f>
        <v>https://raw.githubusercontent.com/PatrickVibild/TellusAmazonPictures/master/pictures/DELL/E6400/RG/DE/7.jpg</v>
      </c>
      <c r="T20" s="28" t="str">
        <f>IF(ISBLANK(Values!$G19),"",Values!U19)</f>
        <v>https://raw.githubusercontent.com/PatrickVibild/TellusAmazonPictures/master/pictures/DELL/E6400/RG/DE/8.jpg</v>
      </c>
      <c r="U20" s="28" t="str">
        <f>IF(ISBLANK(Values!$G19),"",Values!V19)</f>
        <v>https://raw.githubusercontent.com/PatrickVibild/TellusAmazonPictures/master/pictures/DELL/E6400/RG/DE/9.jpg</v>
      </c>
      <c r="W20" s="30" t="str">
        <f>IF(ISBLANK(Values!F19),"","Child")</f>
        <v>Child</v>
      </c>
      <c r="X20" s="30" t="str">
        <f>IF(ISBLANK(Values!F19),"",Values!$B$13)</f>
        <v>Dell E6400</v>
      </c>
      <c r="Y20" s="32" t="str">
        <f>IF(ISBLANK(Values!F19),"","Size-Color")</f>
        <v>Size-Color</v>
      </c>
      <c r="Z20" s="30" t="str">
        <f>IF(ISBLANK(Values!F19),"","variation")</f>
        <v>variation</v>
      </c>
      <c r="AA20" s="2" t="str">
        <f>IF(ISBLANK(Values!F19),"",Values!$B$20)</f>
        <v>PartialUpdate</v>
      </c>
      <c r="AB20" s="2" t="str">
        <f>IF(ISBLANK(Values!F19),"",Values!$B$29)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5" t="str">
        <f>IF(ISBLANK(Values!F19),"",IF(Values!J19,Values!$B$23,Values!$B$33))</f>
        <v>👉 REFURBISHED:  SAVE MONEY -  Replacement Dell laptop keyboard, same quality as OEM keyboards. TellusRem is the Leading keyboards distributor in the world since 2011. Perfect replacement keyboard, easy to replace and install.</v>
      </c>
      <c r="AJ20" s="33" t="str">
        <f>IF(ISBLANK(Values!F19),"",Values!$B$24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E6400, Latitude E6410, Latitude E6500, Latitude E6510</v>
      </c>
      <c r="AK20" s="2" t="str">
        <f>IF(ISBLANK(Values!F19),"",Values!$B$25)</f>
        <v>♻️ ECOFRIENDLY PRODUCT - Buy refurbished, BUY GREEN! Reduce more than 80% carbon dioxide by buying our refurbished keyboards, compared to getting a new keyboard! Perfect OEM replacement part for your keyboard.</v>
      </c>
      <c r="AL20" s="2" t="str">
        <f>IF(ISBLANK(Values!F19),"",SUBSTITUTE(SUBSTITUTE(IF(Values!$K19, Values!$B$26, Values!$B$33), "{language}", Values!$I19), "{flag}", INDEX(options!$E$1:$E$20, Values!$W19)))</f>
        <v>👉 LAYOUT -  🇸🇪 🇫🇮 🇳🇴 🇩🇰 Scandinavian – Nordic NO backlit.</v>
      </c>
      <c r="AM20" s="2" t="str">
        <f>SUBSTITUTE(IF(ISBLANK(Values!F19),"",Values!$B$27), "{model}", Values!$B$3)</f>
        <v>👉 COMPATIBLE WITH - Dell Latitude E6400, Latitude E6410, Latitude E6500, Latitude E6510. Please check the picture and description carefully before purchasing any keyboard. This ensures that you get the correct laptop keyboard for your computer. Super easy installation.</v>
      </c>
      <c r="AT20" s="28" t="str">
        <f>IF(ISBLANK(Values!F19),"",Values!I19)</f>
        <v>Scandinavian – Nordic</v>
      </c>
      <c r="AV20" s="2" t="str">
        <f>IF(ISBLANK(Values!F19),"",IF(Values!K19,"Backlit", "Non-Backlit"))</f>
        <v>Non-Backlit</v>
      </c>
      <c r="BE20" s="2" t="str">
        <f>IF(ISBLANK(Values!F19),"","Professional Audience")</f>
        <v>Professional Audience</v>
      </c>
      <c r="BF20" s="2" t="str">
        <f>IF(ISBLANK(Values!F19),"","Consumer Audience")</f>
        <v>Consumer Audience</v>
      </c>
      <c r="BG20" s="2" t="str">
        <f>IF(ISBLANK(Values!F19),"","Adults")</f>
        <v>Adults</v>
      </c>
      <c r="BH20" s="2" t="str">
        <f>IF(ISBLANK(Values!F19),"","People")</f>
        <v>People</v>
      </c>
      <c r="CG20" s="2">
        <f>IF(ISBLANK(Values!F19),"",Values!$B$11)</f>
        <v>100</v>
      </c>
      <c r="CH20" s="2" t="str">
        <f>IF(ISBLANK(Values!F19),"","GR")</f>
        <v>GR</v>
      </c>
      <c r="CI20" s="2" t="str">
        <f>IF(ISBLANK(Values!F19),"",Values!$B$7)</f>
        <v>41</v>
      </c>
      <c r="CJ20" s="2" t="str">
        <f>IF(ISBLANK(Values!F19),"",Values!$B$8)</f>
        <v>17</v>
      </c>
      <c r="CK20" s="2" t="str">
        <f>IF(ISBLANK(Values!F19),"",Values!$B$9)</f>
        <v>5</v>
      </c>
      <c r="CL20" s="2" t="str">
        <f>IF(ISBLANK(Values!F19),"","CM")</f>
        <v>CM</v>
      </c>
      <c r="CO20" s="2" t="str">
        <f>IF(ISBLANK(Values!F19), "", IF(AND(Values!$B$37=options!$G$2, Values!$C19), "AMAZON_NA", IF(AND(Values!$B$37=options!$G$1, Values!$D19), "AMAZON_EU", "DEFAULT")))</f>
        <v>AMAZON_EU</v>
      </c>
      <c r="CP20" s="2" t="str">
        <f>IF(ISBLANK(Values!F19),"",Values!$B$7)</f>
        <v>41</v>
      </c>
      <c r="CQ20" s="2" t="str">
        <f>IF(ISBLANK(Values!F19),"",Values!$B$8)</f>
        <v>17</v>
      </c>
      <c r="CR20" s="2" t="str">
        <f>IF(ISBLANK(Values!F19),"",Values!$B$9)</f>
        <v>5</v>
      </c>
      <c r="CS20" s="2">
        <f>IF(ISBLANK(Values!F19),"",Values!$B$11)</f>
        <v>100</v>
      </c>
      <c r="CT20" s="2" t="str">
        <f>IF(ISBLANK(Values!F19),"","GR")</f>
        <v>GR</v>
      </c>
      <c r="CU20" s="2" t="str">
        <f>IF(ISBLANK(Values!F19),"","CM")</f>
        <v>CM</v>
      </c>
      <c r="CV20" s="2" t="str">
        <f>IF(ISBLANK(Values!F19),"",IF(Values!$B$36=options!$F$1,"Denmark", IF(Values!$B$36=options!$F$2, "Danemark",IF(Values!$B$36=options!$F$3, "Dänemark",IF(Values!$B$36=options!$F$4, "Danimarca",IF(Values!$B$36=options!$F$5, "Dinamarca",IF(Values!$B$36=options!$F$6, "Denemarken","" ) ) ) ) )))</f>
        <v>Denmark</v>
      </c>
      <c r="CZ20" s="2" t="str">
        <f>IF(ISBLANK(Values!F19),"","No")</f>
        <v>No</v>
      </c>
      <c r="DA20" s="2" t="str">
        <f>IF(ISBLANK(Values!F19),"","No")</f>
        <v>No</v>
      </c>
      <c r="DO20" s="2" t="str">
        <f>IF(ISBLANK(Values!F19),"","Parts")</f>
        <v>Parts</v>
      </c>
      <c r="DP20" s="2" t="str">
        <f>IF(ISBLANK(Values!F19),"",Values!$B$31)</f>
        <v>6 month warranty after the delivery date. In case of any malfunction of the keyboard a new unit or a spare part for the keyboard of the product will be sent. In case of shortage of stock a full refund is issued.</v>
      </c>
      <c r="DY20" t="str">
        <f>IF(ISBLANK(Values!$F19), "", "not_applicable")</f>
        <v>not_applicable</v>
      </c>
      <c r="EI20" s="2" t="str">
        <f>IF(ISBLANK(Values!F19),"",Values!$B$31)</f>
        <v>6 month warranty after the delivery date. In case of any malfunction of the keyboard a new unit or a spare part for the keyboard of the product will be sent. In case of shortage of stock a full refund is issued.</v>
      </c>
      <c r="ES20" s="2" t="str">
        <f>IF(ISBLANK(Values!F19),"","Amazon Tellus UPS")</f>
        <v>Amazon Tellus UPS</v>
      </c>
      <c r="EV20" s="2" t="str">
        <f>IF(ISBLANK(Values!F19),"","New")</f>
        <v>New</v>
      </c>
      <c r="FE20" s="2" t="str">
        <f>IF(ISBLANK(Values!F19),"",IF(CO20&lt;&gt;"DEFAULT", "", 3))</f>
        <v/>
      </c>
      <c r="FH20" s="2" t="str">
        <f>IF(ISBLANK(Values!F19),"","FALSE")</f>
        <v>FALSE</v>
      </c>
      <c r="FI20" s="2" t="str">
        <f>IF(ISBLANK(Values!F19),"","FALSE")</f>
        <v>FALSE</v>
      </c>
      <c r="FJ20" s="2" t="str">
        <f>IF(ISBLANK(Values!F19),"","FALSE")</f>
        <v>FALSE</v>
      </c>
      <c r="FM20" s="2" t="str">
        <f>IF(ISBLANK(Values!F19),"","1")</f>
        <v>1</v>
      </c>
      <c r="FO20" s="28">
        <f>IF(ISBLANK(Values!F19),"",IF(Values!K19, Values!$B$4, Values!$B$5))</f>
        <v>27.99</v>
      </c>
      <c r="FP20" s="2" t="str">
        <f>IF(ISBLANK(Values!F19),"","Percent")</f>
        <v>Percent</v>
      </c>
      <c r="FQ20" s="2" t="str">
        <f>IF(ISBLANK(Values!F19),"","2")</f>
        <v>2</v>
      </c>
      <c r="FR20" s="2" t="str">
        <f>IF(ISBLANK(Values!F19),"","3")</f>
        <v>3</v>
      </c>
      <c r="FS20" s="2" t="str">
        <f>IF(ISBLANK(Values!F19),"","5")</f>
        <v>5</v>
      </c>
      <c r="FT20" s="2" t="str">
        <f>IF(ISBLANK(Values!F19),"","6")</f>
        <v>6</v>
      </c>
      <c r="FU20" s="2" t="str">
        <f>IF(ISBLANK(Values!F19),"","10")</f>
        <v>10</v>
      </c>
      <c r="FV20" s="2" t="str">
        <f>IF(ISBLANK(Values!F19),"","10")</f>
        <v>10</v>
      </c>
      <c r="GK20" s="61">
        <f>K20</f>
        <v>27.99</v>
      </c>
    </row>
    <row r="21" spans="1:193" ht="48" x14ac:dyDescent="0.2">
      <c r="A21" s="2" t="str">
        <f>IF(ISBLANK(Values!F20),"",IF(Values!$B$37="EU","computercomponent","computer"))</f>
        <v>computercomponent</v>
      </c>
      <c r="B21" s="34" t="str">
        <f>IF(ISBLANK(Values!F20),"",Values!G20)</f>
        <v>Dell e6400 - Reg CH</v>
      </c>
      <c r="C21" s="30" t="str">
        <f>IF(ISBLANK(Values!F20),"","TellusRem")</f>
        <v>TellusRem</v>
      </c>
      <c r="D21" s="29">
        <f>IF(ISBLANK(Values!F20),"",Values!F20)</f>
        <v>5714401640165</v>
      </c>
      <c r="E21" s="2" t="str">
        <f>IF(ISBLANK(Values!F20),"","EAN")</f>
        <v>EAN</v>
      </c>
      <c r="F21" s="28" t="str">
        <f>IF(ISBLANK(Values!F20),"",IF(Values!K20, SUBSTITUTE(Values!$B$1, "{language}", Values!I20) &amp; " " &amp;Values!$B$3, SUBSTITUTE(Values!$B$2, "{language}", Values!$I20) &amp; " " &amp;Values!$B$3))</f>
        <v>replacement Swiss non-backlit keyboard for Dell   Latitude E6400, Latitude E6410, Latitude E6500, Latitude E6510</v>
      </c>
      <c r="G21" s="30" t="str">
        <f>IF(ISBLANK(Values!F20),"","TellusRem")</f>
        <v>TellusRem</v>
      </c>
      <c r="H21" s="2" t="str">
        <f>IF(ISBLANK(Values!F20),"",Values!$B$16)</f>
        <v>laptop-computer-replacement-parts</v>
      </c>
      <c r="I21" s="2" t="str">
        <f>IF(ISBLANK(Values!F20),"","4730574031")</f>
        <v>4730574031</v>
      </c>
      <c r="J21" s="32" t="str">
        <f>IF(ISBLANK(Values!F20),"",Values!G20 )</f>
        <v>Dell e6400 - Reg CH</v>
      </c>
      <c r="K21" s="28">
        <f>IF(ISBLANK(Values!F20),"",IF(Values!K20, Values!$B$4, Values!$B$5))</f>
        <v>27.99</v>
      </c>
      <c r="L21" s="28" t="str">
        <f>IF(ISBLANK(Values!F20),"",IF($CO21="DEFAULT", Values!$B$18, ""))</f>
        <v/>
      </c>
      <c r="M21" s="28" t="str">
        <f>IF(ISBLANK(Values!F20),"",Values!$N20)</f>
        <v>https://raw.githubusercontent.com/PatrickVibild/TellusAmazonPictures/master/pictures/DELL/E6400/RG/DE/1.jpg</v>
      </c>
      <c r="N21" s="28" t="str">
        <f>IF(ISBLANK(Values!$G20),"",Values!O20)</f>
        <v>https://raw.githubusercontent.com/PatrickVibild/TellusAmazonPictures/master/pictures/DELL/E6400/RG/DE/2.jpg</v>
      </c>
      <c r="O21" s="28" t="str">
        <f>IF(ISBLANK(Values!$G20),"",Values!P20)</f>
        <v>https://raw.githubusercontent.com/PatrickVibild/TellusAmazonPictures/master/pictures/DELL/E6400/RG/DE/3.jpg</v>
      </c>
      <c r="P21" s="28" t="str">
        <f>IF(ISBLANK(Values!$G20),"",Values!Q20)</f>
        <v>https://raw.githubusercontent.com/PatrickVibild/TellusAmazonPictures/master/pictures/DELL/E6400/RG/DE/4.jpg</v>
      </c>
      <c r="Q21" s="28" t="str">
        <f>IF(ISBLANK(Values!$G20),"",Values!R20)</f>
        <v>https://raw.githubusercontent.com/PatrickVibild/TellusAmazonPictures/master/pictures/DELL/E6400/RG/DE/5.jpg</v>
      </c>
      <c r="R21" s="28" t="str">
        <f>IF(ISBLANK(Values!$G20),"",Values!S20)</f>
        <v>https://raw.githubusercontent.com/PatrickVibild/TellusAmazonPictures/master/pictures/DELL/E6400/RG/DE/6.jpg</v>
      </c>
      <c r="S21" s="28" t="str">
        <f>IF(ISBLANK(Values!$G20),"",Values!T20)</f>
        <v>https://raw.githubusercontent.com/PatrickVibild/TellusAmazonPictures/master/pictures/DELL/E6400/RG/DE/7.jpg</v>
      </c>
      <c r="T21" s="28" t="str">
        <f>IF(ISBLANK(Values!$G20),"",Values!U20)</f>
        <v>https://raw.githubusercontent.com/PatrickVibild/TellusAmazonPictures/master/pictures/DELL/E6400/RG/DE/8.jpg</v>
      </c>
      <c r="U21" s="28" t="str">
        <f>IF(ISBLANK(Values!$G20),"",Values!V20)</f>
        <v>https://raw.githubusercontent.com/PatrickVibild/TellusAmazonPictures/master/pictures/DELL/E6400/RG/DE/9.jpg</v>
      </c>
      <c r="W21" s="30" t="str">
        <f>IF(ISBLANK(Values!F20),"","Child")</f>
        <v>Child</v>
      </c>
      <c r="X21" s="30" t="str">
        <f>IF(ISBLANK(Values!F20),"",Values!$B$13)</f>
        <v>Dell E6400</v>
      </c>
      <c r="Y21" s="32" t="str">
        <f>IF(ISBLANK(Values!F20),"","Size-Color")</f>
        <v>Size-Color</v>
      </c>
      <c r="Z21" s="30" t="str">
        <f>IF(ISBLANK(Values!F20),"","variation")</f>
        <v>variation</v>
      </c>
      <c r="AA21" s="2" t="str">
        <f>IF(ISBLANK(Values!F20),"",Values!$B$20)</f>
        <v>PartialUpdate</v>
      </c>
      <c r="AB21" s="2" t="str">
        <f>IF(ISBLANK(Values!F20),"",Values!$B$29)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5" t="str">
        <f>IF(ISBLANK(Values!F20),"",IF(Values!J20,Values!$B$23,Values!$B$33))</f>
        <v>👉 REFURBISHED:  SAVE MONEY -  Replacement Dell laptop keyboard, same quality as OEM keyboards. TellusRem is the Leading keyboards distributor in the world since 2011. Perfect replacement keyboard, easy to replace and install.</v>
      </c>
      <c r="AJ21" s="33" t="str">
        <f>IF(ISBLANK(Values!F20),"",Values!$B$24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E6400, Latitude E6410, Latitude E6500, Latitude E6510</v>
      </c>
      <c r="AK21" s="2" t="str">
        <f>IF(ISBLANK(Values!F20),"",Values!$B$25)</f>
        <v>♻️ ECOFRIENDLY PRODUCT - Buy refurbished, BUY GREEN! Reduce more than 80% carbon dioxide by buying our refurbished keyboards, compared to getting a new keyboard! Perfect OEM replacement part for your keyboard.</v>
      </c>
      <c r="AL21" s="2" t="str">
        <f>IF(ISBLANK(Values!F20),"",SUBSTITUTE(SUBSTITUTE(IF(Values!$K20, Values!$B$26, Values!$B$33), "{language}", Values!$I20), "{flag}", INDEX(options!$E$1:$E$20, Values!$W20)))</f>
        <v>👉 LAYOUT -  🇨🇭 Swiss NO backlit.</v>
      </c>
      <c r="AM21" s="2" t="str">
        <f>SUBSTITUTE(IF(ISBLANK(Values!F20),"",Values!$B$27), "{model}", Values!$B$3)</f>
        <v>👉 COMPATIBLE WITH - Dell Latitude E6400, Latitude E6410, Latitude E6500, Latitude E6510. Please check the picture and description carefully before purchasing any keyboard. This ensures that you get the correct laptop keyboard for your computer. Super easy installation.</v>
      </c>
      <c r="AT21" s="28" t="str">
        <f>IF(ISBLANK(Values!F20),"",Values!I20)</f>
        <v>Swiss</v>
      </c>
      <c r="AV21" s="2" t="str">
        <f>IF(ISBLANK(Values!F20),"",IF(Values!K20,"Backlit", "Non-Backlit"))</f>
        <v>Non-Backlit</v>
      </c>
      <c r="BE21" s="2" t="str">
        <f>IF(ISBLANK(Values!F20),"","Professional Audience")</f>
        <v>Professional Audience</v>
      </c>
      <c r="BF21" s="2" t="str">
        <f>IF(ISBLANK(Values!F20),"","Consumer Audience")</f>
        <v>Consumer Audience</v>
      </c>
      <c r="BG21" s="2" t="str">
        <f>IF(ISBLANK(Values!F20),"","Adults")</f>
        <v>Adults</v>
      </c>
      <c r="BH21" s="2" t="str">
        <f>IF(ISBLANK(Values!F20),"","People")</f>
        <v>People</v>
      </c>
      <c r="CG21" s="2">
        <f>IF(ISBLANK(Values!F20),"",Values!$B$11)</f>
        <v>100</v>
      </c>
      <c r="CH21" s="2" t="str">
        <f>IF(ISBLANK(Values!F20),"","GR")</f>
        <v>GR</v>
      </c>
      <c r="CI21" s="2" t="str">
        <f>IF(ISBLANK(Values!F20),"",Values!$B$7)</f>
        <v>41</v>
      </c>
      <c r="CJ21" s="2" t="str">
        <f>IF(ISBLANK(Values!F20),"",Values!$B$8)</f>
        <v>17</v>
      </c>
      <c r="CK21" s="2" t="str">
        <f>IF(ISBLANK(Values!F20),"",Values!$B$9)</f>
        <v>5</v>
      </c>
      <c r="CL21" s="2" t="str">
        <f>IF(ISBLANK(Values!F20),"","CM")</f>
        <v>CM</v>
      </c>
      <c r="CO21" s="2" t="str">
        <f>IF(ISBLANK(Values!F20), "", IF(AND(Values!$B$37=options!$G$2, Values!$C20), "AMAZON_NA", IF(AND(Values!$B$37=options!$G$1, Values!$D20), "AMAZON_EU", "DEFAULT")))</f>
        <v>AMAZON_EU</v>
      </c>
      <c r="CP21" s="2" t="str">
        <f>IF(ISBLANK(Values!F20),"",Values!$B$7)</f>
        <v>41</v>
      </c>
      <c r="CQ21" s="2" t="str">
        <f>IF(ISBLANK(Values!F20),"",Values!$B$8)</f>
        <v>17</v>
      </c>
      <c r="CR21" s="2" t="str">
        <f>IF(ISBLANK(Values!F20),"",Values!$B$9)</f>
        <v>5</v>
      </c>
      <c r="CS21" s="2">
        <f>IF(ISBLANK(Values!F20),"",Values!$B$11)</f>
        <v>100</v>
      </c>
      <c r="CT21" s="2" t="str">
        <f>IF(ISBLANK(Values!F20),"","GR")</f>
        <v>GR</v>
      </c>
      <c r="CU21" s="2" t="str">
        <f>IF(ISBLANK(Values!F20),"","CM")</f>
        <v>CM</v>
      </c>
      <c r="CV21" s="2" t="str">
        <f>IF(ISBLANK(Values!F20),"",IF(Values!$B$36=options!$F$1,"Denmark", IF(Values!$B$36=options!$F$2, "Danemark",IF(Values!$B$36=options!$F$3, "Dänemark",IF(Values!$B$36=options!$F$4, "Danimarca",IF(Values!$B$36=options!$F$5, "Dinamarca",IF(Values!$B$36=options!$F$6, "Denemarken","" ) ) ) ) )))</f>
        <v>Denmark</v>
      </c>
      <c r="CZ21" s="2" t="str">
        <f>IF(ISBLANK(Values!F20),"","No")</f>
        <v>No</v>
      </c>
      <c r="DA21" s="2" t="str">
        <f>IF(ISBLANK(Values!F20),"","No")</f>
        <v>No</v>
      </c>
      <c r="DO21" s="2" t="str">
        <f>IF(ISBLANK(Values!F20),"","Parts")</f>
        <v>Parts</v>
      </c>
      <c r="DP21" s="2" t="str">
        <f>IF(ISBLANK(Values!F20),"",Values!$B$31)</f>
        <v>6 month warranty after the delivery date. In case of any malfunction of the keyboard a new unit or a spare part for the keyboard of the product will be sent. In case of shortage of stock a full refund is issued.</v>
      </c>
      <c r="DY21" t="str">
        <f>IF(ISBLANK(Values!$F20), "", "not_applicable")</f>
        <v>not_applicable</v>
      </c>
      <c r="EI21" s="2" t="str">
        <f>IF(ISBLANK(Values!F20),"",Values!$B$31)</f>
        <v>6 month warranty after the delivery date. In case of any malfunction of the keyboard a new unit or a spare part for the keyboard of the product will be sent. In case of shortage of stock a full refund is issued.</v>
      </c>
      <c r="ES21" s="2" t="str">
        <f>IF(ISBLANK(Values!F20),"","Amazon Tellus UPS")</f>
        <v>Amazon Tellus UPS</v>
      </c>
      <c r="EV21" s="2" t="str">
        <f>IF(ISBLANK(Values!F20),"","New")</f>
        <v>New</v>
      </c>
      <c r="FE21" s="2" t="str">
        <f>IF(ISBLANK(Values!F20),"",IF(CO21&lt;&gt;"DEFAULT", "", 3))</f>
        <v/>
      </c>
      <c r="FH21" s="2" t="str">
        <f>IF(ISBLANK(Values!F20),"","FALSE")</f>
        <v>FALSE</v>
      </c>
      <c r="FI21" s="2" t="str">
        <f>IF(ISBLANK(Values!F20),"","FALSE")</f>
        <v>FALSE</v>
      </c>
      <c r="FJ21" s="2" t="str">
        <f>IF(ISBLANK(Values!F20),"","FALSE")</f>
        <v>FALSE</v>
      </c>
      <c r="FM21" s="2" t="str">
        <f>IF(ISBLANK(Values!F20),"","1")</f>
        <v>1</v>
      </c>
      <c r="FO21" s="28">
        <f>IF(ISBLANK(Values!F20),"",IF(Values!K20, Values!$B$4, Values!$B$5))</f>
        <v>27.99</v>
      </c>
      <c r="FP21" s="2" t="str">
        <f>IF(ISBLANK(Values!F20),"","Percent")</f>
        <v>Percent</v>
      </c>
      <c r="FQ21" s="2" t="str">
        <f>IF(ISBLANK(Values!F20),"","2")</f>
        <v>2</v>
      </c>
      <c r="FR21" s="2" t="str">
        <f>IF(ISBLANK(Values!F20),"","3")</f>
        <v>3</v>
      </c>
      <c r="FS21" s="2" t="str">
        <f>IF(ISBLANK(Values!F20),"","5")</f>
        <v>5</v>
      </c>
      <c r="FT21" s="2" t="str">
        <f>IF(ISBLANK(Values!F20),"","6")</f>
        <v>6</v>
      </c>
      <c r="FU21" s="2" t="str">
        <f>IF(ISBLANK(Values!F20),"","10")</f>
        <v>10</v>
      </c>
      <c r="FV21" s="2" t="str">
        <f>IF(ISBLANK(Values!F20),"","10")</f>
        <v>10</v>
      </c>
      <c r="GK21" s="61">
        <f>K21</f>
        <v>27.99</v>
      </c>
    </row>
    <row r="22" spans="1:193" ht="48" x14ac:dyDescent="0.2">
      <c r="A22" s="2" t="str">
        <f>IF(ISBLANK(Values!F21),"",IF(Values!$B$37="EU","computercomponent","computer"))</f>
        <v>computercomponent</v>
      </c>
      <c r="B22" s="34" t="str">
        <f>IF(ISBLANK(Values!F21),"",Values!G21)</f>
        <v>Dell e6400 - Reg BE</v>
      </c>
      <c r="C22" s="30" t="str">
        <f>IF(ISBLANK(Values!F21),"","TellusRem")</f>
        <v>TellusRem</v>
      </c>
      <c r="D22" s="29">
        <f>IF(ISBLANK(Values!F21),"",Values!F21)</f>
        <v>5714401640172</v>
      </c>
      <c r="E22" s="2" t="str">
        <f>IF(ISBLANK(Values!F21),"","EAN")</f>
        <v>EAN</v>
      </c>
      <c r="F22" s="28" t="str">
        <f>IF(ISBLANK(Values!F21),"",IF(Values!K21, SUBSTITUTE(Values!$B$1, "{language}", Values!I21) &amp; " " &amp;Values!$B$3, SUBSTITUTE(Values!$B$2, "{language}", Values!$I21) &amp; " " &amp;Values!$B$3))</f>
        <v>replacement Belgian non-backlit keyboard for Dell   Latitude E6400, Latitude E6410, Latitude E6500, Latitude E6510</v>
      </c>
      <c r="G22" s="30" t="str">
        <f>IF(ISBLANK(Values!F21),"","TellusRem")</f>
        <v>TellusRem</v>
      </c>
      <c r="H22" s="2" t="str">
        <f>IF(ISBLANK(Values!F21),"",Values!$B$16)</f>
        <v>laptop-computer-replacement-parts</v>
      </c>
      <c r="I22" s="2" t="str">
        <f>IF(ISBLANK(Values!F21),"","4730574031")</f>
        <v>4730574031</v>
      </c>
      <c r="J22" s="32" t="str">
        <f>IF(ISBLANK(Values!F21),"",Values!G21 )</f>
        <v>Dell e6400 - Reg BE</v>
      </c>
      <c r="K22" s="28">
        <f>IF(ISBLANK(Values!F21),"",IF(Values!K21, Values!$B$4, Values!$B$5))</f>
        <v>27.99</v>
      </c>
      <c r="L22" s="28" t="str">
        <f>IF(ISBLANK(Values!F21),"",IF($CO22="DEFAULT", Values!$B$18, ""))</f>
        <v/>
      </c>
      <c r="M22" s="28" t="str">
        <f>IF(ISBLANK(Values!F21),"",Values!$N21)</f>
        <v>https://raw.githubusercontent.com/PatrickVibild/TellusAmazonPictures/master/pictures/DELL/E6400/RG/DE/1.jpg</v>
      </c>
      <c r="N22" s="28" t="str">
        <f>IF(ISBLANK(Values!$G21),"",Values!O21)</f>
        <v>https://raw.githubusercontent.com/PatrickVibild/TellusAmazonPictures/master/pictures/DELL/E6400/RG/DE/2.jpg</v>
      </c>
      <c r="O22" s="28" t="str">
        <f>IF(ISBLANK(Values!$G21),"",Values!P21)</f>
        <v>https://raw.githubusercontent.com/PatrickVibild/TellusAmazonPictures/master/pictures/DELL/E6400/RG/DE/3.jpg</v>
      </c>
      <c r="P22" s="28" t="str">
        <f>IF(ISBLANK(Values!$G21),"",Values!Q21)</f>
        <v>https://raw.githubusercontent.com/PatrickVibild/TellusAmazonPictures/master/pictures/DELL/E6400/RG/DE/4.jpg</v>
      </c>
      <c r="Q22" s="28" t="str">
        <f>IF(ISBLANK(Values!$G21),"",Values!R21)</f>
        <v>https://raw.githubusercontent.com/PatrickVibild/TellusAmazonPictures/master/pictures/DELL/E6400/RG/DE/5.jpg</v>
      </c>
      <c r="R22" s="28" t="str">
        <f>IF(ISBLANK(Values!$G21),"",Values!S21)</f>
        <v>https://raw.githubusercontent.com/PatrickVibild/TellusAmazonPictures/master/pictures/DELL/E6400/RG/DE/6.jpg</v>
      </c>
      <c r="S22" s="28" t="str">
        <f>IF(ISBLANK(Values!$G21),"",Values!T21)</f>
        <v>https://raw.githubusercontent.com/PatrickVibild/TellusAmazonPictures/master/pictures/DELL/E6400/RG/DE/7.jpg</v>
      </c>
      <c r="T22" s="28" t="str">
        <f>IF(ISBLANK(Values!$G21),"",Values!U21)</f>
        <v>https://raw.githubusercontent.com/PatrickVibild/TellusAmazonPictures/master/pictures/DELL/E6400/RG/DE/8.jpg</v>
      </c>
      <c r="U22" s="28" t="str">
        <f>IF(ISBLANK(Values!$G21),"",Values!V21)</f>
        <v>https://raw.githubusercontent.com/PatrickVibild/TellusAmazonPictures/master/pictures/DELL/E6400/RG/DE/9.jpg</v>
      </c>
      <c r="W22" s="30" t="str">
        <f>IF(ISBLANK(Values!F21),"","Child")</f>
        <v>Child</v>
      </c>
      <c r="X22" s="30" t="str">
        <f>IF(ISBLANK(Values!F21),"",Values!$B$13)</f>
        <v>Dell E6400</v>
      </c>
      <c r="Y22" s="32" t="str">
        <f>IF(ISBLANK(Values!F21),"","Size-Color")</f>
        <v>Size-Color</v>
      </c>
      <c r="Z22" s="30" t="str">
        <f>IF(ISBLANK(Values!F21),"","variation")</f>
        <v>variation</v>
      </c>
      <c r="AA22" s="2" t="str">
        <f>IF(ISBLANK(Values!F21),"",Values!$B$20)</f>
        <v>PartialUpdate</v>
      </c>
      <c r="AB22" s="2" t="str">
        <f>IF(ISBLANK(Values!F21),"",Values!$B$29)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5" t="str">
        <f>IF(ISBLANK(Values!F21),"",IF(Values!J21,Values!$B$23,Values!$B$33))</f>
        <v>👉 REFURBISHED:  SAVE MONEY -  Replacement Dell laptop keyboard, same quality as OEM keyboards. TellusRem is the Leading keyboards distributor in the world since 2011. Perfect replacement keyboard, easy to replace and install.</v>
      </c>
      <c r="AJ22" s="33" t="str">
        <f>IF(ISBLANK(Values!F21),"",Values!$B$24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E6400, Latitude E6410, Latitude E6500, Latitude E6510</v>
      </c>
      <c r="AK22" s="2" t="str">
        <f>IF(ISBLANK(Values!F21),"",Values!$B$25)</f>
        <v>♻️ ECOFRIENDLY PRODUCT - Buy refurbished, BUY GREEN! Reduce more than 80% carbon dioxide by buying our refurbished keyboards, compared to getting a new keyboard! Perfect OEM replacement part for your keyboard.</v>
      </c>
      <c r="AL22" s="2" t="str">
        <f>IF(ISBLANK(Values!F21),"",SUBSTITUTE(SUBSTITUTE(IF(Values!$K21, Values!$B$26, Values!$B$33), "{language}", Values!$I21), "{flag}", INDEX(options!$E$1:$E$20, Values!$W21)))</f>
        <v>👉 LAYOUT -  🇧🇪 Belgian NO backlit.</v>
      </c>
      <c r="AM22" s="2" t="str">
        <f>SUBSTITUTE(IF(ISBLANK(Values!F21),"",Values!$B$27), "{model}", Values!$B$3)</f>
        <v>👉 COMPATIBLE WITH - Dell Latitude E6400, Latitude E6410, Latitude E6500, Latitude E6510. Please check the picture and description carefully before purchasing any keyboard. This ensures that you get the correct laptop keyboard for your computer. Super easy installation.</v>
      </c>
      <c r="AT22" s="28" t="str">
        <f>IF(ISBLANK(Values!F21),"",Values!I21)</f>
        <v>Belgian</v>
      </c>
      <c r="AV22" s="2" t="str">
        <f>IF(ISBLANK(Values!F21),"",IF(Values!K21,"Backlit", "Non-Backlit"))</f>
        <v>Non-Backlit</v>
      </c>
      <c r="BE22" s="2" t="str">
        <f>IF(ISBLANK(Values!F21),"","Professional Audience")</f>
        <v>Professional Audience</v>
      </c>
      <c r="BF22" s="2" t="str">
        <f>IF(ISBLANK(Values!F21),"","Consumer Audience")</f>
        <v>Consumer Audience</v>
      </c>
      <c r="BG22" s="2" t="str">
        <f>IF(ISBLANK(Values!F21),"","Adults")</f>
        <v>Adults</v>
      </c>
      <c r="BH22" s="2" t="str">
        <f>IF(ISBLANK(Values!F21),"","People")</f>
        <v>People</v>
      </c>
      <c r="CG22" s="2">
        <f>IF(ISBLANK(Values!F21),"",Values!$B$11)</f>
        <v>100</v>
      </c>
      <c r="CH22" s="2" t="str">
        <f>IF(ISBLANK(Values!F21),"","GR")</f>
        <v>GR</v>
      </c>
      <c r="CI22" s="2" t="str">
        <f>IF(ISBLANK(Values!F21),"",Values!$B$7)</f>
        <v>41</v>
      </c>
      <c r="CJ22" s="2" t="str">
        <f>IF(ISBLANK(Values!F21),"",Values!$B$8)</f>
        <v>17</v>
      </c>
      <c r="CK22" s="2" t="str">
        <f>IF(ISBLANK(Values!F21),"",Values!$B$9)</f>
        <v>5</v>
      </c>
      <c r="CL22" s="2" t="str">
        <f>IF(ISBLANK(Values!F21),"","CM")</f>
        <v>CM</v>
      </c>
      <c r="CO22" s="2" t="str">
        <f>IF(ISBLANK(Values!F21), "", IF(AND(Values!$B$37=options!$G$2, Values!$C21), "AMAZON_NA", IF(AND(Values!$B$37=options!$G$1, Values!$D21), "AMAZON_EU", "DEFAULT")))</f>
        <v>AMAZON_EU</v>
      </c>
      <c r="CP22" s="2" t="str">
        <f>IF(ISBLANK(Values!F21),"",Values!$B$7)</f>
        <v>41</v>
      </c>
      <c r="CQ22" s="2" t="str">
        <f>IF(ISBLANK(Values!F21),"",Values!$B$8)</f>
        <v>17</v>
      </c>
      <c r="CR22" s="2" t="str">
        <f>IF(ISBLANK(Values!F21),"",Values!$B$9)</f>
        <v>5</v>
      </c>
      <c r="CS22" s="2">
        <f>IF(ISBLANK(Values!F21),"",Values!$B$11)</f>
        <v>100</v>
      </c>
      <c r="CT22" s="2" t="str">
        <f>IF(ISBLANK(Values!F21),"","GR")</f>
        <v>GR</v>
      </c>
      <c r="CU22" s="2" t="str">
        <f>IF(ISBLANK(Values!F21),"","CM")</f>
        <v>CM</v>
      </c>
      <c r="CV22" s="2" t="str">
        <f>IF(ISBLANK(Values!F21),"",IF(Values!$B$36=options!$F$1,"Denmark", IF(Values!$B$36=options!$F$2, "Danemark",IF(Values!$B$36=options!$F$3, "Dänemark",IF(Values!$B$36=options!$F$4, "Danimarca",IF(Values!$B$36=options!$F$5, "Dinamarca",IF(Values!$B$36=options!$F$6, "Denemarken","" ) ) ) ) )))</f>
        <v>Denmark</v>
      </c>
      <c r="CZ22" s="2" t="str">
        <f>IF(ISBLANK(Values!F21),"","No")</f>
        <v>No</v>
      </c>
      <c r="DA22" s="2" t="str">
        <f>IF(ISBLANK(Values!F21),"","No")</f>
        <v>No</v>
      </c>
      <c r="DO22" s="2" t="str">
        <f>IF(ISBLANK(Values!F21),"","Parts")</f>
        <v>Parts</v>
      </c>
      <c r="DP22" s="2" t="str">
        <f>IF(ISBLANK(Values!F21),"",Values!$B$31)</f>
        <v>6 month warranty after the delivery date. In case of any malfunction of the keyboard a new unit or a spare part for the keyboard of the product will be sent. In case of shortage of stock a full refund is issued.</v>
      </c>
      <c r="DY22" t="str">
        <f>IF(ISBLANK(Values!$F21), "", "not_applicable")</f>
        <v>not_applicable</v>
      </c>
      <c r="EI22" s="2" t="str">
        <f>IF(ISBLANK(Values!F21),"",Values!$B$31)</f>
        <v>6 month warranty after the delivery date. In case of any malfunction of the keyboard a new unit or a spare part for the keyboard of the product will be sent. In case of shortage of stock a full refund is issued.</v>
      </c>
      <c r="ES22" s="2" t="str">
        <f>IF(ISBLANK(Values!F21),"","Amazon Tellus UPS")</f>
        <v>Amazon Tellus UPS</v>
      </c>
      <c r="EV22" s="2" t="str">
        <f>IF(ISBLANK(Values!F21),"","New")</f>
        <v>New</v>
      </c>
      <c r="FE22" s="2" t="str">
        <f>IF(ISBLANK(Values!F21),"",IF(CO22&lt;&gt;"DEFAULT", "", 3))</f>
        <v/>
      </c>
      <c r="FH22" s="2" t="str">
        <f>IF(ISBLANK(Values!F21),"","FALSE")</f>
        <v>FALSE</v>
      </c>
      <c r="FI22" s="2" t="str">
        <f>IF(ISBLANK(Values!F21),"","FALSE")</f>
        <v>FALSE</v>
      </c>
      <c r="FJ22" s="2" t="str">
        <f>IF(ISBLANK(Values!F21),"","FALSE")</f>
        <v>FALSE</v>
      </c>
      <c r="FM22" s="2" t="str">
        <f>IF(ISBLANK(Values!F21),"","1")</f>
        <v>1</v>
      </c>
      <c r="FO22" s="28">
        <f>IF(ISBLANK(Values!F21),"",IF(Values!K21, Values!$B$4, Values!$B$5))</f>
        <v>27.99</v>
      </c>
      <c r="FP22" s="2" t="str">
        <f>IF(ISBLANK(Values!F21),"","Percent")</f>
        <v>Percent</v>
      </c>
      <c r="FQ22" s="2" t="str">
        <f>IF(ISBLANK(Values!F21),"","2")</f>
        <v>2</v>
      </c>
      <c r="FR22" s="2" t="str">
        <f>IF(ISBLANK(Values!F21),"","3")</f>
        <v>3</v>
      </c>
      <c r="FS22" s="2" t="str">
        <f>IF(ISBLANK(Values!F21),"","5")</f>
        <v>5</v>
      </c>
      <c r="FT22" s="2" t="str">
        <f>IF(ISBLANK(Values!F21),"","6")</f>
        <v>6</v>
      </c>
      <c r="FU22" s="2" t="str">
        <f>IF(ISBLANK(Values!F21),"","10")</f>
        <v>10</v>
      </c>
      <c r="FV22" s="2" t="str">
        <f>IF(ISBLANK(Values!F21),"","10")</f>
        <v>10</v>
      </c>
      <c r="GK22" s="61">
        <f>K22</f>
        <v>27.99</v>
      </c>
    </row>
    <row r="23" spans="1:193" s="36" customFormat="1" ht="48" x14ac:dyDescent="0.2">
      <c r="A23" s="2" t="str">
        <f>IF(ISBLANK(Values!F22),"",IF(Values!$B$37="EU","computercomponent","computer"))</f>
        <v>computercomponent</v>
      </c>
      <c r="B23" s="34" t="str">
        <f>IF(ISBLANK(Values!F22),"",Values!G22)</f>
        <v>Dell e6400 - Reg US</v>
      </c>
      <c r="C23" s="30" t="str">
        <f>IF(ISBLANK(Values!F22),"","TellusRem")</f>
        <v>TellusRem</v>
      </c>
      <c r="D23" s="29">
        <f>IF(ISBLANK(Values!F22),"",Values!F22)</f>
        <v>5714401640189</v>
      </c>
      <c r="E23" s="2" t="str">
        <f>IF(ISBLANK(Values!F22),"","EAN")</f>
        <v>EAN</v>
      </c>
      <c r="F23" s="28" t="str">
        <f>IF(ISBLANK(Values!F22),"",IF(Values!K22, SUBSTITUTE(Values!$B$1, "{language}", Values!I22) &amp; " " &amp;Values!$B$3, SUBSTITUTE(Values!$B$2, "{language}", Values!$I22) &amp; " " &amp;Values!$B$3))</f>
        <v>replacement US non-backlit keyboard for Dell   Latitude E6400, Latitude E6410, Latitude E6500, Latitude E6510</v>
      </c>
      <c r="G23" s="30" t="str">
        <f>IF(ISBLANK(Values!F22),"","TellusRem")</f>
        <v>TellusRem</v>
      </c>
      <c r="H23" s="2" t="str">
        <f>IF(ISBLANK(Values!F22),"",Values!$B$16)</f>
        <v>laptop-computer-replacement-parts</v>
      </c>
      <c r="I23" s="2" t="str">
        <f>IF(ISBLANK(Values!F22),"","4730574031")</f>
        <v>4730574031</v>
      </c>
      <c r="J23" s="32" t="str">
        <f>IF(ISBLANK(Values!F22),"",Values!G22 )</f>
        <v>Dell e6400 - Reg US</v>
      </c>
      <c r="K23" s="28">
        <f>IF(ISBLANK(Values!F22),"",IF(Values!K22, Values!$B$4, Values!$B$5))</f>
        <v>27.99</v>
      </c>
      <c r="L23" s="28">
        <f>IF(ISBLANK(Values!F22),"",IF($CO23="DEFAULT", Values!$B$18, ""))</f>
        <v>5</v>
      </c>
      <c r="M23" s="28" t="str">
        <f>IF(ISBLANK(Values!F22),"",Values!$N22)</f>
        <v>https://raw.githubusercontent.com/PatrickVibild/TellusAmazonPictures/master/pictures/DELL/E6400/RG/DE/1.jpg</v>
      </c>
      <c r="N23" s="28" t="str">
        <f>IF(ISBLANK(Values!$G22),"",Values!O22)</f>
        <v>https://raw.githubusercontent.com/PatrickVibild/TellusAmazonPictures/master/pictures/DELL/E6400/RG/DE/2.jpg</v>
      </c>
      <c r="O23" s="28" t="str">
        <f>IF(ISBLANK(Values!$G22),"",Values!P22)</f>
        <v>https://raw.githubusercontent.com/PatrickVibild/TellusAmazonPictures/master/pictures/DELL/E6400/RG/DE/3.jpg</v>
      </c>
      <c r="P23" s="28" t="str">
        <f>IF(ISBLANK(Values!$G22),"",Values!Q22)</f>
        <v>https://raw.githubusercontent.com/PatrickVibild/TellusAmazonPictures/master/pictures/DELL/E6400/RG/DE/4.jpg</v>
      </c>
      <c r="Q23" s="28" t="str">
        <f>IF(ISBLANK(Values!$G22),"",Values!R22)</f>
        <v>https://raw.githubusercontent.com/PatrickVibild/TellusAmazonPictures/master/pictures/DELL/E6400/RG/DE/5.jpg</v>
      </c>
      <c r="R23" s="28" t="str">
        <f>IF(ISBLANK(Values!$G22),"",Values!S22)</f>
        <v>https://raw.githubusercontent.com/PatrickVibild/TellusAmazonPictures/master/pictures/DELL/E6400/RG/DE/6.jpg</v>
      </c>
      <c r="S23" s="28" t="str">
        <f>IF(ISBLANK(Values!$G22),"",Values!T22)</f>
        <v>https://raw.githubusercontent.com/PatrickVibild/TellusAmazonPictures/master/pictures/DELL/E6400/RG/DE/7.jpg</v>
      </c>
      <c r="T23" s="28" t="str">
        <f>IF(ISBLANK(Values!$G22),"",Values!U22)</f>
        <v>https://raw.githubusercontent.com/PatrickVibild/TellusAmazonPictures/master/pictures/DELL/E6400/RG/DE/8.jpg</v>
      </c>
      <c r="U23" s="28" t="str">
        <f>IF(ISBLANK(Values!$G22),"",Values!V22)</f>
        <v>https://raw.githubusercontent.com/PatrickVibild/TellusAmazonPictures/master/pictures/DELL/E6400/RG/DE/9.jpg</v>
      </c>
      <c r="V23" s="2"/>
      <c r="W23" s="30" t="str">
        <f>IF(ISBLANK(Values!F22),"","Child")</f>
        <v>Child</v>
      </c>
      <c r="X23" s="30" t="str">
        <f>IF(ISBLANK(Values!F22),"",Values!$B$13)</f>
        <v>Dell E6400</v>
      </c>
      <c r="Y23" s="32" t="str">
        <f>IF(ISBLANK(Values!F22),"","Size-Color")</f>
        <v>Size-Color</v>
      </c>
      <c r="Z23" s="30" t="str">
        <f>IF(ISBLANK(Values!F22),"","variation")</f>
        <v>variation</v>
      </c>
      <c r="AA23" s="2" t="str">
        <f>IF(ISBLANK(Values!F22),"",Values!$B$20)</f>
        <v>PartialUpdate</v>
      </c>
      <c r="AB23" s="2" t="str">
        <f>IF(ISBLANK(Values!F22),"",Values!$B$29)</f>
        <v xml:space="preserve">Keyboard distributed by Tellus Remarketing, leading European company for laptop keyboards. Keyboards have been cleaned, packed and tested in our production line in Denmark. For any compatibility questions contact us through Amazon website. </v>
      </c>
      <c r="AC23" s="2"/>
      <c r="AD23" s="2"/>
      <c r="AE23" s="2"/>
      <c r="AF23" s="2"/>
      <c r="AG23" s="2"/>
      <c r="AH23" s="2"/>
      <c r="AI23" s="35" t="str">
        <f>IF(ISBLANK(Values!F22),"",IF(Values!J22,Values!$B$23,Values!$B$33))</f>
        <v>👉 REFURBISHED:  SAVE MONEY -  Replacement Dell laptop keyboard, same quality as OEM keyboards. TellusRem is the Leading keyboards distributor in the world since 2011. Perfect replacement keyboard, easy to replace and install.</v>
      </c>
      <c r="AJ23" s="33" t="str">
        <f>IF(ISBLANK(Values!F22),"",Values!$B$24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E6400, Latitude E6410, Latitude E6500, Latitude E6510</v>
      </c>
      <c r="AK23" s="2" t="str">
        <f>IF(ISBLANK(Values!F22),"",Values!$B$25)</f>
        <v>♻️ ECOFRIENDLY PRODUCT - Buy refurbished, BUY GREEN! Reduce more than 80% carbon dioxide by buying our refurbished keyboards, compared to getting a new keyboard! Perfect OEM replacement part for your keyboard.</v>
      </c>
      <c r="AL23" s="2" t="str">
        <f>IF(ISBLANK(Values!F22),"",SUBSTITUTE(SUBSTITUTE(IF(Values!$K22, Values!$B$26, Values!$B$33), "{language}", Values!$I22), "{flag}", INDEX(options!$E$1:$E$20, Values!$W22)))</f>
        <v>👉 LAYOUT -  🇺🇸 US NO backlit.</v>
      </c>
      <c r="AM23" s="2" t="str">
        <f>SUBSTITUTE(IF(ISBLANK(Values!F22),"",Values!$B$27), "{model}", Values!$B$3)</f>
        <v>👉 COMPATIBLE WITH - Dell Latitude E6400, Latitude E6410, Latitude E6500, Latitude E6510. Please check the picture and description carefully before purchasing any keyboard. This ensures that you get the correct laptop keyboard for your computer. Super easy installation.</v>
      </c>
      <c r="AN23" s="2"/>
      <c r="AO23" s="2"/>
      <c r="AP23" s="2"/>
      <c r="AQ23" s="2"/>
      <c r="AR23" s="2"/>
      <c r="AS23" s="2"/>
      <c r="AT23" s="28" t="str">
        <f>IF(ISBLANK(Values!F22),"",Values!I22)</f>
        <v>US</v>
      </c>
      <c r="AU23" s="2"/>
      <c r="AV23" s="2" t="str">
        <f>IF(ISBLANK(Values!F22),"",IF(Values!K22,"Backlit", "Non-Backlit"))</f>
        <v>Non-Backlit</v>
      </c>
      <c r="AW23" s="2"/>
      <c r="AX23" s="2"/>
      <c r="AY23" s="2"/>
      <c r="AZ23" s="2"/>
      <c r="BA23" s="2"/>
      <c r="BB23" s="2"/>
      <c r="BC23" s="2"/>
      <c r="BD23" s="2"/>
      <c r="BE23" s="2" t="str">
        <f>IF(ISBLANK(Values!F22),"","Professional Audience")</f>
        <v>Professional Audience</v>
      </c>
      <c r="BF23" s="2" t="str">
        <f>IF(ISBLANK(Values!F22),"","Consumer Audience")</f>
        <v>Consumer Audience</v>
      </c>
      <c r="BG23" s="2" t="str">
        <f>IF(ISBLANK(Values!F22),"","Adults")</f>
        <v>Adults</v>
      </c>
      <c r="BH23" s="2" t="str">
        <f>IF(ISBLANK(Values!F22),"","People")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IF(ISBLANK(Values!F22),"",Values!$B$11)</f>
        <v>100</v>
      </c>
      <c r="CH23" s="2" t="str">
        <f>IF(ISBLANK(Values!F22),"","GR")</f>
        <v>GR</v>
      </c>
      <c r="CI23" s="2" t="str">
        <f>IF(ISBLANK(Values!F22),"",Values!$B$7)</f>
        <v>41</v>
      </c>
      <c r="CJ23" s="2" t="str">
        <f>IF(ISBLANK(Values!F22),"",Values!$B$8)</f>
        <v>17</v>
      </c>
      <c r="CK23" s="2" t="str">
        <f>IF(ISBLANK(Values!F22),"",Values!$B$9)</f>
        <v>5</v>
      </c>
      <c r="CL23" s="2" t="str">
        <f>IF(ISBLANK(Values!F22),"","CM")</f>
        <v>CM</v>
      </c>
      <c r="CM23" s="2"/>
      <c r="CN23" s="2"/>
      <c r="CO23" s="2" t="str">
        <f>IF(ISBLANK(Values!F22), "", IF(AND(Values!$B$37=options!$G$2, Values!$C22), "AMAZON_NA", IF(AND(Values!$B$37=options!$G$1, Values!$D22), "AMAZON_EU", "DEFAULT")))</f>
        <v>DEFAULT</v>
      </c>
      <c r="CP23" s="2" t="str">
        <f>IF(ISBLANK(Values!F22),"",Values!$B$7)</f>
        <v>41</v>
      </c>
      <c r="CQ23" s="2" t="str">
        <f>IF(ISBLANK(Values!F22),"",Values!$B$8)</f>
        <v>17</v>
      </c>
      <c r="CR23" s="2" t="str">
        <f>IF(ISBLANK(Values!F22),"",Values!$B$9)</f>
        <v>5</v>
      </c>
      <c r="CS23" s="2">
        <f>IF(ISBLANK(Values!F22),"",Values!$B$11)</f>
        <v>100</v>
      </c>
      <c r="CT23" s="2" t="str">
        <f>IF(ISBLANK(Values!F22),"","GR")</f>
        <v>GR</v>
      </c>
      <c r="CU23" s="2" t="str">
        <f>IF(ISBLANK(Values!F22),"","CM")</f>
        <v>CM</v>
      </c>
      <c r="CV23" s="2" t="str">
        <f>IF(ISBLANK(Values!F22),"",IF(Values!$B$36=options!$F$1,"Denmark", IF(Values!$B$36=options!$F$2, "Danemark",IF(Values!$B$36=options!$F$3, "Dänemark",IF(Values!$B$36=options!$F$4, "Danimarca",IF(Values!$B$36=options!$F$5, "Dinamarca",IF(Values!$B$36=options!$F$6, "Denemarken","" ) ) ) ) )))</f>
        <v>Denmark</v>
      </c>
      <c r="CW23" s="2"/>
      <c r="CX23" s="2"/>
      <c r="CY23" s="2"/>
      <c r="CZ23" s="2" t="str">
        <f>IF(ISBLANK(Values!F22),"","No")</f>
        <v>No</v>
      </c>
      <c r="DA23" s="2" t="str">
        <f>IF(ISBLANK(Values!F22),"","No")</f>
        <v>No</v>
      </c>
      <c r="DB23" s="2"/>
      <c r="DC23" s="2"/>
      <c r="DD23" s="2"/>
      <c r="DE23" s="2"/>
      <c r="DF23" s="2"/>
      <c r="DG23" s="2"/>
      <c r="DH23" s="2"/>
      <c r="DI23" s="2"/>
      <c r="DJ23" s="2"/>
      <c r="DK23" s="2"/>
      <c r="DL23" s="2"/>
      <c r="DM23" s="2"/>
      <c r="DN23" s="2"/>
      <c r="DO23" s="2" t="str">
        <f>IF(ISBLANK(Values!F22),"","Parts")</f>
        <v>Parts</v>
      </c>
      <c r="DP23" s="2" t="str">
        <f>IF(ISBLANK(Values!F22),"",Values!$B$31)</f>
        <v>6 month warranty after the delivery date. In case of any malfunction of the keyboard a new unit or a spare part for the keyboard of the product will be sent. In case of shortage of stock a full refund is issued.</v>
      </c>
      <c r="DQ23" s="2"/>
      <c r="DR23" s="2"/>
      <c r="DS23" s="2"/>
      <c r="DT23" s="2"/>
      <c r="DU23" s="2"/>
      <c r="DV23" s="2"/>
      <c r="DW23" s="2"/>
      <c r="DX23" s="2"/>
      <c r="DY23" t="str">
        <f>IF(ISBLANK(Values!$F22), "", "not_applicable")</f>
        <v>not_applicable</v>
      </c>
      <c r="DZ23" s="2"/>
      <c r="EA23" s="2"/>
      <c r="EB23" s="2"/>
      <c r="EC23" s="2"/>
      <c r="ED23" s="2"/>
      <c r="EE23" s="2"/>
      <c r="EF23" s="2"/>
      <c r="EG23" s="2"/>
      <c r="EH23" s="2"/>
      <c r="EI23" s="2" t="str">
        <f>IF(ISBLANK(Values!F22),"",Values!$B$31)</f>
        <v>6 month warranty after the delivery date. In case of any malfunction of the keyboard a new unit or a spare part for the keyboard of the product will be sent. In case of shortage of stock a full refund is issued.</v>
      </c>
      <c r="EJ23" s="2"/>
      <c r="EK23" s="2"/>
      <c r="EL23" s="2"/>
      <c r="EM23" s="2"/>
      <c r="EN23" s="2"/>
      <c r="EO23" s="2"/>
      <c r="EP23" s="2"/>
      <c r="EQ23" s="2"/>
      <c r="ER23" s="2"/>
      <c r="ES23" s="2" t="str">
        <f>IF(ISBLANK(Values!F22),"","Amazon Tellus UPS")</f>
        <v>Amazon Tellus UPS</v>
      </c>
      <c r="ET23" s="2"/>
      <c r="EU23" s="2"/>
      <c r="EV23" s="2" t="str">
        <f>IF(ISBLANK(Values!F22),"","New")</f>
        <v>New</v>
      </c>
      <c r="EW23" s="2"/>
      <c r="EX23" s="2"/>
      <c r="EY23" s="2"/>
      <c r="EZ23" s="2"/>
      <c r="FA23" s="2"/>
      <c r="FB23" s="2"/>
      <c r="FC23" s="2"/>
      <c r="FD23" s="2"/>
      <c r="FE23" s="2">
        <f>IF(ISBLANK(Values!F22),"",IF(CO23&lt;&gt;"DEFAULT", "", 3))</f>
        <v>3</v>
      </c>
      <c r="FF23" s="2"/>
      <c r="FG23" s="2"/>
      <c r="FH23" s="2" t="str">
        <f>IF(ISBLANK(Values!F22),"","FALSE")</f>
        <v>FALSE</v>
      </c>
      <c r="FI23" s="2" t="str">
        <f>IF(ISBLANK(Values!F22),"","FALSE")</f>
        <v>FALSE</v>
      </c>
      <c r="FJ23" s="2" t="str">
        <f>IF(ISBLANK(Values!F22),"","FALSE")</f>
        <v>FALSE</v>
      </c>
      <c r="FK23" s="2"/>
      <c r="FL23" s="2"/>
      <c r="FM23" s="2" t="str">
        <f>IF(ISBLANK(Values!F22),"","1")</f>
        <v>1</v>
      </c>
      <c r="FN23" s="2"/>
      <c r="FO23" s="28">
        <f>IF(ISBLANK(Values!F22),"",IF(Values!K22, Values!$B$4, Values!$B$5))</f>
        <v>27.99</v>
      </c>
      <c r="FP23" s="2" t="str">
        <f>IF(ISBLANK(Values!F22),"","Percent")</f>
        <v>Percent</v>
      </c>
      <c r="FQ23" s="2" t="str">
        <f>IF(ISBLANK(Values!F22),"","2")</f>
        <v>2</v>
      </c>
      <c r="FR23" s="2" t="str">
        <f>IF(ISBLANK(Values!F22),"","3")</f>
        <v>3</v>
      </c>
      <c r="FS23" s="2" t="str">
        <f>IF(ISBLANK(Values!F22),"","5")</f>
        <v>5</v>
      </c>
      <c r="FT23" s="2" t="str">
        <f>IF(ISBLANK(Values!F22),"","6")</f>
        <v>6</v>
      </c>
      <c r="FU23" s="2" t="str">
        <f>IF(ISBLANK(Values!F22),"","10")</f>
        <v>10</v>
      </c>
      <c r="FV23" s="2" t="str">
        <f>IF(ISBLANK(Values!F22),"","10")</f>
        <v>10</v>
      </c>
      <c r="FW23" s="2"/>
      <c r="FX23" s="2"/>
      <c r="FY23" s="2"/>
      <c r="FZ23" s="2"/>
      <c r="GA23" s="2"/>
      <c r="GB23" s="2"/>
      <c r="GC23" s="2"/>
      <c r="GD23" s="2"/>
      <c r="GE23" s="2"/>
      <c r="GF23" s="2"/>
      <c r="GG23" s="2"/>
      <c r="GH23" s="2"/>
      <c r="GI23" s="2"/>
      <c r="GJ23" s="2"/>
      <c r="GK23" s="62">
        <f>K23</f>
        <v>27.99</v>
      </c>
    </row>
    <row r="24" spans="1:193" s="36" customFormat="1" ht="17" x14ac:dyDescent="0.2">
      <c r="A24" s="2" t="str">
        <f>IF(ISBLANK(Values!F23),"",IF(Values!$B$37="EU","computercomponent","computer"))</f>
        <v/>
      </c>
      <c r="B24" s="34" t="str">
        <f>IF(ISBLANK(Values!F23),"",Values!G23)</f>
        <v/>
      </c>
      <c r="C24" s="30" t="str">
        <f>IF(ISBLANK(Values!F23),"","TellusRem")</f>
        <v/>
      </c>
      <c r="D24" s="29" t="str">
        <f>IF(ISBLANK(Values!F23),"",Values!F23)</f>
        <v/>
      </c>
      <c r="E24" s="2" t="str">
        <f>IF(ISBLANK(Values!F23),"","EAN")</f>
        <v/>
      </c>
      <c r="F24" s="28" t="str">
        <f>IF(ISBLANK(Values!F23),"",IF(Values!K23, SUBSTITUTE(Values!$B$1, "{language}", Values!I23) &amp; " " &amp;Values!$B$3, SUBSTITUTE(Values!$B$2, "{language}", Values!$I23) &amp; " " &amp;Values!$B$3))</f>
        <v/>
      </c>
      <c r="G24" s="30" t="str">
        <f>IF(ISBLANK(Values!F23),"","TellusRem")</f>
        <v/>
      </c>
      <c r="H24" s="2" t="str">
        <f>IF(ISBLANK(Values!F23),"",Values!$B$16)</f>
        <v/>
      </c>
      <c r="I24" s="2" t="str">
        <f>IF(ISBLANK(Values!F23),"","4730574031")</f>
        <v/>
      </c>
      <c r="J24" s="32" t="str">
        <f>IF(ISBLANK(Values!F23),"",Values!G23 )</f>
        <v/>
      </c>
      <c r="K24" s="28" t="str">
        <f>IF(ISBLANK(Values!F23),"",IF(Values!K23, Values!$B$4, Values!$B$5))</f>
        <v/>
      </c>
      <c r="L24" s="28" t="str">
        <f>IF(ISBLANK(Values!F23),"",IF($CO24="DEFAULT", Values!$B$18, ""))</f>
        <v/>
      </c>
      <c r="M24" s="28" t="str">
        <f>IF(ISBLANK(Values!F23),"",Values!$N23)</f>
        <v/>
      </c>
      <c r="N24" s="28" t="str">
        <f>IF(ISBLANK(Values!$G23),"",Values!O23)</f>
        <v/>
      </c>
      <c r="O24" s="28" t="str">
        <f>IF(ISBLANK(Values!$G23),"",Values!P23)</f>
        <v/>
      </c>
      <c r="P24" s="28" t="str">
        <f>IF(ISBLANK(Values!$G23),"",Values!Q23)</f>
        <v/>
      </c>
      <c r="Q24" s="28" t="str">
        <f>IF(ISBLANK(Values!$G23),"",Values!R23)</f>
        <v/>
      </c>
      <c r="R24" s="28" t="str">
        <f>IF(ISBLANK(Values!$G23),"",Values!S23)</f>
        <v/>
      </c>
      <c r="S24" s="28" t="str">
        <f>IF(ISBLANK(Values!$G23),"",Values!T23)</f>
        <v/>
      </c>
      <c r="T24" s="28" t="str">
        <f>IF(ISBLANK(Values!$G23),"",Values!U23)</f>
        <v/>
      </c>
      <c r="U24" s="28" t="str">
        <f>IF(ISBLANK(Values!$G23),"",Values!V23)</f>
        <v/>
      </c>
      <c r="V24" s="2"/>
      <c r="W24" s="30" t="str">
        <f>IF(ISBLANK(Values!F23),"","Child")</f>
        <v/>
      </c>
      <c r="X24" s="30" t="str">
        <f>IF(ISBLANK(Values!F23),"",Values!$B$13)</f>
        <v/>
      </c>
      <c r="Y24" s="32" t="str">
        <f>IF(ISBLANK(Values!F23),"","Size-Color")</f>
        <v/>
      </c>
      <c r="Z24" s="30" t="str">
        <f>IF(ISBLANK(Values!F23),"","variation")</f>
        <v/>
      </c>
      <c r="AA24" s="2" t="str">
        <f>IF(ISBLANK(Values!F23),"",Values!$B$20)</f>
        <v/>
      </c>
      <c r="AB24" s="2" t="str">
        <f>IF(ISBLANK(Values!F23),"",Values!$B$29)</f>
        <v/>
      </c>
      <c r="AC24" s="2"/>
      <c r="AD24" s="2"/>
      <c r="AE24" s="2"/>
      <c r="AF24" s="2"/>
      <c r="AG24" s="2"/>
      <c r="AH24" s="2"/>
      <c r="AI24" s="35" t="str">
        <f>IF(ISBLANK(Values!F23),"",IF(Values!J23,Values!$B$23,Values!$B$33))</f>
        <v/>
      </c>
      <c r="AJ24" s="33" t="str">
        <f>IF(ISBLANK(Values!F23),"",Values!$B$24 &amp;" "&amp;Values!$B$3)</f>
        <v/>
      </c>
      <c r="AK24" s="2" t="str">
        <f>IF(ISBLANK(Values!F23),"",Values!$B$25)</f>
        <v/>
      </c>
      <c r="AL24" s="2" t="str">
        <f>IF(ISBLANK(Values!F23),"",SUBSTITUTE(SUBSTITUTE(IF(Values!$K23, Values!$B$26, Values!$B$33), "{language}", Values!$I23), "{flag}", INDEX(options!$E$1:$E$20, Values!$W23)))</f>
        <v/>
      </c>
      <c r="AM24" s="2" t="str">
        <f>SUBSTITUTE(IF(ISBLANK(Values!F23),"",Values!$B$27), "{model}", Values!$B$3)</f>
        <v/>
      </c>
      <c r="AN24" s="2"/>
      <c r="AO24" s="2"/>
      <c r="AP24" s="2"/>
      <c r="AQ24" s="2"/>
      <c r="AR24" s="2"/>
      <c r="AS24" s="2"/>
      <c r="AT24" s="28" t="str">
        <f>IF(ISBLANK(Values!F23),"",Values!I23)</f>
        <v/>
      </c>
      <c r="AU24" s="2"/>
      <c r="AV24" s="2" t="str">
        <f>IF(ISBLANK(Values!F23),"",IF(Values!K23,"Backlit", "Non-Backlit"))</f>
        <v/>
      </c>
      <c r="AW24" s="2"/>
      <c r="AX24" s="2"/>
      <c r="AY24" s="2"/>
      <c r="AZ24" s="2"/>
      <c r="BA24" s="2"/>
      <c r="BB24" s="2"/>
      <c r="BC24" s="2"/>
      <c r="BD24" s="2"/>
      <c r="BE24" s="2" t="str">
        <f>IF(ISBLANK(Values!F23),"","Professional Audience")</f>
        <v/>
      </c>
      <c r="BF24" s="2" t="str">
        <f>IF(ISBLANK(Values!F23),"","Consumer Audience")</f>
        <v/>
      </c>
      <c r="BG24" s="2" t="str">
        <f>IF(ISBLANK(Values!F23),"","Adults")</f>
        <v/>
      </c>
      <c r="BH24" s="2" t="str">
        <f>IF(ISBLANK(Values!F23),"","People")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IF(ISBLANK(Values!F23),"",Values!$B$11)</f>
        <v/>
      </c>
      <c r="CH24" s="2" t="str">
        <f>IF(ISBLANK(Values!F23),"","GR")</f>
        <v/>
      </c>
      <c r="CI24" s="2" t="str">
        <f>IF(ISBLANK(Values!F23),"",Values!$B$7)</f>
        <v/>
      </c>
      <c r="CJ24" s="2" t="str">
        <f>IF(ISBLANK(Values!F23),"",Values!$B$8)</f>
        <v/>
      </c>
      <c r="CK24" s="2" t="str">
        <f>IF(ISBLANK(Values!F23),"",Values!$B$9)</f>
        <v/>
      </c>
      <c r="CL24" s="2" t="str">
        <f>IF(ISBLANK(Values!F23),"","CM")</f>
        <v/>
      </c>
      <c r="CM24" s="2"/>
      <c r="CN24" s="2"/>
      <c r="CO24" s="2" t="str">
        <f>IF(ISBLANK(Values!F23), "", IF(AND(Values!$B$37=options!$G$2, Values!$C23), "AMAZON_NA", IF(AND(Values!$B$37=options!$G$1, Values!$D23), "AMAZON_EU", "DEFAULT")))</f>
        <v/>
      </c>
      <c r="CP24" s="2" t="str">
        <f>IF(ISBLANK(Values!F23),"",Values!$B$7)</f>
        <v/>
      </c>
      <c r="CQ24" s="2" t="str">
        <f>IF(ISBLANK(Values!F23),"",Values!$B$8)</f>
        <v/>
      </c>
      <c r="CR24" s="2" t="str">
        <f>IF(ISBLANK(Values!F23),"",Values!$B$9)</f>
        <v/>
      </c>
      <c r="CS24" s="2" t="str">
        <f>IF(ISBLANK(Values!F23),"",Values!$B$11)</f>
        <v/>
      </c>
      <c r="CT24" s="2" t="str">
        <f>IF(ISBLANK(Values!F23),"","GR")</f>
        <v/>
      </c>
      <c r="CU24" s="2" t="str">
        <f>IF(ISBLANK(Values!F23),"","CM")</f>
        <v/>
      </c>
      <c r="CV24" s="2" t="str">
        <f>IF(ISBLANK(Values!F23),"",IF(Values!$B$36=options!$F$1,"Denmark", IF(Values!$B$36=options!$F$2, "Danemark",IF(Values!$B$36=options!$F$3, "Dänemark",IF(Values!$B$36=options!$F$4, "Danimarca",IF(Values!$B$36=options!$F$5, "Dinamarca",IF(Values!$B$36=options!$F$6, "Denemarken","" ) ) ) ) )))</f>
        <v/>
      </c>
      <c r="CW24" s="2"/>
      <c r="CX24" s="2"/>
      <c r="CY24" s="2"/>
      <c r="CZ24" s="2" t="str">
        <f>IF(ISBLANK(Values!F23),"","No")</f>
        <v/>
      </c>
      <c r="DA24" s="2" t="str">
        <f>IF(ISBLANK(Values!F23),"","No")</f>
        <v/>
      </c>
      <c r="DB24" s="2"/>
      <c r="DC24" s="2"/>
      <c r="DD24" s="2"/>
      <c r="DE24" s="2"/>
      <c r="DF24" s="2"/>
      <c r="DG24" s="2"/>
      <c r="DH24" s="2"/>
      <c r="DI24" s="2"/>
      <c r="DJ24" s="2"/>
      <c r="DK24" s="2"/>
      <c r="DL24" s="2"/>
      <c r="DM24" s="2"/>
      <c r="DN24" s="2"/>
      <c r="DO24" s="2" t="str">
        <f>IF(ISBLANK(Values!F23),"","Parts")</f>
        <v/>
      </c>
      <c r="DP24" s="2" t="str">
        <f>IF(ISBLANK(Values!F23),"",Values!$B$31)</f>
        <v/>
      </c>
      <c r="DQ24" s="2"/>
      <c r="DR24" s="2"/>
      <c r="DS24" s="2"/>
      <c r="DT24" s="2"/>
      <c r="DU24" s="2"/>
      <c r="DV24" s="2"/>
      <c r="DW24" s="2"/>
      <c r="DX24" s="2"/>
      <c r="DY24" t="str">
        <f>IF(ISBLANK(Values!$F23), "", "not_applicable")</f>
        <v/>
      </c>
      <c r="DZ24" s="2"/>
      <c r="EA24" s="2"/>
      <c r="EB24" s="2"/>
      <c r="EC24" s="2"/>
      <c r="ED24" s="2"/>
      <c r="EE24" s="2"/>
      <c r="EF24" s="2"/>
      <c r="EG24" s="2"/>
      <c r="EH24" s="2"/>
      <c r="EI24" s="2" t="str">
        <f>IF(ISBLANK(Values!F23),"",Values!$B$31)</f>
        <v/>
      </c>
      <c r="EJ24" s="2"/>
      <c r="EK24" s="2"/>
      <c r="EL24" s="2"/>
      <c r="EM24" s="2"/>
      <c r="EN24" s="2"/>
      <c r="EO24" s="2"/>
      <c r="EP24" s="2"/>
      <c r="EQ24" s="2"/>
      <c r="ER24" s="2"/>
      <c r="ES24" s="2" t="str">
        <f>IF(ISBLANK(Values!F23),"","Amazon Tellus UPS")</f>
        <v/>
      </c>
      <c r="ET24" s="2"/>
      <c r="EU24" s="2"/>
      <c r="EV24" s="2" t="str">
        <f>IF(ISBLANK(Values!F23),"","New")</f>
        <v/>
      </c>
      <c r="EW24" s="2"/>
      <c r="EX24" s="2"/>
      <c r="EY24" s="2"/>
      <c r="EZ24" s="2"/>
      <c r="FA24" s="2"/>
      <c r="FB24" s="2"/>
      <c r="FC24" s="2"/>
      <c r="FD24" s="2"/>
      <c r="FE24" s="2" t="str">
        <f>IF(ISBLANK(Values!F23),"",IF(CO24&lt;&gt;"DEFAULT", "", 3))</f>
        <v/>
      </c>
      <c r="FF24" s="2"/>
      <c r="FG24" s="2"/>
      <c r="FH24" s="2" t="str">
        <f>IF(ISBLANK(Values!F23),"","FALSE")</f>
        <v/>
      </c>
      <c r="FI24" s="2" t="str">
        <f>IF(ISBLANK(Values!F23),"","FALSE")</f>
        <v/>
      </c>
      <c r="FJ24" s="2" t="str">
        <f>IF(ISBLANK(Values!F23),"","FALSE")</f>
        <v/>
      </c>
      <c r="FK24" s="2"/>
      <c r="FL24" s="2"/>
      <c r="FM24" s="2" t="str">
        <f>IF(ISBLANK(Values!F23),"","1")</f>
        <v/>
      </c>
      <c r="FN24" s="2"/>
      <c r="FO24" s="28" t="str">
        <f>IF(ISBLANK(Values!F23),"",IF(Values!K23, Values!$B$4, Values!$B$5))</f>
        <v/>
      </c>
      <c r="FP24" s="2" t="str">
        <f>IF(ISBLANK(Values!F23),"","Percent")</f>
        <v/>
      </c>
      <c r="FQ24" s="2" t="str">
        <f>IF(ISBLANK(Values!F23),"","2")</f>
        <v/>
      </c>
      <c r="FR24" s="2" t="str">
        <f>IF(ISBLANK(Values!F23),"","3")</f>
        <v/>
      </c>
      <c r="FS24" s="2" t="str">
        <f>IF(ISBLANK(Values!F23),"","5")</f>
        <v/>
      </c>
      <c r="FT24" s="2" t="str">
        <f>IF(ISBLANK(Values!F23),"","6")</f>
        <v/>
      </c>
      <c r="FU24" s="2" t="str">
        <f>IF(ISBLANK(Values!F23),"","10")</f>
        <v/>
      </c>
      <c r="FV24" s="2" t="str">
        <f>IF(ISBLANK(Values!F23),"","10")</f>
        <v/>
      </c>
      <c r="FW24" s="2"/>
      <c r="FX24" s="2"/>
      <c r="FY24" s="2"/>
      <c r="FZ24" s="2"/>
      <c r="GA24" s="2"/>
      <c r="GB24" s="2"/>
      <c r="GC24" s="2"/>
      <c r="GD24" s="2"/>
      <c r="GE24" s="2"/>
      <c r="GF24" s="2"/>
      <c r="GG24" s="2"/>
      <c r="GH24" s="2"/>
      <c r="GI24" s="2"/>
      <c r="GJ24" s="2"/>
      <c r="GK24" s="62" t="str">
        <f>K24</f>
        <v/>
      </c>
    </row>
    <row r="25" spans="1:193"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7"/>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c r="GK25" s="62" t="str">
        <f>K25</f>
        <v/>
      </c>
    </row>
    <row r="26" spans="1:193"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c r="GK26" s="62" t="str">
        <f>K26</f>
        <v/>
      </c>
    </row>
    <row r="27" spans="1:193"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c r="GK27" s="62" t="str">
        <f>K27</f>
        <v/>
      </c>
    </row>
    <row r="28" spans="1:193"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c r="GK28" s="62" t="str">
        <f>K28</f>
        <v/>
      </c>
    </row>
    <row r="29" spans="1:193"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c r="GK29" s="62" t="str">
        <f>K29</f>
        <v/>
      </c>
    </row>
    <row r="30" spans="1:193"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c r="GK30" s="62" t="str">
        <f>K30</f>
        <v/>
      </c>
    </row>
    <row r="31" spans="1:193"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c r="GK31" s="62" t="str">
        <f>K31</f>
        <v/>
      </c>
    </row>
    <row r="32" spans="1:193"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c r="GK32" s="62" t="str">
        <f>K32</f>
        <v/>
      </c>
    </row>
    <row r="33" spans="1:193" s="36" customFormat="1" ht="17" x14ac:dyDescent="0.2">
      <c r="A33" s="2" t="str">
        <f>IF(ISBLANK(Values!F32),"",IF(Values!$B$37="EU","computercomponent","computer"))</f>
        <v/>
      </c>
      <c r="B33" s="34" t="str">
        <f>IF(ISBLANK(Values!F32),"",Values!G32)</f>
        <v/>
      </c>
      <c r="C33" s="30" t="str">
        <f>IF(ISBLANK(Values!F32),"","TellusRem")</f>
        <v/>
      </c>
      <c r="D33" s="29" t="str">
        <f>IF(ISBLANK(Values!F32),"",Values!F32)</f>
        <v/>
      </c>
      <c r="E33" s="2" t="str">
        <f>IF(ISBLANK(Values!F32),"","EAN")</f>
        <v/>
      </c>
      <c r="F33" s="28" t="str">
        <f>IF(ISBLANK(Values!F32),"",IF(Values!K32, SUBSTITUTE(Values!$B$1, "{language}", Values!I32) &amp; " " &amp;Values!$B$3, SUBSTITUTE(Values!$B$2, "{language}", Values!$I32) &amp; " " &amp;Values!$B$3))</f>
        <v/>
      </c>
      <c r="G33" s="30" t="str">
        <f>IF(ISBLANK(Values!F32),"","TellusRem")</f>
        <v/>
      </c>
      <c r="H33" s="2" t="str">
        <f>IF(ISBLANK(Values!F32),"",Values!$B$16)</f>
        <v/>
      </c>
      <c r="I33" s="2" t="str">
        <f>IF(ISBLANK(Values!F32),"","4730574031")</f>
        <v/>
      </c>
      <c r="J33" s="32" t="str">
        <f>IF(ISBLANK(Values!F32),"",Values!G32 )</f>
        <v/>
      </c>
      <c r="K33" s="28" t="str">
        <f>IF(ISBLANK(Values!F32),"",IF(Values!K32, Values!$B$4, Values!$B$5))</f>
        <v/>
      </c>
      <c r="L33" s="28" t="str">
        <f>IF(ISBLANK(Values!F32),"",IF($CO33="DEFAULT", Values!$B$18, ""))</f>
        <v/>
      </c>
      <c r="M33" s="28" t="str">
        <f>IF(ISBLANK(Values!F32),"",Values!$N32)</f>
        <v/>
      </c>
      <c r="N33" s="28" t="str">
        <f>IF(ISBLANK(Values!$G32),"",Values!O32)</f>
        <v/>
      </c>
      <c r="O33" s="28" t="str">
        <f>IF(ISBLANK(Values!$G32),"",Values!P32)</f>
        <v/>
      </c>
      <c r="P33" s="28" t="str">
        <f>IF(ISBLANK(Values!$G32),"",Values!Q32)</f>
        <v/>
      </c>
      <c r="Q33" s="28" t="str">
        <f>IF(ISBLANK(Values!$G32),"",Values!R32)</f>
        <v/>
      </c>
      <c r="R33" s="28" t="str">
        <f>IF(ISBLANK(Values!$G32),"",Values!S32)</f>
        <v/>
      </c>
      <c r="S33" s="28" t="str">
        <f>IF(ISBLANK(Values!$G32),"",Values!T32)</f>
        <v/>
      </c>
      <c r="T33" s="28" t="str">
        <f>IF(ISBLANK(Values!$G32),"",Values!U32)</f>
        <v/>
      </c>
      <c r="U33" s="28" t="str">
        <f>IF(ISBLANK(Values!$G32),"",Values!V32)</f>
        <v/>
      </c>
      <c r="V33" s="2"/>
      <c r="W33" s="30" t="str">
        <f>IF(ISBLANK(Values!F32),"","Child")</f>
        <v/>
      </c>
      <c r="X33" s="30" t="str">
        <f>IF(ISBLANK(Values!F32),"",Values!$B$13)</f>
        <v/>
      </c>
      <c r="Y33" s="32" t="str">
        <f>IF(ISBLANK(Values!F32),"","Size-Color")</f>
        <v/>
      </c>
      <c r="Z33" s="30" t="str">
        <f>IF(ISBLANK(Values!F32),"","variation")</f>
        <v/>
      </c>
      <c r="AA33" s="2" t="str">
        <f>IF(ISBLANK(Values!F32),"",Values!$B$20)</f>
        <v/>
      </c>
      <c r="AB33" s="2" t="str">
        <f>IF(ISBLANK(Values!F32),"",Values!$B$29)</f>
        <v/>
      </c>
      <c r="AC33" s="2"/>
      <c r="AD33" s="2"/>
      <c r="AE33" s="2"/>
      <c r="AF33" s="2"/>
      <c r="AG33" s="2"/>
      <c r="AH33" s="2"/>
      <c r="AI33" s="35" t="str">
        <f>IF(ISBLANK(Values!F32),"",IF(Values!J32,Values!$B$23,Values!$B$33))</f>
        <v/>
      </c>
      <c r="AJ33" s="33" t="str">
        <f>IF(ISBLANK(Values!F32),"",Values!$B$24 &amp;" "&amp;Values!$B$3)</f>
        <v/>
      </c>
      <c r="AK33" s="2" t="str">
        <f>IF(ISBLANK(Values!F32),"",Values!$B$25)</f>
        <v/>
      </c>
      <c r="AL33" s="2" t="str">
        <f>IF(ISBLANK(Values!F32),"",SUBSTITUTE(SUBSTITUTE(IF(Values!$K32, Values!$B$26, Values!$B$33), "{language}", Values!$I32), "{flag}", INDEX(options!$E$1:$E$20, Values!$W32)))</f>
        <v/>
      </c>
      <c r="AM33" s="2" t="str">
        <f>SUBSTITUTE(IF(ISBLANK(Values!F32),"",Values!$B$27), "{model}", Values!$B$3)</f>
        <v/>
      </c>
      <c r="AN33" s="2"/>
      <c r="AO33" s="2"/>
      <c r="AP33" s="2"/>
      <c r="AQ33" s="2"/>
      <c r="AR33" s="2"/>
      <c r="AS33" s="2"/>
      <c r="AT33" s="28" t="str">
        <f>IF(ISBLANK(Values!F32),"",Values!I32)</f>
        <v/>
      </c>
      <c r="AU33" s="2"/>
      <c r="AV33" s="2" t="str">
        <f>IF(ISBLANK(Values!F32),"",IF(Values!K32,"Backlit", "Non-Backlit"))</f>
        <v/>
      </c>
      <c r="AW33" s="2"/>
      <c r="AX33" s="2"/>
      <c r="AY33" s="2"/>
      <c r="AZ33" s="2"/>
      <c r="BA33" s="2"/>
      <c r="BB33" s="2"/>
      <c r="BC33" s="2"/>
      <c r="BD33" s="2"/>
      <c r="BE33" s="2" t="str">
        <f>IF(ISBLANK(Values!F32),"","Professional Audience")</f>
        <v/>
      </c>
      <c r="BF33" s="2" t="str">
        <f>IF(ISBLANK(Values!F32),"","Consumer Audience")</f>
        <v/>
      </c>
      <c r="BG33" s="2" t="str">
        <f>IF(ISBLANK(Values!F32),"","Adults")</f>
        <v/>
      </c>
      <c r="BH33" s="2" t="str">
        <f>IF(ISBLANK(Values!F32),"","People")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IF(ISBLANK(Values!F32),"",Values!$B$11)</f>
        <v/>
      </c>
      <c r="CH33" s="2" t="str">
        <f>IF(ISBLANK(Values!F32),"","GR")</f>
        <v/>
      </c>
      <c r="CI33" s="2" t="str">
        <f>IF(ISBLANK(Values!F32),"",Values!$B$7)</f>
        <v/>
      </c>
      <c r="CJ33" s="2" t="str">
        <f>IF(ISBLANK(Values!F32),"",Values!$B$8)</f>
        <v/>
      </c>
      <c r="CK33" s="2" t="str">
        <f>IF(ISBLANK(Values!F32),"",Values!$B$9)</f>
        <v/>
      </c>
      <c r="CL33" s="2" t="str">
        <f>IF(ISBLANK(Values!F32),"","CM")</f>
        <v/>
      </c>
      <c r="CM33" s="2"/>
      <c r="CN33" s="2"/>
      <c r="CO33" s="2" t="str">
        <f>IF(ISBLANK(Values!F32), "", IF(AND(Values!$B$37=options!$G$2, Values!$C32), "AMAZON_NA", IF(AND(Values!$B$37=options!$G$1, Values!$D32), "AMAZON_EU", "DEFAULT")))</f>
        <v/>
      </c>
      <c r="CP33" s="2" t="str">
        <f>IF(ISBLANK(Values!F32),"",Values!$B$7)</f>
        <v/>
      </c>
      <c r="CQ33" s="2" t="str">
        <f>IF(ISBLANK(Values!F32),"",Values!$B$8)</f>
        <v/>
      </c>
      <c r="CR33" s="2" t="str">
        <f>IF(ISBLANK(Values!F32),"",Values!$B$9)</f>
        <v/>
      </c>
      <c r="CS33" s="2" t="str">
        <f>IF(ISBLANK(Values!F32),"",Values!$B$11)</f>
        <v/>
      </c>
      <c r="CT33" s="2" t="str">
        <f>IF(ISBLANK(Values!F32),"","GR")</f>
        <v/>
      </c>
      <c r="CU33" s="2" t="str">
        <f>IF(ISBLANK(Values!F32),"","CM")</f>
        <v/>
      </c>
      <c r="CV33" s="2" t="str">
        <f>IF(ISBLANK(Values!F32),"",IF(Values!$B$36=options!$F$1,"Denmark", IF(Values!$B$36=options!$F$2, "Danemark",IF(Values!$B$36=options!$F$3, "Dänemark",IF(Values!$B$36=options!$F$4, "Danimarca",IF(Values!$B$36=options!$F$5, "Dinamarca",IF(Values!$B$36=options!$F$6, "Denemarken","" ) ) ) ) )))</f>
        <v/>
      </c>
      <c r="CW33" s="2"/>
      <c r="CX33" s="2"/>
      <c r="CY33" s="2"/>
      <c r="CZ33" s="2" t="str">
        <f>IF(ISBLANK(Values!F32),"","No")</f>
        <v/>
      </c>
      <c r="DA33" s="2" t="str">
        <f>IF(ISBLANK(Values!F32),"","No")</f>
        <v/>
      </c>
      <c r="DB33" s="2"/>
      <c r="DC33" s="2"/>
      <c r="DD33" s="2"/>
      <c r="DE33" s="2"/>
      <c r="DF33" s="2"/>
      <c r="DG33" s="2"/>
      <c r="DH33" s="2"/>
      <c r="DI33" s="2"/>
      <c r="DJ33" s="2"/>
      <c r="DK33" s="2"/>
      <c r="DL33" s="2"/>
      <c r="DM33" s="2"/>
      <c r="DN33" s="2"/>
      <c r="DO33" s="2" t="str">
        <f>IF(ISBLANK(Values!F32),"","Parts")</f>
        <v/>
      </c>
      <c r="DP33" s="2" t="str">
        <f>IF(ISBLANK(Values!F32),"",Values!$B$31)</f>
        <v/>
      </c>
      <c r="DQ33" s="2"/>
      <c r="DR33" s="2"/>
      <c r="DS33" s="2"/>
      <c r="DT33" s="2"/>
      <c r="DU33" s="2"/>
      <c r="DV33" s="2"/>
      <c r="DW33" s="2"/>
      <c r="DX33" s="2"/>
      <c r="DY33" t="str">
        <f>IF(ISBLANK(Values!$F32), "", "not_applicable")</f>
        <v/>
      </c>
      <c r="DZ33" s="2"/>
      <c r="EA33" s="2"/>
      <c r="EB33" s="2"/>
      <c r="EC33" s="2"/>
      <c r="ED33" s="2"/>
      <c r="EE33" s="2"/>
      <c r="EF33" s="2"/>
      <c r="EG33" s="2"/>
      <c r="EH33" s="2"/>
      <c r="EI33" s="2" t="str">
        <f>IF(ISBLANK(Values!F32),"",Values!$B$31)</f>
        <v/>
      </c>
      <c r="EJ33" s="2"/>
      <c r="EK33" s="2"/>
      <c r="EL33" s="2"/>
      <c r="EM33" s="2"/>
      <c r="EN33" s="2"/>
      <c r="EO33" s="2"/>
      <c r="EP33" s="2"/>
      <c r="EQ33" s="2"/>
      <c r="ER33" s="2"/>
      <c r="ES33" s="2" t="str">
        <f>IF(ISBLANK(Values!F32),"","Amazon Tellus UPS")</f>
        <v/>
      </c>
      <c r="ET33" s="2"/>
      <c r="EU33" s="2"/>
      <c r="EV33" s="2" t="str">
        <f>IF(ISBLANK(Values!F32),"","New")</f>
        <v/>
      </c>
      <c r="EW33" s="2"/>
      <c r="EX33" s="2"/>
      <c r="EY33" s="2"/>
      <c r="EZ33" s="2"/>
      <c r="FA33" s="2"/>
      <c r="FB33" s="2"/>
      <c r="FC33" s="2"/>
      <c r="FD33" s="2"/>
      <c r="FE33" s="2" t="str">
        <f>IF(ISBLANK(Values!F32),"",IF(CO33&lt;&gt;"DEFAULT", "", 3))</f>
        <v/>
      </c>
      <c r="FF33" s="2"/>
      <c r="FG33" s="2"/>
      <c r="FH33" s="2" t="str">
        <f>IF(ISBLANK(Values!F32),"","FALSE")</f>
        <v/>
      </c>
      <c r="FI33" s="2" t="str">
        <f>IF(ISBLANK(Values!F32),"","FALSE")</f>
        <v/>
      </c>
      <c r="FJ33" s="2" t="str">
        <f>IF(ISBLANK(Values!F32),"","FALSE")</f>
        <v/>
      </c>
      <c r="FK33" s="2"/>
      <c r="FL33" s="2"/>
      <c r="FM33" s="2" t="str">
        <f>IF(ISBLANK(Values!F32),"","1")</f>
        <v/>
      </c>
      <c r="FN33" s="2"/>
      <c r="FO33" s="28" t="str">
        <f>IF(ISBLANK(Values!F32),"",IF(Values!K32, Values!$B$4, Values!$B$5))</f>
        <v/>
      </c>
      <c r="FP33" s="2" t="str">
        <f>IF(ISBLANK(Values!F32),"","Percent")</f>
        <v/>
      </c>
      <c r="FQ33" s="2" t="str">
        <f>IF(ISBLANK(Values!F32),"","2")</f>
        <v/>
      </c>
      <c r="FR33" s="2" t="str">
        <f>IF(ISBLANK(Values!F32),"","3")</f>
        <v/>
      </c>
      <c r="FS33" s="2" t="str">
        <f>IF(ISBLANK(Values!F32),"","5")</f>
        <v/>
      </c>
      <c r="FT33" s="2" t="str">
        <f>IF(ISBLANK(Values!F32),"","6")</f>
        <v/>
      </c>
      <c r="FU33" s="2" t="str">
        <f>IF(ISBLANK(Values!F32),"","10")</f>
        <v/>
      </c>
      <c r="FV33" s="2" t="str">
        <f>IF(ISBLANK(Values!F32),"","10")</f>
        <v/>
      </c>
      <c r="FW33" s="2"/>
      <c r="FX33" s="2"/>
      <c r="FY33" s="2"/>
      <c r="FZ33" s="2"/>
      <c r="GA33" s="2"/>
      <c r="GB33" s="2"/>
      <c r="GC33" s="2"/>
      <c r="GD33" s="2"/>
      <c r="GE33" s="2"/>
      <c r="GF33" s="2"/>
      <c r="GG33" s="2"/>
      <c r="GH33" s="2"/>
      <c r="GI33" s="2"/>
      <c r="GJ33" s="2"/>
      <c r="GK33" s="62" t="str">
        <f>K33</f>
        <v/>
      </c>
    </row>
    <row r="34" spans="1:193"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c r="GK34" s="62" t="str">
        <f>K34</f>
        <v/>
      </c>
    </row>
    <row r="35" spans="1:193"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c r="GK35" s="62" t="str">
        <f>K35</f>
        <v/>
      </c>
    </row>
    <row r="36" spans="1:193"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c r="GK36" s="62" t="str">
        <f>K36</f>
        <v/>
      </c>
    </row>
    <row r="37" spans="1:193"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c r="GK37" s="62" t="str">
        <f>K37</f>
        <v/>
      </c>
    </row>
    <row r="38" spans="1:193"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c r="GK38" s="62" t="str">
        <f>K38</f>
        <v/>
      </c>
    </row>
    <row r="39" spans="1:193"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c r="GK39" s="62" t="str">
        <f>K39</f>
        <v/>
      </c>
    </row>
    <row r="40" spans="1:193"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c r="GK40" s="62" t="str">
        <f>K40</f>
        <v/>
      </c>
    </row>
    <row r="41" spans="1:193"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c r="GK41" s="62" t="str">
        <f>K41</f>
        <v/>
      </c>
    </row>
    <row r="42" spans="1:193"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c r="GK42" s="61" t="str">
        <f>K42</f>
        <v/>
      </c>
    </row>
    <row r="43" spans="1:193"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c r="GK43" s="61" t="str">
        <f>K43</f>
        <v/>
      </c>
    </row>
    <row r="44" spans="1:193"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c r="GK44" s="61" t="str">
        <f>K44</f>
        <v/>
      </c>
    </row>
    <row r="45" spans="1:193"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c r="GK45" s="61" t="str">
        <f>K45</f>
        <v/>
      </c>
    </row>
    <row r="46" spans="1:193"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c r="GK46" s="61" t="str">
        <f>K46</f>
        <v/>
      </c>
    </row>
    <row r="47" spans="1:193"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c r="GK47" s="61" t="str">
        <f>K47</f>
        <v/>
      </c>
    </row>
    <row r="48" spans="1:193"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c r="GK48" s="61" t="str">
        <f>K48</f>
        <v/>
      </c>
    </row>
    <row r="49" spans="1:193"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c r="GK49" s="61" t="str">
        <f>K49</f>
        <v/>
      </c>
    </row>
    <row r="50" spans="1:193"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93"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93"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93"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93"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93"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93"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93"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93"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93"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93"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93"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93"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93"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93"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A4:A1048576">
    <cfRule type="expression" dxfId="518" priority="8">
      <formula>IF(LEN(A4)&gt;0,1,0)</formula>
    </cfRule>
    <cfRule type="expression" dxfId="517" priority="9">
      <formula>IF(VLOOKUP($A$3,#NAME?,MATCH($A4,#NAME?,0)+1,0)&gt;0,1,0)</formula>
    </cfRule>
    <cfRule type="expression" dxfId="516" priority="12">
      <formula>AND(IF(IFERROR(VLOOKUP($A$3,#NAME?,MATCH($A4,#NAME?,0)+1,0),0)&gt;0,0,1),IF(IFERROR(VLOOKUP($A$3,#NAME?,MATCH($A4,#NAME?,0)+1,0),0)&gt;0,0,1),IF(IFERROR(VLOOKUP($A$3,#NAME?,MATCH($A4,#NAME?,0)+1,0),0)&gt;0,0,1),IF(IFERROR(MATCH($A4,#NAME?,0),0)&gt;0,1,0))</formula>
    </cfRule>
  </conditionalFormatting>
  <conditionalFormatting sqref="B4">
    <cfRule type="expression" dxfId="515" priority="990">
      <formula>IF(LEN(B4)&gt;0,1,0)</formula>
    </cfRule>
    <cfRule type="expression" dxfId="514" priority="991">
      <formula>IF(VLOOKUP($B$3,#NAME?,MATCH($A4,#NAME?,0)+1,0)&gt;0,1,0)</formula>
    </cfRule>
    <cfRule type="expression" dxfId="513"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2" priority="13">
      <formula>IF(LEN(B4)&gt;0,1,0)</formula>
    </cfRule>
    <cfRule type="expression" dxfId="511" priority="14">
      <formula>IF(VLOOKUP($B$3,#NAME?,MATCH($A4,#NAME?,0)+1,0)&gt;0,1,0)</formula>
    </cfRule>
    <cfRule type="expression" dxfId="510" priority="17">
      <formula>AND(IF(IFERROR(VLOOKUP($B$3,#NAME?,MATCH($A4,#NAME?,0)+1,0),0)&gt;0,0,1),IF(IFERROR(VLOOKUP($B$3,#NAME?,MATCH($A4,#NAME?,0)+1,0),0)&gt;0,0,1),IF(IFERROR(VLOOKUP($B$3,#NAME?,MATCH($A4,#NAME?,0)+1,0),0)&gt;0,0,1),IF(IFERROR(MATCH($A4,#NAME?,0),0)&gt;0,1,0))</formula>
    </cfRule>
  </conditionalFormatting>
  <conditionalFormatting sqref="C4:C204">
    <cfRule type="expression" dxfId="509" priority="999">
      <formula>AND(IF(IFERROR(VLOOKUP($C$3,#NAME?,MATCH($A4,#NAME?,0)+1,0),0)&gt;0,0,1),IF(IFERROR(VLOOKUP($C$3,#NAME?,MATCH($A4,#NAME?,0)+1,0),0)&gt;0,0,1),IF(IFERROR(VLOOKUP($C$3,#NAME?,MATCH($A4,#NAME?,0)+1,0),0)&gt;0,0,1),IF(IFERROR(MATCH($A4,#NAME?,0),0)&gt;0,1,0))</formula>
    </cfRule>
    <cfRule type="expression" dxfId="508" priority="995">
      <formula>IF(LEN(C4)&gt;0,1,0)</formula>
    </cfRule>
    <cfRule type="expression" dxfId="507" priority="996">
      <formula>IF(VLOOKUP($C$3,#NAME?,MATCH($A4,#NAME?,0)+1,0)&gt;0,1,0)</formula>
    </cfRule>
  </conditionalFormatting>
  <conditionalFormatting sqref="C5:C1048576">
    <cfRule type="expression" dxfId="506" priority="18">
      <formula>IF(LEN(C5)&gt;0,1,0)</formula>
    </cfRule>
    <cfRule type="expression" dxfId="505" priority="19">
      <formula>IF(VLOOKUP($C$3,#NAME?,MATCH($A5,#NAME?,0)+1,0)&gt;0,1,0)</formula>
    </cfRule>
    <cfRule type="expression" dxfId="504" priority="22">
      <formula>AND(IF(IFERROR(VLOOKUP($C$3,#NAME?,MATCH($A5,#NAME?,0)+1,0),0)&gt;0,0,1),IF(IFERROR(VLOOKUP($C$3,#NAME?,MATCH($A5,#NAME?,0)+1,0),0)&gt;0,0,1),IF(IFERROR(VLOOKUP($C$3,#NAME?,MATCH($A5,#NAME?,0)+1,0),0)&gt;0,0,1),IF(IFERROR(MATCH($A5,#NAME?,0),0)&gt;0,1,0))</formula>
    </cfRule>
  </conditionalFormatting>
  <conditionalFormatting sqref="D4:D1048576">
    <cfRule type="expression" dxfId="503" priority="27">
      <formula>AND(IF(IFERROR(VLOOKUP($D$3,#NAME?,MATCH($A4,#NAME?,0)+1,0),0)&gt;0,0,1),IF(IFERROR(VLOOKUP($D$3,#NAME?,MATCH($A4,#NAME?,0)+1,0),0)&gt;0,0,1),IF(IFERROR(VLOOKUP($D$3,#NAME?,MATCH($A4,#NAME?,0)+1,0),0)&gt;0,0,1),IF(IFERROR(MATCH($A4,#NAME?,0),0)&gt;0,1,0))</formula>
    </cfRule>
    <cfRule type="expression" dxfId="502" priority="24">
      <formula>IF(VLOOKUP($D$3,#NAME?,MATCH($A4,#NAME?,0)+1,0)&gt;0,1,0)</formula>
    </cfRule>
  </conditionalFormatting>
  <conditionalFormatting sqref="D4:E1048576">
    <cfRule type="expression" dxfId="501" priority="23">
      <formula>IF(LEN(D4)&gt;0,1,0)</formula>
    </cfRule>
  </conditionalFormatting>
  <conditionalFormatting sqref="E4:E1048576">
    <cfRule type="expression" dxfId="500" priority="32">
      <formula>AND(IF(IFERROR(VLOOKUP($E$3,#NAME?,MATCH($A4,#NAME?,0)+1,0),0)&gt;0,0,1),IF(IFERROR(VLOOKUP($E$3,#NAME?,MATCH($A4,#NAME?,0)+1,0),0)&gt;0,0,1),IF(IFERROR(VLOOKUP($E$3,#NAME?,MATCH($A4,#NAME?,0)+1,0),0)&gt;0,0,1),IF(IFERROR(MATCH($A4,#NAME?,0),0)&gt;0,1,0))</formula>
    </cfRule>
    <cfRule type="expression" dxfId="499" priority="29">
      <formula>IF(VLOOKUP($E$3,#NAME?,MATCH($A4,#NAME?,0)+1,0)&gt;0,1,0)</formula>
    </cfRule>
  </conditionalFormatting>
  <conditionalFormatting sqref="F4:F243">
    <cfRule type="expression" dxfId="498" priority="1014">
      <formula>AND(IF(IFERROR(VLOOKUP($F$3,#NAME?,MATCH($A4,#NAME?,0)+1,0),0)&gt;0,0,1),IF(IFERROR(VLOOKUP($F$3,#NAME?,MATCH($A4,#NAME?,0)+1,0),0)&gt;0,0,1),IF(IFERROR(VLOOKUP($F$3,#NAME?,MATCH($A4,#NAME?,0)+1,0),0)&gt;0,0,1),IF(IFERROR(MATCH($A4,#NAME?,0),0)&gt;0,1,0))</formula>
    </cfRule>
    <cfRule type="expression" dxfId="497" priority="1010">
      <formula>IF(LEN(F4)&gt;0,1,0)</formula>
    </cfRule>
    <cfRule type="expression" dxfId="496" priority="1011">
      <formula>IF(VLOOKUP($F$3,#NAME?,MATCH($A4,#NAME?,0)+1,0)&gt;0,1,0)</formula>
    </cfRule>
  </conditionalFormatting>
  <conditionalFormatting sqref="F5:F1048576">
    <cfRule type="expression" dxfId="495" priority="37">
      <formula>AND(IF(IFERROR(VLOOKUP($F$3,#NAME?,MATCH($A5,#NAME?,0)+1,0),0)&gt;0,0,1),IF(IFERROR(VLOOKUP($F$3,#NAME?,MATCH($A5,#NAME?,0)+1,0),0)&gt;0,0,1),IF(IFERROR(VLOOKUP($F$3,#NAME?,MATCH($A5,#NAME?,0)+1,0),0)&gt;0,0,1),IF(IFERROR(MATCH($A5,#NAME?,0),0)&gt;0,1,0))</formula>
    </cfRule>
    <cfRule type="expression" dxfId="494" priority="34">
      <formula>IF(VLOOKUP($F$3,#NAME?,MATCH($A5,#NAME?,0)+1,0)&gt;0,1,0)</formula>
    </cfRule>
  </conditionalFormatting>
  <conditionalFormatting sqref="F5:G1048576">
    <cfRule type="expression" dxfId="493" priority="33">
      <formula>IF(LEN(F5)&gt;0,1,0)</formula>
    </cfRule>
  </conditionalFormatting>
  <conditionalFormatting sqref="G4:G204">
    <cfRule type="expression" dxfId="492" priority="1016">
      <formula>IF(VLOOKUP($G$3,#NAME?,MATCH($A4,#NAME?,0)+1,0)&gt;0,1,0)</formula>
    </cfRule>
    <cfRule type="expression" dxfId="491" priority="1015">
      <formula>IF(LEN(G4)&gt;0,1,0)</formula>
    </cfRule>
    <cfRule type="expression" dxfId="490"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89" priority="42">
      <formula>AND(IF(IFERROR(VLOOKUP($G$3,#NAME?,MATCH($A5,#NAME?,0)+1,0),0)&gt;0,0,1),IF(IFERROR(VLOOKUP($G$3,#NAME?,MATCH($A5,#NAME?,0)+1,0),0)&gt;0,0,1),IF(IFERROR(VLOOKUP($G$3,#NAME?,MATCH($A5,#NAME?,0)+1,0),0)&gt;0,0,1),IF(IFERROR(MATCH($A5,#NAME?,0),0)&gt;0,1,0))</formula>
    </cfRule>
    <cfRule type="expression" dxfId="488" priority="39">
      <formula>IF(VLOOKUP($G$3,#NAME?,MATCH($A5,#NAME?,0)+1,0)&gt;0,1,0)</formula>
    </cfRule>
  </conditionalFormatting>
  <conditionalFormatting sqref="H4:I1048576">
    <cfRule type="expression" dxfId="487" priority="44">
      <formula>IF(VLOOKUP($H$3,#NAME?,MATCH($A4,#NAME?,0)+1,0)&gt;0,1,0)</formula>
    </cfRule>
    <cfRule type="expression" dxfId="486" priority="47">
      <formula>AND(IF(IFERROR(VLOOKUP($H$3,#NAME?,MATCH($A4,#NAME?,0)+1,0),0)&gt;0,0,1),IF(IFERROR(VLOOKUP($H$3,#NAME?,MATCH($A4,#NAME?,0)+1,0),0)&gt;0,0,1),IF(IFERROR(VLOOKUP($H$3,#NAME?,MATCH($A4,#NAME?,0)+1,0),0)&gt;0,0,1),IF(IFERROR(MATCH($A4,#NAME?,0),0)&gt;0,1,0))</formula>
    </cfRule>
  </conditionalFormatting>
  <conditionalFormatting sqref="H4:J1048576">
    <cfRule type="expression" dxfId="485" priority="43">
      <formula>IF(LEN(H4)&gt;0,1,0)</formula>
    </cfRule>
  </conditionalFormatting>
  <conditionalFormatting sqref="J4">
    <cfRule type="expression" dxfId="484" priority="1026">
      <formula>IF(VLOOKUP($B$3,#NAME?,MATCH($A4,#NAME?,0)+1,0)&gt;0,1,0)</formula>
    </cfRule>
    <cfRule type="expression" dxfId="483"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82" priority="49">
      <formula>IF(VLOOKUP($J$3,#NAME?,MATCH($A5,#NAME?,0)+1,0)&gt;0,1,0)</formula>
    </cfRule>
    <cfRule type="expression" dxfId="481"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0" priority="1034">
      <formula>AND(IF(IFERROR(VLOOKUP($K$3,#NAME?,MATCH($A4,#NAME?,0)+1,0),0)&gt;0,0,1),IF(IFERROR(VLOOKUP($K$3,#NAME?,MATCH($A4,#NAME?,0)+1,0),0)&gt;0,0,1),IF(IFERROR(VLOOKUP($K$3,#NAME?,MATCH($A4,#NAME?,0)+1,0),0)&gt;0,0,1),IF(IFERROR(MATCH($A4,#NAME?,0),0)&gt;0,1,0))</formula>
    </cfRule>
  </conditionalFormatting>
  <conditionalFormatting sqref="L4:L204">
    <cfRule type="expression" dxfId="479" priority="1036">
      <formula>IF(VLOOKUP($L$3,#NAME?,MATCH($A4,#NAME?,0)+1,0)&gt;0,1,0)</formula>
    </cfRule>
    <cfRule type="expression" dxfId="478"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77" priority="58">
      <formula>IF(LEN(L6)&gt;0,1,0)</formula>
    </cfRule>
    <cfRule type="expression" dxfId="476" priority="59">
      <formula>IF(VLOOKUP($L$3,#NAME?,MATCH($A5,#NAME?,0)+1,0)&gt;0,1,0)</formula>
    </cfRule>
    <cfRule type="expression" dxfId="475"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74"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73" priority="63">
      <formula>IF(LEN(M5)&gt;0,1,0)</formula>
    </cfRule>
    <cfRule type="expression" dxfId="472" priority="64">
      <formula>IF(VLOOKUP($M$3,#NAME?,MATCH($A5,#NAME?,0)+1,0)&gt;0,1,0)</formula>
    </cfRule>
    <cfRule type="expression" dxfId="471"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0"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9" priority="69">
      <formula>IF(VLOOKUP($N$3,#NAME?,MATCH($A4,#NAME?,0)+1,0)&gt;0,1,0)</formula>
    </cfRule>
  </conditionalFormatting>
  <conditionalFormatting sqref="N7:O1048576 N4:V4">
    <cfRule type="expression" dxfId="468" priority="68">
      <formula>IF(LEN(N4)&gt;0,1,0)</formula>
    </cfRule>
  </conditionalFormatting>
  <conditionalFormatting sqref="O4 V5:V122 O7:O1048576 P123:V131">
    <cfRule type="expression" dxfId="467"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6" priority="74">
      <formula>IF(VLOOKUP($O$3,#NAME?,MATCH($A4,#NAME?,0)+1,0)&gt;0,1,0)</formula>
    </cfRule>
  </conditionalFormatting>
  <conditionalFormatting sqref="O6:U122 N6:N204 M4:M204 N5:U5">
    <cfRule type="expression" dxfId="465" priority="1046">
      <formula>IF(VLOOKUP($M$3,#NAME?,MATCH($A4,#NAME?,0)+1,0)&gt;0,1,0)</formula>
    </cfRule>
  </conditionalFormatting>
  <conditionalFormatting sqref="O6:U122 N6:N204 N5:U5">
    <cfRule type="expression" dxfId="464" priority="1045">
      <formula>IF(LEN(N5)&gt;0,1,0)</formula>
    </cfRule>
  </conditionalFormatting>
  <conditionalFormatting sqref="P4 P7:P1048576">
    <cfRule type="expression" dxfId="463"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2" priority="79">
      <formula>IF(VLOOKUP($P$3,#NAME?,MATCH($A4,#NAME?,0)+1,0)&gt;0,1,0)</formula>
    </cfRule>
  </conditionalFormatting>
  <conditionalFormatting sqref="P7:V1048576">
    <cfRule type="expression" dxfId="461" priority="78">
      <formula>IF(LEN(P7)&gt;0,1,0)</formula>
    </cfRule>
  </conditionalFormatting>
  <conditionalFormatting sqref="Q4 Q7:Q1048576">
    <cfRule type="expression" dxfId="460"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9" priority="84">
      <formula>IF(VLOOKUP($Q$3,#NAME?,MATCH($A4,#NAME?,0)+1,0)&gt;0,1,0)</formula>
    </cfRule>
  </conditionalFormatting>
  <conditionalFormatting sqref="R4 R7:R1048576">
    <cfRule type="expression" dxfId="458"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7" priority="89">
      <formula>IF(VLOOKUP($R$3,#NAME?,MATCH($A4,#NAME?,0)+1,0)&gt;0,1,0)</formula>
    </cfRule>
  </conditionalFormatting>
  <conditionalFormatting sqref="S4 S7:S1048576">
    <cfRule type="expression" dxfId="456"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5" priority="94">
      <formula>IF(VLOOKUP($S$3,#NAME?,MATCH($A4,#NAME?,0)+1,0)&gt;0,1,0)</formula>
    </cfRule>
  </conditionalFormatting>
  <conditionalFormatting sqref="T4 T7:T1048576">
    <cfRule type="expression" dxfId="454"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3" priority="99">
      <formula>IF(VLOOKUP($T$3,#NAME?,MATCH($A4,#NAME?,0)+1,0)&gt;0,1,0)</formula>
    </cfRule>
  </conditionalFormatting>
  <conditionalFormatting sqref="U4 U7:U1048576">
    <cfRule type="expression" dxfId="452"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1" priority="104">
      <formula>IF(VLOOKUP($U$3,#NAME?,MATCH($A4,#NAME?,0)+1,0)&gt;0,1,0)</formula>
    </cfRule>
  </conditionalFormatting>
  <conditionalFormatting sqref="V4 V7:V1048576">
    <cfRule type="expression" dxfId="450"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9" priority="73">
      <formula>IF(LEN(P5)&gt;0,1,0)</formula>
    </cfRule>
  </conditionalFormatting>
  <conditionalFormatting sqref="V7:V1048576 V4">
    <cfRule type="expression" dxfId="448" priority="109">
      <formula>IF(VLOOKUP($V$3,#NAME?,MATCH($A4,#NAME?,0)+1,0)&gt;0,1,0)</formula>
    </cfRule>
  </conditionalFormatting>
  <conditionalFormatting sqref="W4:W204">
    <cfRule type="expression" dxfId="447" priority="1051">
      <formula>IF(VLOOKUP($N$3,#NAME?,MATCH($A4,#NAME?,0)+1,0)&gt;0,1,0)</formula>
    </cfRule>
    <cfRule type="expression" dxfId="446"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5" priority="114">
      <formula>IF(VLOOKUP($W$3,#NAME?,MATCH($A5,#NAME?,0)+1,0)&gt;0,1,0)</formula>
    </cfRule>
    <cfRule type="expression" dxfId="444" priority="117">
      <formula>AND(IF(IFERROR(VLOOKUP($W$3,#NAME?,MATCH($A5,#NAME?,0)+1,0),0)&gt;0,0,1),IF(IFERROR(VLOOKUP($W$3,#NAME?,MATCH($A5,#NAME?,0)+1,0),0)&gt;0,0,1),IF(IFERROR(VLOOKUP($W$3,#NAME?,MATCH($A5,#NAME?,0)+1,0),0)&gt;0,0,1),IF(IFERROR(MATCH($A5,#NAME?,0),0)&gt;0,1,0))</formula>
    </cfRule>
  </conditionalFormatting>
  <conditionalFormatting sqref="W4:X204">
    <cfRule type="expression" dxfId="443" priority="1050">
      <formula>IF(LEN(W4)&gt;0,1,0)</formula>
    </cfRule>
  </conditionalFormatting>
  <conditionalFormatting sqref="W5:Z1048576">
    <cfRule type="expression" dxfId="442" priority="113">
      <formula>IF(LEN(W5)&gt;0,1,0)</formula>
    </cfRule>
  </conditionalFormatting>
  <conditionalFormatting sqref="X4">
    <cfRule type="expression" dxfId="441" priority="1056">
      <formula>IF(VLOOKUP($O$3,#NAME?,MATCH($A4,#NAME?,0)+1,0)&gt;0,1,0)</formula>
    </cfRule>
    <cfRule type="expression" dxfId="440" priority="1059">
      <formula>AND(IF(IFERROR(VLOOKUP($O$3,#NAME?,MATCH($A4,#NAME?,0)+1,0),0)&gt;0,0,1),IF(IFERROR(VLOOKUP($O$3,#NAME?,MATCH($A4,#NAME?,0)+1,0),0)&gt;0,0,1),IF(IFERROR(VLOOKUP($O$3,#NAME?,MATCH($A4,#NAME?,0)+1,0),0)&gt;0,0,1),IF(IFERROR(MATCH($A4,#NAME?,0),0)&gt;0,1,0))</formula>
    </cfRule>
  </conditionalFormatting>
  <conditionalFormatting sqref="X5:X204">
    <cfRule type="expression" dxfId="439" priority="1076">
      <formula>IF(VLOOKUP($B$3,#NAME?,MATCH($A5,#NAME?,0)+1,0)&gt;0,1,0)</formula>
    </cfRule>
    <cfRule type="expression" dxfId="438"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37" priority="119">
      <formula>IF(VLOOKUP($X$3,#NAME?,MATCH($A5,#NAME?,0)+1,0)&gt;0,1,0)</formula>
    </cfRule>
    <cfRule type="expression" dxfId="436"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5" priority="124">
      <formula>IF(VLOOKUP($Y$3,#NAME?,MATCH($A5,#NAME?,0)+1,0)&gt;0,1,0)</formula>
    </cfRule>
    <cfRule type="expression" dxfId="434" priority="127">
      <formula>AND(IF(IFERROR(VLOOKUP($Y$3,#NAME?,MATCH($A5,#NAME?,0)+1,0),0)&gt;0,0,1),IF(IFERROR(VLOOKUP($Y$3,#NAME?,MATCH($A5,#NAME?,0)+1,0),0)&gt;0,0,1),IF(IFERROR(VLOOKUP($Y$3,#NAME?,MATCH($A5,#NAME?,0)+1,0),0)&gt;0,0,1),IF(IFERROR(MATCH($A5,#NAME?,0),0)&gt;0,1,0))</formula>
    </cfRule>
  </conditionalFormatting>
  <conditionalFormatting sqref="Z4:Z204">
    <cfRule type="expression" dxfId="433" priority="1064">
      <formula>AND(IF(IFERROR(VLOOKUP($Q$3,#NAME?,MATCH($A4,#NAME?,0)+1,0),0)&gt;0,0,1),IF(IFERROR(VLOOKUP($Q$3,#NAME?,MATCH($A4,#NAME?,0)+1,0),0)&gt;0,0,1),IF(IFERROR(VLOOKUP($Q$3,#NAME?,MATCH($A4,#NAME?,0)+1,0),0)&gt;0,0,1),IF(IFERROR(MATCH($A4,#NAME?,0),0)&gt;0,1,0))</formula>
    </cfRule>
    <cfRule type="expression" dxfId="432" priority="1061">
      <formula>IF(VLOOKUP($Q$3,#NAME?,MATCH($A4,#NAME?,0)+1,0)&gt;0,1,0)</formula>
    </cfRule>
    <cfRule type="expression" dxfId="431" priority="1060">
      <formula>IF(LEN(Z4)&gt;0,1,0)</formula>
    </cfRule>
  </conditionalFormatting>
  <conditionalFormatting sqref="Z5:Z1048576">
    <cfRule type="expression" dxfId="430" priority="129">
      <formula>IF(VLOOKUP($Z$3,#NAME?,MATCH($A5,#NAME?,0)+1,0)&gt;0,1,0)</formula>
    </cfRule>
    <cfRule type="expression" dxfId="429"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8" priority="137">
      <formula>AND(IF(IFERROR(VLOOKUP($AA$3,#NAME?,MATCH($A4,#NAME?,0)+1,0),0)&gt;0,0,1),IF(IFERROR(VLOOKUP($AA$3,#NAME?,MATCH($A4,#NAME?,0)+1,0),0)&gt;0,0,1),IF(IFERROR(VLOOKUP($AA$3,#NAME?,MATCH($A4,#NAME?,0)+1,0),0)&gt;0,0,1),IF(IFERROR(MATCH($A4,#NAME?,0),0)&gt;0,1,0))</formula>
    </cfRule>
    <cfRule type="expression" dxfId="427" priority="133">
      <formula>IF(LEN(AA4)&gt;0,1,0)</formula>
    </cfRule>
    <cfRule type="expression" dxfId="426" priority="134">
      <formula>IF(VLOOKUP($AA$3,#NAME?,MATCH($A4,#NAME?,0)+1,0)&gt;0,1,0)</formula>
    </cfRule>
  </conditionalFormatting>
  <conditionalFormatting sqref="AB4 AB7:AB1048576">
    <cfRule type="expression" dxfId="425" priority="138">
      <formula>IF(LEN(AB4)&gt;0,1,0)</formula>
    </cfRule>
    <cfRule type="expression" dxfId="424" priority="139">
      <formula>IF(VLOOKUP($AB$3,#NAME?,MATCH($A4,#NAME?,0)+1,0)&gt;0,1,0)</formula>
    </cfRule>
    <cfRule type="expression" dxfId="423"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2" priority="144">
      <formula>IF(VLOOKUP($AC$3,#NAME?,MATCH(#REF!,#NAME?,0)+1,0)&gt;0,1,0)</formula>
    </cfRule>
    <cfRule type="expression" dxfId="421" priority="145">
      <formula>IF(VLOOKUP($AC$3,#NAME?,MATCH(#REF!,#NAME?,0)+1,0)&gt;0,1,0)</formula>
    </cfRule>
    <cfRule type="expression" dxfId="420" priority="143">
      <formula>IF(LEN(#REF!)&gt;0,1,0)</formula>
    </cfRule>
    <cfRule type="expression" dxfId="419" priority="146">
      <formula>IF(VLOOKUP($AC$3,#NAME?,MATCH(#REF!,#NAME?,0)+1,0)&gt;0,1,0)</formula>
    </cfRule>
  </conditionalFormatting>
  <conditionalFormatting sqref="AC4 AB5:AB204 AC7:AC1048576">
    <cfRule type="expression" dxfId="418"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7" priority="149">
      <formula>IF(VLOOKUP($AD$3,#NAME?,MATCH($A4,#NAME?,0)+1,0)&gt;0,1,0)</formula>
    </cfRule>
    <cfRule type="expression" dxfId="416"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15" priority="148">
      <formula>IF(LEN(AD4)&gt;0,1,0)</formula>
    </cfRule>
  </conditionalFormatting>
  <conditionalFormatting sqref="AE4:AE1048576">
    <cfRule type="expression" dxfId="414" priority="157">
      <formula>AND(IF(IFERROR(VLOOKUP($AE$3,#NAME?,MATCH($A4,#NAME?,0)+1,0),0)&gt;0,0,1),IF(IFERROR(VLOOKUP($AE$3,#NAME?,MATCH($A4,#NAME?,0)+1,0),0)&gt;0,0,1),IF(IFERROR(VLOOKUP($AE$3,#NAME?,MATCH($A4,#NAME?,0)+1,0),0)&gt;0,0,1),IF(IFERROR(MATCH($A4,#NAME?,0),0)&gt;0,1,0))</formula>
    </cfRule>
    <cfRule type="expression" dxfId="413" priority="154">
      <formula>IF(VLOOKUP($AE$3,#NAME?,MATCH($A4,#NAME?,0)+1,0)&gt;0,1,0)</formula>
    </cfRule>
  </conditionalFormatting>
  <conditionalFormatting sqref="AF4:AF1048576">
    <cfRule type="expression" dxfId="412" priority="162">
      <formula>AND(IF(IFERROR(VLOOKUP($AF$3,#NAME?,MATCH($A4,#NAME?,0)+1,0),0)&gt;0,0,1),IF(IFERROR(VLOOKUP($AF$3,#NAME?,MATCH($A4,#NAME?,0)+1,0),0)&gt;0,0,1),IF(IFERROR(VLOOKUP($AF$3,#NAME?,MATCH($A4,#NAME?,0)+1,0),0)&gt;0,0,1),IF(IFERROR(MATCH($A4,#NAME?,0),0)&gt;0,1,0))</formula>
    </cfRule>
    <cfRule type="expression" dxfId="411" priority="159">
      <formula>IF(VLOOKUP($AF$3,#NAME?,MATCH($A4,#NAME?,0)+1,0)&gt;0,1,0)</formula>
    </cfRule>
  </conditionalFormatting>
  <conditionalFormatting sqref="AG4:AG1048576">
    <cfRule type="expression" dxfId="410" priority="164">
      <formula>IF(VLOOKUP($AG$3,#NAME?,MATCH($A4,#NAME?,0)+1,0)&gt;0,1,0)</formula>
    </cfRule>
    <cfRule type="expression" dxfId="409"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8" priority="169">
      <formula>IF(VLOOKUP($AH$3,#NAME?,MATCH($A4,#NAME?,0)+1,0)&gt;0,1,0)</formula>
    </cfRule>
    <cfRule type="expression" dxfId="40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6" priority="177">
      <formula>AND(IF(IFERROR(VLOOKUP($AI$3,#NAME?,MATCH($A4,#NAME?,0)+1,0),0)&gt;0,0,1),IF(IFERROR(VLOOKUP($AI$3,#NAME?,MATCH($A4,#NAME?,0)+1,0),0)&gt;0,0,1),IF(IFERROR(VLOOKUP($AI$3,#NAME?,MATCH($A4,#NAME?,0)+1,0),0)&gt;0,0,1),IF(IFERROR(MATCH($A4,#NAME?,0),0)&gt;0,1,0))</formula>
    </cfRule>
    <cfRule type="expression" dxfId="405" priority="174">
      <formula>IF(VLOOKUP($AI$3,#NAME?,MATCH($A4,#NAME?,0)+1,0)&gt;0,1,0)</formula>
    </cfRule>
  </conditionalFormatting>
  <conditionalFormatting sqref="AJ4 AJ7:AJ1048576">
    <cfRule type="expression" dxfId="404" priority="182">
      <formula>AND(IF(IFERROR(VLOOKUP($AJ$3,#NAME?,MATCH($A4,#NAME?,0)+1,0),0)&gt;0,0,1),IF(IFERROR(VLOOKUP($AJ$3,#NAME?,MATCH($A4,#NAME?,0)+1,0),0)&gt;0,0,1),IF(IFERROR(VLOOKUP($AJ$3,#NAME?,MATCH($A4,#NAME?,0)+1,0),0)&gt;0,0,1),IF(IFERROR(MATCH($A4,#NAME?,0),0)&gt;0,1,0))</formula>
    </cfRule>
    <cfRule type="expression" dxfId="403" priority="179">
      <formula>IF(VLOOKUP($AJ$3,#NAME?,MATCH($A4,#NAME?,0)+1,0)&gt;0,1,0)</formula>
    </cfRule>
    <cfRule type="expression" dxfId="402" priority="178">
      <formula>IF(LEN(AJ4)&gt;0,1,0)</formula>
    </cfRule>
  </conditionalFormatting>
  <conditionalFormatting sqref="AK4:AK1048576">
    <cfRule type="expression" dxfId="401" priority="184">
      <formula>IF(VLOOKUP($AK$3,#NAME?,MATCH($A4,#NAME?,0)+1,0)&gt;0,1,0)</formula>
    </cfRule>
    <cfRule type="expression" dxfId="400"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9" priority="183">
      <formula>IF(LEN(AK4)&gt;0,1,0)</formula>
    </cfRule>
  </conditionalFormatting>
  <conditionalFormatting sqref="AL4:AL1048576">
    <cfRule type="expression" dxfId="398" priority="192">
      <formula>AND(IF(IFERROR(VLOOKUP($AL$3,#NAME?,MATCH($A4,#NAME?,0)+1,0),0)&gt;0,0,1),IF(IFERROR(VLOOKUP($AL$3,#NAME?,MATCH($A4,#NAME?,0)+1,0),0)&gt;0,0,1),IF(IFERROR(VLOOKUP($AL$3,#NAME?,MATCH($A4,#NAME?,0)+1,0),0)&gt;0,0,1),IF(IFERROR(MATCH($A4,#NAME?,0),0)&gt;0,1,0))</formula>
    </cfRule>
    <cfRule type="expression" dxfId="397" priority="189">
      <formula>IF(VLOOKUP($AL$3,#NAME?,MATCH($A4,#NAME?,0)+1,0)&gt;0,1,0)</formula>
    </cfRule>
  </conditionalFormatting>
  <conditionalFormatting sqref="AM4:AM1048576">
    <cfRule type="expression" dxfId="396" priority="194">
      <formula>IF(VLOOKUP($AM$3,#NAME?,MATCH($A4,#NAME?,0)+1,0)&gt;0,1,0)</formula>
    </cfRule>
    <cfRule type="expression" dxfId="395"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394" priority="202">
      <formula>AND(IF(IFERROR(VLOOKUP($AN$3,#NAME?,MATCH($A4,#NAME?,0)+1,0),0)&gt;0,0,1),IF(IFERROR(VLOOKUP($AN$3,#NAME?,MATCH($A4,#NAME?,0)+1,0),0)&gt;0,0,1),IF(IFERROR(VLOOKUP($AN$3,#NAME?,MATCH($A4,#NAME?,0)+1,0),0)&gt;0,0,1),IF(IFERROR(MATCH($A4,#NAME?,0),0)&gt;0,1,0))</formula>
    </cfRule>
    <cfRule type="expression" dxfId="393" priority="199">
      <formula>IF(VLOOKUP($AN$3,#NAME?,MATCH($A4,#NAME?,0)+1,0)&gt;0,1,0)</formula>
    </cfRule>
  </conditionalFormatting>
  <conditionalFormatting sqref="AO4:AO1048576">
    <cfRule type="expression" dxfId="392" priority="207">
      <formula>AND(IF(IFERROR(VLOOKUP($AO$3,#NAME?,MATCH($A4,#NAME?,0)+1,0),0)&gt;0,0,1),IF(IFERROR(VLOOKUP($AO$3,#NAME?,MATCH($A4,#NAME?,0)+1,0),0)&gt;0,0,1),IF(IFERROR(VLOOKUP($AO$3,#NAME?,MATCH($A4,#NAME?,0)+1,0),0)&gt;0,0,1),IF(IFERROR(MATCH($A4,#NAME?,0),0)&gt;0,1,0))</formula>
    </cfRule>
    <cfRule type="expression" dxfId="391" priority="204">
      <formula>IF(VLOOKUP($AO$3,#NAME?,MATCH($A4,#NAME?,0)+1,0)&gt;0,1,0)</formula>
    </cfRule>
  </conditionalFormatting>
  <conditionalFormatting sqref="AP4:AP1048576">
    <cfRule type="expression" dxfId="390" priority="209">
      <formula>IF(VLOOKUP($AP$3,#NAME?,MATCH($A4,#NAME?,0)+1,0)&gt;0,1,0)</formula>
    </cfRule>
    <cfRule type="expression" dxfId="389"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88" priority="214">
      <formula>IF(VLOOKUP($AQ$3,#NAME?,MATCH($A4,#NAME?,0)+1,0)&gt;0,1,0)</formula>
    </cfRule>
    <cfRule type="expression" dxfId="3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86" priority="222">
      <formula>AND(IF(IFERROR(VLOOKUP($AR$3,#NAME?,MATCH($A4,#NAME?,0)+1,0),0)&gt;0,0,1),IF(IFERROR(VLOOKUP($AR$3,#NAME?,MATCH($A4,#NAME?,0)+1,0),0)&gt;0,0,1),IF(IFERROR(VLOOKUP($AR$3,#NAME?,MATCH($A4,#NAME?,0)+1,0),0)&gt;0,0,1),IF(IFERROR(MATCH($A4,#NAME?,0),0)&gt;0,1,0))</formula>
    </cfRule>
    <cfRule type="expression" dxfId="385" priority="219">
      <formula>IF(VLOOKUP($AR$3,#NAME?,MATCH($A4,#NAME?,0)+1,0)&gt;0,1,0)</formula>
    </cfRule>
  </conditionalFormatting>
  <conditionalFormatting sqref="AS4:AS1048576">
    <cfRule type="expression" dxfId="384" priority="227">
      <formula>AND(IF(IFERROR(VLOOKUP($AS$3,#NAME?,MATCH($A4,#NAME?,0)+1,0),0)&gt;0,0,1),IF(IFERROR(VLOOKUP($AS$3,#NAME?,MATCH($A4,#NAME?,0)+1,0),0)&gt;0,0,1),IF(IFERROR(VLOOKUP($AS$3,#NAME?,MATCH($A4,#NAME?,0)+1,0),0)&gt;0,0,1),IF(IFERROR(MATCH($A4,#NAME?,0),0)&gt;0,1,0))</formula>
    </cfRule>
    <cfRule type="expression" dxfId="383" priority="224">
      <formula>IF(VLOOKUP($AS$3,#NAME?,MATCH($A4,#NAME?,0)+1,0)&gt;0,1,0)</formula>
    </cfRule>
  </conditionalFormatting>
  <conditionalFormatting sqref="AT4 AV5:AV166 AT6:AT1048576">
    <cfRule type="expression" dxfId="382" priority="228">
      <formula>IF(LEN(AT4)&gt;0,1,0)</formula>
    </cfRule>
    <cfRule type="expression" dxfId="381" priority="229">
      <formula>IF(VLOOKUP($AT$3,#NAME?,MATCH($A4,#NAME?,0)+1,0)&gt;0,1,0)</formula>
    </cfRule>
    <cfRule type="expression" dxfId="380"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79" priority="234">
      <formula>IF(VLOOKUP($AU$3,#NAME?,MATCH($A4,#NAME?,0)+1,0)&gt;0,1,0)</formula>
    </cfRule>
    <cfRule type="expression" dxfId="378" priority="233">
      <formula>IF(LEN(AU4)&gt;0,1,0)</formula>
    </cfRule>
    <cfRule type="expression" dxfId="377"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76"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5" priority="239">
      <formula>IF(VLOOKUP($AV$3,#NAME?,MATCH($A4,#NAME?,0)+1,0)&gt;0,1,0)</formula>
    </cfRule>
  </conditionalFormatting>
  <conditionalFormatting sqref="AV7:AV1048576 AV4:AW4">
    <cfRule type="expression" dxfId="374" priority="238">
      <formula>IF(LEN(AV4)&gt;0,1,0)</formula>
    </cfRule>
  </conditionalFormatting>
  <conditionalFormatting sqref="AW4 AW6:AW1048576">
    <cfRule type="expression" dxfId="373" priority="244">
      <formula>IF(VLOOKUP($AW$3,#NAME?,MATCH($A4,#NAME?,0)+1,0)&gt;0,1,0)</formula>
    </cfRule>
    <cfRule type="expression" dxfId="372"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1" priority="243">
      <formula>IF(LEN(AW6)&gt;0,1,0)</formula>
    </cfRule>
  </conditionalFormatting>
  <conditionalFormatting sqref="AX4:AX1048576">
    <cfRule type="expression" dxfId="370" priority="252">
      <formula>AND(IF(IFERROR(VLOOKUP($AX$3,#NAME?,MATCH($A4,#NAME?,0)+1,0),0)&gt;0,0,1),IF(IFERROR(VLOOKUP($AX$3,#NAME?,MATCH($A4,#NAME?,0)+1,0),0)&gt;0,0,1),IF(IFERROR(VLOOKUP($AX$3,#NAME?,MATCH($A4,#NAME?,0)+1,0),0)&gt;0,0,1),IF(IFERROR(MATCH($A4,#NAME?,0),0)&gt;0,1,0))</formula>
    </cfRule>
    <cfRule type="expression" dxfId="369" priority="249">
      <formula>IF(VLOOKUP($AX$3,#NAME?,MATCH($A4,#NAME?,0)+1,0)&gt;0,1,0)</formula>
    </cfRule>
  </conditionalFormatting>
  <conditionalFormatting sqref="AX4:BD1048576">
    <cfRule type="expression" dxfId="368" priority="248">
      <formula>IF(LEN(AX4)&gt;0,1,0)</formula>
    </cfRule>
  </conditionalFormatting>
  <conditionalFormatting sqref="AY4:AY1048576">
    <cfRule type="expression" dxfId="367" priority="257">
      <formula>AND(IF(IFERROR(VLOOKUP($AY$3,#NAME?,MATCH($A4,#NAME?,0)+1,0),0)&gt;0,0,1),IF(IFERROR(VLOOKUP($AY$3,#NAME?,MATCH($A4,#NAME?,0)+1,0),0)&gt;0,0,1),IF(IFERROR(VLOOKUP($AY$3,#NAME?,MATCH($A4,#NAME?,0)+1,0),0)&gt;0,0,1),IF(IFERROR(MATCH($A4,#NAME?,0),0)&gt;0,1,0))</formula>
    </cfRule>
    <cfRule type="expression" dxfId="366" priority="254">
      <formula>IF(VLOOKUP($AY$3,#NAME?,MATCH($A4,#NAME?,0)+1,0)&gt;0,1,0)</formula>
    </cfRule>
  </conditionalFormatting>
  <conditionalFormatting sqref="AZ4:AZ1048576">
    <cfRule type="expression" dxfId="365" priority="262">
      <formula>AND(IF(IFERROR(VLOOKUP($AZ$3,#NAME?,MATCH($A4,#NAME?,0)+1,0),0)&gt;0,0,1),IF(IFERROR(VLOOKUP($AZ$3,#NAME?,MATCH($A4,#NAME?,0)+1,0),0)&gt;0,0,1),IF(IFERROR(VLOOKUP($AZ$3,#NAME?,MATCH($A4,#NAME?,0)+1,0),0)&gt;0,0,1),IF(IFERROR(MATCH($A4,#NAME?,0),0)&gt;0,1,0))</formula>
    </cfRule>
    <cfRule type="expression" dxfId="364" priority="259">
      <formula>IF(VLOOKUP($AZ$3,#NAME?,MATCH($A4,#NAME?,0)+1,0)&gt;0,1,0)</formula>
    </cfRule>
  </conditionalFormatting>
  <conditionalFormatting sqref="BA4:BA1048576">
    <cfRule type="expression" dxfId="363" priority="267">
      <formula>AND(IF(IFERROR(VLOOKUP($BA$3,#NAME?,MATCH($A4,#NAME?,0)+1,0),0)&gt;0,0,1),IF(IFERROR(VLOOKUP($BA$3,#NAME?,MATCH($A4,#NAME?,0)+1,0),0)&gt;0,0,1),IF(IFERROR(VLOOKUP($BA$3,#NAME?,MATCH($A4,#NAME?,0)+1,0),0)&gt;0,0,1),IF(IFERROR(MATCH($A4,#NAME?,0),0)&gt;0,1,0))</formula>
    </cfRule>
    <cfRule type="expression" dxfId="362" priority="264">
      <formula>IF(VLOOKUP($BA$3,#NAME?,MATCH($A4,#NAME?,0)+1,0)&gt;0,1,0)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82">
      <formula>AND(IF(IFERROR(VLOOKUP($BD$3,#NAME?,MATCH($A4,#NAME?,0)+1,0),0)&gt;0,0,1),IF(IFERROR(VLOOKUP($BD$3,#NAME?,MATCH($A4,#NAME?,0)+1,0),0)&gt;0,0,1),IF(IFERROR(VLOOKUP($BD$3,#NAME?,MATCH($A4,#NAME?,0)+1,0),0)&gt;0,0,1),IF(IFERROR(MATCH($A4,#NAME?,0),0)&gt;0,1,0))</formula>
    </cfRule>
    <cfRule type="expression" dxfId="356" priority="279">
      <formula>IF(VLOOKUP($BD$3,#NAME?,MATCH($A4,#NAME?,0)+1,0)&gt;0,1,0)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4">
      <formula>IF(VLOOKUP($BI$3,#NAME?,MATCH($A4,#NAME?,0)+1,0)&gt;0,1,0)</formula>
    </cfRule>
    <cfRule type="expression" dxfId="345"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4" priority="3">
      <formula>IF(LEN(BI4)&gt;0,1,0)</formula>
    </cfRule>
  </conditionalFormatting>
  <conditionalFormatting sqref="BJ4:BJ1048576">
    <cfRule type="expression" dxfId="343" priority="309">
      <formula>IF(VLOOKUP($BJ$3,#NAME?,MATCH($A4,#NAME?,0)+1,0)&gt;0,1,0)</formula>
    </cfRule>
    <cfRule type="expression" dxfId="34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19">
      <formula>IF(VLOOKUP($BL$3,#NAME?,MATCH($A4,#NAME?,0)+1,0)&gt;0,1,0)</formula>
    </cfRule>
    <cfRule type="expression" dxfId="338"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37" priority="324">
      <formula>IF(VLOOKUP($BM$3,#NAME?,MATCH($A4,#NAME?,0)+1,0)&gt;0,1,0)</formula>
    </cfRule>
    <cfRule type="expression" dxfId="336"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35" priority="329">
      <formula>IF(VLOOKUP($BN$3,#NAME?,MATCH($A4,#NAME?,0)+1,0)&gt;0,1,0)</formula>
    </cfRule>
    <cfRule type="expression" dxfId="334"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42">
      <formula>AND(IF(IFERROR(VLOOKUP($BP$3,#NAME?,MATCH($A4,#NAME?,0)+1,0),0)&gt;0,0,1),IF(IFERROR(VLOOKUP($BP$3,#NAME?,MATCH($A4,#NAME?,0)+1,0),0)&gt;0,0,1),IF(IFERROR(VLOOKUP($BP$3,#NAME?,MATCH($A4,#NAME?,0)+1,0),0)&gt;0,0,1),IF(IFERROR(MATCH($A4,#NAME?,0),0)&gt;0,1,0))</formula>
    </cfRule>
    <cfRule type="expression" dxfId="330" priority="339">
      <formula>IF(VLOOKUP($BP$3,#NAME?,MATCH($A4,#NAME?,0)+1,0)&gt;0,1,0)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49">
      <formula>IF(VLOOKUP($BR$3,#NAME?,MATCH($A4,#NAME?,0)+1,0)&gt;0,1,0)</formula>
    </cfRule>
    <cfRule type="expression" dxfId="326"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4">
      <formula>IF(VLOOKUP($BW$3,#NAME?,MATCH($A4,#NAME?,0)+1,0)&gt;0,1,0)</formula>
    </cfRule>
    <cfRule type="expression" dxfId="316"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5" priority="382">
      <formula>AND(IF(IFERROR(VLOOKUP($BX$3,#NAME?,MATCH($A4,#NAME?,0)+1,0),0)&gt;0,0,1),IF(IFERROR(VLOOKUP($BX$3,#NAME?,MATCH($A4,#NAME?,0)+1,0),0)&gt;0,0,1),IF(IFERROR(VLOOKUP($BX$3,#NAME?,MATCH($A4,#NAME?,0)+1,0),0)&gt;0,0,1),IF(IFERROR(MATCH($A4,#NAME?,0),0)&gt;0,1,0))</formula>
    </cfRule>
    <cfRule type="expression" dxfId="314" priority="379">
      <formula>IF(VLOOKUP($BX$3,#NAME?,MATCH($A4,#NAME?,0)+1,0)&gt;0,1,0)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92">
      <formula>AND(IF(IFERROR(VLOOKUP($BZ$3,#NAME?,MATCH($A4,#NAME?,0)+1,0),0)&gt;0,0,1),IF(IFERROR(VLOOKUP($BZ$3,#NAME?,MATCH($A4,#NAME?,0)+1,0),0)&gt;0,0,1),IF(IFERROR(VLOOKUP($BZ$3,#NAME?,MATCH($A4,#NAME?,0)+1,0),0)&gt;0,0,1),IF(IFERROR(MATCH($A4,#NAME?,0),0)&gt;0,1,0))</formula>
    </cfRule>
    <cfRule type="expression" dxfId="310" priority="389">
      <formula>IF(VLOOKUP($BZ$3,#NAME?,MATCH($A4,#NAME?,0)+1,0)&gt;0,1,0)</formula>
    </cfRule>
  </conditionalFormatting>
  <conditionalFormatting sqref="CA4:CA1048576">
    <cfRule type="expression" dxfId="309" priority="397">
      <formula>AND(IF(IFERROR(VLOOKUP($CA$3,#NAME?,MATCH($A4,#NAME?,0)+1,0),0)&gt;0,0,1),IF(IFERROR(VLOOKUP($CA$3,#NAME?,MATCH($A4,#NAME?,0)+1,0),0)&gt;0,0,1),IF(IFERROR(VLOOKUP($CA$3,#NAME?,MATCH($A4,#NAME?,0)+1,0),0)&gt;0,0,1),IF(IFERROR(MATCH($A4,#NAME?,0),0)&gt;0,1,0))</formula>
    </cfRule>
    <cfRule type="expression" dxfId="308" priority="394">
      <formula>IF(VLOOKUP($CA$3,#NAME?,MATCH($A4,#NAME?,0)+1,0)&gt;0,1,0)</formula>
    </cfRule>
  </conditionalFormatting>
  <conditionalFormatting sqref="CB4:CB1048576">
    <cfRule type="expression" dxfId="307" priority="402">
      <formula>AND(IF(IFERROR(VLOOKUP($CB$3,#NAME?,MATCH($A4,#NAME?,0)+1,0),0)&gt;0,0,1),IF(IFERROR(VLOOKUP($CB$3,#NAME?,MATCH($A4,#NAME?,0)+1,0),0)&gt;0,0,1),IF(IFERROR(VLOOKUP($CB$3,#NAME?,MATCH($A4,#NAME?,0)+1,0),0)&gt;0,0,1),IF(IFERROR(MATCH($A4,#NAME?,0),0)&gt;0,1,0))</formula>
    </cfRule>
    <cfRule type="expression" dxfId="306" priority="399">
      <formula>IF(VLOOKUP($CB$3,#NAME?,MATCH($A4,#NAME?,0)+1,0)&gt;0,1,0)</formula>
    </cfRule>
  </conditionalFormatting>
  <conditionalFormatting sqref="CC4:CC1048576">
    <cfRule type="expression" dxfId="305" priority="407">
      <formula>AND(IF(IFERROR(VLOOKUP($CC$3,#NAME?,MATCH($A4,#NAME?,0)+1,0),0)&gt;0,0,1),IF(IFERROR(VLOOKUP($CC$3,#NAME?,MATCH($A4,#NAME?,0)+1,0),0)&gt;0,0,1),IF(IFERROR(VLOOKUP($CC$3,#NAME?,MATCH($A4,#NAME?,0)+1,0),0)&gt;0,0,1),IF(IFERROR(MATCH($A4,#NAME?,0),0)&gt;0,1,0))</formula>
    </cfRule>
    <cfRule type="expression" dxfId="304" priority="404">
      <formula>IF(VLOOKUP($CC$3,#NAME?,MATCH($A4,#NAME?,0)+1,0)&gt;0,1,0)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22">
      <formula>AND(IF(IFERROR(VLOOKUP($CF$3,#NAME?,MATCH($A4,#NAME?,0)+1,0),0)&gt;0,0,1),IF(IFERROR(VLOOKUP($CF$3,#NAME?,MATCH($A4,#NAME?,0)+1,0),0)&gt;0,0,1),IF(IFERROR(VLOOKUP($CF$3,#NAME?,MATCH($A4,#NAME?,0)+1,0),0)&gt;0,0,1),IF(IFERROR(MATCH($A4,#NAME?,0),0)&gt;0,1,0))</formula>
    </cfRule>
    <cfRule type="expression" dxfId="298" priority="419">
      <formula>IF(VLOOKUP($CF$3,#NAME?,MATCH($A4,#NAME?,0)+1,0)&gt;0,1,0)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7">
      <formula>AND(IF(IFERROR(VLOOKUP($CI$3,#NAME?,MATCH($A4,#NAME?,0)+1,0),0)&gt;0,0,1),IF(IFERROR(VLOOKUP($CI$3,#NAME?,MATCH($A4,#NAME?,0)+1,0),0)&gt;0,0,1),IF(IFERROR(VLOOKUP($CI$3,#NAME?,MATCH($A4,#NAME?,0)+1,0),0)&gt;0,0,1),IF(IFERROR(MATCH($A4,#NAME?,0),0)&gt;0,1,0))</formula>
    </cfRule>
    <cfRule type="expression" dxfId="292" priority="434">
      <formula>IF(VLOOKUP($CI$3,#NAME?,MATCH($A4,#NAME?,0)+1,0)&gt;0,1,0)</formula>
    </cfRule>
  </conditionalFormatting>
  <conditionalFormatting sqref="CJ4:CJ1048576 CQ5:CQ204">
    <cfRule type="expression" dxfId="291" priority="439">
      <formula>IF(VLOOKUP($CJ$3,#NAME?,MATCH($A4,#NAME?,0)+1,0)&gt;0,1,0)</formula>
    </cfRule>
    <cfRule type="expression" dxfId="290"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89" priority="447">
      <formula>AND(IF(IFERROR(VLOOKUP($CK$3,#NAME?,MATCH($A4,#NAME?,0)+1,0),0)&gt;0,0,1),IF(IFERROR(VLOOKUP($CK$3,#NAME?,MATCH($A4,#NAME?,0)+1,0),0)&gt;0,0,1),IF(IFERROR(VLOOKUP($CK$3,#NAME?,MATCH($A4,#NAME?,0)+1,0),0)&gt;0,0,1),IF(IFERROR(MATCH($A4,#NAME?,0),0)&gt;0,1,0))</formula>
    </cfRule>
    <cfRule type="expression" dxfId="288" priority="444">
      <formula>IF(VLOOKUP($CK$3,#NAME?,MATCH($A4,#NAME?,0)+1,0)&gt;0,1,0)</formula>
    </cfRule>
  </conditionalFormatting>
  <conditionalFormatting sqref="CL4:CL1048576">
    <cfRule type="expression" dxfId="287" priority="452">
      <formula>AND(IF(IFERROR(VLOOKUP($CL$3,#NAME?,MATCH($A4,#NAME?,0)+1,0),0)&gt;0,0,1),IF(IFERROR(VLOOKUP($CL$3,#NAME?,MATCH($A4,#NAME?,0)+1,0),0)&gt;0,0,1),IF(IFERROR(VLOOKUP($CL$3,#NAME?,MATCH($A4,#NAME?,0)+1,0),0)&gt;0,0,1),IF(IFERROR(MATCH($A4,#NAME?,0),0)&gt;0,1,0))</formula>
    </cfRule>
    <cfRule type="expression" dxfId="286" priority="449">
      <formula>IF(VLOOKUP($CL$3,#NAME?,MATCH($A4,#NAME?,0)+1,0)&gt;0,1,0)</formula>
    </cfRule>
  </conditionalFormatting>
  <conditionalFormatting sqref="CM4:CM1048576">
    <cfRule type="expression" dxfId="285" priority="457">
      <formula>AND(IF(IFERROR(VLOOKUP($CM$3,#NAME?,MATCH($A4,#NAME?,0)+1,0),0)&gt;0,0,1),IF(IFERROR(VLOOKUP($CM$3,#NAME?,MATCH($A4,#NAME?,0)+1,0),0)&gt;0,0,1),IF(IFERROR(VLOOKUP($CM$3,#NAME?,MATCH($A4,#NAME?,0)+1,0),0)&gt;0,0,1),IF(IFERROR(MATCH($A4,#NAME?,0),0)&gt;0,1,0))</formula>
    </cfRule>
    <cfRule type="expression" dxfId="284" priority="454">
      <formula>IF(VLOOKUP($CM$3,#NAME?,MATCH($A4,#NAME?,0)+1,0)&gt;0,1,0)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89">
      <formula>IF(VLOOKUP($CU$3,#NAME?,MATCH($A4,#NAME?,0)+1,0)&gt;0,1,0)</formula>
    </cfRule>
    <cfRule type="expression" dxfId="264"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63" priority="497">
      <formula>AND(IF(IFERROR(VLOOKUP($CV$3,#NAME?,MATCH($A4,#NAME?,0)+1,0),0)&gt;0,0,1),IF(IFERROR(VLOOKUP($CV$3,#NAME?,MATCH($A4,#NAME?,0)+1,0),0)&gt;0,0,1),IF(IFERROR(VLOOKUP($CV$3,#NAME?,MATCH($A4,#NAME?,0)+1,0),0)&gt;0,0,1),IF(IFERROR(MATCH($A4,#NAME?,0),0)&gt;0,1,0))</formula>
    </cfRule>
    <cfRule type="expression" dxfId="262" priority="494">
      <formula>IF(VLOOKUP($CV$3,#NAME?,MATCH($A4,#NAME?,0)+1,0)&gt;0,1,0)</formula>
    </cfRule>
  </conditionalFormatting>
  <conditionalFormatting sqref="CW4:CW1048576">
    <cfRule type="expression" dxfId="261" priority="502">
      <formula>AND(IF(IFERROR(VLOOKUP($CW$3,#NAME?,MATCH($A4,#NAME?,0)+1,0),0)&gt;0,0,1),IF(IFERROR(VLOOKUP($CW$3,#NAME?,MATCH($A4,#NAME?,0)+1,0),0)&gt;0,0,1),IF(IFERROR(VLOOKUP($CW$3,#NAME?,MATCH($A4,#NAME?,0)+1,0),0)&gt;0,0,1),IF(IFERROR(MATCH($A4,#NAME?,0),0)&gt;0,1,0))</formula>
    </cfRule>
    <cfRule type="expression" dxfId="260" priority="499">
      <formula>IF(VLOOKUP($CW$3,#NAME?,MATCH($A4,#NAME?,0)+1,0)&gt;0,1,0)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08">
      <formula>AND(AND(OR(AND(AND(OR(NOT(CZ4="Yes"),CZ4="")))),A4&lt;&gt;""))</formula>
    </cfRule>
    <cfRule type="expression" dxfId="256" priority="509">
      <formula>IF(LEN(CY4)&gt;0,1,0)</formula>
    </cfRule>
    <cfRule type="expression" dxfId="255" priority="510">
      <formula>IF(VLOOKUP($CY$3,#NAME?,MATCH($A4,#NAME?,0)+1,0)&gt;0,1,0)</formula>
    </cfRule>
    <cfRule type="expression" dxfId="254"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53" priority="516">
      <formula>IF(VLOOKUP($CZ$3,#NAME?,MATCH($A4,#NAME?,0)+1,0)&gt;0,1,0)</formula>
    </cfRule>
    <cfRule type="expression" dxfId="252" priority="519">
      <formula>AND(IF(IFERROR(VLOOKUP($CZ$3,#NAME?,MATCH($A4,#NAME?,0)+1,0),0)&gt;0,0,1),IF(IFERROR(VLOOKUP($CZ$3,#NAME?,MATCH($A4,#NAME?,0)+1,0),0)&gt;0,0,1),IF(IFERROR(VLOOKUP($CZ$3,#NAME?,MATCH($A4,#NAME?,0)+1,0),0)&gt;0,0,1),IF(IFERROR(MATCH($A4,#NAME?,0),0)&gt;0,1,0))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0">
      <formula>AND(AND(OR(AND(OR(OR(NOT(CO4&lt;&gt;"DEFAULT"),CO4="")))),A4&lt;&gt;""))</formula>
    </cfRule>
    <cfRule type="expression" dxfId="248" priority="521">
      <formula>IF(LEN(DA4)&gt;0,1,0)</formula>
    </cfRule>
    <cfRule type="expression" dxfId="247" priority="522">
      <formula>IF(VLOOKUP($DA$3,#NAME?,MATCH($A4,#NAME?,0)+1,0)&gt;0,1,0)</formula>
    </cfRule>
    <cfRule type="expression" dxfId="246"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45" priority="531">
      <formula>AND(IF(IFERROR(VLOOKUP($DB$3,#NAME?,MATCH($A4,#NAME?,0)+1,0),0)&gt;0,0,1),IF(IFERROR(VLOOKUP($DB$3,#NAME?,MATCH($A4,#NAME?,0)+1,0),0)&gt;0,0,1),IF(IFERROR(VLOOKUP($DB$3,#NAME?,MATCH($A4,#NAME?,0)+1,0),0)&gt;0,0,1),IF(IFERROR(MATCH($A4,#NAME?,0),0)&gt;0,1,0))</formula>
    </cfRule>
    <cfRule type="expression" dxfId="244"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3" priority="528">
      <formula>IF(VLOOKUP($DB$3,#NAME?,MATCH($A4,#NAME?,0)+1,0)&gt;0,1,0)</formula>
    </cfRule>
    <cfRule type="expression" dxfId="242" priority="527">
      <formula>IF(LEN(DB4)&gt;0,1,0)</formula>
    </cfRule>
  </conditionalFormatting>
  <conditionalFormatting sqref="DC4:DC1048576">
    <cfRule type="expression" dxfId="241" priority="534">
      <formula>IF(VLOOKUP($DC$3,#NAME?,MATCH($A4,#NAME?,0)+1,0)&gt;0,1,0)</formula>
    </cfRule>
    <cfRule type="expression" dxfId="240" priority="533">
      <formula>IF(LEN(DC4)&gt;0,1,0)</formula>
    </cfRule>
    <cfRule type="expression" dxfId="239" priority="537">
      <formula>AND(IF(IFERROR(VLOOKUP($DC$3,#NAME?,MATCH($A4,#NAME?,0)+1,0),0)&gt;0,0,1),IF(IFERROR(VLOOKUP($DC$3,#NAME?,MATCH($A4,#NAME?,0)+1,0),0)&gt;0,0,1),IF(IFERROR(VLOOKUP($DC$3,#NAME?,MATCH($A4,#NAME?,0)+1,0),0)&gt;0,0,1),IF(IFERROR(MATCH($A4,#NAME?,0),0)&gt;0,1,0))</formula>
    </cfRule>
    <cfRule type="expression" dxfId="23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5">
      <formula>IF(LEN(DJ4)&gt;0,1,0)</formula>
    </cfRule>
    <cfRule type="expression" dxfId="211" priority="576">
      <formula>IF(VLOOKUP($DJ$3,#NAME?,MATCH($A4,#NAME?,0)+1,0)&gt;0,1,0)</formula>
    </cfRule>
    <cfRule type="expression" dxfId="2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3">
      <formula>IF(LEN(DQ4)&gt;0,1,0)</formula>
    </cfRule>
    <cfRule type="expression" dxfId="191" priority="614">
      <formula>IF(VLOOKUP($DQ$3,#NAME?,MATCH($A4,#NAME?,0)+1,0)&gt;0,1,0)</formula>
    </cfRule>
    <cfRule type="expression" dxfId="190" priority="617">
      <formula>AND(IF(IFERROR(VLOOKUP($DQ$3,#NAME?,MATCH($A4,#NAME?,0)+1,0),0)&gt;0,0,1),IF(IFERROR(VLOOKUP($DQ$3,#NAME?,MATCH($A4,#NAME?,0)+1,0),0)&gt;0,0,1),IF(IFERROR(VLOOKUP($DQ$3,#NAME?,MATCH($A4,#NAME?,0)+1,0),0)&gt;0,0,1),IF(IFERROR(MATCH($A4,#NAME?,0),0)&gt;0,1,0))</formula>
    </cfRule>
    <cfRule type="expression" dxfId="189"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19">
      <formula>IF(LEN(DR4)&gt;0,1,0)</formula>
    </cfRule>
    <cfRule type="expression" dxfId="186" priority="620">
      <formula>IF(VLOOKUP($DR$3,#NAME?,MATCH($A4,#NAME?,0)+1,0)&gt;0,1,0)</formula>
    </cfRule>
    <cfRule type="expression" dxfId="185"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69" priority="647">
      <formula>IF(LEN(DW4)&gt;0,1,0)</formula>
    </cfRule>
    <cfRule type="expression" dxfId="168" priority="648">
      <formula>IF(VLOOKUP($DW$3,#NAME?,MATCH($A4,#NAME?,0)+1,0)&gt;0,1,0)</formula>
    </cfRule>
    <cfRule type="expression" dxfId="167"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66"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65" priority="653">
      <formula>IF(LEN(DX4)&gt;0,1,0)</formula>
    </cfRule>
    <cfRule type="expression" dxfId="164" priority="654">
      <formula>IF(VLOOKUP($DX$3,#NAME?,MATCH($A4,#NAME?,0)+1,0)&gt;0,1,0)</formula>
    </cfRule>
    <cfRule type="expression" dxfId="163"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81">
      <formula>AND(IF(IFERROR(VLOOKUP($EB$3,#NAME?,MATCH($A4,#NAME?,0)+1,0),0)&gt;0,0,1),IF(IFERROR(VLOOKUP($EB$3,#NAME?,MATCH($A4,#NAME?,0)+1,0),0)&gt;0,0,1),IF(IFERROR(VLOOKUP($EB$3,#NAME?,MATCH($A4,#NAME?,0)+1,0),0)&gt;0,0,1),IF(IFERROR(MATCH($A4,#NAME?,0),0)&gt;0,1,0))</formula>
    </cfRule>
    <cfRule type="expression" dxfId="149" priority="676">
      <formula>AND(AND(OR(AND(OR(OR(NOT(CO4&lt;&gt;"DEFAULT"),CO4="")))),A4&lt;&gt;""))</formula>
    </cfRule>
    <cfRule type="expression" dxfId="148" priority="678">
      <formula>IF(VLOOKUP($EB$3,#NAME?,MATCH($A4,#NAME?,0)+1,0)&gt;0,1,0)</formula>
    </cfRule>
    <cfRule type="expression" dxfId="147" priority="677">
      <formula>IF(LEN(EB4)&gt;0,1,0)</formula>
    </cfRule>
  </conditionalFormatting>
  <conditionalFormatting sqref="EC5:EC1048576">
    <cfRule type="expression" dxfId="146" priority="683">
      <formula>IF(LEN(EC4)&gt;0,1,0)</formula>
    </cfRule>
    <cfRule type="expression" dxfId="145" priority="682">
      <formula>AND(AND(OR(AND(OR(OR(NOT(CO4&lt;&gt;"DEFAULT"),CO4="")))),A4&lt;&gt;""))</formula>
    </cfRule>
    <cfRule type="expression" dxfId="144" priority="684">
      <formula>IF(VLOOKUP($EC$3,#NAME?,MATCH($A4,#NAME?,0)+1,0)&gt;0,1,0)</formula>
    </cfRule>
    <cfRule type="expression" dxfId="143"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18">
      <formula>IF(VLOOKUP($EI$3,#NAME?,MATCH($A4,#NAME?,0)+1,0)&gt;0,1,0)</formula>
    </cfRule>
    <cfRule type="expression" dxfId="12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3">
      <formula>IF(LEN(EJ4)&gt;0,1,0)</formula>
    </cfRule>
    <cfRule type="expression" dxfId="120" priority="724">
      <formula>IF(VLOOKUP($EJ$3,#NAME?,MATCH($A4,#NAME?,0)+1,0)&gt;0,1,0)</formula>
    </cfRule>
    <cfRule type="expression" dxfId="119" priority="722">
      <formula>AND(AND(OR(AND(AND(OR(NOT(DY4="GHS"),DY4=""))),AND(AND(OR(NOT(DZ4="GHS"),DZ4=""))),AND(AND(OR(NOT(EA4="GHS"),EA4=""))),AND(AND(OR(NOT(EB4="GHS"),EB4=""))),AND(AND(OR(NOT(EC4="GHS"),EC4="")))),A4&lt;&gt;""))</formula>
    </cfRule>
  </conditionalFormatting>
  <conditionalFormatting sqref="EK4:EK1048576">
    <cfRule type="expression" dxfId="118" priority="733">
      <formula>AND(IF(IFERROR(VLOOKUP($EK$3,#NAME?,MATCH($A4,#NAME?,0)+1,0),0)&gt;0,0,1),IF(IFERROR(VLOOKUP($EK$3,#NAME?,MATCH($A4,#NAME?,0)+1,0),0)&gt;0,0,1),IF(IFERROR(VLOOKUP($EK$3,#NAME?,MATCH($A4,#NAME?,0)+1,0),0)&gt;0,0,1),IF(IFERROR(MATCH($A4,#NAME?,0),0)&gt;0,1,0))</formula>
    </cfRule>
    <cfRule type="expression" dxfId="117" priority="730">
      <formula>IF(VLOOKUP($EK$3,#NAME?,MATCH($A4,#NAME?,0)+1,0)&gt;0,1,0)</formula>
    </cfRule>
    <cfRule type="expression" dxfId="116" priority="729">
      <formula>IF(LEN(EK4)&gt;0,1,0)</formula>
    </cfRule>
    <cfRule type="expression" dxfId="115" priority="728">
      <formula>AND(AND(OR(AND(AND(OR(NOT(DY4="GHS"),DY4=""))),AND(AND(OR(NOT(DZ4="GHS"),DZ4=""))),AND(AND(OR(NOT(EA4="GHS"),EA4=""))),AND(AND(OR(NOT(EB4="GHS"),EB4=""))),AND(AND(OR(NOT(EC4="GHS"),EC4="")))),A4&lt;&gt;""))</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6">
      <formula>IF(VLOOKUP($EN$3,#NAME?,MATCH($A4,#NAME?,0)+1,0)&gt;0,1,0)</formula>
    </cfRule>
    <cfRule type="expression" dxfId="107"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06" priority="751">
      <formula>IF(VLOOKUP($EO$3,#NAME?,MATCH($A4,#NAME?,0)+1,0)&gt;0,1,0)</formula>
    </cfRule>
    <cfRule type="expression" dxfId="10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6">
      <formula>IF(VLOOKUP($EV$3,#NAME?,MATCH($A4,#NAME?,0)+1,0)&gt;0,1,0)</formula>
    </cfRule>
    <cfRule type="expression" dxfId="91"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0" priority="791">
      <formula>IF(VLOOKUP($EW$3,#NAME?,MATCH($A4,#NAME?,0)+1,0)&gt;0,1,0)</formula>
    </cfRule>
    <cfRule type="expression" dxfId="89"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88" priority="796">
      <formula>IF(VLOOKUP($EX$3,#NAME?,MATCH($A4,#NAME?,0)+1,0)&gt;0,1,0)</formula>
    </cfRule>
    <cfRule type="expression" dxfId="87"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9">
      <formula>AND(IF(IFERROR(VLOOKUP($EZ$3,#NAME?,MATCH($A4,#NAME?,0)+1,0),0)&gt;0,0,1),IF(IFERROR(VLOOKUP($EZ$3,#NAME?,MATCH($A4,#NAME?,0)+1,0),0)&gt;0,0,1),IF(IFERROR(VLOOKUP($EZ$3,#NAME?,MATCH($A4,#NAME?,0)+1,0),0)&gt;0,0,1),IF(IFERROR(MATCH($A4,#NAME?,0),0)&gt;0,1,0))</formula>
    </cfRule>
    <cfRule type="expression" dxfId="83" priority="806">
      <formula>IF(VLOOKUP($EZ$3,#NAME?,MATCH($A4,#NAME?,0)+1,0)&gt;0,1,0)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9">
      <formula>AND(IF(IFERROR(VLOOKUP($FF$3,#NAME?,MATCH($A4,#NAME?,0)+1,0),0)&gt;0,0,1),IF(IFERROR(VLOOKUP($FF$3,#NAME?,MATCH($A4,#NAME?,0)+1,0),0)&gt;0,0,1),IF(IFERROR(VLOOKUP($FF$3,#NAME?,MATCH($A4,#NAME?,0)+1,0),0)&gt;0,0,1),IF(IFERROR(MATCH($A4,#NAME?,0),0)&gt;0,1,0))</formula>
    </cfRule>
    <cfRule type="expression" dxfId="71" priority="836">
      <formula>IF(VLOOKUP($FF$3,#NAME?,MATCH($A4,#NAME?,0)+1,0)&gt;0,1,0)</formula>
    </cfRule>
  </conditionalFormatting>
  <conditionalFormatting sqref="FG4:FG1048576">
    <cfRule type="expression" dxfId="70" priority="844">
      <formula>AND(IF(IFERROR(VLOOKUP($FG$3,#NAME?,MATCH($A4,#NAME?,0)+1,0),0)&gt;0,0,1),IF(IFERROR(VLOOKUP($FG$3,#NAME?,MATCH($A4,#NAME?,0)+1,0),0)&gt;0,0,1),IF(IFERROR(VLOOKUP($FG$3,#NAME?,MATCH($A4,#NAME?,0)+1,0),0)&gt;0,0,1),IF(IFERROR(MATCH($A4,#NAME?,0),0)&gt;0,1,0))</formula>
    </cfRule>
    <cfRule type="expression" dxfId="69" priority="841">
      <formula>IF(VLOOKUP($FG$3,#NAME?,MATCH($A4,#NAME?,0)+1,0)&gt;0,1,0)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9">
      <formula>AND(IF(IFERROR(VLOOKUP($FL$3,#NAME?,MATCH($A4,#NAME?,0)+1,0),0)&gt;0,0,1),IF(IFERROR(VLOOKUP($FL$3,#NAME?,MATCH($A4,#NAME?,0)+1,0),0)&gt;0,0,1),IF(IFERROR(VLOOKUP($FL$3,#NAME?,MATCH($A4,#NAME?,0)+1,0),0)&gt;0,0,1),IF(IFERROR(MATCH($A4,#NAME?,0),0)&gt;0,1,0))</formula>
    </cfRule>
    <cfRule type="expression" dxfId="55" priority="866">
      <formula>IF(VLOOKUP($FL$3,#NAME?,MATCH($A4,#NAME?,0)+1,0)&gt;0,1,0)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6">
      <formula>IF(VLOOKUP($FN$3,#NAME?,MATCH($A4,#NAME?,0)+1,0)&gt;0,1,0)</formula>
    </cfRule>
    <cfRule type="expression" dxfId="51"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04">
    <cfRule type="expression" dxfId="48" priority="1031">
      <formula>IF(VLOOKUP($K$3,#NAME?,MATCH($A4,#NAME?,0)+1,0)&gt;0,1,0)</formula>
    </cfRule>
  </conditionalFormatting>
  <conditionalFormatting sqref="FO5:FO204 K5:K1048576">
    <cfRule type="expression" dxfId="47" priority="57">
      <formula>AND(IF(IFERROR(VLOOKUP($K$3,#NAME?,MATCH($A5,#NAME?,0)+1,0),0)&gt;0,0,1),IF(IFERROR(VLOOKUP($K$3,#NAME?,MATCH($A5,#NAME?,0)+1,0),0)&gt;0,0,1),IF(IFERROR(VLOOKUP($K$3,#NAME?,MATCH($A5,#NAME?,0)+1,0),0)&gt;0,0,1),IF(IFERROR(MATCH($A5,#NAME?,0),0)&gt;0,1,0))</formula>
    </cfRule>
    <cfRule type="expression" dxfId="46" priority="54">
      <formula>IF(VLOOKUP($K$3,#NAME?,MATCH($A5,#NAME?,0)+1,0)&gt;0,1,0)</formula>
    </cfRule>
  </conditionalFormatting>
  <conditionalFormatting sqref="FO5:FO204 K4:M204">
    <cfRule type="expression" dxfId="45" priority="1030">
      <formula>IF(LEN(K4)&gt;0,1,0)</formula>
    </cfRule>
  </conditionalFormatting>
  <conditionalFormatting sqref="FO7:FO1048576 FO4">
    <cfRule type="expression" dxfId="44" priority="881">
      <formula>IF(VLOOKUP($FO$3,#NAME?,MATCH($A4,#NAME?,0)+1,0)&gt;0,1,0)</formula>
    </cfRule>
  </conditionalFormatting>
  <conditionalFormatting sqref="FO7:FO1048576">
    <cfRule type="expression" dxfId="43" priority="880">
      <formula>IF(LEN(FO7)&gt;0,1,0)</formula>
    </cfRule>
  </conditionalFormatting>
  <conditionalFormatting sqref="FP4:FP1048576">
    <cfRule type="expression" dxfId="42" priority="889">
      <formula>AND(IF(IFERROR(VLOOKUP($FP$3,#NAME?,MATCH($A4,#NAME?,0)+1,0),0)&gt;0,0,1),IF(IFERROR(VLOOKUP($FP$3,#NAME?,MATCH($A4,#NAME?,0)+1,0),0)&gt;0,0,1),IF(IFERROR(VLOOKUP($FP$3,#NAME?,MATCH($A4,#NAME?,0)+1,0),0)&gt;0,0,1),IF(IFERROR(MATCH($A4,#NAME?,0),0)&gt;0,1,0))</formula>
    </cfRule>
    <cfRule type="expression" dxfId="41" priority="886">
      <formula>IF(VLOOKUP($FP$3,#NAME?,MATCH($A4,#NAME?,0)+1,0)&gt;0,1,0)</formula>
    </cfRule>
  </conditionalFormatting>
  <conditionalFormatting sqref="FP4:GJ1048576">
    <cfRule type="expression" dxfId="40" priority="885">
      <formula>IF(LEN(FP4)&gt;0,1,0)</formula>
    </cfRule>
  </conditionalFormatting>
  <conditionalFormatting sqref="FQ4:FQ1048576">
    <cfRule type="expression" dxfId="39" priority="894">
      <formula>AND(IF(IFERROR(VLOOKUP($FQ$3,#NAME?,MATCH($A4,#NAME?,0)+1,0),0)&gt;0,0,1),IF(IFERROR(VLOOKUP($FQ$3,#NAME?,MATCH($A4,#NAME?,0)+1,0),0)&gt;0,0,1),IF(IFERROR(VLOOKUP($FQ$3,#NAME?,MATCH($A4,#NAME?,0)+1,0),0)&gt;0,0,1),IF(IFERROR(MATCH($A4,#NAME?,0),0)&gt;0,1,0))</formula>
    </cfRule>
    <cfRule type="expression" dxfId="38" priority="891">
      <formula>IF(VLOOKUP($FQ$3,#NAME?,MATCH($A4,#NAME?,0)+1,0)&gt;0,1,0)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4">
      <formula>AND(IF(IFERROR(VLOOKUP($FS$3,#NAME?,MATCH($A4,#NAME?,0)+1,0),0)&gt;0,0,1),IF(IFERROR(VLOOKUP($FS$3,#NAME?,MATCH($A4,#NAME?,0)+1,0),0)&gt;0,0,1),IF(IFERROR(VLOOKUP($FS$3,#NAME?,MATCH($A4,#NAME?,0)+1,0),0)&gt;0,0,1),IF(IFERROR(MATCH($A4,#NAME?,0),0)&gt;0,1,0))</formula>
    </cfRule>
    <cfRule type="expression" dxfId="34" priority="901">
      <formula>IF(VLOOKUP($FS$3,#NAME?,MATCH($A4,#NAME?,0)+1,0)&gt;0,1,0)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1">
      <formula>IF(VLOOKUP($FU$3,#NAME?,MATCH($A4,#NAME?,0)+1,0)&gt;0,1,0)</formula>
    </cfRule>
    <cfRule type="expression" dxfId="3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29" priority="919">
      <formula>AND(IF(IFERROR(VLOOKUP($FV$3,#NAME?,MATCH($A4,#NAME?,0)+1,0),0)&gt;0,0,1),IF(IFERROR(VLOOKUP($FV$3,#NAME?,MATCH($A4,#NAME?,0)+1,0),0)&gt;0,0,1),IF(IFERROR(VLOOKUP($FV$3,#NAME?,MATCH($A4,#NAME?,0)+1,0),0)&gt;0,0,1),IF(IFERROR(MATCH($A4,#NAME?,0),0)&gt;0,1,0))</formula>
    </cfRule>
    <cfRule type="expression" dxfId="28" priority="916">
      <formula>IF(VLOOKUP($FV$3,#NAME?,MATCH($A4,#NAME?,0)+1,0)&gt;0,1,0)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1">
      <formula>IF(VLOOKUP($GA$3,#NAME?,MATCH($A4,#NAME?,0)+1,0)&gt;0,1,0)</formula>
    </cfRule>
    <cfRule type="expression" dxfId="18"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6">
      <formula>IF(VLOOKUP($GF$3,#NAME?,MATCH($A4,#NAME?,0)+1,0)&gt;0,1,0)</formula>
    </cfRule>
    <cfRule type="expression" dxfId="8"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7" priority="974">
      <formula>AND(IF(IFERROR(VLOOKUP($GG$3,#NAME?,MATCH($A4,#NAME?,0)+1,0),0)&gt;0,0,1),IF(IFERROR(VLOOKUP($GG$3,#NAME?,MATCH($A4,#NAME?,0)+1,0),0)&gt;0,0,1),IF(IFERROR(VLOOKUP($GG$3,#NAME?,MATCH($A4,#NAME?,0)+1,0),0)&gt;0,0,1),IF(IFERROR(MATCH($A4,#NAME?,0),0)&gt;0,1,0))</formula>
    </cfRule>
    <cfRule type="expression" dxfId="6" priority="971">
      <formula>IF(VLOOKUP($GG$3,#NAME?,MATCH($A4,#NAME?,0)+1,0)&gt;0,1,0)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4">
      <formula>AND(IF(IFERROR(VLOOKUP($GI$3,#NAME?,MATCH($A4,#NAME?,0)+1,0),0)&gt;0,0,1),IF(IFERROR(VLOOKUP($GI$3,#NAME?,MATCH($A4,#NAME?,0)+1,0),0)&gt;0,0,1),IF(IFERROR(VLOOKUP($GI$3,#NAME?,MATCH($A4,#NAME?,0)+1,0),0)&gt;0,0,1),IF(IFERROR(MATCH($A4,#NAME?,0),0)&gt;0,1,0))</formula>
    </cfRule>
    <cfRule type="expression" dxfId="2" priority="981">
      <formula>IF(VLOOKUP($GI$3,#NAME?,MATCH($A4,#NAME?,0)+1,0)&gt;0,1,0)</formula>
    </cfRule>
  </conditionalFormatting>
  <conditionalFormatting sqref="GJ4:GJ1048576">
    <cfRule type="expression" dxfId="1" priority="989">
      <formula>AND(IF(IFERROR(VLOOKUP($GJ$3,#NAME?,MATCH($A4,#NAME?,0)+1,0),0)&gt;0,0,1),IF(IFERROR(VLOOKUP($GJ$3,#NAME?,MATCH($A4,#NAME?,0)+1,0),0)&gt;0,0,1),IF(IFERROR(VLOOKUP($GJ$3,#NAME?,MATCH($A4,#NAME?,0)+1,0),0)&gt;0,0,1),IF(IFERROR(MATCH($A4,#NAME?,0),0)&gt;0,1,0))</formula>
    </cfRule>
    <cfRule type="expression" dxfId="0"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zoomScaleNormal="100" workbookViewId="0">
      <selection activeCell="E24" sqref="E24"/>
    </sheetView>
  </sheetViews>
  <sheetFormatPr baseColWidth="10" defaultColWidth="12.33203125" defaultRowHeight="13" x14ac:dyDescent="0.15"/>
  <cols>
    <col min="1" max="1" width="18.83203125" customWidth="1"/>
    <col min="2" max="2" width="70.5" style="38"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39" t="s">
        <v>351</v>
      </c>
      <c r="B1" s="40"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Dell  </v>
      </c>
      <c r="F1" s="60" t="s">
        <v>352</v>
      </c>
      <c r="G1" s="60"/>
      <c r="H1" s="60"/>
      <c r="I1" s="1"/>
      <c r="J1" s="1"/>
    </row>
    <row r="2" spans="1:23" ht="14" x14ac:dyDescent="0.15">
      <c r="A2" s="39" t="s">
        <v>353</v>
      </c>
      <c r="B2" s="40"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Dell  </v>
      </c>
    </row>
    <row r="3" spans="1:23" x14ac:dyDescent="0.15">
      <c r="A3" s="39" t="s">
        <v>354</v>
      </c>
      <c r="B3" s="41" t="s">
        <v>355</v>
      </c>
      <c r="C3" s="39" t="s">
        <v>356</v>
      </c>
      <c r="D3" s="39" t="s">
        <v>357</v>
      </c>
      <c r="E3" s="39" t="s">
        <v>358</v>
      </c>
      <c r="F3" s="39" t="s">
        <v>359</v>
      </c>
      <c r="G3" s="39" t="s">
        <v>360</v>
      </c>
      <c r="H3" s="39" t="s">
        <v>361</v>
      </c>
      <c r="I3" s="39" t="s">
        <v>362</v>
      </c>
      <c r="J3" s="39" t="s">
        <v>363</v>
      </c>
      <c r="K3" s="39" t="s">
        <v>364</v>
      </c>
      <c r="L3" s="39" t="s">
        <v>365</v>
      </c>
      <c r="M3" s="39" t="s">
        <v>366</v>
      </c>
      <c r="N3" s="39" t="s">
        <v>367</v>
      </c>
      <c r="O3" s="39" t="s">
        <v>368</v>
      </c>
      <c r="P3" s="39" t="s">
        <v>369</v>
      </c>
      <c r="W3" t="s">
        <v>370</v>
      </c>
    </row>
    <row r="4" spans="1:23" ht="28" x14ac:dyDescent="0.15">
      <c r="A4" s="39" t="s">
        <v>371</v>
      </c>
      <c r="B4" s="42">
        <v>29.99</v>
      </c>
      <c r="C4" s="43"/>
      <c r="D4" s="43"/>
      <c r="E4" s="43"/>
      <c r="F4" s="38"/>
      <c r="G4" s="38"/>
      <c r="H4" s="44" t="s">
        <v>372</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German</v>
      </c>
      <c r="J4" s="45" t="b">
        <f>TRUE()</f>
        <v>1</v>
      </c>
      <c r="K4" s="46" t="b">
        <f>TRUE()</f>
        <v>1</v>
      </c>
      <c r="L4" s="47" t="s">
        <v>373</v>
      </c>
      <c r="M4" s="48" t="b">
        <f>TRUE()</f>
        <v>1</v>
      </c>
      <c r="N4" s="49" t="str">
        <f t="shared" ref="N4:N35" si="0">IF(ISBLANK(L4),"",IF(M4, "https://raw.githubusercontent.com/PatrickVibild/TellusAmazonPictures/master/pictures/"&amp;L4&amp;"/1.jpg","https://download.lenovo.com/Images/Parts/"&amp;L4&amp;"/"&amp;L4&amp;"_A.jpg"))</f>
        <v>https://raw.githubusercontent.com/PatrickVibild/TellusAmazonPictures/master/pictures/DELL/E6400/BL/DE/1.jpg</v>
      </c>
      <c r="O4" s="49" t="str">
        <f t="shared" ref="O4:O35" si="1">IF(ISBLANK(L4),"",IF(M4, "https://raw.githubusercontent.com/PatrickVibild/TellusAmazonPictures/master/pictures/"&amp;L4&amp;"/2.jpg","https://download.lenovo.com/Images/Parts/"&amp;L4&amp;"/"&amp;L4&amp;"_B.jpg"))</f>
        <v>https://raw.githubusercontent.com/PatrickVibild/TellusAmazonPictures/master/pictures/DELL/E6400/BL/DE/2.jpg</v>
      </c>
      <c r="P4" s="50" t="str">
        <f t="shared" ref="P4:P35" si="2">IF(ISBLANK(L4),"",IF(M4, "https://raw.githubusercontent.com/PatrickVibild/TellusAmazonPictures/master/pictures/"&amp;L4&amp;"/3.jpg","https://download.lenovo.com/Images/Parts/"&amp;L4&amp;"/"&amp;L4&amp;"_details.jpg"))</f>
        <v>https://raw.githubusercontent.com/PatrickVibild/TellusAmazonPictures/master/pictures/DELL/E6400/BL/DE/3.jpg</v>
      </c>
      <c r="Q4" t="str">
        <f t="shared" ref="Q4:Q35" si="3">IF(ISBLANK(L4),"",IF(M4, "https://raw.githubusercontent.com/PatrickVibild/TellusAmazonPictures/master/pictures/"&amp;L4&amp;"/4.jpg", ""))</f>
        <v>https://raw.githubusercontent.com/PatrickVibild/TellusAmazonPictures/master/pictures/DELL/E6400/BL/DE/4.jpg</v>
      </c>
      <c r="R4" t="str">
        <f t="shared" ref="R4:R35" si="4">IF(ISBLANK(L4),"",IF(M4, "https://raw.githubusercontent.com/PatrickVibild/TellusAmazonPictures/master/pictures/"&amp;L4&amp;"/5.jpg", ""))</f>
        <v>https://raw.githubusercontent.com/PatrickVibild/TellusAmazonPictures/master/pictures/DELL/E6400/BL/DE/5.jpg</v>
      </c>
      <c r="S4" t="str">
        <f t="shared" ref="S4:S35" si="5">IF(ISBLANK(L4),"",IF(M4, "https://raw.githubusercontent.com/PatrickVibild/TellusAmazonPictures/master/pictures/"&amp;L4&amp;"/6.jpg", ""))</f>
        <v>https://raw.githubusercontent.com/PatrickVibild/TellusAmazonPictures/master/pictures/DELL/E6400/BL/DE/6.jpg</v>
      </c>
      <c r="T4" t="str">
        <f t="shared" ref="T4:T35" si="6">IF(ISBLANK(L4),"",IF(M4, "https://raw.githubusercontent.com/PatrickVibild/TellusAmazonPictures/master/pictures/"&amp;L4&amp;"/7.jpg", ""))</f>
        <v>https://raw.githubusercontent.com/PatrickVibild/TellusAmazonPictures/master/pictures/DELL/E6400/BL/DE/7.jpg</v>
      </c>
      <c r="U4" t="str">
        <f t="shared" ref="U4:U35" si="7">IF(ISBLANK(L4),"",IF(M4, "https://raw.githubusercontent.com/PatrickVibild/TellusAmazonPictures/master/pictures/"&amp;L4&amp;"/8.jpg",""))</f>
        <v>https://raw.githubusercontent.com/PatrickVibild/TellusAmazonPictures/master/pictures/DELL/E6400/BL/DE/8.jpg</v>
      </c>
      <c r="V4" t="str">
        <f t="shared" ref="V4:V35" si="8">IF(ISBLANK(L4),"",IF(M4, "https://raw.githubusercontent.com/PatrickVibild/TellusAmazonPictures/master/pictures/"&amp;L4&amp;"/9.jpg", ""))</f>
        <v>https://raw.githubusercontent.com/PatrickVibild/TellusAmazonPictures/master/pictures/DELL/E6400/BL/DE/9.jpg</v>
      </c>
      <c r="W4" s="44">
        <f>MATCH(H4,options!$D$1:$D$20,0)</f>
        <v>1</v>
      </c>
    </row>
    <row r="5" spans="1:23" ht="28" x14ac:dyDescent="0.15">
      <c r="A5" s="39" t="s">
        <v>374</v>
      </c>
      <c r="B5" s="42">
        <v>27.99</v>
      </c>
      <c r="C5" s="43"/>
      <c r="D5" s="43"/>
      <c r="E5" s="43"/>
      <c r="F5" s="38"/>
      <c r="G5" s="38"/>
      <c r="H5" s="44" t="s">
        <v>375</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French</v>
      </c>
      <c r="J5" s="45" t="b">
        <f>TRUE()</f>
        <v>1</v>
      </c>
      <c r="K5" s="46" t="b">
        <f>TRUE()</f>
        <v>1</v>
      </c>
      <c r="L5" s="38" t="s">
        <v>376</v>
      </c>
      <c r="M5" s="48" t="b">
        <f>TRUE()</f>
        <v>1</v>
      </c>
      <c r="N5" s="49" t="str">
        <f t="shared" si="0"/>
        <v>https://raw.githubusercontent.com/PatrickVibild/TellusAmazonPictures/master/pictures/DELL/E6400/BL/FR/1.jpg</v>
      </c>
      <c r="O5" s="49" t="str">
        <f t="shared" si="1"/>
        <v>https://raw.githubusercontent.com/PatrickVibild/TellusAmazonPictures/master/pictures/DELL/E6400/BL/FR/2.jpg</v>
      </c>
      <c r="P5" s="50" t="str">
        <f t="shared" si="2"/>
        <v>https://raw.githubusercontent.com/PatrickVibild/TellusAmazonPictures/master/pictures/DELL/E6400/BL/FR/3.jpg</v>
      </c>
      <c r="Q5" t="str">
        <f t="shared" si="3"/>
        <v>https://raw.githubusercontent.com/PatrickVibild/TellusAmazonPictures/master/pictures/DELL/E6400/BL/FR/4.jpg</v>
      </c>
      <c r="R5" t="str">
        <f t="shared" si="4"/>
        <v>https://raw.githubusercontent.com/PatrickVibild/TellusAmazonPictures/master/pictures/DELL/E6400/BL/FR/5.jpg</v>
      </c>
      <c r="S5" t="str">
        <f t="shared" si="5"/>
        <v>https://raw.githubusercontent.com/PatrickVibild/TellusAmazonPictures/master/pictures/DELL/E6400/BL/FR/6.jpg</v>
      </c>
      <c r="T5" t="str">
        <f t="shared" si="6"/>
        <v>https://raw.githubusercontent.com/PatrickVibild/TellusAmazonPictures/master/pictures/DELL/E6400/BL/FR/7.jpg</v>
      </c>
      <c r="U5" t="str">
        <f t="shared" si="7"/>
        <v>https://raw.githubusercontent.com/PatrickVibild/TellusAmazonPictures/master/pictures/DELL/E6400/BL/FR/8.jpg</v>
      </c>
      <c r="V5" t="str">
        <f t="shared" si="8"/>
        <v>https://raw.githubusercontent.com/PatrickVibild/TellusAmazonPictures/master/pictures/DELL/E6400/BL/FR/9.jpg</v>
      </c>
      <c r="W5" s="44">
        <f>MATCH(H5,options!$D$1:$D$20,0)</f>
        <v>2</v>
      </c>
    </row>
    <row r="6" spans="1:23" ht="28" x14ac:dyDescent="0.15">
      <c r="A6" s="39" t="s">
        <v>377</v>
      </c>
      <c r="B6" s="51" t="s">
        <v>378</v>
      </c>
      <c r="C6" s="43"/>
      <c r="D6" s="43"/>
      <c r="E6" s="43"/>
      <c r="F6" s="38"/>
      <c r="G6" s="38"/>
      <c r="H6" s="44" t="s">
        <v>379</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v>
      </c>
      <c r="J6" s="45" t="b">
        <f>TRUE()</f>
        <v>1</v>
      </c>
      <c r="K6" s="46" t="b">
        <f>TRUE()</f>
        <v>1</v>
      </c>
      <c r="L6" s="38" t="s">
        <v>380</v>
      </c>
      <c r="M6" s="48" t="b">
        <f>TRUE()</f>
        <v>1</v>
      </c>
      <c r="N6" s="49" t="str">
        <f t="shared" si="0"/>
        <v>https://raw.githubusercontent.com/PatrickVibild/TellusAmazonPictures/master/pictures/DELL/E6400/BL/IT/1.jpg</v>
      </c>
      <c r="O6" s="49" t="str">
        <f t="shared" si="1"/>
        <v>https://raw.githubusercontent.com/PatrickVibild/TellusAmazonPictures/master/pictures/DELL/E6400/BL/IT/2.jpg</v>
      </c>
      <c r="P6" s="50" t="str">
        <f t="shared" si="2"/>
        <v>https://raw.githubusercontent.com/PatrickVibild/TellusAmazonPictures/master/pictures/DELL/E6400/BL/IT/3.jpg</v>
      </c>
      <c r="Q6" t="str">
        <f t="shared" si="3"/>
        <v>https://raw.githubusercontent.com/PatrickVibild/TellusAmazonPictures/master/pictures/DELL/E6400/BL/IT/4.jpg</v>
      </c>
      <c r="R6" t="str">
        <f t="shared" si="4"/>
        <v>https://raw.githubusercontent.com/PatrickVibild/TellusAmazonPictures/master/pictures/DELL/E6400/BL/IT/5.jpg</v>
      </c>
      <c r="S6" t="str">
        <f t="shared" si="5"/>
        <v>https://raw.githubusercontent.com/PatrickVibild/TellusAmazonPictures/master/pictures/DELL/E6400/BL/IT/6.jpg</v>
      </c>
      <c r="T6" t="str">
        <f t="shared" si="6"/>
        <v>https://raw.githubusercontent.com/PatrickVibild/TellusAmazonPictures/master/pictures/DELL/E6400/BL/IT/7.jpg</v>
      </c>
      <c r="U6" t="str">
        <f t="shared" si="7"/>
        <v>https://raw.githubusercontent.com/PatrickVibild/TellusAmazonPictures/master/pictures/DELL/E6400/BL/IT/8.jpg</v>
      </c>
      <c r="V6" t="str">
        <f t="shared" si="8"/>
        <v>https://raw.githubusercontent.com/PatrickVibild/TellusAmazonPictures/master/pictures/DELL/E6400/BL/IT/9.jpg</v>
      </c>
      <c r="W6" s="44">
        <f>MATCH(H6,options!$D$1:$D$20,0)</f>
        <v>3</v>
      </c>
    </row>
    <row r="7" spans="1:23" ht="28" x14ac:dyDescent="0.15">
      <c r="A7" s="39" t="s">
        <v>381</v>
      </c>
      <c r="B7" s="52" t="str">
        <f>IF(B6=options!C1,"41","41")</f>
        <v>41</v>
      </c>
      <c r="C7" s="43"/>
      <c r="D7" s="43"/>
      <c r="E7" s="43"/>
      <c r="F7" s="38"/>
      <c r="G7" s="38"/>
      <c r="H7" s="44" t="s">
        <v>382</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Spanish</v>
      </c>
      <c r="J7" s="45" t="b">
        <f>TRUE()</f>
        <v>1</v>
      </c>
      <c r="K7" s="46" t="b">
        <f>TRUE()</f>
        <v>1</v>
      </c>
      <c r="L7" s="38" t="s">
        <v>383</v>
      </c>
      <c r="M7" s="48" t="b">
        <f>TRUE()</f>
        <v>1</v>
      </c>
      <c r="N7" s="49" t="str">
        <f t="shared" si="0"/>
        <v>https://raw.githubusercontent.com/PatrickVibild/TellusAmazonPictures/master/pictures/DELL/E6400/BL/ES/1.jpg</v>
      </c>
      <c r="O7" s="49" t="str">
        <f t="shared" si="1"/>
        <v>https://raw.githubusercontent.com/PatrickVibild/TellusAmazonPictures/master/pictures/DELL/E6400/BL/ES/2.jpg</v>
      </c>
      <c r="P7" s="50" t="str">
        <f t="shared" si="2"/>
        <v>https://raw.githubusercontent.com/PatrickVibild/TellusAmazonPictures/master/pictures/DELL/E6400/BL/ES/3.jpg</v>
      </c>
      <c r="Q7" t="str">
        <f t="shared" si="3"/>
        <v>https://raw.githubusercontent.com/PatrickVibild/TellusAmazonPictures/master/pictures/DELL/E6400/BL/ES/4.jpg</v>
      </c>
      <c r="R7" t="str">
        <f t="shared" si="4"/>
        <v>https://raw.githubusercontent.com/PatrickVibild/TellusAmazonPictures/master/pictures/DELL/E6400/BL/ES/5.jpg</v>
      </c>
      <c r="S7" t="str">
        <f t="shared" si="5"/>
        <v>https://raw.githubusercontent.com/PatrickVibild/TellusAmazonPictures/master/pictures/DELL/E6400/BL/ES/6.jpg</v>
      </c>
      <c r="T7" t="str">
        <f t="shared" si="6"/>
        <v>https://raw.githubusercontent.com/PatrickVibild/TellusAmazonPictures/master/pictures/DELL/E6400/BL/ES/7.jpg</v>
      </c>
      <c r="U7" t="str">
        <f t="shared" si="7"/>
        <v>https://raw.githubusercontent.com/PatrickVibild/TellusAmazonPictures/master/pictures/DELL/E6400/BL/ES/8.jpg</v>
      </c>
      <c r="V7" t="str">
        <f t="shared" si="8"/>
        <v>https://raw.githubusercontent.com/PatrickVibild/TellusAmazonPictures/master/pictures/DELL/E6400/BL/ES/9.jpg</v>
      </c>
      <c r="W7" s="44">
        <f>MATCH(H7,options!$D$1:$D$20,0)</f>
        <v>4</v>
      </c>
    </row>
    <row r="8" spans="1:23" ht="28" x14ac:dyDescent="0.15">
      <c r="A8" s="39" t="s">
        <v>384</v>
      </c>
      <c r="B8" s="52" t="str">
        <f>IF(B6=options!C1,"17","17")</f>
        <v>17</v>
      </c>
      <c r="C8" s="43"/>
      <c r="D8" s="43"/>
      <c r="E8" s="43"/>
      <c r="F8" s="38"/>
      <c r="G8" s="38"/>
      <c r="H8" s="44" t="s">
        <v>385</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45" t="b">
        <f>TRUE()</f>
        <v>1</v>
      </c>
      <c r="K8" s="46" t="b">
        <f>TRUE()</f>
        <v>1</v>
      </c>
      <c r="L8" s="38" t="s">
        <v>386</v>
      </c>
      <c r="M8" s="48" t="b">
        <f>TRUE()</f>
        <v>1</v>
      </c>
      <c r="N8" s="49" t="str">
        <f t="shared" si="0"/>
        <v>https://raw.githubusercontent.com/PatrickVibild/TellusAmazonPictures/master/pictures/DELL/E6400/BL/UK/1.jpg</v>
      </c>
      <c r="O8" s="49" t="str">
        <f t="shared" si="1"/>
        <v>https://raw.githubusercontent.com/PatrickVibild/TellusAmazonPictures/master/pictures/DELL/E6400/BL/UK/2.jpg</v>
      </c>
      <c r="P8" s="50" t="str">
        <f t="shared" si="2"/>
        <v>https://raw.githubusercontent.com/PatrickVibild/TellusAmazonPictures/master/pictures/DELL/E6400/BL/UK/3.jpg</v>
      </c>
      <c r="Q8" t="str">
        <f t="shared" si="3"/>
        <v>https://raw.githubusercontent.com/PatrickVibild/TellusAmazonPictures/master/pictures/DELL/E6400/BL/UK/4.jpg</v>
      </c>
      <c r="R8" t="str">
        <f t="shared" si="4"/>
        <v>https://raw.githubusercontent.com/PatrickVibild/TellusAmazonPictures/master/pictures/DELL/E6400/BL/UK/5.jpg</v>
      </c>
      <c r="S8" t="str">
        <f t="shared" si="5"/>
        <v>https://raw.githubusercontent.com/PatrickVibild/TellusAmazonPictures/master/pictures/DELL/E6400/BL/UK/6.jpg</v>
      </c>
      <c r="T8" t="str">
        <f t="shared" si="6"/>
        <v>https://raw.githubusercontent.com/PatrickVibild/TellusAmazonPictures/master/pictures/DELL/E6400/BL/UK/7.jpg</v>
      </c>
      <c r="U8" t="str">
        <f t="shared" si="7"/>
        <v>https://raw.githubusercontent.com/PatrickVibild/TellusAmazonPictures/master/pictures/DELL/E6400/BL/UK/8.jpg</v>
      </c>
      <c r="V8" t="str">
        <f t="shared" si="8"/>
        <v>https://raw.githubusercontent.com/PatrickVibild/TellusAmazonPictures/master/pictures/DELL/E6400/BL/UK/9.jpg</v>
      </c>
      <c r="W8" s="44">
        <f>MATCH(H8,options!$D$1:$D$20,0)</f>
        <v>5</v>
      </c>
    </row>
    <row r="9" spans="1:23" ht="28" x14ac:dyDescent="0.15">
      <c r="A9" s="39" t="s">
        <v>387</v>
      </c>
      <c r="B9" s="52" t="str">
        <f>IF(B6=options!C1,"5","5")</f>
        <v>5</v>
      </c>
      <c r="C9" s="43"/>
      <c r="D9" s="43"/>
      <c r="E9" s="43"/>
      <c r="F9" s="38"/>
      <c r="G9" s="38"/>
      <c r="H9" s="44" t="s">
        <v>388</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Scandinavian – Nordic</v>
      </c>
      <c r="J9" s="45" t="b">
        <f>TRUE()</f>
        <v>1</v>
      </c>
      <c r="K9" s="46" t="b">
        <f>TRUE()</f>
        <v>1</v>
      </c>
      <c r="L9" s="38" t="s">
        <v>389</v>
      </c>
      <c r="M9" s="48" t="b">
        <f>TRUE()</f>
        <v>1</v>
      </c>
      <c r="N9" s="49" t="str">
        <f t="shared" si="0"/>
        <v>https://raw.githubusercontent.com/PatrickVibild/TellusAmazonPictures/master/pictures/DELL/E6400/BL/NOR/1.jpg</v>
      </c>
      <c r="O9" s="49" t="str">
        <f t="shared" si="1"/>
        <v>https://raw.githubusercontent.com/PatrickVibild/TellusAmazonPictures/master/pictures/DELL/E6400/BL/NOR/2.jpg</v>
      </c>
      <c r="P9" s="50" t="str">
        <f t="shared" si="2"/>
        <v>https://raw.githubusercontent.com/PatrickVibild/TellusAmazonPictures/master/pictures/DELL/E6400/BL/NOR/3.jpg</v>
      </c>
      <c r="Q9" t="str">
        <f t="shared" si="3"/>
        <v>https://raw.githubusercontent.com/PatrickVibild/TellusAmazonPictures/master/pictures/DELL/E6400/BL/NOR/4.jpg</v>
      </c>
      <c r="R9" t="str">
        <f t="shared" si="4"/>
        <v>https://raw.githubusercontent.com/PatrickVibild/TellusAmazonPictures/master/pictures/DELL/E6400/BL/NOR/5.jpg</v>
      </c>
      <c r="S9" t="str">
        <f t="shared" si="5"/>
        <v>https://raw.githubusercontent.com/PatrickVibild/TellusAmazonPictures/master/pictures/DELL/E6400/BL/NOR/6.jpg</v>
      </c>
      <c r="T9" t="str">
        <f t="shared" si="6"/>
        <v>https://raw.githubusercontent.com/PatrickVibild/TellusAmazonPictures/master/pictures/DELL/E6400/BL/NOR/7.jpg</v>
      </c>
      <c r="U9" t="str">
        <f t="shared" si="7"/>
        <v>https://raw.githubusercontent.com/PatrickVibild/TellusAmazonPictures/master/pictures/DELL/E6400/BL/NOR/8.jpg</v>
      </c>
      <c r="V9" t="str">
        <f t="shared" si="8"/>
        <v>https://raw.githubusercontent.com/PatrickVibild/TellusAmazonPictures/master/pictures/DELL/E6400/BL/NOR/9.jpg</v>
      </c>
      <c r="W9" s="44">
        <f>MATCH(H9,options!$D$1:$D$20,0)</f>
        <v>6</v>
      </c>
    </row>
    <row r="10" spans="1:23" ht="28" x14ac:dyDescent="0.15">
      <c r="A10" t="s">
        <v>390</v>
      </c>
      <c r="B10" s="47"/>
      <c r="C10" s="43"/>
      <c r="D10" s="43"/>
      <c r="E10" s="43"/>
      <c r="F10" s="38"/>
      <c r="G10" s="38"/>
      <c r="H10" s="44" t="s">
        <v>391</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Belgian</v>
      </c>
      <c r="J10" s="45" t="b">
        <f>TRUE()</f>
        <v>1</v>
      </c>
      <c r="K10" s="46" t="b">
        <f>TRUE()</f>
        <v>1</v>
      </c>
      <c r="L10" s="38" t="s">
        <v>392</v>
      </c>
      <c r="M10" s="48" t="b">
        <f>TRUE()</f>
        <v>1</v>
      </c>
      <c r="N10" s="49" t="str">
        <f t="shared" si="0"/>
        <v>https://raw.githubusercontent.com/PatrickVibild/TellusAmazonPictures/master/pictures/DELL/E6400/BL/BE/1.jpg</v>
      </c>
      <c r="O10" s="49" t="str">
        <f t="shared" si="1"/>
        <v>https://raw.githubusercontent.com/PatrickVibild/TellusAmazonPictures/master/pictures/DELL/E6400/BL/BE/2.jpg</v>
      </c>
      <c r="P10" s="50" t="str">
        <f t="shared" si="2"/>
        <v>https://raw.githubusercontent.com/PatrickVibild/TellusAmazonPictures/master/pictures/DELL/E6400/BL/BE/3.jpg</v>
      </c>
      <c r="Q10" t="str">
        <f t="shared" si="3"/>
        <v>https://raw.githubusercontent.com/PatrickVibild/TellusAmazonPictures/master/pictures/DELL/E6400/BL/BE/4.jpg</v>
      </c>
      <c r="R10" t="str">
        <f t="shared" si="4"/>
        <v>https://raw.githubusercontent.com/PatrickVibild/TellusAmazonPictures/master/pictures/DELL/E6400/BL/BE/5.jpg</v>
      </c>
      <c r="S10" t="str">
        <f t="shared" si="5"/>
        <v>https://raw.githubusercontent.com/PatrickVibild/TellusAmazonPictures/master/pictures/DELL/E6400/BL/BE/6.jpg</v>
      </c>
      <c r="T10" t="str">
        <f t="shared" si="6"/>
        <v>https://raw.githubusercontent.com/PatrickVibild/TellusAmazonPictures/master/pictures/DELL/E6400/BL/BE/7.jpg</v>
      </c>
      <c r="U10" t="str">
        <f t="shared" si="7"/>
        <v>https://raw.githubusercontent.com/PatrickVibild/TellusAmazonPictures/master/pictures/DELL/E6400/BL/BE/8.jpg</v>
      </c>
      <c r="V10" t="str">
        <f t="shared" si="8"/>
        <v>https://raw.githubusercontent.com/PatrickVibild/TellusAmazonPictures/master/pictures/DELL/E6400/BL/BE/9.jpg</v>
      </c>
      <c r="W10" s="44">
        <f>MATCH(H10,options!$D$1:$D$20,0)</f>
        <v>7</v>
      </c>
    </row>
    <row r="11" spans="1:23" ht="28" x14ac:dyDescent="0.15">
      <c r="A11" s="39" t="s">
        <v>393</v>
      </c>
      <c r="B11" s="42">
        <v>100</v>
      </c>
      <c r="C11" s="43"/>
      <c r="D11" s="43"/>
      <c r="E11" s="43"/>
      <c r="F11" s="38"/>
      <c r="G11" s="38"/>
      <c r="H11" s="44" t="s">
        <v>394</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Swiss</v>
      </c>
      <c r="J11" s="45" t="b">
        <f>TRUE()</f>
        <v>1</v>
      </c>
      <c r="K11" s="46" t="b">
        <f>TRUE()</f>
        <v>1</v>
      </c>
      <c r="L11" s="38" t="s">
        <v>395</v>
      </c>
      <c r="M11" s="48" t="b">
        <f>TRUE()</f>
        <v>1</v>
      </c>
      <c r="N11" s="53" t="str">
        <f t="shared" si="0"/>
        <v>https://raw.githubusercontent.com/PatrickVibild/TellusAmazonPictures/master/pictures/DELL/E6400/BL/CH/1.jpg</v>
      </c>
      <c r="O11" s="49" t="str">
        <f t="shared" si="1"/>
        <v>https://raw.githubusercontent.com/PatrickVibild/TellusAmazonPictures/master/pictures/DELL/E6400/BL/CH/2.jpg</v>
      </c>
      <c r="P11" s="50" t="str">
        <f t="shared" si="2"/>
        <v>https://raw.githubusercontent.com/PatrickVibild/TellusAmazonPictures/master/pictures/DELL/E6400/BL/CH/3.jpg</v>
      </c>
      <c r="Q11" t="str">
        <f t="shared" si="3"/>
        <v>https://raw.githubusercontent.com/PatrickVibild/TellusAmazonPictures/master/pictures/DELL/E6400/BL/CH/4.jpg</v>
      </c>
      <c r="R11" t="str">
        <f t="shared" si="4"/>
        <v>https://raw.githubusercontent.com/PatrickVibild/TellusAmazonPictures/master/pictures/DELL/E6400/BL/CH/5.jpg</v>
      </c>
      <c r="S11" t="str">
        <f t="shared" si="5"/>
        <v>https://raw.githubusercontent.com/PatrickVibild/TellusAmazonPictures/master/pictures/DELL/E6400/BL/CH/6.jpg</v>
      </c>
      <c r="T11" t="str">
        <f t="shared" si="6"/>
        <v>https://raw.githubusercontent.com/PatrickVibild/TellusAmazonPictures/master/pictures/DELL/E6400/BL/CH/7.jpg</v>
      </c>
      <c r="U11" t="str">
        <f t="shared" si="7"/>
        <v>https://raw.githubusercontent.com/PatrickVibild/TellusAmazonPictures/master/pictures/DELL/E6400/BL/CH/8.jpg</v>
      </c>
      <c r="V11" t="str">
        <f t="shared" si="8"/>
        <v>https://raw.githubusercontent.com/PatrickVibild/TellusAmazonPictures/master/pictures/DELL/E6400/BL/CH/9.jpg</v>
      </c>
      <c r="W11" s="44">
        <f>MATCH(H11,options!$D$1:$D$20,0)</f>
        <v>15</v>
      </c>
    </row>
    <row r="12" spans="1:23" ht="28" x14ac:dyDescent="0.15">
      <c r="B12" s="47"/>
      <c r="C12" s="43"/>
      <c r="D12" s="43"/>
      <c r="E12" s="43"/>
      <c r="F12" s="38"/>
      <c r="G12" s="38"/>
      <c r="H12" s="44" t="s">
        <v>396</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45" t="b">
        <f>TRUE()</f>
        <v>1</v>
      </c>
      <c r="K12" s="46" t="b">
        <f>TRUE()</f>
        <v>1</v>
      </c>
      <c r="L12" s="38" t="s">
        <v>397</v>
      </c>
      <c r="M12" s="48" t="b">
        <f>TRUE()</f>
        <v>1</v>
      </c>
      <c r="N12" s="49" t="str">
        <f t="shared" si="0"/>
        <v>https://raw.githubusercontent.com/PatrickVibild/TellusAmazonPictures/master/pictures/DELL/E6400/BL/USI/1.jpg</v>
      </c>
      <c r="O12" s="49" t="str">
        <f t="shared" si="1"/>
        <v>https://raw.githubusercontent.com/PatrickVibild/TellusAmazonPictures/master/pictures/DELL/E6400/BL/USI/2.jpg</v>
      </c>
      <c r="P12" s="50" t="str">
        <f t="shared" si="2"/>
        <v>https://raw.githubusercontent.com/PatrickVibild/TellusAmazonPictures/master/pictures/DELL/E6400/BL/USI/3.jpg</v>
      </c>
      <c r="Q12" t="str">
        <f t="shared" si="3"/>
        <v>https://raw.githubusercontent.com/PatrickVibild/TellusAmazonPictures/master/pictures/DELL/E6400/BL/USI/4.jpg</v>
      </c>
      <c r="R12" t="str">
        <f t="shared" si="4"/>
        <v>https://raw.githubusercontent.com/PatrickVibild/TellusAmazonPictures/master/pictures/DELL/E6400/BL/USI/5.jpg</v>
      </c>
      <c r="S12" t="str">
        <f t="shared" si="5"/>
        <v>https://raw.githubusercontent.com/PatrickVibild/TellusAmazonPictures/master/pictures/DELL/E6400/BL/USI/6.jpg</v>
      </c>
      <c r="T12" t="str">
        <f t="shared" si="6"/>
        <v>https://raw.githubusercontent.com/PatrickVibild/TellusAmazonPictures/master/pictures/DELL/E6400/BL/USI/7.jpg</v>
      </c>
      <c r="U12" t="str">
        <f t="shared" si="7"/>
        <v>https://raw.githubusercontent.com/PatrickVibild/TellusAmazonPictures/master/pictures/DELL/E6400/BL/USI/8.jpg</v>
      </c>
      <c r="V12" t="str">
        <f t="shared" si="8"/>
        <v>https://raw.githubusercontent.com/PatrickVibild/TellusAmazonPictures/master/pictures/DELL/E6400/BL/USI/9.jpg</v>
      </c>
      <c r="W12" s="44">
        <f>MATCH(H12,options!$D$1:$D$20,0)</f>
        <v>16</v>
      </c>
    </row>
    <row r="13" spans="1:23" ht="28" x14ac:dyDescent="0.15">
      <c r="A13" s="39" t="s">
        <v>398</v>
      </c>
      <c r="B13" s="38" t="s">
        <v>399</v>
      </c>
      <c r="C13" s="43"/>
      <c r="D13" s="43"/>
      <c r="E13" s="43"/>
      <c r="F13" s="38"/>
      <c r="G13" s="38"/>
      <c r="H13" s="44" t="s">
        <v>400</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45" t="b">
        <f>TRUE()</f>
        <v>1</v>
      </c>
      <c r="K13" s="46" t="b">
        <f>TRUE()</f>
        <v>1</v>
      </c>
      <c r="L13" s="38" t="s">
        <v>401</v>
      </c>
      <c r="M13" s="48" t="b">
        <f>TRUE()</f>
        <v>1</v>
      </c>
      <c r="N13" s="49" t="str">
        <f t="shared" si="0"/>
        <v>https://raw.githubusercontent.com/PatrickVibild/TellusAmazonPictures/master/pictures/DELL/E6400/BL/US/1.jpg</v>
      </c>
      <c r="O13" s="49" t="str">
        <f t="shared" si="1"/>
        <v>https://raw.githubusercontent.com/PatrickVibild/TellusAmazonPictures/master/pictures/DELL/E6400/BL/US/2.jpg</v>
      </c>
      <c r="P13" s="50" t="str">
        <f t="shared" si="2"/>
        <v>https://raw.githubusercontent.com/PatrickVibild/TellusAmazonPictures/master/pictures/DELL/E6400/BL/US/3.jpg</v>
      </c>
      <c r="Q13" t="str">
        <f t="shared" si="3"/>
        <v>https://raw.githubusercontent.com/PatrickVibild/TellusAmazonPictures/master/pictures/DELL/E6400/BL/US/4.jpg</v>
      </c>
      <c r="R13" t="str">
        <f t="shared" si="4"/>
        <v>https://raw.githubusercontent.com/PatrickVibild/TellusAmazonPictures/master/pictures/DELL/E6400/BL/US/5.jpg</v>
      </c>
      <c r="S13" t="str">
        <f t="shared" si="5"/>
        <v>https://raw.githubusercontent.com/PatrickVibild/TellusAmazonPictures/master/pictures/DELL/E6400/BL/US/6.jpg</v>
      </c>
      <c r="T13" t="str">
        <f t="shared" si="6"/>
        <v>https://raw.githubusercontent.com/PatrickVibild/TellusAmazonPictures/master/pictures/DELL/E6400/BL/US/7.jpg</v>
      </c>
      <c r="U13" t="str">
        <f t="shared" si="7"/>
        <v>https://raw.githubusercontent.com/PatrickVibild/TellusAmazonPictures/master/pictures/DELL/E6400/BL/US/8.jpg</v>
      </c>
      <c r="V13" t="str">
        <f t="shared" si="8"/>
        <v>https://raw.githubusercontent.com/PatrickVibild/TellusAmazonPictures/master/pictures/DELL/E6400/BL/US/9.jpg</v>
      </c>
      <c r="W13" s="44">
        <f>MATCH(H13,options!$D$1:$D$20,0)</f>
        <v>18</v>
      </c>
    </row>
    <row r="14" spans="1:23" ht="28" x14ac:dyDescent="0.15">
      <c r="A14" s="39" t="s">
        <v>402</v>
      </c>
      <c r="B14" s="38">
        <v>5714401641995</v>
      </c>
      <c r="C14" s="43" t="b">
        <f>FALSE()</f>
        <v>0</v>
      </c>
      <c r="D14" s="43" t="b">
        <f>TRUE()</f>
        <v>1</v>
      </c>
      <c r="E14" s="43"/>
      <c r="F14" s="38">
        <v>5714401640103</v>
      </c>
      <c r="G14" s="38" t="s">
        <v>403</v>
      </c>
      <c r="H14" s="44" t="s">
        <v>372</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German</v>
      </c>
      <c r="J14" s="45" t="b">
        <f>TRUE()</f>
        <v>1</v>
      </c>
      <c r="K14" s="46" t="b">
        <f>FALSE()</f>
        <v>0</v>
      </c>
      <c r="L14" s="38" t="s">
        <v>404</v>
      </c>
      <c r="M14" s="48" t="b">
        <f>TRUE()</f>
        <v>1</v>
      </c>
      <c r="N14" s="49" t="str">
        <f t="shared" si="0"/>
        <v>https://raw.githubusercontent.com/PatrickVibild/TellusAmazonPictures/master/pictures/DELL/E6400/RG/DE/1.jpg</v>
      </c>
      <c r="O14" s="49" t="str">
        <f t="shared" si="1"/>
        <v>https://raw.githubusercontent.com/PatrickVibild/TellusAmazonPictures/master/pictures/DELL/E6400/RG/DE/2.jpg</v>
      </c>
      <c r="P14" s="50" t="str">
        <f t="shared" si="2"/>
        <v>https://raw.githubusercontent.com/PatrickVibild/TellusAmazonPictures/master/pictures/DELL/E6400/RG/DE/3.jpg</v>
      </c>
      <c r="Q14" t="str">
        <f t="shared" si="3"/>
        <v>https://raw.githubusercontent.com/PatrickVibild/TellusAmazonPictures/master/pictures/DELL/E6400/RG/DE/4.jpg</v>
      </c>
      <c r="R14" t="str">
        <f t="shared" si="4"/>
        <v>https://raw.githubusercontent.com/PatrickVibild/TellusAmazonPictures/master/pictures/DELL/E6400/RG/DE/5.jpg</v>
      </c>
      <c r="S14" t="str">
        <f t="shared" si="5"/>
        <v>https://raw.githubusercontent.com/PatrickVibild/TellusAmazonPictures/master/pictures/DELL/E6400/RG/DE/6.jpg</v>
      </c>
      <c r="T14" t="str">
        <f t="shared" si="6"/>
        <v>https://raw.githubusercontent.com/PatrickVibild/TellusAmazonPictures/master/pictures/DELL/E6400/RG/DE/7.jpg</v>
      </c>
      <c r="U14" t="str">
        <f t="shared" si="7"/>
        <v>https://raw.githubusercontent.com/PatrickVibild/TellusAmazonPictures/master/pictures/DELL/E6400/RG/DE/8.jpg</v>
      </c>
      <c r="V14" t="str">
        <f t="shared" si="8"/>
        <v>https://raw.githubusercontent.com/PatrickVibild/TellusAmazonPictures/master/pictures/DELL/E6400/RG/DE/9.jpg</v>
      </c>
      <c r="W14" s="44">
        <f>MATCH(H14,options!$D$1:$D$20,0)</f>
        <v>1</v>
      </c>
    </row>
    <row r="15" spans="1:23" ht="28" x14ac:dyDescent="0.15">
      <c r="B15" s="47"/>
      <c r="C15" s="43" t="b">
        <f>FALSE()</f>
        <v>0</v>
      </c>
      <c r="D15" s="43" t="b">
        <f>TRUE()</f>
        <v>1</v>
      </c>
      <c r="E15" s="43"/>
      <c r="F15" s="38">
        <v>5714401640110</v>
      </c>
      <c r="G15" s="38" t="s">
        <v>405</v>
      </c>
      <c r="H15" s="44" t="s">
        <v>375</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French</v>
      </c>
      <c r="J15" s="45" t="b">
        <f>TRUE()</f>
        <v>1</v>
      </c>
      <c r="K15" s="46" t="b">
        <f>FALSE()</f>
        <v>0</v>
      </c>
      <c r="L15" s="38" t="s">
        <v>404</v>
      </c>
      <c r="M15" s="48" t="b">
        <f>TRUE()</f>
        <v>1</v>
      </c>
      <c r="N15" s="49" t="str">
        <f t="shared" si="0"/>
        <v>https://raw.githubusercontent.com/PatrickVibild/TellusAmazonPictures/master/pictures/DELL/E6400/RG/DE/1.jpg</v>
      </c>
      <c r="O15" s="49" t="str">
        <f t="shared" si="1"/>
        <v>https://raw.githubusercontent.com/PatrickVibild/TellusAmazonPictures/master/pictures/DELL/E6400/RG/DE/2.jpg</v>
      </c>
      <c r="P15" s="50" t="str">
        <f t="shared" si="2"/>
        <v>https://raw.githubusercontent.com/PatrickVibild/TellusAmazonPictures/master/pictures/DELL/E6400/RG/DE/3.jpg</v>
      </c>
      <c r="Q15" t="str">
        <f t="shared" si="3"/>
        <v>https://raw.githubusercontent.com/PatrickVibild/TellusAmazonPictures/master/pictures/DELL/E6400/RG/DE/4.jpg</v>
      </c>
      <c r="R15" t="str">
        <f t="shared" si="4"/>
        <v>https://raw.githubusercontent.com/PatrickVibild/TellusAmazonPictures/master/pictures/DELL/E6400/RG/DE/5.jpg</v>
      </c>
      <c r="S15" t="str">
        <f t="shared" si="5"/>
        <v>https://raw.githubusercontent.com/PatrickVibild/TellusAmazonPictures/master/pictures/DELL/E6400/RG/DE/6.jpg</v>
      </c>
      <c r="T15" t="str">
        <f t="shared" si="6"/>
        <v>https://raw.githubusercontent.com/PatrickVibild/TellusAmazonPictures/master/pictures/DELL/E6400/RG/DE/7.jpg</v>
      </c>
      <c r="U15" t="str">
        <f t="shared" si="7"/>
        <v>https://raw.githubusercontent.com/PatrickVibild/TellusAmazonPictures/master/pictures/DELL/E6400/RG/DE/8.jpg</v>
      </c>
      <c r="V15" t="str">
        <f t="shared" si="8"/>
        <v>https://raw.githubusercontent.com/PatrickVibild/TellusAmazonPictures/master/pictures/DELL/E6400/RG/DE/9.jpg</v>
      </c>
      <c r="W15" s="44">
        <f>MATCH(H15,options!$D$1:$D$20,0)</f>
        <v>2</v>
      </c>
    </row>
    <row r="16" spans="1:23" ht="28" x14ac:dyDescent="0.15">
      <c r="A16" s="39" t="s">
        <v>406</v>
      </c>
      <c r="B16" s="40" t="s">
        <v>407</v>
      </c>
      <c r="C16" s="43" t="b">
        <f>FALSE()</f>
        <v>0</v>
      </c>
      <c r="D16" s="43" t="b">
        <f>TRUE()</f>
        <v>1</v>
      </c>
      <c r="E16" s="43"/>
      <c r="F16" s="38">
        <v>5714401640127</v>
      </c>
      <c r="G16" s="38" t="s">
        <v>408</v>
      </c>
      <c r="H16" s="44" t="s">
        <v>379</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v>
      </c>
      <c r="J16" s="45" t="b">
        <f>TRUE()</f>
        <v>1</v>
      </c>
      <c r="K16" s="46" t="b">
        <f>FALSE()</f>
        <v>0</v>
      </c>
      <c r="L16" s="38" t="s">
        <v>404</v>
      </c>
      <c r="M16" s="48" t="b">
        <f>TRUE()</f>
        <v>1</v>
      </c>
      <c r="N16" s="49" t="str">
        <f t="shared" si="0"/>
        <v>https://raw.githubusercontent.com/PatrickVibild/TellusAmazonPictures/master/pictures/DELL/E6400/RG/DE/1.jpg</v>
      </c>
      <c r="O16" s="49" t="str">
        <f t="shared" si="1"/>
        <v>https://raw.githubusercontent.com/PatrickVibild/TellusAmazonPictures/master/pictures/DELL/E6400/RG/DE/2.jpg</v>
      </c>
      <c r="P16" s="50" t="str">
        <f t="shared" si="2"/>
        <v>https://raw.githubusercontent.com/PatrickVibild/TellusAmazonPictures/master/pictures/DELL/E6400/RG/DE/3.jpg</v>
      </c>
      <c r="Q16" t="str">
        <f t="shared" si="3"/>
        <v>https://raw.githubusercontent.com/PatrickVibild/TellusAmazonPictures/master/pictures/DELL/E6400/RG/DE/4.jpg</v>
      </c>
      <c r="R16" t="str">
        <f t="shared" si="4"/>
        <v>https://raw.githubusercontent.com/PatrickVibild/TellusAmazonPictures/master/pictures/DELL/E6400/RG/DE/5.jpg</v>
      </c>
      <c r="S16" t="str">
        <f t="shared" si="5"/>
        <v>https://raw.githubusercontent.com/PatrickVibild/TellusAmazonPictures/master/pictures/DELL/E6400/RG/DE/6.jpg</v>
      </c>
      <c r="T16" t="str">
        <f t="shared" si="6"/>
        <v>https://raw.githubusercontent.com/PatrickVibild/TellusAmazonPictures/master/pictures/DELL/E6400/RG/DE/7.jpg</v>
      </c>
      <c r="U16" t="str">
        <f t="shared" si="7"/>
        <v>https://raw.githubusercontent.com/PatrickVibild/TellusAmazonPictures/master/pictures/DELL/E6400/RG/DE/8.jpg</v>
      </c>
      <c r="V16" t="str">
        <f t="shared" si="8"/>
        <v>https://raw.githubusercontent.com/PatrickVibild/TellusAmazonPictures/master/pictures/DELL/E6400/RG/DE/9.jpg</v>
      </c>
      <c r="W16" s="44">
        <f>MATCH(H16,options!$D$1:$D$20,0)</f>
        <v>3</v>
      </c>
    </row>
    <row r="17" spans="1:23" ht="28" x14ac:dyDescent="0.15">
      <c r="B17" s="47"/>
      <c r="C17" s="43" t="b">
        <f>FALSE()</f>
        <v>0</v>
      </c>
      <c r="D17" s="43" t="b">
        <f>TRUE()</f>
        <v>1</v>
      </c>
      <c r="E17" s="43"/>
      <c r="F17" s="38">
        <v>5714401640134</v>
      </c>
      <c r="G17" s="38" t="s">
        <v>409</v>
      </c>
      <c r="H17" s="44" t="s">
        <v>382</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Spanish</v>
      </c>
      <c r="J17" s="45" t="b">
        <f>TRUE()</f>
        <v>1</v>
      </c>
      <c r="K17" s="46" t="b">
        <f>FALSE()</f>
        <v>0</v>
      </c>
      <c r="L17" s="38" t="s">
        <v>404</v>
      </c>
      <c r="M17" s="48" t="b">
        <f>TRUE()</f>
        <v>1</v>
      </c>
      <c r="N17" s="49" t="str">
        <f t="shared" si="0"/>
        <v>https://raw.githubusercontent.com/PatrickVibild/TellusAmazonPictures/master/pictures/DELL/E6400/RG/DE/1.jpg</v>
      </c>
      <c r="O17" s="49" t="str">
        <f t="shared" si="1"/>
        <v>https://raw.githubusercontent.com/PatrickVibild/TellusAmazonPictures/master/pictures/DELL/E6400/RG/DE/2.jpg</v>
      </c>
      <c r="P17" s="50" t="str">
        <f t="shared" si="2"/>
        <v>https://raw.githubusercontent.com/PatrickVibild/TellusAmazonPictures/master/pictures/DELL/E6400/RG/DE/3.jpg</v>
      </c>
      <c r="Q17" t="str">
        <f t="shared" si="3"/>
        <v>https://raw.githubusercontent.com/PatrickVibild/TellusAmazonPictures/master/pictures/DELL/E6400/RG/DE/4.jpg</v>
      </c>
      <c r="R17" t="str">
        <f t="shared" si="4"/>
        <v>https://raw.githubusercontent.com/PatrickVibild/TellusAmazonPictures/master/pictures/DELL/E6400/RG/DE/5.jpg</v>
      </c>
      <c r="S17" t="str">
        <f t="shared" si="5"/>
        <v>https://raw.githubusercontent.com/PatrickVibild/TellusAmazonPictures/master/pictures/DELL/E6400/RG/DE/6.jpg</v>
      </c>
      <c r="T17" t="str">
        <f t="shared" si="6"/>
        <v>https://raw.githubusercontent.com/PatrickVibild/TellusAmazonPictures/master/pictures/DELL/E6400/RG/DE/7.jpg</v>
      </c>
      <c r="U17" t="str">
        <f t="shared" si="7"/>
        <v>https://raw.githubusercontent.com/PatrickVibild/TellusAmazonPictures/master/pictures/DELL/E6400/RG/DE/8.jpg</v>
      </c>
      <c r="V17" t="str">
        <f t="shared" si="8"/>
        <v>https://raw.githubusercontent.com/PatrickVibild/TellusAmazonPictures/master/pictures/DELL/E6400/RG/DE/9.jpg</v>
      </c>
      <c r="W17" s="44">
        <f>MATCH(H17,options!$D$1:$D$20,0)</f>
        <v>4</v>
      </c>
    </row>
    <row r="18" spans="1:23" ht="28" x14ac:dyDescent="0.15">
      <c r="A18" s="39" t="s">
        <v>410</v>
      </c>
      <c r="B18" s="42">
        <v>5</v>
      </c>
      <c r="C18" s="43" t="b">
        <f>FALSE()</f>
        <v>0</v>
      </c>
      <c r="D18" s="43" t="b">
        <f>TRUE()</f>
        <v>1</v>
      </c>
      <c r="E18" s="43"/>
      <c r="F18" s="38">
        <v>5714401640141</v>
      </c>
      <c r="G18" s="38" t="s">
        <v>627</v>
      </c>
      <c r="H18" s="44" t="s">
        <v>385</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45" t="b">
        <f>TRUE()</f>
        <v>1</v>
      </c>
      <c r="K18" s="46" t="b">
        <f>FALSE()</f>
        <v>0</v>
      </c>
      <c r="L18" s="38" t="s">
        <v>404</v>
      </c>
      <c r="M18" s="48" t="b">
        <f>TRUE()</f>
        <v>1</v>
      </c>
      <c r="N18" s="49" t="str">
        <f t="shared" si="0"/>
        <v>https://raw.githubusercontent.com/PatrickVibild/TellusAmazonPictures/master/pictures/DELL/E6400/RG/DE/1.jpg</v>
      </c>
      <c r="O18" s="49" t="str">
        <f t="shared" si="1"/>
        <v>https://raw.githubusercontent.com/PatrickVibild/TellusAmazonPictures/master/pictures/DELL/E6400/RG/DE/2.jpg</v>
      </c>
      <c r="P18" s="50" t="str">
        <f t="shared" si="2"/>
        <v>https://raw.githubusercontent.com/PatrickVibild/TellusAmazonPictures/master/pictures/DELL/E6400/RG/DE/3.jpg</v>
      </c>
      <c r="Q18" t="str">
        <f t="shared" si="3"/>
        <v>https://raw.githubusercontent.com/PatrickVibild/TellusAmazonPictures/master/pictures/DELL/E6400/RG/DE/4.jpg</v>
      </c>
      <c r="R18" t="str">
        <f t="shared" si="4"/>
        <v>https://raw.githubusercontent.com/PatrickVibild/TellusAmazonPictures/master/pictures/DELL/E6400/RG/DE/5.jpg</v>
      </c>
      <c r="S18" t="str">
        <f t="shared" si="5"/>
        <v>https://raw.githubusercontent.com/PatrickVibild/TellusAmazonPictures/master/pictures/DELL/E6400/RG/DE/6.jpg</v>
      </c>
      <c r="T18" t="str">
        <f t="shared" si="6"/>
        <v>https://raw.githubusercontent.com/PatrickVibild/TellusAmazonPictures/master/pictures/DELL/E6400/RG/DE/7.jpg</v>
      </c>
      <c r="U18" t="str">
        <f t="shared" si="7"/>
        <v>https://raw.githubusercontent.com/PatrickVibild/TellusAmazonPictures/master/pictures/DELL/E6400/RG/DE/8.jpg</v>
      </c>
      <c r="V18" t="str">
        <f t="shared" si="8"/>
        <v>https://raw.githubusercontent.com/PatrickVibild/TellusAmazonPictures/master/pictures/DELL/E6400/RG/DE/9.jpg</v>
      </c>
      <c r="W18" s="44">
        <f>MATCH(H18,options!$D$1:$D$20,0)</f>
        <v>5</v>
      </c>
    </row>
    <row r="19" spans="1:23" ht="28" x14ac:dyDescent="0.15">
      <c r="B19" s="47"/>
      <c r="C19" s="43" t="b">
        <f>FALSE()</f>
        <v>0</v>
      </c>
      <c r="D19" s="43" t="b">
        <f>TRUE()</f>
        <v>1</v>
      </c>
      <c r="E19" s="43"/>
      <c r="F19" s="38">
        <v>5714401640158</v>
      </c>
      <c r="G19" s="38" t="s">
        <v>411</v>
      </c>
      <c r="H19" s="44" t="s">
        <v>388</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Scandinavian – Nordic</v>
      </c>
      <c r="J19" s="45" t="b">
        <f>TRUE()</f>
        <v>1</v>
      </c>
      <c r="K19" s="46" t="b">
        <f>FALSE()</f>
        <v>0</v>
      </c>
      <c r="L19" s="38" t="s">
        <v>404</v>
      </c>
      <c r="M19" s="48" t="b">
        <f>TRUE()</f>
        <v>1</v>
      </c>
      <c r="N19" s="49" t="str">
        <f t="shared" si="0"/>
        <v>https://raw.githubusercontent.com/PatrickVibild/TellusAmazonPictures/master/pictures/DELL/E6400/RG/DE/1.jpg</v>
      </c>
      <c r="O19" s="49" t="str">
        <f t="shared" si="1"/>
        <v>https://raw.githubusercontent.com/PatrickVibild/TellusAmazonPictures/master/pictures/DELL/E6400/RG/DE/2.jpg</v>
      </c>
      <c r="P19" s="50" t="str">
        <f t="shared" si="2"/>
        <v>https://raw.githubusercontent.com/PatrickVibild/TellusAmazonPictures/master/pictures/DELL/E6400/RG/DE/3.jpg</v>
      </c>
      <c r="Q19" t="str">
        <f t="shared" si="3"/>
        <v>https://raw.githubusercontent.com/PatrickVibild/TellusAmazonPictures/master/pictures/DELL/E6400/RG/DE/4.jpg</v>
      </c>
      <c r="R19" t="str">
        <f t="shared" si="4"/>
        <v>https://raw.githubusercontent.com/PatrickVibild/TellusAmazonPictures/master/pictures/DELL/E6400/RG/DE/5.jpg</v>
      </c>
      <c r="S19" t="str">
        <f t="shared" si="5"/>
        <v>https://raw.githubusercontent.com/PatrickVibild/TellusAmazonPictures/master/pictures/DELL/E6400/RG/DE/6.jpg</v>
      </c>
      <c r="T19" t="str">
        <f t="shared" si="6"/>
        <v>https://raw.githubusercontent.com/PatrickVibild/TellusAmazonPictures/master/pictures/DELL/E6400/RG/DE/7.jpg</v>
      </c>
      <c r="U19" t="str">
        <f t="shared" si="7"/>
        <v>https://raw.githubusercontent.com/PatrickVibild/TellusAmazonPictures/master/pictures/DELL/E6400/RG/DE/8.jpg</v>
      </c>
      <c r="V19" t="str">
        <f t="shared" si="8"/>
        <v>https://raw.githubusercontent.com/PatrickVibild/TellusAmazonPictures/master/pictures/DELL/E6400/RG/DE/9.jpg</v>
      </c>
      <c r="W19" s="44">
        <f>MATCH(H19,options!$D$1:$D$20,0)</f>
        <v>6</v>
      </c>
    </row>
    <row r="20" spans="1:23" ht="28" x14ac:dyDescent="0.15">
      <c r="A20" s="39" t="s">
        <v>412</v>
      </c>
      <c r="B20" s="54" t="s">
        <v>413</v>
      </c>
      <c r="C20" s="43" t="b">
        <f>FALSE()</f>
        <v>0</v>
      </c>
      <c r="D20" s="43" t="b">
        <f>TRUE()</f>
        <v>1</v>
      </c>
      <c r="E20" s="43"/>
      <c r="F20" s="38">
        <v>5714401640165</v>
      </c>
      <c r="G20" s="38" t="s">
        <v>414</v>
      </c>
      <c r="H20" s="44" t="s">
        <v>394</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Swiss</v>
      </c>
      <c r="J20" s="45" t="b">
        <f>TRUE()</f>
        <v>1</v>
      </c>
      <c r="K20" s="46" t="b">
        <f>FALSE()</f>
        <v>0</v>
      </c>
      <c r="L20" s="38" t="s">
        <v>404</v>
      </c>
      <c r="M20" s="48" t="b">
        <f>TRUE()</f>
        <v>1</v>
      </c>
      <c r="N20" s="49" t="str">
        <f t="shared" si="0"/>
        <v>https://raw.githubusercontent.com/PatrickVibild/TellusAmazonPictures/master/pictures/DELL/E6400/RG/DE/1.jpg</v>
      </c>
      <c r="O20" s="49" t="str">
        <f t="shared" si="1"/>
        <v>https://raw.githubusercontent.com/PatrickVibild/TellusAmazonPictures/master/pictures/DELL/E6400/RG/DE/2.jpg</v>
      </c>
      <c r="P20" s="50" t="str">
        <f t="shared" si="2"/>
        <v>https://raw.githubusercontent.com/PatrickVibild/TellusAmazonPictures/master/pictures/DELL/E6400/RG/DE/3.jpg</v>
      </c>
      <c r="Q20" t="str">
        <f t="shared" si="3"/>
        <v>https://raw.githubusercontent.com/PatrickVibild/TellusAmazonPictures/master/pictures/DELL/E6400/RG/DE/4.jpg</v>
      </c>
      <c r="R20" t="str">
        <f t="shared" si="4"/>
        <v>https://raw.githubusercontent.com/PatrickVibild/TellusAmazonPictures/master/pictures/DELL/E6400/RG/DE/5.jpg</v>
      </c>
      <c r="S20" t="str">
        <f t="shared" si="5"/>
        <v>https://raw.githubusercontent.com/PatrickVibild/TellusAmazonPictures/master/pictures/DELL/E6400/RG/DE/6.jpg</v>
      </c>
      <c r="T20" t="str">
        <f t="shared" si="6"/>
        <v>https://raw.githubusercontent.com/PatrickVibild/TellusAmazonPictures/master/pictures/DELL/E6400/RG/DE/7.jpg</v>
      </c>
      <c r="U20" t="str">
        <f t="shared" si="7"/>
        <v>https://raw.githubusercontent.com/PatrickVibild/TellusAmazonPictures/master/pictures/DELL/E6400/RG/DE/8.jpg</v>
      </c>
      <c r="V20" t="str">
        <f t="shared" si="8"/>
        <v>https://raw.githubusercontent.com/PatrickVibild/TellusAmazonPictures/master/pictures/DELL/E6400/RG/DE/9.jpg</v>
      </c>
      <c r="W20" s="44">
        <f>MATCH(H20,options!$D$1:$D$20,0)</f>
        <v>15</v>
      </c>
    </row>
    <row r="21" spans="1:23" ht="28" x14ac:dyDescent="0.15">
      <c r="B21" s="47"/>
      <c r="C21" s="43" t="b">
        <f>FALSE()</f>
        <v>0</v>
      </c>
      <c r="D21" s="43" t="b">
        <f>TRUE()</f>
        <v>1</v>
      </c>
      <c r="E21" s="43"/>
      <c r="F21" s="38">
        <v>5714401640172</v>
      </c>
      <c r="G21" s="38" t="s">
        <v>415</v>
      </c>
      <c r="H21" s="44" t="s">
        <v>391</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Belgian</v>
      </c>
      <c r="J21" s="45" t="b">
        <f>TRUE()</f>
        <v>1</v>
      </c>
      <c r="K21" s="46" t="b">
        <f>FALSE()</f>
        <v>0</v>
      </c>
      <c r="L21" s="38" t="s">
        <v>404</v>
      </c>
      <c r="M21" s="48" t="b">
        <f>TRUE()</f>
        <v>1</v>
      </c>
      <c r="N21" s="49" t="str">
        <f t="shared" si="0"/>
        <v>https://raw.githubusercontent.com/PatrickVibild/TellusAmazonPictures/master/pictures/DELL/E6400/RG/DE/1.jpg</v>
      </c>
      <c r="O21" s="49" t="str">
        <f t="shared" si="1"/>
        <v>https://raw.githubusercontent.com/PatrickVibild/TellusAmazonPictures/master/pictures/DELL/E6400/RG/DE/2.jpg</v>
      </c>
      <c r="P21" s="50" t="str">
        <f t="shared" si="2"/>
        <v>https://raw.githubusercontent.com/PatrickVibild/TellusAmazonPictures/master/pictures/DELL/E6400/RG/DE/3.jpg</v>
      </c>
      <c r="Q21" t="str">
        <f t="shared" si="3"/>
        <v>https://raw.githubusercontent.com/PatrickVibild/TellusAmazonPictures/master/pictures/DELL/E6400/RG/DE/4.jpg</v>
      </c>
      <c r="R21" t="str">
        <f t="shared" si="4"/>
        <v>https://raw.githubusercontent.com/PatrickVibild/TellusAmazonPictures/master/pictures/DELL/E6400/RG/DE/5.jpg</v>
      </c>
      <c r="S21" t="str">
        <f t="shared" si="5"/>
        <v>https://raw.githubusercontent.com/PatrickVibild/TellusAmazonPictures/master/pictures/DELL/E6400/RG/DE/6.jpg</v>
      </c>
      <c r="T21" t="str">
        <f t="shared" si="6"/>
        <v>https://raw.githubusercontent.com/PatrickVibild/TellusAmazonPictures/master/pictures/DELL/E6400/RG/DE/7.jpg</v>
      </c>
      <c r="U21" t="str">
        <f t="shared" si="7"/>
        <v>https://raw.githubusercontent.com/PatrickVibild/TellusAmazonPictures/master/pictures/DELL/E6400/RG/DE/8.jpg</v>
      </c>
      <c r="V21" t="str">
        <f t="shared" si="8"/>
        <v>https://raw.githubusercontent.com/PatrickVibild/TellusAmazonPictures/master/pictures/DELL/E6400/RG/DE/9.jpg</v>
      </c>
      <c r="W21" s="44">
        <f>MATCH(H21,options!$D$1:$D$20,0)</f>
        <v>7</v>
      </c>
    </row>
    <row r="22" spans="1:23" ht="28" x14ac:dyDescent="0.15">
      <c r="B22" s="47"/>
      <c r="C22" s="43" t="b">
        <f>TRUE()</f>
        <v>1</v>
      </c>
      <c r="D22" s="43" t="b">
        <f>FALSE()</f>
        <v>0</v>
      </c>
      <c r="E22" s="43"/>
      <c r="F22" s="38">
        <v>5714401640189</v>
      </c>
      <c r="G22" s="38" t="s">
        <v>416</v>
      </c>
      <c r="H22" s="44" t="s">
        <v>400</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v>
      </c>
      <c r="J22" s="45" t="b">
        <f>TRUE()</f>
        <v>1</v>
      </c>
      <c r="K22" s="46" t="b">
        <f>FALSE()</f>
        <v>0</v>
      </c>
      <c r="L22" s="38" t="s">
        <v>404</v>
      </c>
      <c r="M22" s="48" t="b">
        <f>TRUE()</f>
        <v>1</v>
      </c>
      <c r="N22" s="49" t="str">
        <f t="shared" si="0"/>
        <v>https://raw.githubusercontent.com/PatrickVibild/TellusAmazonPictures/master/pictures/DELL/E6400/RG/DE/1.jpg</v>
      </c>
      <c r="O22" s="49" t="str">
        <f t="shared" si="1"/>
        <v>https://raw.githubusercontent.com/PatrickVibild/TellusAmazonPictures/master/pictures/DELL/E6400/RG/DE/2.jpg</v>
      </c>
      <c r="P22" s="50" t="str">
        <f t="shared" si="2"/>
        <v>https://raw.githubusercontent.com/PatrickVibild/TellusAmazonPictures/master/pictures/DELL/E6400/RG/DE/3.jpg</v>
      </c>
      <c r="Q22" t="str">
        <f t="shared" si="3"/>
        <v>https://raw.githubusercontent.com/PatrickVibild/TellusAmazonPictures/master/pictures/DELL/E6400/RG/DE/4.jpg</v>
      </c>
      <c r="R22" t="str">
        <f t="shared" si="4"/>
        <v>https://raw.githubusercontent.com/PatrickVibild/TellusAmazonPictures/master/pictures/DELL/E6400/RG/DE/5.jpg</v>
      </c>
      <c r="S22" t="str">
        <f t="shared" si="5"/>
        <v>https://raw.githubusercontent.com/PatrickVibild/TellusAmazonPictures/master/pictures/DELL/E6400/RG/DE/6.jpg</v>
      </c>
      <c r="T22" t="str">
        <f t="shared" si="6"/>
        <v>https://raw.githubusercontent.com/PatrickVibild/TellusAmazonPictures/master/pictures/DELL/E6400/RG/DE/7.jpg</v>
      </c>
      <c r="U22" t="str">
        <f t="shared" si="7"/>
        <v>https://raw.githubusercontent.com/PatrickVibild/TellusAmazonPictures/master/pictures/DELL/E6400/RG/DE/8.jpg</v>
      </c>
      <c r="V22" t="str">
        <f t="shared" si="8"/>
        <v>https://raw.githubusercontent.com/PatrickVibild/TellusAmazonPictures/master/pictures/DELL/E6400/RG/DE/9.jpg</v>
      </c>
      <c r="W22" s="44">
        <f>MATCH(H22,options!$D$1:$D$20,0)</f>
        <v>18</v>
      </c>
    </row>
    <row r="23" spans="1:23" ht="42" x14ac:dyDescent="0.15">
      <c r="A23" s="39" t="s">
        <v>417</v>
      </c>
      <c r="B23" s="40" t="str">
        <f>IF(Values!$B$36=English!$B$2,English!B3, IF(Values!$B$36=German!$B$2,German!B3, IF(Values!$B$36=Italian!$B$2,Italian!B3, IF(Values!$B$36=Spanish!$B$2, Spanish!B3, IF(Values!$B$36=French!$B$2, French!B3, IF(Values!$B$36=Dutch!$B$2,Dutch!B3, IF(Values!$B$36=English!$D$32, English!B14, 0)))))))</f>
        <v>👉 REFURBISHED:  SAVE MONEY -  Replacement Dell laptop keyboard, same quality as OEM keyboards. TellusRem is the Leading keyboards distributor in the world since 2011. Perfect replacement keyboard, easy to replace and install.</v>
      </c>
      <c r="C23" s="43"/>
      <c r="D23" s="43"/>
      <c r="E23" s="43"/>
      <c r="F23" s="38"/>
      <c r="G23" s="38"/>
      <c r="H23" s="44" t="s">
        <v>400</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45" t="b">
        <f>TRUE()</f>
        <v>1</v>
      </c>
      <c r="K23" s="46" t="b">
        <f>FALSE()</f>
        <v>0</v>
      </c>
      <c r="L23" s="38" t="s">
        <v>404</v>
      </c>
      <c r="M23" s="48" t="b">
        <f>TRUE()</f>
        <v>1</v>
      </c>
      <c r="N23" s="49" t="str">
        <f t="shared" si="0"/>
        <v>https://raw.githubusercontent.com/PatrickVibild/TellusAmazonPictures/master/pictures/DELL/E6400/RG/DE/1.jpg</v>
      </c>
      <c r="O23" s="49" t="str">
        <f t="shared" si="1"/>
        <v>https://raw.githubusercontent.com/PatrickVibild/TellusAmazonPictures/master/pictures/DELL/E6400/RG/DE/2.jpg</v>
      </c>
      <c r="P23" s="50" t="str">
        <f t="shared" si="2"/>
        <v>https://raw.githubusercontent.com/PatrickVibild/TellusAmazonPictures/master/pictures/DELL/E6400/RG/DE/3.jpg</v>
      </c>
      <c r="Q23" t="str">
        <f t="shared" si="3"/>
        <v>https://raw.githubusercontent.com/PatrickVibild/TellusAmazonPictures/master/pictures/DELL/E6400/RG/DE/4.jpg</v>
      </c>
      <c r="R23" t="str">
        <f t="shared" si="4"/>
        <v>https://raw.githubusercontent.com/PatrickVibild/TellusAmazonPictures/master/pictures/DELL/E6400/RG/DE/5.jpg</v>
      </c>
      <c r="S23" t="str">
        <f t="shared" si="5"/>
        <v>https://raw.githubusercontent.com/PatrickVibild/TellusAmazonPictures/master/pictures/DELL/E6400/RG/DE/6.jpg</v>
      </c>
      <c r="T23" t="str">
        <f t="shared" si="6"/>
        <v>https://raw.githubusercontent.com/PatrickVibild/TellusAmazonPictures/master/pictures/DELL/E6400/RG/DE/7.jpg</v>
      </c>
      <c r="U23" t="str">
        <f t="shared" si="7"/>
        <v>https://raw.githubusercontent.com/PatrickVibild/TellusAmazonPictures/master/pictures/DELL/E6400/RG/DE/8.jpg</v>
      </c>
      <c r="V23" t="str">
        <f t="shared" si="8"/>
        <v>https://raw.githubusercontent.com/PatrickVibild/TellusAmazonPictures/master/pictures/DELL/E6400/RG/DE/9.jpg</v>
      </c>
      <c r="W23" s="44">
        <f>MATCH(H23,options!$D$1:$D$20,0)</f>
        <v>18</v>
      </c>
    </row>
    <row r="24" spans="1:23" ht="56" x14ac:dyDescent="0.15">
      <c r="A24" s="39" t="s">
        <v>418</v>
      </c>
      <c r="B24" s="40"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43"/>
      <c r="D24" s="43"/>
      <c r="E24" s="43"/>
      <c r="F24" s="38"/>
      <c r="G24" s="38"/>
      <c r="H24" s="44" t="s">
        <v>372</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German</v>
      </c>
      <c r="J24" s="45" t="b">
        <f>TRUE()</f>
        <v>1</v>
      </c>
      <c r="K24" s="46" t="b">
        <f>TRUE()</f>
        <v>1</v>
      </c>
      <c r="L24" s="38" t="s">
        <v>373</v>
      </c>
      <c r="M24" s="48" t="b">
        <f>TRUE()</f>
        <v>1</v>
      </c>
      <c r="N24" s="49" t="str">
        <f t="shared" si="0"/>
        <v>https://raw.githubusercontent.com/PatrickVibild/TellusAmazonPictures/master/pictures/DELL/E6400/BL/DE/1.jpg</v>
      </c>
      <c r="O24" s="49" t="str">
        <f t="shared" si="1"/>
        <v>https://raw.githubusercontent.com/PatrickVibild/TellusAmazonPictures/master/pictures/DELL/E6400/BL/DE/2.jpg</v>
      </c>
      <c r="P24" s="50" t="str">
        <f t="shared" si="2"/>
        <v>https://raw.githubusercontent.com/PatrickVibild/TellusAmazonPictures/master/pictures/DELL/E6400/BL/DE/3.jpg</v>
      </c>
      <c r="Q24" t="str">
        <f t="shared" si="3"/>
        <v>https://raw.githubusercontent.com/PatrickVibild/TellusAmazonPictures/master/pictures/DELL/E6400/BL/DE/4.jpg</v>
      </c>
      <c r="R24" t="str">
        <f t="shared" si="4"/>
        <v>https://raw.githubusercontent.com/PatrickVibild/TellusAmazonPictures/master/pictures/DELL/E6400/BL/DE/5.jpg</v>
      </c>
      <c r="S24" t="str">
        <f t="shared" si="5"/>
        <v>https://raw.githubusercontent.com/PatrickVibild/TellusAmazonPictures/master/pictures/DELL/E6400/BL/DE/6.jpg</v>
      </c>
      <c r="T24" t="str">
        <f t="shared" si="6"/>
        <v>https://raw.githubusercontent.com/PatrickVibild/TellusAmazonPictures/master/pictures/DELL/E6400/BL/DE/7.jpg</v>
      </c>
      <c r="U24" t="str">
        <f t="shared" si="7"/>
        <v>https://raw.githubusercontent.com/PatrickVibild/TellusAmazonPictures/master/pictures/DELL/E6400/BL/DE/8.jpg</v>
      </c>
      <c r="V24" t="str">
        <f t="shared" si="8"/>
        <v>https://raw.githubusercontent.com/PatrickVibild/TellusAmazonPictures/master/pictures/DELL/E6400/BL/DE/9.jpg</v>
      </c>
      <c r="W24" s="44">
        <f>MATCH(H24,options!$D$1:$D$20,0)</f>
        <v>1</v>
      </c>
    </row>
    <row r="25" spans="1:23" ht="42" x14ac:dyDescent="0.15">
      <c r="A25" s="39" t="s">
        <v>419</v>
      </c>
      <c r="B25" s="40"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43"/>
      <c r="D25" s="43"/>
      <c r="E25" s="43"/>
      <c r="F25" s="38"/>
      <c r="G25" s="38"/>
      <c r="H25" s="44" t="s">
        <v>375</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French</v>
      </c>
      <c r="J25" s="45" t="b">
        <f>TRUE()</f>
        <v>1</v>
      </c>
      <c r="K25" s="46" t="b">
        <f>TRUE()</f>
        <v>1</v>
      </c>
      <c r="L25" s="38" t="s">
        <v>373</v>
      </c>
      <c r="M25" s="48" t="b">
        <f>TRUE()</f>
        <v>1</v>
      </c>
      <c r="N25" s="49" t="str">
        <f t="shared" si="0"/>
        <v>https://raw.githubusercontent.com/PatrickVibild/TellusAmazonPictures/master/pictures/DELL/E6400/BL/DE/1.jpg</v>
      </c>
      <c r="O25" s="49" t="str">
        <f t="shared" si="1"/>
        <v>https://raw.githubusercontent.com/PatrickVibild/TellusAmazonPictures/master/pictures/DELL/E6400/BL/DE/2.jpg</v>
      </c>
      <c r="P25" s="50" t="str">
        <f t="shared" si="2"/>
        <v>https://raw.githubusercontent.com/PatrickVibild/TellusAmazonPictures/master/pictures/DELL/E6400/BL/DE/3.jpg</v>
      </c>
      <c r="Q25" t="str">
        <f t="shared" si="3"/>
        <v>https://raw.githubusercontent.com/PatrickVibild/TellusAmazonPictures/master/pictures/DELL/E6400/BL/DE/4.jpg</v>
      </c>
      <c r="R25" t="str">
        <f t="shared" si="4"/>
        <v>https://raw.githubusercontent.com/PatrickVibild/TellusAmazonPictures/master/pictures/DELL/E6400/BL/DE/5.jpg</v>
      </c>
      <c r="S25" t="str">
        <f t="shared" si="5"/>
        <v>https://raw.githubusercontent.com/PatrickVibild/TellusAmazonPictures/master/pictures/DELL/E6400/BL/DE/6.jpg</v>
      </c>
      <c r="T25" t="str">
        <f t="shared" si="6"/>
        <v>https://raw.githubusercontent.com/PatrickVibild/TellusAmazonPictures/master/pictures/DELL/E6400/BL/DE/7.jpg</v>
      </c>
      <c r="U25" t="str">
        <f t="shared" si="7"/>
        <v>https://raw.githubusercontent.com/PatrickVibild/TellusAmazonPictures/master/pictures/DELL/E6400/BL/DE/8.jpg</v>
      </c>
      <c r="V25" t="str">
        <f t="shared" si="8"/>
        <v>https://raw.githubusercontent.com/PatrickVibild/TellusAmazonPictures/master/pictures/DELL/E6400/BL/DE/9.jpg</v>
      </c>
      <c r="W25" s="44">
        <f>MATCH(H25,options!$D$1:$D$20,0)</f>
        <v>2</v>
      </c>
    </row>
    <row r="26" spans="1:23" ht="28" x14ac:dyDescent="0.15">
      <c r="A26" s="39" t="s">
        <v>420</v>
      </c>
      <c r="B26" s="40" t="str">
        <f>IF(Values!$B$36=English!$B$2,English!B6, IF(Values!$B$36=German!$B$2,German!B6, IF(Values!$B$36=Italian!$B$2,Italian!B6, IF(Values!$B$36=Spanish!$B$2, Spanish!B6, IF(Values!$B$36=French!$B$2, French!B6, IF(Values!$B$36=Dutch!$B$2,Dutch!B6, IF(Values!$B$36=English!$D$32, English!D36, 0)))))))</f>
        <v>👉 LAYOUT – {flag} {language} backlit.</v>
      </c>
      <c r="C26" s="43"/>
      <c r="D26" s="43"/>
      <c r="E26" s="43"/>
      <c r="F26" s="38"/>
      <c r="G26" s="38"/>
      <c r="H26" s="44" t="s">
        <v>379</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v>
      </c>
      <c r="J26" s="45" t="b">
        <f>TRUE()</f>
        <v>1</v>
      </c>
      <c r="K26" s="46" t="b">
        <f>TRUE()</f>
        <v>1</v>
      </c>
      <c r="L26" s="38" t="s">
        <v>373</v>
      </c>
      <c r="M26" s="48" t="b">
        <f>TRUE()</f>
        <v>1</v>
      </c>
      <c r="N26" s="49" t="str">
        <f t="shared" si="0"/>
        <v>https://raw.githubusercontent.com/PatrickVibild/TellusAmazonPictures/master/pictures/DELL/E6400/BL/DE/1.jpg</v>
      </c>
      <c r="O26" s="49" t="str">
        <f t="shared" si="1"/>
        <v>https://raw.githubusercontent.com/PatrickVibild/TellusAmazonPictures/master/pictures/DELL/E6400/BL/DE/2.jpg</v>
      </c>
      <c r="P26" s="50" t="str">
        <f t="shared" si="2"/>
        <v>https://raw.githubusercontent.com/PatrickVibild/TellusAmazonPictures/master/pictures/DELL/E6400/BL/DE/3.jpg</v>
      </c>
      <c r="Q26" t="str">
        <f t="shared" si="3"/>
        <v>https://raw.githubusercontent.com/PatrickVibild/TellusAmazonPictures/master/pictures/DELL/E6400/BL/DE/4.jpg</v>
      </c>
      <c r="R26" t="str">
        <f t="shared" si="4"/>
        <v>https://raw.githubusercontent.com/PatrickVibild/TellusAmazonPictures/master/pictures/DELL/E6400/BL/DE/5.jpg</v>
      </c>
      <c r="S26" t="str">
        <f t="shared" si="5"/>
        <v>https://raw.githubusercontent.com/PatrickVibild/TellusAmazonPictures/master/pictures/DELL/E6400/BL/DE/6.jpg</v>
      </c>
      <c r="T26" t="str">
        <f t="shared" si="6"/>
        <v>https://raw.githubusercontent.com/PatrickVibild/TellusAmazonPictures/master/pictures/DELL/E6400/BL/DE/7.jpg</v>
      </c>
      <c r="U26" t="str">
        <f t="shared" si="7"/>
        <v>https://raw.githubusercontent.com/PatrickVibild/TellusAmazonPictures/master/pictures/DELL/E6400/BL/DE/8.jpg</v>
      </c>
      <c r="V26" t="str">
        <f t="shared" si="8"/>
        <v>https://raw.githubusercontent.com/PatrickVibild/TellusAmazonPictures/master/pictures/DELL/E6400/BL/DE/9.jpg</v>
      </c>
      <c r="W26" s="44">
        <f>MATCH(H26,options!$D$1:$D$20,0)</f>
        <v>3</v>
      </c>
    </row>
    <row r="27" spans="1:23" ht="42" x14ac:dyDescent="0.15">
      <c r="A27" s="39" t="s">
        <v>419</v>
      </c>
      <c r="B27" s="40" t="str">
        <f>IF(Values!$B$36=English!$B$2,English!B7, IF(Values!$B$36=German!$B$2,German!B7, IF(Values!$B$36=Italian!$B$2,Italian!B7, IF(Values!$B$36=Spanish!$B$2, Spanish!B7, IF(Values!$B$36=French!$B$2, French!B7, IF(Values!$B$36=Dutch!$B$2,Dutch!B7, IF(Values!$B$36=English!$D$32, English!D37, 0)))))))</f>
        <v>👉 COMPATIBLE WITH - Dell {model}. Please check the picture and description carefully before purchasing any keyboard. This ensures that you get the correct laptop keyboard for your computer. Super easy installation.</v>
      </c>
      <c r="C27" s="43"/>
      <c r="D27" s="43"/>
      <c r="E27" s="43"/>
      <c r="F27" s="38"/>
      <c r="G27" s="38"/>
      <c r="H27" s="44" t="s">
        <v>382</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Spanish</v>
      </c>
      <c r="J27" s="45" t="b">
        <f>TRUE()</f>
        <v>1</v>
      </c>
      <c r="K27" s="46" t="b">
        <f>TRUE()</f>
        <v>1</v>
      </c>
      <c r="L27" s="38" t="s">
        <v>373</v>
      </c>
      <c r="M27" s="48" t="b">
        <f>TRUE()</f>
        <v>1</v>
      </c>
      <c r="N27" s="49" t="str">
        <f t="shared" si="0"/>
        <v>https://raw.githubusercontent.com/PatrickVibild/TellusAmazonPictures/master/pictures/DELL/E6400/BL/DE/1.jpg</v>
      </c>
      <c r="O27" s="49" t="str">
        <f t="shared" si="1"/>
        <v>https://raw.githubusercontent.com/PatrickVibild/TellusAmazonPictures/master/pictures/DELL/E6400/BL/DE/2.jpg</v>
      </c>
      <c r="P27" s="50" t="str">
        <f t="shared" si="2"/>
        <v>https://raw.githubusercontent.com/PatrickVibild/TellusAmazonPictures/master/pictures/DELL/E6400/BL/DE/3.jpg</v>
      </c>
      <c r="Q27" t="str">
        <f t="shared" si="3"/>
        <v>https://raw.githubusercontent.com/PatrickVibild/TellusAmazonPictures/master/pictures/DELL/E6400/BL/DE/4.jpg</v>
      </c>
      <c r="R27" t="str">
        <f t="shared" si="4"/>
        <v>https://raw.githubusercontent.com/PatrickVibild/TellusAmazonPictures/master/pictures/DELL/E6400/BL/DE/5.jpg</v>
      </c>
      <c r="S27" t="str">
        <f t="shared" si="5"/>
        <v>https://raw.githubusercontent.com/PatrickVibild/TellusAmazonPictures/master/pictures/DELL/E6400/BL/DE/6.jpg</v>
      </c>
      <c r="T27" t="str">
        <f t="shared" si="6"/>
        <v>https://raw.githubusercontent.com/PatrickVibild/TellusAmazonPictures/master/pictures/DELL/E6400/BL/DE/7.jpg</v>
      </c>
      <c r="U27" t="str">
        <f t="shared" si="7"/>
        <v>https://raw.githubusercontent.com/PatrickVibild/TellusAmazonPictures/master/pictures/DELL/E6400/BL/DE/8.jpg</v>
      </c>
      <c r="V27" t="str">
        <f t="shared" si="8"/>
        <v>https://raw.githubusercontent.com/PatrickVibild/TellusAmazonPictures/master/pictures/DELL/E6400/BL/DE/9.jpg</v>
      </c>
      <c r="W27" s="44">
        <f>MATCH(H27,options!$D$1:$D$20,0)</f>
        <v>4</v>
      </c>
    </row>
    <row r="28" spans="1:23" ht="28" x14ac:dyDescent="0.15">
      <c r="B28" s="55"/>
      <c r="C28" s="43"/>
      <c r="D28" s="43"/>
      <c r="E28" s="43"/>
      <c r="F28" s="38"/>
      <c r="G28" s="38"/>
      <c r="H28" s="44" t="s">
        <v>385</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45" t="b">
        <f>TRUE()</f>
        <v>1</v>
      </c>
      <c r="K28" s="46" t="b">
        <f>TRUE()</f>
        <v>1</v>
      </c>
      <c r="L28" s="38" t="s">
        <v>421</v>
      </c>
      <c r="M28" s="48" t="b">
        <f>TRUE()</f>
        <v>1</v>
      </c>
      <c r="N28" s="49" t="str">
        <f t="shared" si="0"/>
        <v>https://raw.githubusercontent.com/PatrickVibild/TellusAmazonPictures/master/pictures/Lenovo/T470S/BL/UK/1.jpg</v>
      </c>
      <c r="O28" s="49" t="str">
        <f t="shared" si="1"/>
        <v>https://raw.githubusercontent.com/PatrickVibild/TellusAmazonPictures/master/pictures/Lenovo/T470S/BL/UK/2.jpg</v>
      </c>
      <c r="P28" s="50"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4">
        <f>MATCH(H28,options!$D$1:$D$20,0)</f>
        <v>5</v>
      </c>
    </row>
    <row r="29" spans="1:23" ht="42" x14ac:dyDescent="0.15">
      <c r="A29" s="39" t="s">
        <v>422</v>
      </c>
      <c r="B29" s="40"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43"/>
      <c r="D29" s="43"/>
      <c r="E29" s="43"/>
      <c r="F29" s="38"/>
      <c r="G29" s="38"/>
      <c r="H29" s="44" t="s">
        <v>388</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Scandinavian – Nordic</v>
      </c>
      <c r="J29" s="45" t="b">
        <f>TRUE()</f>
        <v>1</v>
      </c>
      <c r="K29" s="46" t="b">
        <f>TRUE()</f>
        <v>1</v>
      </c>
      <c r="L29" s="38" t="s">
        <v>423</v>
      </c>
      <c r="M29" s="48" t="b">
        <f>TRUE()</f>
        <v>1</v>
      </c>
      <c r="N29" s="49" t="str">
        <f t="shared" si="0"/>
        <v>https://raw.githubusercontent.com/PatrickVibild/TellusAmazonPictures/master/pictures/Lenovo/T470S/BL/NOR/1.jpg</v>
      </c>
      <c r="O29" s="49" t="str">
        <f t="shared" si="1"/>
        <v>https://raw.githubusercontent.com/PatrickVibild/TellusAmazonPictures/master/pictures/Lenovo/T470S/BL/NOR/2.jpg</v>
      </c>
      <c r="P29" s="50"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4">
        <f>MATCH(H29,options!$D$1:$D$20,0)</f>
        <v>6</v>
      </c>
    </row>
    <row r="30" spans="1:23" ht="14" x14ac:dyDescent="0.15">
      <c r="B30" s="55"/>
      <c r="C30" s="43"/>
      <c r="D30" s="43"/>
      <c r="E30" s="43"/>
      <c r="F30" s="38"/>
      <c r="G30" s="38"/>
      <c r="H30" s="44" t="s">
        <v>391</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Belgian</v>
      </c>
      <c r="J30" s="45" t="b">
        <f>TRUE()</f>
        <v>1</v>
      </c>
      <c r="K30" s="46" t="b">
        <f>TRUE()</f>
        <v>1</v>
      </c>
      <c r="L30" s="38" t="s">
        <v>424</v>
      </c>
      <c r="M30" s="48" t="b">
        <f>FALSE()</f>
        <v>0</v>
      </c>
      <c r="N30" s="49" t="str">
        <f t="shared" si="0"/>
        <v>https://download.lenovo.com/Images/Parts/01EN735/01EN735_A.jpg</v>
      </c>
      <c r="O30" s="49" t="str">
        <f t="shared" si="1"/>
        <v>https://download.lenovo.com/Images/Parts/01EN735/01EN735_B.jpg</v>
      </c>
      <c r="P30" s="50" t="str">
        <f t="shared" si="2"/>
        <v>https://download.lenovo.com/Images/Parts/01EN735/01EN735_details.jpg</v>
      </c>
      <c r="Q30" t="str">
        <f t="shared" si="3"/>
        <v/>
      </c>
      <c r="R30" t="str">
        <f t="shared" si="4"/>
        <v/>
      </c>
      <c r="S30" t="str">
        <f t="shared" si="5"/>
        <v/>
      </c>
      <c r="T30" t="str">
        <f t="shared" si="6"/>
        <v/>
      </c>
      <c r="U30" t="str">
        <f t="shared" si="7"/>
        <v/>
      </c>
      <c r="V30" t="str">
        <f t="shared" si="8"/>
        <v/>
      </c>
      <c r="W30" s="44">
        <f>MATCH(H30,options!$D$1:$D$20,0)</f>
        <v>7</v>
      </c>
    </row>
    <row r="31" spans="1:23" ht="42" x14ac:dyDescent="0.15">
      <c r="A31" s="39" t="s">
        <v>425</v>
      </c>
      <c r="B31" s="40"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43"/>
      <c r="D31" s="43"/>
      <c r="E31" s="43"/>
      <c r="F31" s="38"/>
      <c r="G31" s="38"/>
      <c r="H31" s="44" t="s">
        <v>426</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Bulgarian</v>
      </c>
      <c r="J31" s="45" t="b">
        <f>TRUE()</f>
        <v>1</v>
      </c>
      <c r="K31" s="46" t="b">
        <f>TRUE()</f>
        <v>1</v>
      </c>
      <c r="L31" s="38" t="s">
        <v>427</v>
      </c>
      <c r="M31" s="48" t="b">
        <f>FALSE()</f>
        <v>0</v>
      </c>
      <c r="N31" s="49" t="str">
        <f t="shared" si="0"/>
        <v>https://download.lenovo.com/Images/Parts/01EN730/01EN730_A.jpg</v>
      </c>
      <c r="O31" s="49" t="str">
        <f t="shared" si="1"/>
        <v>https://download.lenovo.com/Images/Parts/01EN730/01EN730_B.jpg</v>
      </c>
      <c r="P31" s="50" t="str">
        <f t="shared" si="2"/>
        <v>https://download.lenovo.com/Images/Parts/01EN730/01EN730_details.jpg</v>
      </c>
      <c r="Q31" t="str">
        <f t="shared" si="3"/>
        <v/>
      </c>
      <c r="R31" t="str">
        <f t="shared" si="4"/>
        <v/>
      </c>
      <c r="S31" t="str">
        <f t="shared" si="5"/>
        <v/>
      </c>
      <c r="T31" t="str">
        <f t="shared" si="6"/>
        <v/>
      </c>
      <c r="U31" t="str">
        <f t="shared" si="7"/>
        <v/>
      </c>
      <c r="V31" t="str">
        <f t="shared" si="8"/>
        <v/>
      </c>
      <c r="W31" s="44">
        <f>MATCH(H31,options!$D$1:$D$20,0)</f>
        <v>8</v>
      </c>
    </row>
    <row r="32" spans="1:23" ht="14" x14ac:dyDescent="0.15">
      <c r="C32" s="43"/>
      <c r="D32" s="43"/>
      <c r="E32" s="43"/>
      <c r="F32" s="38"/>
      <c r="G32" s="38"/>
      <c r="H32" s="44" t="s">
        <v>428</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Czech</v>
      </c>
      <c r="J32" s="45" t="b">
        <f>TRUE()</f>
        <v>1</v>
      </c>
      <c r="K32" s="46" t="b">
        <f>TRUE()</f>
        <v>1</v>
      </c>
      <c r="L32" s="38" t="s">
        <v>429</v>
      </c>
      <c r="M32" s="48" t="b">
        <f>FALSE()</f>
        <v>0</v>
      </c>
      <c r="N32" s="49" t="str">
        <f t="shared" si="0"/>
        <v>https://download.lenovo.com/Images/Parts/01EN690/01EN690_A.jpg</v>
      </c>
      <c r="O32" s="49" t="str">
        <f t="shared" si="1"/>
        <v>https://download.lenovo.com/Images/Parts/01EN690/01EN690_B.jpg</v>
      </c>
      <c r="P32" s="50" t="str">
        <f t="shared" si="2"/>
        <v>https://download.lenovo.com/Images/Parts/01EN690/01EN690_details.jpg</v>
      </c>
      <c r="Q32" t="str">
        <f t="shared" si="3"/>
        <v/>
      </c>
      <c r="R32" t="str">
        <f t="shared" si="4"/>
        <v/>
      </c>
      <c r="S32" t="str">
        <f t="shared" si="5"/>
        <v/>
      </c>
      <c r="T32" t="str">
        <f t="shared" si="6"/>
        <v/>
      </c>
      <c r="U32" t="str">
        <f t="shared" si="7"/>
        <v/>
      </c>
      <c r="V32" t="str">
        <f t="shared" si="8"/>
        <v/>
      </c>
      <c r="W32" s="44">
        <f>MATCH(H32,options!$D$1:$D$20,0)</f>
        <v>20</v>
      </c>
    </row>
    <row r="33" spans="1:23" ht="14" x14ac:dyDescent="0.15">
      <c r="A33" s="39" t="s">
        <v>430</v>
      </c>
      <c r="B33" s="40" t="str">
        <f>IF(Values!$B$36=English!$B$2,English!B14, IF(Values!$B$36=German!$B$2,German!B14, IF(Values!$B$36=Italian!$B$2,Italian!B14, IF(Values!$B$36=Spanish!$B$2, Spanish!B14, IF(Values!$B$36=French!$B$2, French!B14, IF(Values!$B$36=Dutch!$B$2,Dutch!B14, IF(Values!$B$36=English!$D$32, English!B14, 0)))))))</f>
        <v>👉 LAYOUT -  {flag} {language} NO backlit.</v>
      </c>
      <c r="C33" s="43"/>
      <c r="D33" s="43"/>
      <c r="E33" s="43"/>
      <c r="F33" s="38"/>
      <c r="G33" s="38"/>
      <c r="H33" s="44" t="s">
        <v>431</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Danish</v>
      </c>
      <c r="J33" s="45" t="b">
        <f>TRUE()</f>
        <v>1</v>
      </c>
      <c r="K33" s="46" t="b">
        <f>TRUE()</f>
        <v>1</v>
      </c>
      <c r="L33" s="38" t="s">
        <v>432</v>
      </c>
      <c r="M33" s="48" t="b">
        <f>FALSE()</f>
        <v>0</v>
      </c>
      <c r="N33" s="49" t="str">
        <f t="shared" si="0"/>
        <v>https://download.lenovo.com/Images/Parts/01EN732/01EN732_A.jpg</v>
      </c>
      <c r="O33" s="49" t="str">
        <f t="shared" si="1"/>
        <v>https://download.lenovo.com/Images/Parts/01EN732/01EN732_B.jpg</v>
      </c>
      <c r="P33" s="50" t="str">
        <f t="shared" si="2"/>
        <v>https://download.lenovo.com/Images/Parts/01EN732/01EN732_details.jpg</v>
      </c>
      <c r="Q33" t="str">
        <f t="shared" si="3"/>
        <v/>
      </c>
      <c r="R33" t="str">
        <f t="shared" si="4"/>
        <v/>
      </c>
      <c r="S33" t="str">
        <f t="shared" si="5"/>
        <v/>
      </c>
      <c r="T33" t="str">
        <f t="shared" si="6"/>
        <v/>
      </c>
      <c r="U33" t="str">
        <f t="shared" si="7"/>
        <v/>
      </c>
      <c r="V33" t="str">
        <f t="shared" si="8"/>
        <v/>
      </c>
      <c r="W33" s="44">
        <f>MATCH(H33,options!$D$1:$D$20,0)</f>
        <v>9</v>
      </c>
    </row>
    <row r="34" spans="1:23" ht="14" x14ac:dyDescent="0.15">
      <c r="C34" s="43"/>
      <c r="D34" s="43"/>
      <c r="E34" s="43"/>
      <c r="F34" s="38"/>
      <c r="G34" s="38"/>
      <c r="H34" s="44" t="s">
        <v>433</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Hungarian</v>
      </c>
      <c r="J34" s="45" t="b">
        <f>TRUE()</f>
        <v>1</v>
      </c>
      <c r="K34" s="46" t="b">
        <f>TRUE()</f>
        <v>1</v>
      </c>
      <c r="L34" s="38" t="s">
        <v>434</v>
      </c>
      <c r="M34" s="48" t="b">
        <f>FALSE()</f>
        <v>0</v>
      </c>
      <c r="N34" s="49" t="str">
        <f t="shared" si="0"/>
        <v>https://download.lenovo.com/Images/Parts/01EN656/01EN656_A.jpg</v>
      </c>
      <c r="O34" s="49" t="str">
        <f t="shared" si="1"/>
        <v>https://download.lenovo.com/Images/Parts/01EN656/01EN656_B.jpg</v>
      </c>
      <c r="P34" s="50" t="str">
        <f t="shared" si="2"/>
        <v>https://download.lenovo.com/Images/Parts/01EN656/01EN656_details.jpg</v>
      </c>
      <c r="Q34" t="str">
        <f t="shared" si="3"/>
        <v/>
      </c>
      <c r="R34" t="str">
        <f t="shared" si="4"/>
        <v/>
      </c>
      <c r="S34" t="str">
        <f t="shared" si="5"/>
        <v/>
      </c>
      <c r="T34" t="str">
        <f t="shared" si="6"/>
        <v/>
      </c>
      <c r="U34" t="str">
        <f t="shared" si="7"/>
        <v/>
      </c>
      <c r="V34" t="str">
        <f t="shared" si="8"/>
        <v/>
      </c>
      <c r="W34" s="44">
        <f>MATCH(H34,options!$D$1:$D$20,0)</f>
        <v>19</v>
      </c>
    </row>
    <row r="35" spans="1:23" ht="14" x14ac:dyDescent="0.15">
      <c r="C35" s="43"/>
      <c r="D35" s="43"/>
      <c r="E35" s="43"/>
      <c r="F35" s="38"/>
      <c r="G35" s="38"/>
      <c r="H35" s="44" t="s">
        <v>435</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Dutch</v>
      </c>
      <c r="J35" s="45" t="b">
        <f>TRUE()</f>
        <v>1</v>
      </c>
      <c r="K35" s="46" t="b">
        <f>TRUE()</f>
        <v>1</v>
      </c>
      <c r="L35" s="38" t="s">
        <v>436</v>
      </c>
      <c r="M35" s="48" t="b">
        <f>FALSE()</f>
        <v>0</v>
      </c>
      <c r="N35" s="49" t="str">
        <f t="shared" si="0"/>
        <v>https://download.lenovo.com/Images/Parts/01EN701/01EN701_A.jpg</v>
      </c>
      <c r="O35" s="49" t="str">
        <f t="shared" si="1"/>
        <v>https://download.lenovo.com/Images/Parts/01EN701/01EN701_B.jpg</v>
      </c>
      <c r="P35" s="50" t="str">
        <f t="shared" si="2"/>
        <v>https://download.lenovo.com/Images/Parts/01EN701/01EN701_details.jpg</v>
      </c>
      <c r="Q35" t="str">
        <f t="shared" si="3"/>
        <v/>
      </c>
      <c r="R35" t="str">
        <f t="shared" si="4"/>
        <v/>
      </c>
      <c r="S35" t="str">
        <f t="shared" si="5"/>
        <v/>
      </c>
      <c r="T35" t="str">
        <f t="shared" si="6"/>
        <v/>
      </c>
      <c r="U35" t="str">
        <f t="shared" si="7"/>
        <v/>
      </c>
      <c r="V35" t="str">
        <f t="shared" si="8"/>
        <v/>
      </c>
      <c r="W35" s="44">
        <f>MATCH(H35,options!$D$1:$D$20,0)</f>
        <v>10</v>
      </c>
    </row>
    <row r="36" spans="1:23" ht="14" x14ac:dyDescent="0.15">
      <c r="A36" s="39" t="s">
        <v>437</v>
      </c>
      <c r="B36" s="54" t="s">
        <v>438</v>
      </c>
      <c r="C36" s="43"/>
      <c r="D36" s="43"/>
      <c r="E36" s="43"/>
      <c r="F36" s="38"/>
      <c r="G36" s="38"/>
      <c r="H36" s="44" t="s">
        <v>439</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Norwegian</v>
      </c>
      <c r="J36" s="45" t="b">
        <f>TRUE()</f>
        <v>1</v>
      </c>
      <c r="K36" s="46" t="b">
        <f>TRUE()</f>
        <v>1</v>
      </c>
      <c r="L36" s="38" t="s">
        <v>440</v>
      </c>
      <c r="M36" s="48" t="b">
        <f>FALSE()</f>
        <v>0</v>
      </c>
      <c r="N36" s="49" t="str">
        <f t="shared" ref="N36:N67" si="9">IF(ISBLANK(L36),"",IF(M36, "https://raw.githubusercontent.com/PatrickVibild/TellusAmazonPictures/master/pictures/"&amp;L36&amp;"/1.jpg","https://download.lenovo.com/Images/Parts/"&amp;L36&amp;"/"&amp;L36&amp;"_A.jpg"))</f>
        <v>https://download.lenovo.com/Images/Parts/01EN702/01EN702_A.jpg</v>
      </c>
      <c r="O36" s="49" t="str">
        <f t="shared" ref="O36:O67" si="10">IF(ISBLANK(L36),"",IF(M36, "https://raw.githubusercontent.com/PatrickVibild/TellusAmazonPictures/master/pictures/"&amp;L36&amp;"/2.jpg","https://download.lenovo.com/Images/Parts/"&amp;L36&amp;"/"&amp;L36&amp;"_B.jpg"))</f>
        <v>https://download.lenovo.com/Images/Parts/01EN702/01EN702_B.jpg</v>
      </c>
      <c r="P36" s="50"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4">
        <f>MATCH(H36,options!$D$1:$D$20,0)</f>
        <v>11</v>
      </c>
    </row>
    <row r="37" spans="1:23" ht="14" x14ac:dyDescent="0.15">
      <c r="A37" t="s">
        <v>441</v>
      </c>
      <c r="B37" s="54" t="s">
        <v>442</v>
      </c>
      <c r="C37" s="43"/>
      <c r="D37" s="43"/>
      <c r="E37" s="43"/>
      <c r="F37" s="38"/>
      <c r="G37" s="38"/>
      <c r="H37" s="44" t="s">
        <v>443</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Polish</v>
      </c>
      <c r="J37" s="45" t="b">
        <f>TRUE()</f>
        <v>1</v>
      </c>
      <c r="K37" s="46" t="b">
        <f>TRUE()</f>
        <v>1</v>
      </c>
      <c r="L37" s="38"/>
      <c r="M37" s="48" t="b">
        <f>FALSE()</f>
        <v>0</v>
      </c>
      <c r="N37" s="49" t="str">
        <f t="shared" si="9"/>
        <v/>
      </c>
      <c r="O37" s="49" t="str">
        <f t="shared" si="10"/>
        <v/>
      </c>
      <c r="P37" s="50" t="str">
        <f t="shared" si="11"/>
        <v/>
      </c>
      <c r="Q37" t="str">
        <f t="shared" si="12"/>
        <v/>
      </c>
      <c r="R37" t="str">
        <f t="shared" si="13"/>
        <v/>
      </c>
      <c r="S37" t="str">
        <f t="shared" si="14"/>
        <v/>
      </c>
      <c r="T37" t="str">
        <f t="shared" si="15"/>
        <v/>
      </c>
      <c r="U37" t="str">
        <f t="shared" si="16"/>
        <v/>
      </c>
      <c r="V37" t="str">
        <f t="shared" si="17"/>
        <v/>
      </c>
      <c r="W37" s="44">
        <f>MATCH(H37,options!$D$1:$D$20,0)</f>
        <v>12</v>
      </c>
    </row>
    <row r="38" spans="1:23" ht="14" x14ac:dyDescent="0.15">
      <c r="C38" s="43"/>
      <c r="D38" s="43"/>
      <c r="E38" s="43"/>
      <c r="F38" s="38"/>
      <c r="G38" s="38"/>
      <c r="H38" s="44" t="s">
        <v>444</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Portuguese</v>
      </c>
      <c r="J38" s="45" t="b">
        <f>TRUE()</f>
        <v>1</v>
      </c>
      <c r="K38" s="46" t="b">
        <f>TRUE()</f>
        <v>1</v>
      </c>
      <c r="L38" s="38" t="s">
        <v>445</v>
      </c>
      <c r="M38" s="48" t="b">
        <f>FALSE()</f>
        <v>0</v>
      </c>
      <c r="N38" s="49" t="str">
        <f t="shared" si="9"/>
        <v>https://download.lenovo.com/Images/Parts/01EN704/01EN704_A.jpg</v>
      </c>
      <c r="O38" s="49" t="str">
        <f t="shared" si="10"/>
        <v>https://download.lenovo.com/Images/Parts/01EN704/01EN704_B.jpg</v>
      </c>
      <c r="P38" s="50" t="str">
        <f t="shared" si="11"/>
        <v>https://download.lenovo.com/Images/Parts/01EN704/01EN704_details.jpg</v>
      </c>
      <c r="Q38" t="str">
        <f t="shared" si="12"/>
        <v/>
      </c>
      <c r="R38" t="str">
        <f t="shared" si="13"/>
        <v/>
      </c>
      <c r="S38" t="str">
        <f t="shared" si="14"/>
        <v/>
      </c>
      <c r="T38" t="str">
        <f t="shared" si="15"/>
        <v/>
      </c>
      <c r="U38" t="str">
        <f t="shared" si="16"/>
        <v/>
      </c>
      <c r="V38" t="str">
        <f t="shared" si="17"/>
        <v/>
      </c>
      <c r="W38" s="44">
        <f>MATCH(H38,options!$D$1:$D$20,0)</f>
        <v>13</v>
      </c>
    </row>
    <row r="39" spans="1:23" ht="14" x14ac:dyDescent="0.15">
      <c r="C39" s="43"/>
      <c r="D39" s="43"/>
      <c r="E39" s="43"/>
      <c r="F39" s="38"/>
      <c r="G39" s="38"/>
      <c r="H39" s="44" t="s">
        <v>446</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Swedish – Finnish</v>
      </c>
      <c r="J39" s="45" t="b">
        <f>TRUE()</f>
        <v>1</v>
      </c>
      <c r="K39" s="46" t="b">
        <f>TRUE()</f>
        <v>1</v>
      </c>
      <c r="L39" s="38" t="s">
        <v>447</v>
      </c>
      <c r="M39" s="48" t="b">
        <f>FALSE()</f>
        <v>0</v>
      </c>
      <c r="N39" s="49" t="str">
        <f t="shared" si="9"/>
        <v>https://download.lenovo.com/Images/Parts/01EN749/01EN749_A.jpg</v>
      </c>
      <c r="O39" s="49" t="str">
        <f t="shared" si="10"/>
        <v>https://download.lenovo.com/Images/Parts/01EN749/01EN749_B.jpg</v>
      </c>
      <c r="P39" s="50" t="str">
        <f t="shared" si="11"/>
        <v>https://download.lenovo.com/Images/Parts/01EN749/01EN749_details.jpg</v>
      </c>
      <c r="Q39" t="str">
        <f t="shared" si="12"/>
        <v/>
      </c>
      <c r="R39" t="str">
        <f t="shared" si="13"/>
        <v/>
      </c>
      <c r="S39" t="str">
        <f t="shared" si="14"/>
        <v/>
      </c>
      <c r="T39" t="str">
        <f t="shared" si="15"/>
        <v/>
      </c>
      <c r="U39" t="str">
        <f t="shared" si="16"/>
        <v/>
      </c>
      <c r="V39" t="str">
        <f t="shared" si="17"/>
        <v/>
      </c>
      <c r="W39" s="44">
        <f>MATCH(H39,options!$D$1:$D$20,0)</f>
        <v>14</v>
      </c>
    </row>
    <row r="40" spans="1:23" ht="14" x14ac:dyDescent="0.15">
      <c r="C40" s="43"/>
      <c r="D40" s="43"/>
      <c r="E40" s="43"/>
      <c r="F40" s="38"/>
      <c r="G40" s="38"/>
      <c r="H40" s="44" t="s">
        <v>394</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Swiss</v>
      </c>
      <c r="J40" s="45" t="b">
        <f>TRUE()</f>
        <v>1</v>
      </c>
      <c r="K40" s="46" t="b">
        <f>TRUE()</f>
        <v>1</v>
      </c>
      <c r="L40" s="38" t="s">
        <v>448</v>
      </c>
      <c r="M40" s="48" t="b">
        <f>FALSE()</f>
        <v>0</v>
      </c>
      <c r="N40" s="49" t="str">
        <f t="shared" si="9"/>
        <v>https://download.lenovo.com/Images/Parts/01EN712/01EN712_A.jpg</v>
      </c>
      <c r="O40" s="49" t="str">
        <f t="shared" si="10"/>
        <v>https://download.lenovo.com/Images/Parts/01EN712/01EN712_B.jpg</v>
      </c>
      <c r="P40" s="50" t="str">
        <f t="shared" si="11"/>
        <v>https://download.lenovo.com/Images/Parts/01EN712/01EN712_details.jpg</v>
      </c>
      <c r="Q40" t="str">
        <f t="shared" si="12"/>
        <v/>
      </c>
      <c r="R40" t="str">
        <f t="shared" si="13"/>
        <v/>
      </c>
      <c r="S40" t="str">
        <f t="shared" si="14"/>
        <v/>
      </c>
      <c r="T40" t="str">
        <f t="shared" si="15"/>
        <v/>
      </c>
      <c r="U40" t="str">
        <f t="shared" si="16"/>
        <v/>
      </c>
      <c r="V40" t="str">
        <f t="shared" si="17"/>
        <v/>
      </c>
      <c r="W40" s="44">
        <f>MATCH(H40,options!$D$1:$D$20,0)</f>
        <v>15</v>
      </c>
    </row>
    <row r="41" spans="1:23" ht="28" x14ac:dyDescent="0.15">
      <c r="C41" s="43"/>
      <c r="D41" s="43"/>
      <c r="E41" s="43"/>
      <c r="F41" s="38"/>
      <c r="G41" s="38"/>
      <c r="H41" s="44" t="s">
        <v>396</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45" t="b">
        <f>TRUE()</f>
        <v>1</v>
      </c>
      <c r="K41" s="46" t="b">
        <f>TRUE()</f>
        <v>1</v>
      </c>
      <c r="L41" s="38" t="s">
        <v>449</v>
      </c>
      <c r="M41" s="48" t="b">
        <f>TRUE()</f>
        <v>1</v>
      </c>
      <c r="N41" s="49" t="str">
        <f t="shared" si="9"/>
        <v>https://raw.githubusercontent.com/PatrickVibild/TellusAmazonPictures/master/pictures/Lenovo/T470S/BL/USI/1.jpg</v>
      </c>
      <c r="O41" s="49" t="str">
        <f t="shared" si="10"/>
        <v>https://raw.githubusercontent.com/PatrickVibild/TellusAmazonPictures/master/pictures/Lenovo/T470S/BL/USI/2.jpg</v>
      </c>
      <c r="P41" s="50"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4">
        <f>MATCH(H41,options!$D$1:$D$20,0)</f>
        <v>16</v>
      </c>
    </row>
    <row r="42" spans="1:23" ht="14" x14ac:dyDescent="0.15">
      <c r="C42" s="43"/>
      <c r="D42" s="43"/>
      <c r="E42" s="43"/>
      <c r="F42" s="38"/>
      <c r="G42" s="38"/>
      <c r="H42" s="44" t="s">
        <v>450</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Russian</v>
      </c>
      <c r="J42" s="45" t="b">
        <f>TRUE()</f>
        <v>1</v>
      </c>
      <c r="K42" s="46" t="b">
        <f>TRUE()</f>
        <v>1</v>
      </c>
      <c r="L42" s="38" t="s">
        <v>451</v>
      </c>
      <c r="M42" s="48" t="b">
        <f>FALSE()</f>
        <v>0</v>
      </c>
      <c r="N42" s="49" t="str">
        <f t="shared" si="9"/>
        <v>https://download.lenovo.com/Images/Parts/01EN705/01EN705_A.jpg</v>
      </c>
      <c r="O42" s="49" t="str">
        <f t="shared" si="10"/>
        <v>https://download.lenovo.com/Images/Parts/01EN705/01EN705_B.jpg</v>
      </c>
      <c r="P42" s="50" t="str">
        <f t="shared" si="11"/>
        <v>https://download.lenovo.com/Images/Parts/01EN705/01EN705_details.jpg</v>
      </c>
      <c r="Q42" t="str">
        <f t="shared" si="12"/>
        <v/>
      </c>
      <c r="R42" t="str">
        <f t="shared" si="13"/>
        <v/>
      </c>
      <c r="S42" t="str">
        <f t="shared" si="14"/>
        <v/>
      </c>
      <c r="T42" t="str">
        <f t="shared" si="15"/>
        <v/>
      </c>
      <c r="U42" t="str">
        <f t="shared" si="16"/>
        <v/>
      </c>
      <c r="V42" t="str">
        <f t="shared" si="17"/>
        <v/>
      </c>
      <c r="W42" s="44">
        <f>MATCH(H42,options!$D$1:$D$20,0)</f>
        <v>17</v>
      </c>
    </row>
    <row r="43" spans="1:23" ht="28" x14ac:dyDescent="0.15">
      <c r="C43" s="43"/>
      <c r="D43" s="43"/>
      <c r="E43" s="43"/>
      <c r="F43" s="38"/>
      <c r="G43" s="38"/>
      <c r="H43" s="44" t="s">
        <v>400</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45" t="b">
        <f>TRUE()</f>
        <v>1</v>
      </c>
      <c r="K43" s="46" t="b">
        <f>TRUE()</f>
        <v>1</v>
      </c>
      <c r="L43" s="38" t="s">
        <v>452</v>
      </c>
      <c r="M43" s="48" t="b">
        <f>TRUE()</f>
        <v>1</v>
      </c>
      <c r="N43" s="49" t="str">
        <f t="shared" si="9"/>
        <v>https://raw.githubusercontent.com/PatrickVibild/TellusAmazonPictures/master/pictures/Lenovo/T470S/BL/US/1.jpg</v>
      </c>
      <c r="O43" s="49" t="str">
        <f t="shared" si="10"/>
        <v>https://raw.githubusercontent.com/PatrickVibild/TellusAmazonPictures/master/pictures/Lenovo/T470S/BL/US/2.jpg</v>
      </c>
      <c r="P43" s="50"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4">
        <f>MATCH(H43,options!$D$1:$D$20,0)</f>
        <v>18</v>
      </c>
    </row>
    <row r="44" spans="1:23" x14ac:dyDescent="0.15">
      <c r="F44" s="56"/>
      <c r="G44" s="57"/>
      <c r="H44" s="57"/>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7"/>
      <c r="K44" s="57"/>
      <c r="L44" s="49"/>
      <c r="M44" s="49"/>
      <c r="N44" s="49" t="str">
        <f t="shared" si="9"/>
        <v/>
      </c>
      <c r="O44" s="49" t="str">
        <f t="shared" si="10"/>
        <v/>
      </c>
      <c r="P44" s="50" t="str">
        <f t="shared" si="11"/>
        <v/>
      </c>
      <c r="Q44" t="str">
        <f t="shared" si="12"/>
        <v/>
      </c>
      <c r="R44" t="str">
        <f t="shared" si="13"/>
        <v/>
      </c>
      <c r="S44" t="str">
        <f t="shared" si="14"/>
        <v/>
      </c>
      <c r="T44" t="str">
        <f t="shared" si="15"/>
        <v/>
      </c>
      <c r="U44" t="str">
        <f t="shared" si="16"/>
        <v/>
      </c>
      <c r="V44" t="str">
        <f t="shared" si="17"/>
        <v/>
      </c>
      <c r="W44" s="44" t="e">
        <f>MATCH(H44,options!$D$1:$D$20,0)</f>
        <v>#N/A</v>
      </c>
    </row>
    <row r="45" spans="1:23" x14ac:dyDescent="0.15">
      <c r="F45" s="56"/>
      <c r="G45" s="57"/>
      <c r="H45" s="57"/>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7"/>
      <c r="K45" s="57"/>
      <c r="L45" s="49"/>
      <c r="M45" s="49"/>
      <c r="N45" s="49" t="str">
        <f t="shared" si="9"/>
        <v/>
      </c>
      <c r="O45" s="49" t="str">
        <f t="shared" si="10"/>
        <v/>
      </c>
      <c r="P45" s="50" t="str">
        <f t="shared" si="11"/>
        <v/>
      </c>
      <c r="Q45" t="str">
        <f t="shared" si="12"/>
        <v/>
      </c>
      <c r="R45" t="str">
        <f t="shared" si="13"/>
        <v/>
      </c>
      <c r="S45" t="str">
        <f t="shared" si="14"/>
        <v/>
      </c>
      <c r="T45" t="str">
        <f t="shared" si="15"/>
        <v/>
      </c>
      <c r="U45" t="str">
        <f t="shared" si="16"/>
        <v/>
      </c>
      <c r="V45" t="str">
        <f t="shared" si="17"/>
        <v/>
      </c>
      <c r="W45" s="44" t="e">
        <f>MATCH(H45,options!$D$1:$D$20,0)</f>
        <v>#N/A</v>
      </c>
    </row>
    <row r="46" spans="1:23" x14ac:dyDescent="0.15">
      <c r="F46" s="56"/>
      <c r="G46" s="57"/>
      <c r="H46" s="57"/>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7"/>
      <c r="K46" s="57"/>
      <c r="L46" s="49"/>
      <c r="M46" s="49"/>
      <c r="N46" s="49" t="str">
        <f t="shared" si="9"/>
        <v/>
      </c>
      <c r="O46" s="49" t="str">
        <f t="shared" si="10"/>
        <v/>
      </c>
      <c r="P46" s="50" t="str">
        <f t="shared" si="11"/>
        <v/>
      </c>
      <c r="Q46" t="str">
        <f t="shared" si="12"/>
        <v/>
      </c>
      <c r="R46" t="str">
        <f t="shared" si="13"/>
        <v/>
      </c>
      <c r="S46" t="str">
        <f t="shared" si="14"/>
        <v/>
      </c>
      <c r="T46" t="str">
        <f t="shared" si="15"/>
        <v/>
      </c>
      <c r="U46" t="str">
        <f t="shared" si="16"/>
        <v/>
      </c>
      <c r="V46" t="str">
        <f t="shared" si="17"/>
        <v/>
      </c>
      <c r="W46" s="44" t="e">
        <f>MATCH(H46,options!$D$1:$D$20,0)</f>
        <v>#N/A</v>
      </c>
    </row>
    <row r="47" spans="1:23" x14ac:dyDescent="0.15">
      <c r="F47" s="56"/>
      <c r="G47" s="57"/>
      <c r="H47" s="57"/>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7"/>
      <c r="K47" s="57"/>
      <c r="L47" s="49"/>
      <c r="M47" s="49"/>
      <c r="N47" s="49" t="str">
        <f t="shared" si="9"/>
        <v/>
      </c>
      <c r="O47" s="49" t="str">
        <f t="shared" si="10"/>
        <v/>
      </c>
      <c r="P47" s="50" t="str">
        <f t="shared" si="11"/>
        <v/>
      </c>
      <c r="Q47" t="str">
        <f t="shared" si="12"/>
        <v/>
      </c>
      <c r="R47" t="str">
        <f t="shared" si="13"/>
        <v/>
      </c>
      <c r="S47" t="str">
        <f t="shared" si="14"/>
        <v/>
      </c>
      <c r="T47" t="str">
        <f t="shared" si="15"/>
        <v/>
      </c>
      <c r="U47" t="str">
        <f t="shared" si="16"/>
        <v/>
      </c>
      <c r="V47" t="str">
        <f t="shared" si="17"/>
        <v/>
      </c>
      <c r="W47" s="44" t="e">
        <f>MATCH(H47,options!$D$1:$D$20,0)</f>
        <v>#N/A</v>
      </c>
    </row>
    <row r="48" spans="1:23" x14ac:dyDescent="0.15">
      <c r="F48" s="56"/>
      <c r="G48" s="57"/>
      <c r="H48" s="57"/>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7"/>
      <c r="K48" s="57"/>
      <c r="L48" s="49"/>
      <c r="M48" s="49"/>
      <c r="N48" s="49" t="str">
        <f t="shared" si="9"/>
        <v/>
      </c>
      <c r="O48" s="49" t="str">
        <f t="shared" si="10"/>
        <v/>
      </c>
      <c r="P48" s="50" t="str">
        <f t="shared" si="11"/>
        <v/>
      </c>
      <c r="Q48" t="str">
        <f t="shared" si="12"/>
        <v/>
      </c>
      <c r="R48" t="str">
        <f t="shared" si="13"/>
        <v/>
      </c>
      <c r="S48" t="str">
        <f t="shared" si="14"/>
        <v/>
      </c>
      <c r="T48" t="str">
        <f t="shared" si="15"/>
        <v/>
      </c>
      <c r="U48" t="str">
        <f t="shared" si="16"/>
        <v/>
      </c>
      <c r="V48" t="str">
        <f t="shared" si="17"/>
        <v/>
      </c>
      <c r="W48" s="44" t="e">
        <f>MATCH(H48,options!$D$1:$D$20,0)</f>
        <v>#N/A</v>
      </c>
    </row>
    <row r="49" spans="6:23" x14ac:dyDescent="0.15">
      <c r="F49" s="56"/>
      <c r="G49" s="57"/>
      <c r="H49" s="57"/>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7"/>
      <c r="K49" s="57"/>
      <c r="L49" s="49"/>
      <c r="M49" s="49"/>
      <c r="N49" s="49" t="str">
        <f t="shared" si="9"/>
        <v/>
      </c>
      <c r="O49" s="49" t="str">
        <f t="shared" si="10"/>
        <v/>
      </c>
      <c r="P49" s="50" t="str">
        <f t="shared" si="11"/>
        <v/>
      </c>
      <c r="Q49" t="str">
        <f t="shared" si="12"/>
        <v/>
      </c>
      <c r="R49" t="str">
        <f t="shared" si="13"/>
        <v/>
      </c>
      <c r="S49" t="str">
        <f t="shared" si="14"/>
        <v/>
      </c>
      <c r="T49" t="str">
        <f t="shared" si="15"/>
        <v/>
      </c>
      <c r="U49" t="str">
        <f t="shared" si="16"/>
        <v/>
      </c>
      <c r="V49" t="str">
        <f t="shared" si="17"/>
        <v/>
      </c>
      <c r="W49" s="44" t="e">
        <f>MATCH(H49,options!$D$1:$D$20,0)</f>
        <v>#N/A</v>
      </c>
    </row>
    <row r="50" spans="6:23" x14ac:dyDescent="0.15">
      <c r="F50" s="56"/>
      <c r="G50" s="57"/>
      <c r="H50" s="57"/>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7"/>
      <c r="K50" s="57"/>
      <c r="L50" s="49"/>
      <c r="M50" s="49"/>
      <c r="N50" s="49" t="str">
        <f t="shared" si="9"/>
        <v/>
      </c>
      <c r="O50" s="49" t="str">
        <f t="shared" si="10"/>
        <v/>
      </c>
      <c r="P50" s="50" t="str">
        <f t="shared" si="11"/>
        <v/>
      </c>
      <c r="Q50" t="str">
        <f t="shared" si="12"/>
        <v/>
      </c>
      <c r="R50" t="str">
        <f t="shared" si="13"/>
        <v/>
      </c>
      <c r="S50" t="str">
        <f t="shared" si="14"/>
        <v/>
      </c>
      <c r="T50" t="str">
        <f t="shared" si="15"/>
        <v/>
      </c>
      <c r="U50" t="str">
        <f t="shared" si="16"/>
        <v/>
      </c>
      <c r="V50" t="str">
        <f t="shared" si="17"/>
        <v/>
      </c>
      <c r="W50" s="44" t="e">
        <f>MATCH(H50,options!$D$1:$D$20,0)</f>
        <v>#N/A</v>
      </c>
    </row>
    <row r="51" spans="6:23" x14ac:dyDescent="0.15">
      <c r="F51" s="56"/>
      <c r="G51" s="57"/>
      <c r="H51" s="57"/>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7"/>
      <c r="K51" s="57"/>
      <c r="L51" s="49"/>
      <c r="M51" s="49"/>
      <c r="N51" s="49" t="str">
        <f t="shared" si="9"/>
        <v/>
      </c>
      <c r="O51" s="49" t="str">
        <f t="shared" si="10"/>
        <v/>
      </c>
      <c r="P51" s="50" t="str">
        <f t="shared" si="11"/>
        <v/>
      </c>
      <c r="Q51" t="str">
        <f t="shared" si="12"/>
        <v/>
      </c>
      <c r="R51" t="str">
        <f t="shared" si="13"/>
        <v/>
      </c>
      <c r="S51" t="str">
        <f t="shared" si="14"/>
        <v/>
      </c>
      <c r="T51" t="str">
        <f t="shared" si="15"/>
        <v/>
      </c>
      <c r="U51" t="str">
        <f t="shared" si="16"/>
        <v/>
      </c>
      <c r="V51" t="str">
        <f t="shared" si="17"/>
        <v/>
      </c>
      <c r="W51" s="44" t="e">
        <f>MATCH(H51,options!$D$1:$D$20,0)</f>
        <v>#N/A</v>
      </c>
    </row>
    <row r="52" spans="6:23" x14ac:dyDescent="0.15">
      <c r="F52" s="56"/>
      <c r="G52" s="57"/>
      <c r="H52" s="57"/>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7"/>
      <c r="K52" s="57"/>
      <c r="L52" s="49"/>
      <c r="M52" s="49"/>
      <c r="N52" s="49" t="str">
        <f t="shared" si="9"/>
        <v/>
      </c>
      <c r="O52" s="49" t="str">
        <f t="shared" si="10"/>
        <v/>
      </c>
      <c r="P52" s="50" t="str">
        <f t="shared" si="11"/>
        <v/>
      </c>
      <c r="Q52" t="str">
        <f t="shared" si="12"/>
        <v/>
      </c>
      <c r="R52" t="str">
        <f t="shared" si="13"/>
        <v/>
      </c>
      <c r="S52" t="str">
        <f t="shared" si="14"/>
        <v/>
      </c>
      <c r="T52" t="str">
        <f t="shared" si="15"/>
        <v/>
      </c>
      <c r="U52" t="str">
        <f t="shared" si="16"/>
        <v/>
      </c>
      <c r="V52" t="str">
        <f t="shared" si="17"/>
        <v/>
      </c>
      <c r="W52" s="44" t="e">
        <f>MATCH(H52,options!$D$1:$D$20,0)</f>
        <v>#N/A</v>
      </c>
    </row>
    <row r="53" spans="6:23" x14ac:dyDescent="0.15">
      <c r="F53" s="56"/>
      <c r="G53" s="57"/>
      <c r="H53" s="57"/>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7"/>
      <c r="K53" s="57"/>
      <c r="L53" s="49"/>
      <c r="M53" s="49"/>
      <c r="N53" s="49" t="str">
        <f t="shared" si="9"/>
        <v/>
      </c>
      <c r="O53" s="49" t="str">
        <f t="shared" si="10"/>
        <v/>
      </c>
      <c r="P53" s="50" t="str">
        <f t="shared" si="11"/>
        <v/>
      </c>
      <c r="Q53" t="str">
        <f t="shared" si="12"/>
        <v/>
      </c>
      <c r="R53" t="str">
        <f t="shared" si="13"/>
        <v/>
      </c>
      <c r="S53" t="str">
        <f t="shared" si="14"/>
        <v/>
      </c>
      <c r="T53" t="str">
        <f t="shared" si="15"/>
        <v/>
      </c>
      <c r="U53" t="str">
        <f t="shared" si="16"/>
        <v/>
      </c>
      <c r="V53" t="str">
        <f t="shared" si="17"/>
        <v/>
      </c>
      <c r="W53" s="44" t="e">
        <f>MATCH(H53,options!$D$1:$D$20,0)</f>
        <v>#N/A</v>
      </c>
    </row>
    <row r="54" spans="6:23" x14ac:dyDescent="0.15">
      <c r="F54" s="56"/>
      <c r="G54" s="57"/>
      <c r="H54" s="57"/>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7"/>
      <c r="K54" s="57"/>
      <c r="L54" s="49"/>
      <c r="M54" s="49"/>
      <c r="N54" s="49" t="str">
        <f t="shared" si="9"/>
        <v/>
      </c>
      <c r="O54" s="49" t="str">
        <f t="shared" si="10"/>
        <v/>
      </c>
      <c r="P54" s="50" t="str">
        <f t="shared" si="11"/>
        <v/>
      </c>
      <c r="Q54" t="str">
        <f t="shared" si="12"/>
        <v/>
      </c>
      <c r="R54" t="str">
        <f t="shared" si="13"/>
        <v/>
      </c>
      <c r="S54" t="str">
        <f t="shared" si="14"/>
        <v/>
      </c>
      <c r="T54" t="str">
        <f t="shared" si="15"/>
        <v/>
      </c>
      <c r="U54" t="str">
        <f t="shared" si="16"/>
        <v/>
      </c>
      <c r="V54" t="str">
        <f t="shared" si="17"/>
        <v/>
      </c>
      <c r="W54" s="44" t="e">
        <f>MATCH(H54,options!$D$1:$D$20,0)</f>
        <v>#N/A</v>
      </c>
    </row>
    <row r="55" spans="6:23" x14ac:dyDescent="0.15">
      <c r="F55" s="56"/>
      <c r="G55" s="57"/>
      <c r="H55" s="57"/>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7"/>
      <c r="K55" s="57"/>
      <c r="L55" s="49"/>
      <c r="M55" s="49"/>
      <c r="N55" s="49" t="str">
        <f t="shared" si="9"/>
        <v/>
      </c>
      <c r="O55" s="49" t="str">
        <f t="shared" si="10"/>
        <v/>
      </c>
      <c r="P55" s="50" t="str">
        <f t="shared" si="11"/>
        <v/>
      </c>
      <c r="Q55" t="str">
        <f t="shared" si="12"/>
        <v/>
      </c>
      <c r="R55" t="str">
        <f t="shared" si="13"/>
        <v/>
      </c>
      <c r="S55" t="str">
        <f t="shared" si="14"/>
        <v/>
      </c>
      <c r="T55" t="str">
        <f t="shared" si="15"/>
        <v/>
      </c>
      <c r="U55" t="str">
        <f t="shared" si="16"/>
        <v/>
      </c>
      <c r="V55" t="str">
        <f t="shared" si="17"/>
        <v/>
      </c>
      <c r="W55" s="44" t="e">
        <f>MATCH(H55,options!$D$1:$D$20,0)</f>
        <v>#N/A</v>
      </c>
    </row>
    <row r="56" spans="6:23" x14ac:dyDescent="0.15">
      <c r="F56" s="56"/>
      <c r="G56" s="57"/>
      <c r="H56" s="57"/>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7"/>
      <c r="K56" s="57"/>
      <c r="L56" s="49"/>
      <c r="M56" s="49"/>
      <c r="N56" s="49" t="str">
        <f t="shared" si="9"/>
        <v/>
      </c>
      <c r="O56" s="49" t="str">
        <f t="shared" si="10"/>
        <v/>
      </c>
      <c r="P56" s="50" t="str">
        <f t="shared" si="11"/>
        <v/>
      </c>
      <c r="Q56" t="str">
        <f t="shared" si="12"/>
        <v/>
      </c>
      <c r="R56" t="str">
        <f t="shared" si="13"/>
        <v/>
      </c>
      <c r="S56" t="str">
        <f t="shared" si="14"/>
        <v/>
      </c>
      <c r="T56" t="str">
        <f t="shared" si="15"/>
        <v/>
      </c>
      <c r="U56" t="str">
        <f t="shared" si="16"/>
        <v/>
      </c>
      <c r="V56" t="str">
        <f t="shared" si="17"/>
        <v/>
      </c>
      <c r="W56" s="44" t="e">
        <f>MATCH(H56,options!$D$1:$D$20,0)</f>
        <v>#N/A</v>
      </c>
    </row>
    <row r="57" spans="6:23" x14ac:dyDescent="0.15">
      <c r="F57" s="56"/>
      <c r="G57" s="57"/>
      <c r="H57" s="57"/>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7"/>
      <c r="K57" s="57"/>
      <c r="L57" s="49"/>
      <c r="M57" s="49"/>
      <c r="N57" s="49" t="str">
        <f t="shared" si="9"/>
        <v/>
      </c>
      <c r="O57" s="49" t="str">
        <f t="shared" si="10"/>
        <v/>
      </c>
      <c r="P57" s="50" t="str">
        <f t="shared" si="11"/>
        <v/>
      </c>
      <c r="Q57" t="str">
        <f t="shared" si="12"/>
        <v/>
      </c>
      <c r="R57" t="str">
        <f t="shared" si="13"/>
        <v/>
      </c>
      <c r="S57" t="str">
        <f t="shared" si="14"/>
        <v/>
      </c>
      <c r="T57" t="str">
        <f t="shared" si="15"/>
        <v/>
      </c>
      <c r="U57" t="str">
        <f t="shared" si="16"/>
        <v/>
      </c>
      <c r="V57" t="str">
        <f t="shared" si="17"/>
        <v/>
      </c>
      <c r="W57" s="44" t="e">
        <f>MATCH(H57,options!$D$1:$D$20,0)</f>
        <v>#N/A</v>
      </c>
    </row>
    <row r="58" spans="6:23" x14ac:dyDescent="0.15">
      <c r="F58" s="56"/>
      <c r="G58" s="57"/>
      <c r="H58" s="57"/>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7"/>
      <c r="K58" s="57"/>
      <c r="L58" s="49"/>
      <c r="M58" s="49"/>
      <c r="N58" s="49" t="str">
        <f t="shared" si="9"/>
        <v/>
      </c>
      <c r="O58" s="49" t="str">
        <f t="shared" si="10"/>
        <v/>
      </c>
      <c r="P58" s="50" t="str">
        <f t="shared" si="11"/>
        <v/>
      </c>
      <c r="Q58" t="str">
        <f t="shared" si="12"/>
        <v/>
      </c>
      <c r="R58" t="str">
        <f t="shared" si="13"/>
        <v/>
      </c>
      <c r="S58" t="str">
        <f t="shared" si="14"/>
        <v/>
      </c>
      <c r="T58" t="str">
        <f t="shared" si="15"/>
        <v/>
      </c>
      <c r="U58" t="str">
        <f t="shared" si="16"/>
        <v/>
      </c>
      <c r="V58" t="str">
        <f t="shared" si="17"/>
        <v/>
      </c>
      <c r="W58" s="44" t="e">
        <f>MATCH(H58,options!$D$1:$D$20,0)</f>
        <v>#N/A</v>
      </c>
    </row>
    <row r="59" spans="6:23" x14ac:dyDescent="0.15">
      <c r="F59" s="56"/>
      <c r="G59" s="57"/>
      <c r="H59" s="57"/>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7"/>
      <c r="K59" s="57"/>
      <c r="L59" s="49"/>
      <c r="M59" s="49"/>
      <c r="N59" s="49" t="str">
        <f t="shared" si="9"/>
        <v/>
      </c>
      <c r="O59" s="49" t="str">
        <f t="shared" si="10"/>
        <v/>
      </c>
      <c r="P59" s="50" t="str">
        <f t="shared" si="11"/>
        <v/>
      </c>
      <c r="Q59" t="str">
        <f t="shared" si="12"/>
        <v/>
      </c>
      <c r="R59" t="str">
        <f t="shared" si="13"/>
        <v/>
      </c>
      <c r="S59" t="str">
        <f t="shared" si="14"/>
        <v/>
      </c>
      <c r="T59" t="str">
        <f t="shared" si="15"/>
        <v/>
      </c>
      <c r="U59" t="str">
        <f t="shared" si="16"/>
        <v/>
      </c>
      <c r="V59" t="str">
        <f t="shared" si="17"/>
        <v/>
      </c>
      <c r="W59" s="44" t="e">
        <f>MATCH(H59,options!$D$1:$D$20,0)</f>
        <v>#N/A</v>
      </c>
    </row>
    <row r="60" spans="6:23" x14ac:dyDescent="0.15">
      <c r="F60" s="56"/>
      <c r="G60" s="57"/>
      <c r="H60" s="57"/>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7"/>
      <c r="K60" s="57"/>
      <c r="L60" s="49"/>
      <c r="M60" s="49"/>
      <c r="N60" s="49" t="str">
        <f t="shared" si="9"/>
        <v/>
      </c>
      <c r="O60" s="49" t="str">
        <f t="shared" si="10"/>
        <v/>
      </c>
      <c r="P60" s="50" t="str">
        <f t="shared" si="11"/>
        <v/>
      </c>
      <c r="Q60" t="str">
        <f t="shared" si="12"/>
        <v/>
      </c>
      <c r="R60" t="str">
        <f t="shared" si="13"/>
        <v/>
      </c>
      <c r="S60" t="str">
        <f t="shared" si="14"/>
        <v/>
      </c>
      <c r="T60" t="str">
        <f t="shared" si="15"/>
        <v/>
      </c>
      <c r="U60" t="str">
        <f t="shared" si="16"/>
        <v/>
      </c>
      <c r="V60" t="str">
        <f t="shared" si="17"/>
        <v/>
      </c>
      <c r="W60" s="44" t="e">
        <f>MATCH(H60,options!$D$1:$D$20,0)</f>
        <v>#N/A</v>
      </c>
    </row>
    <row r="61" spans="6:23" x14ac:dyDescent="0.15">
      <c r="F61" s="56"/>
      <c r="G61" s="57"/>
      <c r="H61" s="57"/>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7"/>
      <c r="K61" s="57"/>
      <c r="L61" s="49"/>
      <c r="M61" s="49"/>
      <c r="N61" s="49" t="str">
        <f t="shared" si="9"/>
        <v/>
      </c>
      <c r="O61" s="49" t="str">
        <f t="shared" si="10"/>
        <v/>
      </c>
      <c r="P61" s="50" t="str">
        <f t="shared" si="11"/>
        <v/>
      </c>
      <c r="Q61" t="str">
        <f t="shared" si="12"/>
        <v/>
      </c>
      <c r="R61" t="str">
        <f t="shared" si="13"/>
        <v/>
      </c>
      <c r="S61" t="str">
        <f t="shared" si="14"/>
        <v/>
      </c>
      <c r="T61" t="str">
        <f t="shared" si="15"/>
        <v/>
      </c>
      <c r="U61" t="str">
        <f t="shared" si="16"/>
        <v/>
      </c>
      <c r="V61" t="str">
        <f t="shared" si="17"/>
        <v/>
      </c>
      <c r="W61" s="44" t="e">
        <f>MATCH(H61,options!$D$1:$D$20,0)</f>
        <v>#N/A</v>
      </c>
    </row>
    <row r="62" spans="6:23" x14ac:dyDescent="0.15">
      <c r="F62" s="56"/>
      <c r="G62" s="57"/>
      <c r="H62" s="57"/>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7"/>
      <c r="K62" s="57"/>
      <c r="L62" s="49"/>
      <c r="M62" s="49"/>
      <c r="N62" s="49" t="str">
        <f t="shared" si="9"/>
        <v/>
      </c>
      <c r="O62" s="49" t="str">
        <f t="shared" si="10"/>
        <v/>
      </c>
      <c r="P62" s="50" t="str">
        <f t="shared" si="11"/>
        <v/>
      </c>
      <c r="Q62" t="str">
        <f t="shared" si="12"/>
        <v/>
      </c>
      <c r="R62" t="str">
        <f t="shared" si="13"/>
        <v/>
      </c>
      <c r="S62" t="str">
        <f t="shared" si="14"/>
        <v/>
      </c>
      <c r="T62" t="str">
        <f t="shared" si="15"/>
        <v/>
      </c>
      <c r="U62" t="str">
        <f t="shared" si="16"/>
        <v/>
      </c>
      <c r="V62" t="str">
        <f t="shared" si="17"/>
        <v/>
      </c>
      <c r="W62" s="44" t="e">
        <f>MATCH(H62,options!$D$1:$D$20,0)</f>
        <v>#N/A</v>
      </c>
    </row>
    <row r="63" spans="6:23" x14ac:dyDescent="0.15">
      <c r="F63" s="56"/>
      <c r="G63" s="57"/>
      <c r="H63" s="57"/>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7"/>
      <c r="K63" s="57"/>
      <c r="L63" s="49"/>
      <c r="M63" s="49"/>
      <c r="N63" s="49" t="str">
        <f t="shared" si="9"/>
        <v/>
      </c>
      <c r="O63" s="49" t="str">
        <f t="shared" si="10"/>
        <v/>
      </c>
      <c r="P63" s="50" t="str">
        <f t="shared" si="11"/>
        <v/>
      </c>
      <c r="Q63" t="str">
        <f t="shared" si="12"/>
        <v/>
      </c>
      <c r="R63" t="str">
        <f t="shared" si="13"/>
        <v/>
      </c>
      <c r="S63" t="str">
        <f t="shared" si="14"/>
        <v/>
      </c>
      <c r="T63" t="str">
        <f t="shared" si="15"/>
        <v/>
      </c>
      <c r="U63" t="str">
        <f t="shared" si="16"/>
        <v/>
      </c>
      <c r="V63" t="str">
        <f t="shared" si="17"/>
        <v/>
      </c>
      <c r="W63" s="44" t="e">
        <f>MATCH(H63,options!$D$1:$D$20,0)</f>
        <v>#N/A</v>
      </c>
    </row>
    <row r="64" spans="6:23" x14ac:dyDescent="0.15">
      <c r="F64" s="56"/>
      <c r="G64" s="57"/>
      <c r="H64" s="57"/>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7"/>
      <c r="K64" s="57"/>
      <c r="L64" s="49"/>
      <c r="M64" s="49"/>
      <c r="N64" s="49" t="str">
        <f t="shared" si="9"/>
        <v/>
      </c>
      <c r="O64" s="49" t="str">
        <f t="shared" si="10"/>
        <v/>
      </c>
      <c r="P64" s="50" t="str">
        <f t="shared" si="11"/>
        <v/>
      </c>
      <c r="Q64" t="str">
        <f t="shared" si="12"/>
        <v/>
      </c>
      <c r="R64" t="str">
        <f t="shared" si="13"/>
        <v/>
      </c>
      <c r="S64" t="str">
        <f t="shared" si="14"/>
        <v/>
      </c>
      <c r="T64" t="str">
        <f t="shared" si="15"/>
        <v/>
      </c>
      <c r="U64" t="str">
        <f t="shared" si="16"/>
        <v/>
      </c>
      <c r="V64" t="str">
        <f t="shared" si="17"/>
        <v/>
      </c>
      <c r="W64" s="44" t="e">
        <f>MATCH(H64,options!$D$1:$D$20,0)</f>
        <v>#N/A</v>
      </c>
    </row>
    <row r="65" spans="6:23" x14ac:dyDescent="0.15">
      <c r="F65" s="56"/>
      <c r="G65" s="57"/>
      <c r="H65" s="57"/>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7"/>
      <c r="K65" s="57"/>
      <c r="L65" s="49"/>
      <c r="M65" s="49"/>
      <c r="N65" s="49" t="str">
        <f t="shared" si="9"/>
        <v/>
      </c>
      <c r="O65" s="49" t="str">
        <f t="shared" si="10"/>
        <v/>
      </c>
      <c r="P65" s="50" t="str">
        <f t="shared" si="11"/>
        <v/>
      </c>
      <c r="Q65" t="str">
        <f t="shared" si="12"/>
        <v/>
      </c>
      <c r="R65" t="str">
        <f t="shared" si="13"/>
        <v/>
      </c>
      <c r="S65" t="str">
        <f t="shared" si="14"/>
        <v/>
      </c>
      <c r="T65" t="str">
        <f t="shared" si="15"/>
        <v/>
      </c>
      <c r="U65" t="str">
        <f t="shared" si="16"/>
        <v/>
      </c>
      <c r="V65" t="str">
        <f t="shared" si="17"/>
        <v/>
      </c>
      <c r="W65" s="44" t="e">
        <f>MATCH(H65,options!$D$1:$D$20,0)</f>
        <v>#N/A</v>
      </c>
    </row>
    <row r="66" spans="6:23" x14ac:dyDescent="0.15">
      <c r="F66" s="56"/>
      <c r="G66" s="57"/>
      <c r="H66" s="57"/>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7"/>
      <c r="K66" s="57"/>
      <c r="L66" s="49"/>
      <c r="M66" s="49"/>
      <c r="N66" s="49" t="str">
        <f t="shared" si="9"/>
        <v/>
      </c>
      <c r="O66" s="49" t="str">
        <f t="shared" si="10"/>
        <v/>
      </c>
      <c r="P66" s="50" t="str">
        <f t="shared" si="11"/>
        <v/>
      </c>
      <c r="Q66" t="str">
        <f t="shared" si="12"/>
        <v/>
      </c>
      <c r="R66" t="str">
        <f t="shared" si="13"/>
        <v/>
      </c>
      <c r="S66" t="str">
        <f t="shared" si="14"/>
        <v/>
      </c>
      <c r="T66" t="str">
        <f t="shared" si="15"/>
        <v/>
      </c>
      <c r="U66" t="str">
        <f t="shared" si="16"/>
        <v/>
      </c>
      <c r="V66" t="str">
        <f t="shared" si="17"/>
        <v/>
      </c>
      <c r="W66" s="44" t="e">
        <f>MATCH(H66,options!$D$1:$D$20,0)</f>
        <v>#N/A</v>
      </c>
    </row>
    <row r="67" spans="6:23" x14ac:dyDescent="0.15">
      <c r="F67" s="56"/>
      <c r="G67" s="57"/>
      <c r="H67" s="57"/>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7"/>
      <c r="K67" s="57"/>
      <c r="L67" s="49"/>
      <c r="M67" s="49"/>
      <c r="N67" s="49" t="str">
        <f t="shared" si="9"/>
        <v/>
      </c>
      <c r="O67" s="49" t="str">
        <f t="shared" si="10"/>
        <v/>
      </c>
      <c r="P67" s="50" t="str">
        <f t="shared" si="11"/>
        <v/>
      </c>
      <c r="Q67" t="str">
        <f t="shared" si="12"/>
        <v/>
      </c>
      <c r="R67" t="str">
        <f t="shared" si="13"/>
        <v/>
      </c>
      <c r="S67" t="str">
        <f t="shared" si="14"/>
        <v/>
      </c>
      <c r="T67" t="str">
        <f t="shared" si="15"/>
        <v/>
      </c>
      <c r="U67" t="str">
        <f t="shared" si="16"/>
        <v/>
      </c>
      <c r="V67" t="str">
        <f t="shared" si="17"/>
        <v/>
      </c>
      <c r="W67" s="44" t="e">
        <f>MATCH(H67,options!$D$1:$D$20,0)</f>
        <v>#N/A</v>
      </c>
    </row>
    <row r="68" spans="6:23" x14ac:dyDescent="0.15">
      <c r="F68" s="56"/>
      <c r="G68" s="57"/>
      <c r="H68" s="57"/>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7"/>
      <c r="K68" s="57"/>
      <c r="L68" s="49"/>
      <c r="M68" s="49"/>
      <c r="N68" s="49" t="str">
        <f t="shared" ref="N68:N99" si="18">IF(ISBLANK(L68),"",IF(M68, "https://raw.githubusercontent.com/PatrickVibild/TellusAmazonPictures/master/pictures/"&amp;L68&amp;"/1.jpg","https://download.lenovo.com/Images/Parts/"&amp;L68&amp;"/"&amp;L68&amp;"_A.jpg"))</f>
        <v/>
      </c>
      <c r="O68" s="49" t="str">
        <f t="shared" ref="O68:O103" si="19">IF(ISBLANK(L68),"",IF(M68, "https://raw.githubusercontent.com/PatrickVibild/TellusAmazonPictures/master/pictures/"&amp;L68&amp;"/2.jpg","https://download.lenovo.com/Images/Parts/"&amp;L68&amp;"/"&amp;L68&amp;"_B.jpg"))</f>
        <v/>
      </c>
      <c r="P68" s="50"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4" t="e">
        <f>MATCH(H68,options!$D$1:$D$20,0)</f>
        <v>#N/A</v>
      </c>
    </row>
    <row r="69" spans="6:23" x14ac:dyDescent="0.15">
      <c r="F69" s="56"/>
      <c r="G69" s="57"/>
      <c r="H69" s="57"/>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7"/>
      <c r="K69" s="57"/>
      <c r="L69" s="49"/>
      <c r="M69" s="49"/>
      <c r="N69" s="49" t="str">
        <f t="shared" si="18"/>
        <v/>
      </c>
      <c r="O69" s="49" t="str">
        <f t="shared" si="19"/>
        <v/>
      </c>
      <c r="P69" s="50" t="str">
        <f t="shared" si="20"/>
        <v/>
      </c>
      <c r="Q69" t="str">
        <f t="shared" si="21"/>
        <v/>
      </c>
      <c r="R69" t="str">
        <f t="shared" si="22"/>
        <v/>
      </c>
      <c r="S69" t="str">
        <f t="shared" si="23"/>
        <v/>
      </c>
      <c r="T69" t="str">
        <f t="shared" si="24"/>
        <v/>
      </c>
      <c r="U69" t="str">
        <f t="shared" si="25"/>
        <v/>
      </c>
      <c r="V69" t="str">
        <f t="shared" si="26"/>
        <v/>
      </c>
      <c r="W69" s="44" t="e">
        <f>MATCH(H69,options!$D$1:$D$20,0)</f>
        <v>#N/A</v>
      </c>
    </row>
    <row r="70" spans="6:23" x14ac:dyDescent="0.15">
      <c r="F70" s="56"/>
      <c r="G70" s="57"/>
      <c r="H70" s="57"/>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7"/>
      <c r="K70" s="57"/>
      <c r="L70" s="49"/>
      <c r="M70" s="49"/>
      <c r="N70" s="49" t="str">
        <f t="shared" si="18"/>
        <v/>
      </c>
      <c r="O70" s="49" t="str">
        <f t="shared" si="19"/>
        <v/>
      </c>
      <c r="P70" s="50" t="str">
        <f t="shared" si="20"/>
        <v/>
      </c>
      <c r="Q70" t="str">
        <f t="shared" si="21"/>
        <v/>
      </c>
      <c r="R70" t="str">
        <f t="shared" si="22"/>
        <v/>
      </c>
      <c r="S70" t="str">
        <f t="shared" si="23"/>
        <v/>
      </c>
      <c r="T70" t="str">
        <f t="shared" si="24"/>
        <v/>
      </c>
      <c r="U70" t="str">
        <f t="shared" si="25"/>
        <v/>
      </c>
      <c r="V70" t="str">
        <f t="shared" si="26"/>
        <v/>
      </c>
      <c r="W70" s="44" t="e">
        <f>MATCH(H70,options!$D$1:$D$20,0)</f>
        <v>#N/A</v>
      </c>
    </row>
    <row r="71" spans="6:23" x14ac:dyDescent="0.15">
      <c r="F71" s="56"/>
      <c r="G71" s="57"/>
      <c r="H71" s="57"/>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7"/>
      <c r="K71" s="57"/>
      <c r="L71" s="49"/>
      <c r="M71" s="49"/>
      <c r="N71" s="49" t="str">
        <f t="shared" si="18"/>
        <v/>
      </c>
      <c r="O71" s="49" t="str">
        <f t="shared" si="19"/>
        <v/>
      </c>
      <c r="P71" s="50" t="str">
        <f t="shared" si="20"/>
        <v/>
      </c>
      <c r="Q71" t="str">
        <f t="shared" si="21"/>
        <v/>
      </c>
      <c r="R71" t="str">
        <f t="shared" si="22"/>
        <v/>
      </c>
      <c r="S71" t="str">
        <f t="shared" si="23"/>
        <v/>
      </c>
      <c r="T71" t="str">
        <f t="shared" si="24"/>
        <v/>
      </c>
      <c r="U71" t="str">
        <f t="shared" si="25"/>
        <v/>
      </c>
      <c r="V71" t="str">
        <f t="shared" si="26"/>
        <v/>
      </c>
      <c r="W71" s="44" t="e">
        <f>MATCH(H71,options!$D$1:$D$20,0)</f>
        <v>#N/A</v>
      </c>
    </row>
    <row r="72" spans="6:23" x14ac:dyDescent="0.15">
      <c r="F72" s="56"/>
      <c r="G72" s="57"/>
      <c r="H72" s="57"/>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7"/>
      <c r="K72" s="57"/>
      <c r="L72" s="49"/>
      <c r="M72" s="49"/>
      <c r="N72" s="49" t="str">
        <f t="shared" si="18"/>
        <v/>
      </c>
      <c r="O72" s="49" t="str">
        <f t="shared" si="19"/>
        <v/>
      </c>
      <c r="P72" s="50" t="str">
        <f t="shared" si="20"/>
        <v/>
      </c>
      <c r="Q72" t="str">
        <f t="shared" si="21"/>
        <v/>
      </c>
      <c r="R72" t="str">
        <f t="shared" si="22"/>
        <v/>
      </c>
      <c r="S72" t="str">
        <f t="shared" si="23"/>
        <v/>
      </c>
      <c r="T72" t="str">
        <f t="shared" si="24"/>
        <v/>
      </c>
      <c r="U72" t="str">
        <f t="shared" si="25"/>
        <v/>
      </c>
      <c r="V72" t="str">
        <f t="shared" si="26"/>
        <v/>
      </c>
      <c r="W72" s="44" t="e">
        <f>MATCH(H72,options!$D$1:$D$20,0)</f>
        <v>#N/A</v>
      </c>
    </row>
    <row r="73" spans="6:23" x14ac:dyDescent="0.15">
      <c r="F73" s="56"/>
      <c r="G73" s="57"/>
      <c r="H73" s="57"/>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7"/>
      <c r="K73" s="57"/>
      <c r="L73" s="49"/>
      <c r="M73" s="49"/>
      <c r="N73" s="49" t="str">
        <f t="shared" si="18"/>
        <v/>
      </c>
      <c r="O73" s="49" t="str">
        <f t="shared" si="19"/>
        <v/>
      </c>
      <c r="P73" s="50" t="str">
        <f t="shared" si="20"/>
        <v/>
      </c>
      <c r="Q73" t="str">
        <f t="shared" si="21"/>
        <v/>
      </c>
      <c r="R73" t="str">
        <f t="shared" si="22"/>
        <v/>
      </c>
      <c r="S73" t="str">
        <f t="shared" si="23"/>
        <v/>
      </c>
      <c r="T73" t="str">
        <f t="shared" si="24"/>
        <v/>
      </c>
      <c r="U73" t="str">
        <f t="shared" si="25"/>
        <v/>
      </c>
      <c r="V73" t="str">
        <f t="shared" si="26"/>
        <v/>
      </c>
      <c r="W73" s="44" t="e">
        <f>MATCH(H73,options!$D$1:$D$20,0)</f>
        <v>#N/A</v>
      </c>
    </row>
    <row r="74" spans="6:23" x14ac:dyDescent="0.15">
      <c r="F74" s="56"/>
      <c r="G74" s="57"/>
      <c r="H74" s="57"/>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7"/>
      <c r="K74" s="57"/>
      <c r="L74" s="49"/>
      <c r="M74" s="49"/>
      <c r="N74" s="49" t="str">
        <f t="shared" si="18"/>
        <v/>
      </c>
      <c r="O74" s="49" t="str">
        <f t="shared" si="19"/>
        <v/>
      </c>
      <c r="P74" s="50" t="str">
        <f t="shared" si="20"/>
        <v/>
      </c>
      <c r="Q74" t="str">
        <f t="shared" si="21"/>
        <v/>
      </c>
      <c r="R74" t="str">
        <f t="shared" si="22"/>
        <v/>
      </c>
      <c r="S74" t="str">
        <f t="shared" si="23"/>
        <v/>
      </c>
      <c r="T74" t="str">
        <f t="shared" si="24"/>
        <v/>
      </c>
      <c r="U74" t="str">
        <f t="shared" si="25"/>
        <v/>
      </c>
      <c r="V74" t="str">
        <f t="shared" si="26"/>
        <v/>
      </c>
      <c r="W74" s="44" t="e">
        <f>MATCH(H74,options!$D$1:$D$20,0)</f>
        <v>#N/A</v>
      </c>
    </row>
    <row r="75" spans="6:23" x14ac:dyDescent="0.15">
      <c r="F75" s="56"/>
      <c r="G75" s="57"/>
      <c r="H75" s="57"/>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7"/>
      <c r="K75" s="57"/>
      <c r="L75" s="49"/>
      <c r="M75" s="49"/>
      <c r="N75" s="49" t="str">
        <f t="shared" si="18"/>
        <v/>
      </c>
      <c r="O75" s="49" t="str">
        <f t="shared" si="19"/>
        <v/>
      </c>
      <c r="P75" s="50" t="str">
        <f t="shared" si="20"/>
        <v/>
      </c>
      <c r="Q75" t="str">
        <f t="shared" si="21"/>
        <v/>
      </c>
      <c r="R75" t="str">
        <f t="shared" si="22"/>
        <v/>
      </c>
      <c r="S75" t="str">
        <f t="shared" si="23"/>
        <v/>
      </c>
      <c r="T75" t="str">
        <f t="shared" si="24"/>
        <v/>
      </c>
      <c r="U75" t="str">
        <f t="shared" si="25"/>
        <v/>
      </c>
      <c r="V75" t="str">
        <f t="shared" si="26"/>
        <v/>
      </c>
      <c r="W75" s="44" t="e">
        <f>MATCH(H75,options!$D$1:$D$20,0)</f>
        <v>#N/A</v>
      </c>
    </row>
    <row r="76" spans="6:23" x14ac:dyDescent="0.15">
      <c r="F76" s="56"/>
      <c r="G76" s="57"/>
      <c r="H76" s="57"/>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7"/>
      <c r="K76" s="57"/>
      <c r="L76" s="49"/>
      <c r="M76" s="49"/>
      <c r="N76" s="49" t="str">
        <f t="shared" si="18"/>
        <v/>
      </c>
      <c r="O76" s="49" t="str">
        <f t="shared" si="19"/>
        <v/>
      </c>
      <c r="P76" s="50" t="str">
        <f t="shared" si="20"/>
        <v/>
      </c>
      <c r="Q76" t="str">
        <f t="shared" si="21"/>
        <v/>
      </c>
      <c r="R76" t="str">
        <f t="shared" si="22"/>
        <v/>
      </c>
      <c r="S76" t="str">
        <f t="shared" si="23"/>
        <v/>
      </c>
      <c r="T76" t="str">
        <f t="shared" si="24"/>
        <v/>
      </c>
      <c r="U76" t="str">
        <f t="shared" si="25"/>
        <v/>
      </c>
      <c r="V76" t="str">
        <f t="shared" si="26"/>
        <v/>
      </c>
      <c r="W76" s="44" t="e">
        <f>MATCH(H76,options!$D$1:$D$20,0)</f>
        <v>#N/A</v>
      </c>
    </row>
    <row r="77" spans="6:23" x14ac:dyDescent="0.15">
      <c r="F77" s="56"/>
      <c r="G77" s="57"/>
      <c r="H77" s="57"/>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7"/>
      <c r="K77" s="57"/>
      <c r="L77" s="49"/>
      <c r="M77" s="49"/>
      <c r="N77" s="49" t="str">
        <f t="shared" si="18"/>
        <v/>
      </c>
      <c r="O77" s="49" t="str">
        <f t="shared" si="19"/>
        <v/>
      </c>
      <c r="P77" s="50" t="str">
        <f t="shared" si="20"/>
        <v/>
      </c>
      <c r="Q77" t="str">
        <f t="shared" si="21"/>
        <v/>
      </c>
      <c r="R77" t="str">
        <f t="shared" si="22"/>
        <v/>
      </c>
      <c r="S77" t="str">
        <f t="shared" si="23"/>
        <v/>
      </c>
      <c r="T77" t="str">
        <f t="shared" si="24"/>
        <v/>
      </c>
      <c r="U77" t="str">
        <f t="shared" si="25"/>
        <v/>
      </c>
      <c r="V77" t="str">
        <f t="shared" si="26"/>
        <v/>
      </c>
      <c r="W77" s="44" t="e">
        <f>MATCH(H77,options!$D$1:$D$20,0)</f>
        <v>#N/A</v>
      </c>
    </row>
    <row r="78" spans="6:23" x14ac:dyDescent="0.15">
      <c r="F78" s="56"/>
      <c r="G78" s="57"/>
      <c r="H78" s="57"/>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7"/>
      <c r="K78" s="57"/>
      <c r="L78" s="49"/>
      <c r="M78" s="49"/>
      <c r="N78" s="49" t="str">
        <f t="shared" si="18"/>
        <v/>
      </c>
      <c r="O78" s="49" t="str">
        <f t="shared" si="19"/>
        <v/>
      </c>
      <c r="P78" s="50" t="str">
        <f t="shared" si="20"/>
        <v/>
      </c>
      <c r="Q78" t="str">
        <f t="shared" si="21"/>
        <v/>
      </c>
      <c r="R78" t="str">
        <f t="shared" si="22"/>
        <v/>
      </c>
      <c r="S78" t="str">
        <f t="shared" si="23"/>
        <v/>
      </c>
      <c r="T78" t="str">
        <f t="shared" si="24"/>
        <v/>
      </c>
      <c r="U78" t="str">
        <f t="shared" si="25"/>
        <v/>
      </c>
      <c r="V78" t="str">
        <f t="shared" si="26"/>
        <v/>
      </c>
      <c r="W78" s="44" t="e">
        <f>MATCH(H78,options!$D$1:$D$20,0)</f>
        <v>#N/A</v>
      </c>
    </row>
    <row r="79" spans="6:23" x14ac:dyDescent="0.15">
      <c r="F79" s="56"/>
      <c r="G79" s="57"/>
      <c r="H79" s="57"/>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7"/>
      <c r="K79" s="57"/>
      <c r="L79" s="49"/>
      <c r="M79" s="49"/>
      <c r="N79" s="49" t="str">
        <f t="shared" si="18"/>
        <v/>
      </c>
      <c r="O79" s="49" t="str">
        <f t="shared" si="19"/>
        <v/>
      </c>
      <c r="P79" s="50" t="str">
        <f t="shared" si="20"/>
        <v/>
      </c>
      <c r="Q79" t="str">
        <f t="shared" si="21"/>
        <v/>
      </c>
      <c r="R79" t="str">
        <f t="shared" si="22"/>
        <v/>
      </c>
      <c r="S79" t="str">
        <f t="shared" si="23"/>
        <v/>
      </c>
      <c r="T79" t="str">
        <f t="shared" si="24"/>
        <v/>
      </c>
      <c r="U79" t="str">
        <f t="shared" si="25"/>
        <v/>
      </c>
      <c r="V79" t="str">
        <f t="shared" si="26"/>
        <v/>
      </c>
      <c r="W79" s="44" t="e">
        <f>MATCH(H79,options!$D$1:$D$20,0)</f>
        <v>#N/A</v>
      </c>
    </row>
    <row r="80" spans="6:23" x14ac:dyDescent="0.15">
      <c r="F80" s="56"/>
      <c r="G80" s="57"/>
      <c r="H80" s="57"/>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7"/>
      <c r="K80" s="57"/>
      <c r="L80" s="49"/>
      <c r="M80" s="49"/>
      <c r="N80" s="49" t="str">
        <f t="shared" si="18"/>
        <v/>
      </c>
      <c r="O80" s="49" t="str">
        <f t="shared" si="19"/>
        <v/>
      </c>
      <c r="P80" s="50" t="str">
        <f t="shared" si="20"/>
        <v/>
      </c>
      <c r="Q80" t="str">
        <f t="shared" si="21"/>
        <v/>
      </c>
      <c r="R80" t="str">
        <f t="shared" si="22"/>
        <v/>
      </c>
      <c r="S80" t="str">
        <f t="shared" si="23"/>
        <v/>
      </c>
      <c r="T80" t="str">
        <f t="shared" si="24"/>
        <v/>
      </c>
      <c r="U80" t="str">
        <f t="shared" si="25"/>
        <v/>
      </c>
      <c r="V80" t="str">
        <f t="shared" si="26"/>
        <v/>
      </c>
      <c r="W80" s="44" t="e">
        <f>MATCH(H80,options!$D$1:$D$20,0)</f>
        <v>#N/A</v>
      </c>
    </row>
    <row r="81" spans="6:23" x14ac:dyDescent="0.15">
      <c r="F81" s="56"/>
      <c r="G81" s="57"/>
      <c r="H81" s="57"/>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7"/>
      <c r="K81" s="57"/>
      <c r="L81" s="49"/>
      <c r="M81" s="49"/>
      <c r="N81" s="49" t="str">
        <f t="shared" si="18"/>
        <v/>
      </c>
      <c r="O81" s="49" t="str">
        <f t="shared" si="19"/>
        <v/>
      </c>
      <c r="P81" s="50" t="str">
        <f t="shared" si="20"/>
        <v/>
      </c>
      <c r="Q81" t="str">
        <f t="shared" si="21"/>
        <v/>
      </c>
      <c r="R81" t="str">
        <f t="shared" si="22"/>
        <v/>
      </c>
      <c r="S81" t="str">
        <f t="shared" si="23"/>
        <v/>
      </c>
      <c r="T81" t="str">
        <f t="shared" si="24"/>
        <v/>
      </c>
      <c r="U81" t="str">
        <f t="shared" si="25"/>
        <v/>
      </c>
      <c r="V81" t="str">
        <f t="shared" si="26"/>
        <v/>
      </c>
      <c r="W81" s="44" t="e">
        <f>MATCH(H81,options!$D$1:$D$20,0)</f>
        <v>#N/A</v>
      </c>
    </row>
    <row r="82" spans="6:23" x14ac:dyDescent="0.15">
      <c r="F82" s="56"/>
      <c r="G82" s="57"/>
      <c r="H82" s="57"/>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7"/>
      <c r="K82" s="57"/>
      <c r="L82" s="49"/>
      <c r="M82" s="49"/>
      <c r="N82" s="49" t="str">
        <f t="shared" si="18"/>
        <v/>
      </c>
      <c r="O82" s="49" t="str">
        <f t="shared" si="19"/>
        <v/>
      </c>
      <c r="P82" s="50" t="str">
        <f t="shared" si="20"/>
        <v/>
      </c>
      <c r="Q82" t="str">
        <f t="shared" si="21"/>
        <v/>
      </c>
      <c r="R82" t="str">
        <f t="shared" si="22"/>
        <v/>
      </c>
      <c r="S82" t="str">
        <f t="shared" si="23"/>
        <v/>
      </c>
      <c r="T82" t="str">
        <f t="shared" si="24"/>
        <v/>
      </c>
      <c r="U82" t="str">
        <f t="shared" si="25"/>
        <v/>
      </c>
      <c r="V82" t="str">
        <f t="shared" si="26"/>
        <v/>
      </c>
      <c r="W82" s="44" t="e">
        <f>MATCH(H82,options!$D$1:$D$20,0)</f>
        <v>#N/A</v>
      </c>
    </row>
    <row r="83" spans="6:23" x14ac:dyDescent="0.15">
      <c r="F83" s="56"/>
      <c r="G83" s="57"/>
      <c r="H83" s="57"/>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7"/>
      <c r="K83" s="57"/>
      <c r="L83" s="49"/>
      <c r="M83" s="49"/>
      <c r="N83" s="49" t="str">
        <f t="shared" si="18"/>
        <v/>
      </c>
      <c r="O83" s="49" t="str">
        <f t="shared" si="19"/>
        <v/>
      </c>
      <c r="P83" s="50" t="str">
        <f t="shared" si="20"/>
        <v/>
      </c>
      <c r="Q83" t="str">
        <f t="shared" si="21"/>
        <v/>
      </c>
      <c r="R83" t="str">
        <f t="shared" si="22"/>
        <v/>
      </c>
      <c r="S83" t="str">
        <f t="shared" si="23"/>
        <v/>
      </c>
      <c r="T83" t="str">
        <f t="shared" si="24"/>
        <v/>
      </c>
      <c r="U83" t="str">
        <f t="shared" si="25"/>
        <v/>
      </c>
      <c r="V83" t="str">
        <f t="shared" si="26"/>
        <v/>
      </c>
      <c r="W83" s="44" t="e">
        <f>MATCH(H83,options!$D$1:$D$20,0)</f>
        <v>#N/A</v>
      </c>
    </row>
    <row r="84" spans="6:23" x14ac:dyDescent="0.15">
      <c r="F84" s="56"/>
      <c r="G84" s="57"/>
      <c r="H84" s="57"/>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7"/>
      <c r="K84" s="57"/>
      <c r="L84" s="49"/>
      <c r="M84" s="49"/>
      <c r="N84" s="49" t="str">
        <f t="shared" si="18"/>
        <v/>
      </c>
      <c r="O84" s="49" t="str">
        <f t="shared" si="19"/>
        <v/>
      </c>
      <c r="P84" s="50" t="str">
        <f t="shared" si="20"/>
        <v/>
      </c>
      <c r="Q84" t="str">
        <f t="shared" si="21"/>
        <v/>
      </c>
      <c r="R84" t="str">
        <f t="shared" si="22"/>
        <v/>
      </c>
      <c r="S84" t="str">
        <f t="shared" si="23"/>
        <v/>
      </c>
      <c r="T84" t="str">
        <f t="shared" si="24"/>
        <v/>
      </c>
      <c r="U84" t="str">
        <f t="shared" si="25"/>
        <v/>
      </c>
      <c r="V84" t="str">
        <f t="shared" si="26"/>
        <v/>
      </c>
      <c r="W84" s="44" t="e">
        <f>MATCH(H84,options!$D$1:$D$20,0)</f>
        <v>#N/A</v>
      </c>
    </row>
    <row r="85" spans="6:23" x14ac:dyDescent="0.15">
      <c r="F85" s="56"/>
      <c r="G85" s="57"/>
      <c r="H85" s="57"/>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7"/>
      <c r="K85" s="57"/>
      <c r="L85" s="49"/>
      <c r="M85" s="49"/>
      <c r="N85" s="49" t="str">
        <f t="shared" si="18"/>
        <v/>
      </c>
      <c r="O85" s="49" t="str">
        <f t="shared" si="19"/>
        <v/>
      </c>
      <c r="P85" s="50" t="str">
        <f t="shared" si="20"/>
        <v/>
      </c>
      <c r="Q85" t="str">
        <f t="shared" si="21"/>
        <v/>
      </c>
      <c r="R85" t="str">
        <f t="shared" si="22"/>
        <v/>
      </c>
      <c r="S85" t="str">
        <f t="shared" si="23"/>
        <v/>
      </c>
      <c r="T85" t="str">
        <f t="shared" si="24"/>
        <v/>
      </c>
      <c r="U85" t="str">
        <f t="shared" si="25"/>
        <v/>
      </c>
      <c r="V85" t="str">
        <f t="shared" si="26"/>
        <v/>
      </c>
      <c r="W85" s="44" t="e">
        <f>MATCH(H85,options!$D$1:$D$20,0)</f>
        <v>#N/A</v>
      </c>
    </row>
    <row r="86" spans="6:23" x14ac:dyDescent="0.15">
      <c r="F86" s="56"/>
      <c r="G86" s="57"/>
      <c r="H86" s="57"/>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7"/>
      <c r="K86" s="57"/>
      <c r="L86" s="49"/>
      <c r="M86" s="49"/>
      <c r="N86" s="49" t="str">
        <f t="shared" si="18"/>
        <v/>
      </c>
      <c r="O86" s="49" t="str">
        <f t="shared" si="19"/>
        <v/>
      </c>
      <c r="P86" s="50" t="str">
        <f t="shared" si="20"/>
        <v/>
      </c>
      <c r="Q86" t="str">
        <f t="shared" si="21"/>
        <v/>
      </c>
      <c r="R86" t="str">
        <f t="shared" si="22"/>
        <v/>
      </c>
      <c r="S86" t="str">
        <f t="shared" si="23"/>
        <v/>
      </c>
      <c r="T86" t="str">
        <f t="shared" si="24"/>
        <v/>
      </c>
      <c r="U86" t="str">
        <f t="shared" si="25"/>
        <v/>
      </c>
      <c r="V86" t="str">
        <f t="shared" si="26"/>
        <v/>
      </c>
      <c r="W86" s="44" t="e">
        <f>MATCH(H86,options!$D$1:$D$20,0)</f>
        <v>#N/A</v>
      </c>
    </row>
    <row r="87" spans="6:23" x14ac:dyDescent="0.15">
      <c r="F87" s="56"/>
      <c r="G87" s="57"/>
      <c r="H87" s="57"/>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7"/>
      <c r="K87" s="57"/>
      <c r="L87" s="49"/>
      <c r="M87" s="49"/>
      <c r="N87" s="49" t="str">
        <f t="shared" si="18"/>
        <v/>
      </c>
      <c r="O87" s="49" t="str">
        <f t="shared" si="19"/>
        <v/>
      </c>
      <c r="P87" s="50" t="str">
        <f t="shared" si="20"/>
        <v/>
      </c>
      <c r="Q87" t="str">
        <f t="shared" si="21"/>
        <v/>
      </c>
      <c r="R87" t="str">
        <f t="shared" si="22"/>
        <v/>
      </c>
      <c r="S87" t="str">
        <f t="shared" si="23"/>
        <v/>
      </c>
      <c r="T87" t="str">
        <f t="shared" si="24"/>
        <v/>
      </c>
      <c r="U87" t="str">
        <f t="shared" si="25"/>
        <v/>
      </c>
      <c r="V87" t="str">
        <f t="shared" si="26"/>
        <v/>
      </c>
      <c r="W87" s="44" t="e">
        <f>MATCH(H87,options!$D$1:$D$20,0)</f>
        <v>#N/A</v>
      </c>
    </row>
    <row r="88" spans="6:23" x14ac:dyDescent="0.15">
      <c r="F88" s="56"/>
      <c r="G88" s="57"/>
      <c r="H88" s="57"/>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7"/>
      <c r="K88" s="57"/>
      <c r="L88" s="49"/>
      <c r="M88" s="49"/>
      <c r="N88" s="49" t="str">
        <f t="shared" si="18"/>
        <v/>
      </c>
      <c r="O88" s="49" t="str">
        <f t="shared" si="19"/>
        <v/>
      </c>
      <c r="P88" s="50" t="str">
        <f t="shared" si="20"/>
        <v/>
      </c>
      <c r="Q88" t="str">
        <f t="shared" si="21"/>
        <v/>
      </c>
      <c r="R88" t="str">
        <f t="shared" si="22"/>
        <v/>
      </c>
      <c r="S88" t="str">
        <f t="shared" si="23"/>
        <v/>
      </c>
      <c r="T88" t="str">
        <f t="shared" si="24"/>
        <v/>
      </c>
      <c r="U88" t="str">
        <f t="shared" si="25"/>
        <v/>
      </c>
      <c r="V88" t="str">
        <f t="shared" si="26"/>
        <v/>
      </c>
      <c r="W88" s="44" t="e">
        <f>MATCH(H88,options!$D$1:$D$20,0)</f>
        <v>#N/A</v>
      </c>
    </row>
    <row r="89" spans="6:23" x14ac:dyDescent="0.15">
      <c r="F89" s="56"/>
      <c r="G89" s="57"/>
      <c r="H89" s="57"/>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7"/>
      <c r="K89" s="57"/>
      <c r="L89" s="49"/>
      <c r="M89" s="49"/>
      <c r="N89" s="49" t="str">
        <f t="shared" si="18"/>
        <v/>
      </c>
      <c r="O89" s="49" t="str">
        <f t="shared" si="19"/>
        <v/>
      </c>
      <c r="P89" s="50" t="str">
        <f t="shared" si="20"/>
        <v/>
      </c>
      <c r="Q89" t="str">
        <f t="shared" si="21"/>
        <v/>
      </c>
      <c r="R89" t="str">
        <f t="shared" si="22"/>
        <v/>
      </c>
      <c r="S89" t="str">
        <f t="shared" si="23"/>
        <v/>
      </c>
      <c r="T89" t="str">
        <f t="shared" si="24"/>
        <v/>
      </c>
      <c r="U89" t="str">
        <f t="shared" si="25"/>
        <v/>
      </c>
      <c r="V89" t="str">
        <f t="shared" si="26"/>
        <v/>
      </c>
      <c r="W89" s="44" t="e">
        <f>MATCH(H89,options!$D$1:$D$20,0)</f>
        <v>#N/A</v>
      </c>
    </row>
    <row r="90" spans="6:23" x14ac:dyDescent="0.15">
      <c r="F90" s="56"/>
      <c r="G90" s="57"/>
      <c r="H90" s="57"/>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7"/>
      <c r="K90" s="57"/>
      <c r="L90" s="49"/>
      <c r="M90" s="49"/>
      <c r="N90" s="49" t="str">
        <f t="shared" si="18"/>
        <v/>
      </c>
      <c r="O90" s="49" t="str">
        <f t="shared" si="19"/>
        <v/>
      </c>
      <c r="P90" s="50" t="str">
        <f t="shared" si="20"/>
        <v/>
      </c>
      <c r="Q90" t="str">
        <f t="shared" si="21"/>
        <v/>
      </c>
      <c r="R90" t="str">
        <f t="shared" si="22"/>
        <v/>
      </c>
      <c r="S90" t="str">
        <f t="shared" si="23"/>
        <v/>
      </c>
      <c r="T90" t="str">
        <f t="shared" si="24"/>
        <v/>
      </c>
      <c r="U90" t="str">
        <f t="shared" si="25"/>
        <v/>
      </c>
      <c r="V90" t="str">
        <f t="shared" si="26"/>
        <v/>
      </c>
      <c r="W90" s="44" t="e">
        <f>MATCH(H90,options!$D$1:$D$20,0)</f>
        <v>#N/A</v>
      </c>
    </row>
    <row r="91" spans="6:23" x14ac:dyDescent="0.15">
      <c r="F91" s="56"/>
      <c r="G91" s="57"/>
      <c r="H91" s="57"/>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7"/>
      <c r="K91" s="57"/>
      <c r="L91" s="49"/>
      <c r="M91" s="49"/>
      <c r="N91" s="49" t="str">
        <f t="shared" si="18"/>
        <v/>
      </c>
      <c r="O91" s="49" t="str">
        <f t="shared" si="19"/>
        <v/>
      </c>
      <c r="P91" s="50" t="str">
        <f t="shared" si="20"/>
        <v/>
      </c>
      <c r="Q91" t="str">
        <f t="shared" si="21"/>
        <v/>
      </c>
      <c r="R91" t="str">
        <f t="shared" si="22"/>
        <v/>
      </c>
      <c r="S91" t="str">
        <f t="shared" si="23"/>
        <v/>
      </c>
      <c r="T91" t="str">
        <f t="shared" si="24"/>
        <v/>
      </c>
      <c r="U91" t="str">
        <f t="shared" si="25"/>
        <v/>
      </c>
      <c r="V91" t="str">
        <f t="shared" si="26"/>
        <v/>
      </c>
      <c r="W91" s="44" t="e">
        <f>MATCH(H91,options!$D$1:$D$20,0)</f>
        <v>#N/A</v>
      </c>
    </row>
    <row r="92" spans="6:23" x14ac:dyDescent="0.15">
      <c r="F92" s="56"/>
      <c r="G92" s="57"/>
      <c r="H92" s="57"/>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7"/>
      <c r="K92" s="57"/>
      <c r="L92" s="49"/>
      <c r="M92" s="49"/>
      <c r="N92" s="49" t="str">
        <f t="shared" si="18"/>
        <v/>
      </c>
      <c r="O92" s="49" t="str">
        <f t="shared" si="19"/>
        <v/>
      </c>
      <c r="P92" s="50" t="str">
        <f t="shared" si="20"/>
        <v/>
      </c>
      <c r="Q92" t="str">
        <f t="shared" si="21"/>
        <v/>
      </c>
      <c r="R92" t="str">
        <f t="shared" si="22"/>
        <v/>
      </c>
      <c r="S92" t="str">
        <f t="shared" si="23"/>
        <v/>
      </c>
      <c r="T92" t="str">
        <f t="shared" si="24"/>
        <v/>
      </c>
      <c r="U92" t="str">
        <f t="shared" si="25"/>
        <v/>
      </c>
      <c r="V92" t="str">
        <f t="shared" si="26"/>
        <v/>
      </c>
      <c r="W92" s="44" t="e">
        <f>MATCH(H92,options!$D$1:$D$20,0)</f>
        <v>#N/A</v>
      </c>
    </row>
    <row r="93" spans="6:23" x14ac:dyDescent="0.15">
      <c r="F93" s="56"/>
      <c r="G93" s="57"/>
      <c r="H93" s="57"/>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7"/>
      <c r="K93" s="57"/>
      <c r="L93" s="49"/>
      <c r="M93" s="49"/>
      <c r="N93" s="49" t="str">
        <f t="shared" si="18"/>
        <v/>
      </c>
      <c r="O93" s="49" t="str">
        <f t="shared" si="19"/>
        <v/>
      </c>
      <c r="P93" s="50" t="str">
        <f t="shared" si="20"/>
        <v/>
      </c>
      <c r="Q93" t="str">
        <f t="shared" si="21"/>
        <v/>
      </c>
      <c r="R93" t="str">
        <f t="shared" si="22"/>
        <v/>
      </c>
      <c r="S93" t="str">
        <f t="shared" si="23"/>
        <v/>
      </c>
      <c r="T93" t="str">
        <f t="shared" si="24"/>
        <v/>
      </c>
      <c r="U93" t="str">
        <f t="shared" si="25"/>
        <v/>
      </c>
      <c r="V93" t="str">
        <f t="shared" si="26"/>
        <v/>
      </c>
      <c r="W93" s="44" t="e">
        <f>MATCH(H93,options!$D$1:$D$20,0)</f>
        <v>#N/A</v>
      </c>
    </row>
    <row r="94" spans="6:23" x14ac:dyDescent="0.15">
      <c r="F94" s="56"/>
      <c r="G94" s="57"/>
      <c r="H94" s="57"/>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7"/>
      <c r="K94" s="57"/>
      <c r="L94" s="49"/>
      <c r="M94" s="49"/>
      <c r="N94" s="49" t="str">
        <f t="shared" si="18"/>
        <v/>
      </c>
      <c r="O94" s="49" t="str">
        <f t="shared" si="19"/>
        <v/>
      </c>
      <c r="P94" s="50" t="str">
        <f t="shared" si="20"/>
        <v/>
      </c>
      <c r="Q94" t="str">
        <f t="shared" si="21"/>
        <v/>
      </c>
      <c r="R94" t="str">
        <f t="shared" si="22"/>
        <v/>
      </c>
      <c r="S94" t="str">
        <f t="shared" si="23"/>
        <v/>
      </c>
      <c r="T94" t="str">
        <f t="shared" si="24"/>
        <v/>
      </c>
      <c r="U94" t="str">
        <f t="shared" si="25"/>
        <v/>
      </c>
      <c r="V94" t="str">
        <f t="shared" si="26"/>
        <v/>
      </c>
      <c r="W94" s="44" t="e">
        <f>MATCH(H94,options!$D$1:$D$20,0)</f>
        <v>#N/A</v>
      </c>
    </row>
    <row r="95" spans="6:23" x14ac:dyDescent="0.15">
      <c r="F95" s="56"/>
      <c r="G95" s="57"/>
      <c r="H95" s="57"/>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7"/>
      <c r="K95" s="57"/>
      <c r="L95" s="49"/>
      <c r="M95" s="49"/>
      <c r="N95" s="49" t="str">
        <f t="shared" si="18"/>
        <v/>
      </c>
      <c r="O95" s="49" t="str">
        <f t="shared" si="19"/>
        <v/>
      </c>
      <c r="P95" s="50" t="str">
        <f t="shared" si="20"/>
        <v/>
      </c>
      <c r="Q95" t="str">
        <f t="shared" si="21"/>
        <v/>
      </c>
      <c r="R95" t="str">
        <f t="shared" si="22"/>
        <v/>
      </c>
      <c r="S95" t="str">
        <f t="shared" si="23"/>
        <v/>
      </c>
      <c r="T95" t="str">
        <f t="shared" si="24"/>
        <v/>
      </c>
      <c r="U95" t="str">
        <f t="shared" si="25"/>
        <v/>
      </c>
      <c r="V95" t="str">
        <f t="shared" si="26"/>
        <v/>
      </c>
      <c r="W95" s="44" t="e">
        <f>MATCH(H95,options!$D$1:$D$20,0)</f>
        <v>#N/A</v>
      </c>
    </row>
    <row r="96" spans="6:23" x14ac:dyDescent="0.15">
      <c r="F96" s="56"/>
      <c r="G96" s="57"/>
      <c r="H96" s="57"/>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7"/>
      <c r="K96" s="57"/>
      <c r="L96" s="49"/>
      <c r="M96" s="49"/>
      <c r="N96" s="49" t="str">
        <f t="shared" si="18"/>
        <v/>
      </c>
      <c r="O96" s="49" t="str">
        <f t="shared" si="19"/>
        <v/>
      </c>
      <c r="P96" s="50" t="str">
        <f t="shared" si="20"/>
        <v/>
      </c>
      <c r="Q96" t="str">
        <f t="shared" si="21"/>
        <v/>
      </c>
      <c r="R96" t="str">
        <f t="shared" si="22"/>
        <v/>
      </c>
      <c r="S96" t="str">
        <f t="shared" si="23"/>
        <v/>
      </c>
      <c r="T96" t="str">
        <f t="shared" si="24"/>
        <v/>
      </c>
      <c r="U96" t="str">
        <f t="shared" si="25"/>
        <v/>
      </c>
      <c r="V96" t="str">
        <f t="shared" si="26"/>
        <v/>
      </c>
      <c r="W96" s="44" t="e">
        <f>MATCH(H96,options!$D$1:$D$20,0)</f>
        <v>#N/A</v>
      </c>
    </row>
    <row r="97" spans="6:23" x14ac:dyDescent="0.15">
      <c r="F97" s="56"/>
      <c r="G97" s="57"/>
      <c r="H97" s="57"/>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7"/>
      <c r="K97" s="57"/>
      <c r="L97" s="49"/>
      <c r="M97" s="49"/>
      <c r="N97" s="49" t="str">
        <f t="shared" si="18"/>
        <v/>
      </c>
      <c r="O97" s="49" t="str">
        <f t="shared" si="19"/>
        <v/>
      </c>
      <c r="P97" s="50" t="str">
        <f t="shared" si="20"/>
        <v/>
      </c>
      <c r="Q97" t="str">
        <f t="shared" si="21"/>
        <v/>
      </c>
      <c r="R97" t="str">
        <f t="shared" si="22"/>
        <v/>
      </c>
      <c r="S97" t="str">
        <f t="shared" si="23"/>
        <v/>
      </c>
      <c r="T97" t="str">
        <f t="shared" si="24"/>
        <v/>
      </c>
      <c r="U97" t="str">
        <f t="shared" si="25"/>
        <v/>
      </c>
      <c r="V97" t="str">
        <f t="shared" si="26"/>
        <v/>
      </c>
      <c r="W97" s="44" t="e">
        <f>MATCH(H97,options!$D$1:$D$20,0)</f>
        <v>#N/A</v>
      </c>
    </row>
    <row r="98" spans="6:23" x14ac:dyDescent="0.15">
      <c r="F98" s="56"/>
      <c r="G98" s="57"/>
      <c r="H98" s="57"/>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7"/>
      <c r="K98" s="57"/>
      <c r="L98" s="49"/>
      <c r="M98" s="49"/>
      <c r="N98" s="49" t="str">
        <f t="shared" si="18"/>
        <v/>
      </c>
      <c r="O98" s="49" t="str">
        <f t="shared" si="19"/>
        <v/>
      </c>
      <c r="P98" s="50" t="str">
        <f t="shared" si="20"/>
        <v/>
      </c>
      <c r="Q98" t="str">
        <f t="shared" si="21"/>
        <v/>
      </c>
      <c r="R98" t="str">
        <f t="shared" si="22"/>
        <v/>
      </c>
      <c r="S98" t="str">
        <f t="shared" si="23"/>
        <v/>
      </c>
      <c r="T98" t="str">
        <f t="shared" si="24"/>
        <v/>
      </c>
      <c r="U98" t="str">
        <f t="shared" si="25"/>
        <v/>
      </c>
      <c r="V98" t="str">
        <f t="shared" si="26"/>
        <v/>
      </c>
      <c r="W98" s="44" t="e">
        <f>MATCH(H98,options!$D$1:$D$20,0)</f>
        <v>#N/A</v>
      </c>
    </row>
    <row r="99" spans="6:23" x14ac:dyDescent="0.15">
      <c r="F99" s="56"/>
      <c r="G99" s="57"/>
      <c r="H99" s="57"/>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7"/>
      <c r="K99" s="57"/>
      <c r="L99" s="49"/>
      <c r="M99" s="49"/>
      <c r="N99" s="49" t="str">
        <f t="shared" si="18"/>
        <v/>
      </c>
      <c r="O99" s="49" t="str">
        <f t="shared" si="19"/>
        <v/>
      </c>
      <c r="P99" s="50" t="str">
        <f t="shared" si="20"/>
        <v/>
      </c>
      <c r="Q99" t="str">
        <f t="shared" si="21"/>
        <v/>
      </c>
      <c r="R99" t="str">
        <f t="shared" si="22"/>
        <v/>
      </c>
      <c r="S99" t="str">
        <f t="shared" si="23"/>
        <v/>
      </c>
      <c r="T99" t="str">
        <f t="shared" si="24"/>
        <v/>
      </c>
      <c r="U99" t="str">
        <f t="shared" si="25"/>
        <v/>
      </c>
      <c r="V99" t="str">
        <f t="shared" si="26"/>
        <v/>
      </c>
      <c r="W99" s="44" t="e">
        <f>MATCH(H99,options!$D$1:$D$20,0)</f>
        <v>#N/A</v>
      </c>
    </row>
    <row r="100" spans="6:23" x14ac:dyDescent="0.15">
      <c r="F100" s="56"/>
      <c r="G100" s="57"/>
      <c r="H100" s="57"/>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7"/>
      <c r="K100" s="57"/>
      <c r="L100" s="49"/>
      <c r="M100" s="49"/>
      <c r="N100" s="49" t="str">
        <f t="shared" ref="N100:N103" si="27">IF(ISBLANK(L100),"",IF(M100, "https://raw.githubusercontent.com/PatrickVibild/TellusAmazonPictures/master/pictures/"&amp;L100&amp;"/1.jpg","https://download.lenovo.com/Images/Parts/"&amp;L100&amp;"/"&amp;L100&amp;"_A.jpg"))</f>
        <v/>
      </c>
      <c r="O100" s="49" t="str">
        <f t="shared" si="19"/>
        <v/>
      </c>
      <c r="P100" s="50" t="str">
        <f t="shared" si="20"/>
        <v/>
      </c>
      <c r="Q100" t="str">
        <f t="shared" si="21"/>
        <v/>
      </c>
      <c r="R100" t="str">
        <f t="shared" si="22"/>
        <v/>
      </c>
      <c r="S100" t="str">
        <f t="shared" si="23"/>
        <v/>
      </c>
      <c r="T100" t="str">
        <f t="shared" si="24"/>
        <v/>
      </c>
      <c r="U100" t="str">
        <f t="shared" si="25"/>
        <v/>
      </c>
      <c r="V100" t="str">
        <f t="shared" si="26"/>
        <v/>
      </c>
      <c r="W100" s="44" t="e">
        <f>MATCH(H100,options!$D$1:$D$20,0)</f>
        <v>#N/A</v>
      </c>
    </row>
    <row r="101" spans="6:23" x14ac:dyDescent="0.15">
      <c r="F101" s="56"/>
      <c r="G101" s="57"/>
      <c r="H101" s="57"/>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7"/>
      <c r="K101" s="57"/>
      <c r="L101" s="49"/>
      <c r="M101" s="49"/>
      <c r="N101" s="49" t="str">
        <f t="shared" si="27"/>
        <v/>
      </c>
      <c r="O101" s="49" t="str">
        <f t="shared" si="19"/>
        <v/>
      </c>
      <c r="P101" s="50" t="str">
        <f t="shared" si="20"/>
        <v/>
      </c>
      <c r="Q101" t="str">
        <f t="shared" si="21"/>
        <v/>
      </c>
      <c r="R101" t="str">
        <f t="shared" si="22"/>
        <v/>
      </c>
      <c r="S101" t="str">
        <f t="shared" si="23"/>
        <v/>
      </c>
      <c r="T101" t="str">
        <f t="shared" si="24"/>
        <v/>
      </c>
      <c r="U101" t="str">
        <f t="shared" si="25"/>
        <v/>
      </c>
      <c r="V101" t="str">
        <f t="shared" si="26"/>
        <v/>
      </c>
      <c r="W101" s="44" t="e">
        <f>MATCH(H101,options!$D$1:$D$20,0)</f>
        <v>#N/A</v>
      </c>
    </row>
    <row r="102" spans="6:23" x14ac:dyDescent="0.15">
      <c r="F102" s="56"/>
      <c r="G102" s="57"/>
      <c r="H102" s="57"/>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7"/>
      <c r="K102" s="57"/>
      <c r="L102" s="49"/>
      <c r="M102" s="49"/>
      <c r="N102" s="49" t="str">
        <f t="shared" si="27"/>
        <v/>
      </c>
      <c r="O102" s="49" t="str">
        <f t="shared" si="19"/>
        <v/>
      </c>
      <c r="P102" s="50" t="str">
        <f t="shared" si="20"/>
        <v/>
      </c>
      <c r="Q102" t="str">
        <f t="shared" si="21"/>
        <v/>
      </c>
      <c r="R102" t="str">
        <f t="shared" si="22"/>
        <v/>
      </c>
      <c r="S102" t="str">
        <f t="shared" si="23"/>
        <v/>
      </c>
      <c r="T102" t="str">
        <f t="shared" si="24"/>
        <v/>
      </c>
      <c r="U102" t="str">
        <f t="shared" si="25"/>
        <v/>
      </c>
      <c r="V102" t="str">
        <f t="shared" si="26"/>
        <v/>
      </c>
      <c r="W102" s="44" t="e">
        <f>MATCH(H102,options!$D$1:$D$20,0)</f>
        <v>#N/A</v>
      </c>
    </row>
    <row r="103" spans="6:23" x14ac:dyDescent="0.15">
      <c r="F103" s="56"/>
      <c r="G103" s="57"/>
      <c r="H103" s="57"/>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7"/>
      <c r="K103" s="57"/>
      <c r="L103" s="49"/>
      <c r="M103" s="49"/>
      <c r="N103" s="49" t="str">
        <f t="shared" si="27"/>
        <v/>
      </c>
      <c r="O103" s="49" t="str">
        <f t="shared" si="19"/>
        <v/>
      </c>
      <c r="P103" s="50" t="str">
        <f t="shared" si="20"/>
        <v/>
      </c>
      <c r="Q103" t="str">
        <f t="shared" si="21"/>
        <v/>
      </c>
      <c r="R103" t="str">
        <f t="shared" si="22"/>
        <v/>
      </c>
      <c r="S103" t="str">
        <f t="shared" si="23"/>
        <v/>
      </c>
      <c r="T103" t="str">
        <f t="shared" si="24"/>
        <v/>
      </c>
      <c r="U103" t="str">
        <f t="shared" si="25"/>
        <v/>
      </c>
      <c r="V103" t="str">
        <f t="shared" si="26"/>
        <v/>
      </c>
      <c r="W103" s="44" t="e">
        <f>MATCH(H103,options!$D$1:$D$20,0)</f>
        <v>#N/A</v>
      </c>
    </row>
    <row r="104" spans="6:23" x14ac:dyDescent="0.15">
      <c r="F104" s="56"/>
      <c r="G104" s="57"/>
      <c r="H104" s="57"/>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7"/>
      <c r="K104" s="57"/>
      <c r="L104" s="49"/>
      <c r="M104" s="49"/>
      <c r="N104" s="49" t="str">
        <f>IF(ISBLANK(L104),"","https://download.lenovo.com/Images/Parts/"&amp;L104&amp;"/"&amp;L104&amp;"_A.jpg")</f>
        <v/>
      </c>
      <c r="O104" s="49" t="str">
        <f>IF(ISBLANK(L104),"","https://download.lenovo.com/Images/Parts/"&amp;L104&amp;"/"&amp;L104&amp;"_B.jpg")</f>
        <v/>
      </c>
      <c r="P104" s="50" t="str">
        <f>IF(ISBLANK(L104),"","https://download.lenovo.com/Images/Parts/"&amp;L104&amp;"/"&amp;L104&amp;"_details.jpg")</f>
        <v/>
      </c>
      <c r="W104" s="44"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332031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453</v>
      </c>
      <c r="B1" s="43" t="b">
        <f>TRUE()</f>
        <v>1</v>
      </c>
      <c r="C1" t="s">
        <v>454</v>
      </c>
      <c r="D1" s="44" t="s">
        <v>372</v>
      </c>
      <c r="E1" t="s">
        <v>455</v>
      </c>
      <c r="F1" t="s">
        <v>438</v>
      </c>
      <c r="G1" t="s">
        <v>442</v>
      </c>
    </row>
    <row r="2" spans="1:7" x14ac:dyDescent="0.15">
      <c r="A2" t="s">
        <v>413</v>
      </c>
      <c r="B2" s="43" t="b">
        <f>FALSE()</f>
        <v>0</v>
      </c>
      <c r="C2" t="s">
        <v>378</v>
      </c>
      <c r="D2" s="44" t="s">
        <v>375</v>
      </c>
      <c r="E2" t="s">
        <v>456</v>
      </c>
      <c r="F2" t="s">
        <v>375</v>
      </c>
      <c r="G2" t="s">
        <v>400</v>
      </c>
    </row>
    <row r="3" spans="1:7" x14ac:dyDescent="0.15">
      <c r="A3" t="s">
        <v>457</v>
      </c>
      <c r="D3" s="44" t="s">
        <v>379</v>
      </c>
      <c r="E3" t="s">
        <v>458</v>
      </c>
      <c r="F3" t="s">
        <v>372</v>
      </c>
    </row>
    <row r="4" spans="1:7" x14ac:dyDescent="0.15">
      <c r="D4" s="44" t="s">
        <v>382</v>
      </c>
      <c r="E4" t="s">
        <v>459</v>
      </c>
      <c r="F4" t="s">
        <v>379</v>
      </c>
    </row>
    <row r="5" spans="1:7" x14ac:dyDescent="0.15">
      <c r="D5" s="44" t="s">
        <v>385</v>
      </c>
      <c r="E5" t="s">
        <v>460</v>
      </c>
      <c r="F5" t="s">
        <v>382</v>
      </c>
    </row>
    <row r="6" spans="1:7" x14ac:dyDescent="0.15">
      <c r="D6" s="44" t="s">
        <v>388</v>
      </c>
      <c r="E6" t="s">
        <v>461</v>
      </c>
      <c r="F6" t="s">
        <v>435</v>
      </c>
    </row>
    <row r="7" spans="1:7" x14ac:dyDescent="0.15">
      <c r="D7" s="44" t="s">
        <v>391</v>
      </c>
      <c r="E7" t="s">
        <v>462</v>
      </c>
    </row>
    <row r="8" spans="1:7" x14ac:dyDescent="0.15">
      <c r="D8" s="44" t="s">
        <v>426</v>
      </c>
      <c r="E8" t="s">
        <v>463</v>
      </c>
    </row>
    <row r="9" spans="1:7" x14ac:dyDescent="0.15">
      <c r="D9" s="44" t="s">
        <v>431</v>
      </c>
      <c r="E9" t="s">
        <v>464</v>
      </c>
    </row>
    <row r="10" spans="1:7" x14ac:dyDescent="0.15">
      <c r="D10" s="44" t="s">
        <v>435</v>
      </c>
      <c r="E10" t="s">
        <v>465</v>
      </c>
    </row>
    <row r="11" spans="1:7" x14ac:dyDescent="0.15">
      <c r="D11" s="44" t="s">
        <v>439</v>
      </c>
      <c r="E11" t="s">
        <v>466</v>
      </c>
    </row>
    <row r="12" spans="1:7" x14ac:dyDescent="0.15">
      <c r="D12" s="44" t="s">
        <v>443</v>
      </c>
      <c r="E12" t="s">
        <v>467</v>
      </c>
    </row>
    <row r="13" spans="1:7" x14ac:dyDescent="0.15">
      <c r="D13" s="44" t="s">
        <v>444</v>
      </c>
      <c r="E13" t="s">
        <v>468</v>
      </c>
    </row>
    <row r="14" spans="1:7" x14ac:dyDescent="0.15">
      <c r="D14" s="44" t="s">
        <v>446</v>
      </c>
      <c r="E14" t="s">
        <v>469</v>
      </c>
    </row>
    <row r="15" spans="1:7" x14ac:dyDescent="0.15">
      <c r="D15" s="44" t="s">
        <v>394</v>
      </c>
      <c r="E15" t="s">
        <v>470</v>
      </c>
    </row>
    <row r="16" spans="1:7" x14ac:dyDescent="0.15">
      <c r="D16" s="44" t="s">
        <v>396</v>
      </c>
      <c r="E16" s="58" t="s">
        <v>471</v>
      </c>
    </row>
    <row r="17" spans="4:5" x14ac:dyDescent="0.15">
      <c r="D17" s="44" t="s">
        <v>450</v>
      </c>
      <c r="E17" t="s">
        <v>472</v>
      </c>
    </row>
    <row r="18" spans="4:5" x14ac:dyDescent="0.15">
      <c r="D18" s="44" t="s">
        <v>400</v>
      </c>
      <c r="E18" t="s">
        <v>473</v>
      </c>
    </row>
    <row r="19" spans="4:5" x14ac:dyDescent="0.15">
      <c r="D19" s="44" t="s">
        <v>433</v>
      </c>
      <c r="E19" t="s">
        <v>474</v>
      </c>
    </row>
    <row r="20" spans="4:5" x14ac:dyDescent="0.15">
      <c r="D20" s="44" t="s">
        <v>428</v>
      </c>
      <c r="E20" t="s">
        <v>475</v>
      </c>
    </row>
    <row r="50" spans="2:2" ht="16" x14ac:dyDescent="0.2">
      <c r="B50" s="59"/>
    </row>
    <row r="51" spans="2:2" ht="16" x14ac:dyDescent="0.2">
      <c r="B51" s="59"/>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33203125" defaultRowHeight="13" x14ac:dyDescent="0.15"/>
  <cols>
    <col min="1" max="1" width="15" customWidth="1"/>
    <col min="2" max="2" width="251.5" customWidth="1"/>
  </cols>
  <sheetData>
    <row r="2" spans="1:2" x14ac:dyDescent="0.15">
      <c r="B2" t="s">
        <v>438</v>
      </c>
    </row>
    <row r="3" spans="1:2" x14ac:dyDescent="0.15">
      <c r="B3" s="41" t="s">
        <v>476</v>
      </c>
    </row>
    <row r="4" spans="1:2" x14ac:dyDescent="0.15">
      <c r="B4" s="41" t="s">
        <v>477</v>
      </c>
    </row>
    <row r="5" spans="1:2" x14ac:dyDescent="0.15">
      <c r="B5" s="41" t="s">
        <v>478</v>
      </c>
    </row>
    <row r="6" spans="1:2" x14ac:dyDescent="0.15">
      <c r="A6" t="s">
        <v>479</v>
      </c>
      <c r="B6" s="41" t="s">
        <v>480</v>
      </c>
    </row>
    <row r="7" spans="1:2" x14ac:dyDescent="0.15">
      <c r="B7" s="41" t="s">
        <v>481</v>
      </c>
    </row>
    <row r="8" spans="1:2" x14ac:dyDescent="0.15">
      <c r="A8" t="s">
        <v>40</v>
      </c>
      <c r="B8" s="41" t="s">
        <v>482</v>
      </c>
    </row>
    <row r="9" spans="1:2" x14ac:dyDescent="0.15">
      <c r="A9" t="s">
        <v>483</v>
      </c>
      <c r="B9" s="41" t="s">
        <v>484</v>
      </c>
    </row>
    <row r="10" spans="1:2" x14ac:dyDescent="0.15">
      <c r="B10" t="s">
        <v>485</v>
      </c>
    </row>
    <row r="11" spans="1:2" x14ac:dyDescent="0.15">
      <c r="B11" t="s">
        <v>486</v>
      </c>
    </row>
    <row r="14" spans="1:2" x14ac:dyDescent="0.15">
      <c r="B14" s="41" t="s">
        <v>487</v>
      </c>
    </row>
    <row r="20" spans="2:2" x14ac:dyDescent="0.15">
      <c r="B20" s="44" t="s">
        <v>372</v>
      </c>
    </row>
    <row r="21" spans="2:2" x14ac:dyDescent="0.15">
      <c r="B21" s="44" t="s">
        <v>375</v>
      </c>
    </row>
    <row r="22" spans="2:2" x14ac:dyDescent="0.15">
      <c r="B22" s="44" t="s">
        <v>379</v>
      </c>
    </row>
    <row r="23" spans="2:2" x14ac:dyDescent="0.15">
      <c r="B23" s="44" t="s">
        <v>382</v>
      </c>
    </row>
    <row r="24" spans="2:2" x14ac:dyDescent="0.15">
      <c r="B24" s="44" t="s">
        <v>385</v>
      </c>
    </row>
    <row r="25" spans="2:2" x14ac:dyDescent="0.15">
      <c r="B25" s="44" t="s">
        <v>388</v>
      </c>
    </row>
    <row r="26" spans="2:2" x14ac:dyDescent="0.15">
      <c r="B26" s="44" t="s">
        <v>391</v>
      </c>
    </row>
    <row r="27" spans="2:2" x14ac:dyDescent="0.15">
      <c r="B27" s="44" t="s">
        <v>426</v>
      </c>
    </row>
    <row r="28" spans="2:2" x14ac:dyDescent="0.15">
      <c r="B28" s="44" t="s">
        <v>431</v>
      </c>
    </row>
    <row r="29" spans="2:2" x14ac:dyDescent="0.15">
      <c r="B29" s="44" t="s">
        <v>435</v>
      </c>
    </row>
    <row r="30" spans="2:2" x14ac:dyDescent="0.15">
      <c r="B30" s="44" t="s">
        <v>439</v>
      </c>
    </row>
    <row r="31" spans="2:2" x14ac:dyDescent="0.15">
      <c r="B31" s="44" t="s">
        <v>443</v>
      </c>
    </row>
    <row r="32" spans="2:2" x14ac:dyDescent="0.15">
      <c r="B32" s="44" t="s">
        <v>444</v>
      </c>
    </row>
    <row r="33" spans="2:4" x14ac:dyDescent="0.15">
      <c r="B33" s="44" t="s">
        <v>446</v>
      </c>
    </row>
    <row r="34" spans="2:4" x14ac:dyDescent="0.15">
      <c r="B34" s="44" t="s">
        <v>394</v>
      </c>
      <c r="D34" s="41"/>
    </row>
    <row r="35" spans="2:4" x14ac:dyDescent="0.15">
      <c r="B35" s="44" t="s">
        <v>396</v>
      </c>
      <c r="D35" s="41"/>
    </row>
    <row r="36" spans="2:4" x14ac:dyDescent="0.15">
      <c r="B36" s="44" t="s">
        <v>450</v>
      </c>
      <c r="D36" s="41"/>
    </row>
    <row r="37" spans="2:4" x14ac:dyDescent="0.15">
      <c r="B37" s="44" t="s">
        <v>400</v>
      </c>
      <c r="D37" s="41"/>
    </row>
    <row r="38" spans="2:4" x14ac:dyDescent="0.15">
      <c r="B38" s="44" t="s">
        <v>433</v>
      </c>
      <c r="D38" s="41"/>
    </row>
    <row r="39" spans="2:4" x14ac:dyDescent="0.15">
      <c r="B39" s="44" t="s">
        <v>428</v>
      </c>
      <c r="D39" s="41"/>
    </row>
  </sheetData>
  <conditionalFormatting sqref="B3:B7">
    <cfRule type="expression" dxfId="528" priority="2">
      <formula>IF(LEN(B3)&gt;0,1,0)</formula>
    </cfRule>
    <cfRule type="expression" dxfId="527" priority="3">
      <formula>IF(VLOOKUP($AH$3,#NAME?,MATCH($A2,#NAME?,0)+1,0)&gt;0,1,0)</formula>
    </cfRule>
    <cfRule type="expression" dxfId="526" priority="4">
      <formula>IF(VLOOKUP($AH$3,#NAME?,MATCH($A2,#NAME?,0)+1,0)&gt;0,1,0)</formula>
    </cfRule>
    <cfRule type="expression" dxfId="525" priority="5">
      <formula>IF(VLOOKUP($AH$3,#NAME?,MATCH($A2,#NAME?,0)+1,0)&gt;0,1,0)</formula>
    </cfRule>
    <cfRule type="expression" dxfId="52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33203125" defaultRowHeight="13" x14ac:dyDescent="0.15"/>
  <sheetData>
    <row r="2" spans="1:2" x14ac:dyDescent="0.15">
      <c r="B2" t="s">
        <v>372</v>
      </c>
    </row>
    <row r="3" spans="1:2" ht="16" x14ac:dyDescent="0.2">
      <c r="B3" s="59" t="s">
        <v>488</v>
      </c>
    </row>
    <row r="4" spans="1:2" ht="16" x14ac:dyDescent="0.2">
      <c r="B4" s="59" t="s">
        <v>489</v>
      </c>
    </row>
    <row r="5" spans="1:2" ht="16" x14ac:dyDescent="0.2">
      <c r="B5" s="59" t="s">
        <v>490</v>
      </c>
    </row>
    <row r="6" spans="1:2" ht="16" x14ac:dyDescent="0.2">
      <c r="B6" s="59" t="s">
        <v>491</v>
      </c>
    </row>
    <row r="7" spans="1:2" ht="16" x14ac:dyDescent="0.2">
      <c r="B7" s="59" t="s">
        <v>492</v>
      </c>
    </row>
    <row r="8" spans="1:2" x14ac:dyDescent="0.15">
      <c r="A8" t="s">
        <v>493</v>
      </c>
      <c r="B8" t="s">
        <v>494</v>
      </c>
    </row>
    <row r="9" spans="1:2" x14ac:dyDescent="0.15">
      <c r="A9" t="s">
        <v>495</v>
      </c>
      <c r="B9" t="s">
        <v>496</v>
      </c>
    </row>
    <row r="10" spans="1:2" x14ac:dyDescent="0.15">
      <c r="B10" t="s">
        <v>497</v>
      </c>
    </row>
    <row r="11" spans="1:2" x14ac:dyDescent="0.15">
      <c r="B11" t="s">
        <v>498</v>
      </c>
    </row>
    <row r="14" spans="1:2" x14ac:dyDescent="0.15">
      <c r="B14" t="s">
        <v>499</v>
      </c>
    </row>
    <row r="20" spans="2:2" x14ac:dyDescent="0.15">
      <c r="B20" t="s">
        <v>500</v>
      </c>
    </row>
    <row r="21" spans="2:2" x14ac:dyDescent="0.15">
      <c r="B21" t="s">
        <v>501</v>
      </c>
    </row>
    <row r="22" spans="2:2" x14ac:dyDescent="0.15">
      <c r="B22" t="s">
        <v>502</v>
      </c>
    </row>
    <row r="23" spans="2:2" x14ac:dyDescent="0.15">
      <c r="B23" t="s">
        <v>503</v>
      </c>
    </row>
    <row r="24" spans="2:2" x14ac:dyDescent="0.15">
      <c r="B24" t="s">
        <v>385</v>
      </c>
    </row>
    <row r="25" spans="2:2" x14ac:dyDescent="0.15">
      <c r="B25" t="s">
        <v>504</v>
      </c>
    </row>
    <row r="26" spans="2:2" x14ac:dyDescent="0.15">
      <c r="B26" t="s">
        <v>505</v>
      </c>
    </row>
    <row r="27" spans="2:2" x14ac:dyDescent="0.15">
      <c r="B27" t="s">
        <v>506</v>
      </c>
    </row>
    <row r="28" spans="2:2" x14ac:dyDescent="0.15">
      <c r="B28" t="s">
        <v>507</v>
      </c>
    </row>
    <row r="29" spans="2:2" x14ac:dyDescent="0.15">
      <c r="B29" t="s">
        <v>508</v>
      </c>
    </row>
    <row r="30" spans="2:2" x14ac:dyDescent="0.15">
      <c r="B30" t="s">
        <v>509</v>
      </c>
    </row>
    <row r="31" spans="2:2" x14ac:dyDescent="0.15">
      <c r="B31" t="s">
        <v>510</v>
      </c>
    </row>
    <row r="32" spans="2:2" x14ac:dyDescent="0.15">
      <c r="B32" t="s">
        <v>511</v>
      </c>
    </row>
    <row r="33" spans="2:2" x14ac:dyDescent="0.15">
      <c r="B33" t="s">
        <v>512</v>
      </c>
    </row>
    <row r="34" spans="2:2" x14ac:dyDescent="0.15">
      <c r="B34" t="s">
        <v>513</v>
      </c>
    </row>
    <row r="35" spans="2:2" x14ac:dyDescent="0.15">
      <c r="B35" t="s">
        <v>396</v>
      </c>
    </row>
    <row r="36" spans="2:2" x14ac:dyDescent="0.15">
      <c r="B36" t="s">
        <v>514</v>
      </c>
    </row>
    <row r="37" spans="2:2" x14ac:dyDescent="0.15">
      <c r="B37" t="s">
        <v>515</v>
      </c>
    </row>
    <row r="38" spans="2:2" x14ac:dyDescent="0.15">
      <c r="B38" t="s">
        <v>516</v>
      </c>
    </row>
    <row r="39" spans="2:2" x14ac:dyDescent="0.15">
      <c r="B39" t="s">
        <v>517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33203125" defaultRowHeight="13" x14ac:dyDescent="0.15"/>
  <sheetData>
    <row r="1" spans="1:2" x14ac:dyDescent="0.15">
      <c r="B1" s="41"/>
    </row>
    <row r="2" spans="1:2" x14ac:dyDescent="0.15">
      <c r="B2" s="41" t="s">
        <v>382</v>
      </c>
    </row>
    <row r="3" spans="1:2" x14ac:dyDescent="0.15">
      <c r="B3" s="41" t="s">
        <v>518</v>
      </c>
    </row>
    <row r="4" spans="1:2" x14ac:dyDescent="0.15">
      <c r="B4" s="41" t="s">
        <v>519</v>
      </c>
    </row>
    <row r="5" spans="1:2" x14ac:dyDescent="0.15">
      <c r="B5" s="41" t="s">
        <v>520</v>
      </c>
    </row>
    <row r="6" spans="1:2" x14ac:dyDescent="0.15">
      <c r="B6" s="41" t="s">
        <v>521</v>
      </c>
    </row>
    <row r="7" spans="1:2" x14ac:dyDescent="0.15">
      <c r="B7" s="41" t="s">
        <v>522</v>
      </c>
    </row>
    <row r="8" spans="1:2" x14ac:dyDescent="0.15">
      <c r="A8" t="s">
        <v>493</v>
      </c>
      <c r="B8" s="41" t="s">
        <v>523</v>
      </c>
    </row>
    <row r="9" spans="1:2" x14ac:dyDescent="0.15">
      <c r="A9" t="s">
        <v>495</v>
      </c>
      <c r="B9" s="41" t="s">
        <v>524</v>
      </c>
    </row>
    <row r="10" spans="1:2" x14ac:dyDescent="0.15">
      <c r="B10" s="41" t="s">
        <v>525</v>
      </c>
    </row>
    <row r="11" spans="1:2" x14ac:dyDescent="0.15">
      <c r="B11" s="41" t="s">
        <v>526</v>
      </c>
    </row>
    <row r="12" spans="1:2" x14ac:dyDescent="0.15">
      <c r="B12" s="41"/>
    </row>
    <row r="13" spans="1:2" x14ac:dyDescent="0.15">
      <c r="B13" s="41"/>
    </row>
    <row r="14" spans="1:2" x14ac:dyDescent="0.15">
      <c r="B14" s="41" t="s">
        <v>527</v>
      </c>
    </row>
    <row r="15" spans="1:2" x14ac:dyDescent="0.15">
      <c r="B15" s="41"/>
    </row>
    <row r="20" spans="2:2" x14ac:dyDescent="0.15">
      <c r="B20" t="s">
        <v>528</v>
      </c>
    </row>
    <row r="21" spans="2:2" x14ac:dyDescent="0.15">
      <c r="B21" t="s">
        <v>529</v>
      </c>
    </row>
    <row r="22" spans="2:2" x14ac:dyDescent="0.15">
      <c r="B22" t="s">
        <v>530</v>
      </c>
    </row>
    <row r="23" spans="2:2" x14ac:dyDescent="0.15">
      <c r="B23" t="s">
        <v>531</v>
      </c>
    </row>
    <row r="24" spans="2:2" x14ac:dyDescent="0.15">
      <c r="B24" t="s">
        <v>532</v>
      </c>
    </row>
    <row r="25" spans="2:2" x14ac:dyDescent="0.15">
      <c r="B25" t="s">
        <v>533</v>
      </c>
    </row>
    <row r="26" spans="2:2" x14ac:dyDescent="0.15">
      <c r="B26" t="s">
        <v>534</v>
      </c>
    </row>
    <row r="27" spans="2:2" x14ac:dyDescent="0.15">
      <c r="B27" t="s">
        <v>535</v>
      </c>
    </row>
    <row r="28" spans="2:2" x14ac:dyDescent="0.15">
      <c r="B28" t="s">
        <v>536</v>
      </c>
    </row>
    <row r="29" spans="2:2" x14ac:dyDescent="0.15">
      <c r="B29" t="s">
        <v>537</v>
      </c>
    </row>
    <row r="30" spans="2:2" x14ac:dyDescent="0.15">
      <c r="B30" t="s">
        <v>538</v>
      </c>
    </row>
    <row r="31" spans="2:2" x14ac:dyDescent="0.15">
      <c r="B31" t="s">
        <v>539</v>
      </c>
    </row>
    <row r="32" spans="2:2" x14ac:dyDescent="0.15">
      <c r="B32" t="s">
        <v>540</v>
      </c>
    </row>
    <row r="33" spans="2:2" x14ac:dyDescent="0.15">
      <c r="B33" t="s">
        <v>541</v>
      </c>
    </row>
    <row r="34" spans="2:2" x14ac:dyDescent="0.15">
      <c r="B34" t="s">
        <v>542</v>
      </c>
    </row>
    <row r="35" spans="2:2" x14ac:dyDescent="0.15">
      <c r="B35" t="s">
        <v>543</v>
      </c>
    </row>
    <row r="36" spans="2:2" x14ac:dyDescent="0.15">
      <c r="B36" t="s">
        <v>544</v>
      </c>
    </row>
    <row r="37" spans="2:2" x14ac:dyDescent="0.15">
      <c r="B37" t="s">
        <v>400</v>
      </c>
    </row>
    <row r="38" spans="2:2" x14ac:dyDescent="0.15">
      <c r="B38" t="s">
        <v>545</v>
      </c>
    </row>
    <row r="39" spans="2:2" x14ac:dyDescent="0.15">
      <c r="B39" t="s">
        <v>546</v>
      </c>
    </row>
  </sheetData>
  <conditionalFormatting sqref="B1:B15">
    <cfRule type="expression" dxfId="523" priority="2">
      <formula>IF(LEN(B1)&gt;0,1,0)</formula>
    </cfRule>
    <cfRule type="expression" dxfId="522" priority="3">
      <formula>IF(VLOOKUP($AH$3,#NAME?,MATCH(#REF!,#NAME?,0)+1,0)&gt;0,1,0)</formula>
    </cfRule>
    <cfRule type="expression" dxfId="521" priority="4">
      <formula>IF(VLOOKUP($AH$3,#NAME?,MATCH(#REF!,#NAME?,0)+1,0)&gt;0,1,0)</formula>
    </cfRule>
    <cfRule type="expression" dxfId="520" priority="5">
      <formula>IF(VLOOKUP($AH$3,#NAME?,MATCH(#REF!,#NAME?,0)+1,0)&gt;0,1,0)</formula>
    </cfRule>
    <cfRule type="expression" dxfId="51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33203125" defaultRowHeight="13" x14ac:dyDescent="0.15"/>
  <sheetData>
    <row r="2" spans="2:2" x14ac:dyDescent="0.15">
      <c r="B2" t="s">
        <v>375</v>
      </c>
    </row>
    <row r="3" spans="2:2" x14ac:dyDescent="0.15">
      <c r="B3" t="s">
        <v>547</v>
      </c>
    </row>
    <row r="4" spans="2:2" x14ac:dyDescent="0.15">
      <c r="B4" t="s">
        <v>548</v>
      </c>
    </row>
    <row r="5" spans="2:2" x14ac:dyDescent="0.15">
      <c r="B5" t="s">
        <v>549</v>
      </c>
    </row>
    <row r="6" spans="2:2" x14ac:dyDescent="0.15">
      <c r="B6" t="s">
        <v>550</v>
      </c>
    </row>
    <row r="7" spans="2:2" x14ac:dyDescent="0.15">
      <c r="B7" t="s">
        <v>551</v>
      </c>
    </row>
    <row r="8" spans="2:2" ht="16" x14ac:dyDescent="0.2">
      <c r="B8" s="59" t="s">
        <v>552</v>
      </c>
    </row>
    <row r="9" spans="2:2" x14ac:dyDescent="0.15">
      <c r="B9" t="s">
        <v>553</v>
      </c>
    </row>
    <row r="10" spans="2:2" x14ac:dyDescent="0.15">
      <c r="B10" s="41" t="s">
        <v>554</v>
      </c>
    </row>
    <row r="11" spans="2:2" x14ac:dyDescent="0.15">
      <c r="B11" s="41" t="s">
        <v>555</v>
      </c>
    </row>
    <row r="14" spans="2:2" x14ac:dyDescent="0.15">
      <c r="B14" t="s">
        <v>556</v>
      </c>
    </row>
    <row r="20" spans="2:2" x14ac:dyDescent="0.15">
      <c r="B20" t="s">
        <v>557</v>
      </c>
    </row>
    <row r="21" spans="2:2" x14ac:dyDescent="0.15">
      <c r="B21" t="s">
        <v>558</v>
      </c>
    </row>
    <row r="22" spans="2:2" x14ac:dyDescent="0.15">
      <c r="B22" t="s">
        <v>559</v>
      </c>
    </row>
    <row r="23" spans="2:2" x14ac:dyDescent="0.15">
      <c r="B23" t="s">
        <v>560</v>
      </c>
    </row>
    <row r="24" spans="2:2" x14ac:dyDescent="0.15">
      <c r="B24" t="s">
        <v>385</v>
      </c>
    </row>
    <row r="25" spans="2:2" x14ac:dyDescent="0.15">
      <c r="B25" t="s">
        <v>561</v>
      </c>
    </row>
    <row r="26" spans="2:2" x14ac:dyDescent="0.15">
      <c r="B26" t="s">
        <v>562</v>
      </c>
    </row>
    <row r="27" spans="2:2" x14ac:dyDescent="0.15">
      <c r="B27" t="s">
        <v>563</v>
      </c>
    </row>
    <row r="28" spans="2:2" x14ac:dyDescent="0.15">
      <c r="B28" t="s">
        <v>564</v>
      </c>
    </row>
    <row r="29" spans="2:2" x14ac:dyDescent="0.15">
      <c r="B29" t="s">
        <v>565</v>
      </c>
    </row>
    <row r="30" spans="2:2" x14ac:dyDescent="0.15">
      <c r="B30" t="s">
        <v>566</v>
      </c>
    </row>
    <row r="31" spans="2:2" x14ac:dyDescent="0.15">
      <c r="B31" t="s">
        <v>567</v>
      </c>
    </row>
    <row r="32" spans="2:2" x14ac:dyDescent="0.15">
      <c r="B32" t="s">
        <v>568</v>
      </c>
    </row>
    <row r="33" spans="2:2" x14ac:dyDescent="0.15">
      <c r="B33" t="s">
        <v>569</v>
      </c>
    </row>
    <row r="34" spans="2:2" x14ac:dyDescent="0.15">
      <c r="B34" t="s">
        <v>570</v>
      </c>
    </row>
    <row r="35" spans="2:2" x14ac:dyDescent="0.15">
      <c r="B35" t="s">
        <v>571</v>
      </c>
    </row>
    <row r="36" spans="2:2" x14ac:dyDescent="0.15">
      <c r="B36" t="s">
        <v>572</v>
      </c>
    </row>
    <row r="37" spans="2:2" x14ac:dyDescent="0.15">
      <c r="B37" t="s">
        <v>400</v>
      </c>
    </row>
    <row r="38" spans="2:2" x14ac:dyDescent="0.15">
      <c r="B38" t="s">
        <v>573</v>
      </c>
    </row>
    <row r="39" spans="2:2" x14ac:dyDescent="0.15">
      <c r="B39" t="s">
        <v>574</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33203125" defaultRowHeight="13" x14ac:dyDescent="0.15"/>
  <sheetData>
    <row r="2" spans="2:2" x14ac:dyDescent="0.15">
      <c r="B2" t="s">
        <v>379</v>
      </c>
    </row>
    <row r="3" spans="2:2" ht="16" x14ac:dyDescent="0.2">
      <c r="B3" s="59" t="s">
        <v>575</v>
      </c>
    </row>
    <row r="4" spans="2:2" ht="16" x14ac:dyDescent="0.2">
      <c r="B4" s="59" t="s">
        <v>576</v>
      </c>
    </row>
    <row r="5" spans="2:2" x14ac:dyDescent="0.15">
      <c r="B5" t="s">
        <v>577</v>
      </c>
    </row>
    <row r="6" spans="2:2" ht="16" x14ac:dyDescent="0.2">
      <c r="B6" s="59" t="s">
        <v>578</v>
      </c>
    </row>
    <row r="7" spans="2:2" ht="16" x14ac:dyDescent="0.2">
      <c r="B7" s="59" t="s">
        <v>579</v>
      </c>
    </row>
    <row r="8" spans="2:2" x14ac:dyDescent="0.15">
      <c r="B8" t="s">
        <v>580</v>
      </c>
    </row>
    <row r="9" spans="2:2" x14ac:dyDescent="0.15">
      <c r="B9" t="s">
        <v>581</v>
      </c>
    </row>
    <row r="10" spans="2:2" x14ac:dyDescent="0.15">
      <c r="B10" t="s">
        <v>582</v>
      </c>
    </row>
    <row r="11" spans="2:2" x14ac:dyDescent="0.15">
      <c r="B11" t="s">
        <v>583</v>
      </c>
    </row>
    <row r="14" spans="2:2" ht="16" x14ac:dyDescent="0.2">
      <c r="B14" s="59" t="s">
        <v>584</v>
      </c>
    </row>
    <row r="20" spans="2:2" x14ac:dyDescent="0.15">
      <c r="B20" t="s">
        <v>585</v>
      </c>
    </row>
    <row r="21" spans="2:2" x14ac:dyDescent="0.15">
      <c r="B21" t="s">
        <v>586</v>
      </c>
    </row>
    <row r="22" spans="2:2" x14ac:dyDescent="0.15">
      <c r="B22" t="s">
        <v>530</v>
      </c>
    </row>
    <row r="23" spans="2:2" x14ac:dyDescent="0.15">
      <c r="B23" t="s">
        <v>587</v>
      </c>
    </row>
    <row r="24" spans="2:2" x14ac:dyDescent="0.15">
      <c r="B24" t="s">
        <v>385</v>
      </c>
    </row>
    <row r="25" spans="2:2" x14ac:dyDescent="0.15">
      <c r="B25" t="s">
        <v>588</v>
      </c>
    </row>
    <row r="26" spans="2:2" x14ac:dyDescent="0.15">
      <c r="B26" t="s">
        <v>534</v>
      </c>
    </row>
    <row r="27" spans="2:2" x14ac:dyDescent="0.15">
      <c r="B27" t="s">
        <v>589</v>
      </c>
    </row>
    <row r="28" spans="2:2" x14ac:dyDescent="0.15">
      <c r="B28" t="s">
        <v>590</v>
      </c>
    </row>
    <row r="29" spans="2:2" x14ac:dyDescent="0.15">
      <c r="B29" t="s">
        <v>591</v>
      </c>
    </row>
    <row r="30" spans="2:2" x14ac:dyDescent="0.15">
      <c r="B30" t="s">
        <v>592</v>
      </c>
    </row>
    <row r="31" spans="2:2" x14ac:dyDescent="0.15">
      <c r="B31" t="s">
        <v>593</v>
      </c>
    </row>
    <row r="32" spans="2:2" x14ac:dyDescent="0.15">
      <c r="B32" t="s">
        <v>594</v>
      </c>
    </row>
    <row r="33" spans="2:2" x14ac:dyDescent="0.15">
      <c r="B33" t="s">
        <v>595</v>
      </c>
    </row>
    <row r="34" spans="2:2" x14ac:dyDescent="0.15">
      <c r="B34" t="s">
        <v>596</v>
      </c>
    </row>
    <row r="35" spans="2:2" x14ac:dyDescent="0.15">
      <c r="B35" t="s">
        <v>571</v>
      </c>
    </row>
    <row r="36" spans="2:2" x14ac:dyDescent="0.15">
      <c r="B36" t="s">
        <v>597</v>
      </c>
    </row>
    <row r="37" spans="2:2" x14ac:dyDescent="0.15">
      <c r="B37" t="s">
        <v>515</v>
      </c>
    </row>
    <row r="38" spans="2:2" x14ac:dyDescent="0.15">
      <c r="B38" t="s">
        <v>598</v>
      </c>
    </row>
    <row r="39" spans="2:2" x14ac:dyDescent="0.15">
      <c r="B39" t="s">
        <v>599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33203125" defaultRowHeight="13" x14ac:dyDescent="0.15"/>
  <sheetData>
    <row r="2" spans="2:2" x14ac:dyDescent="0.15">
      <c r="B2" t="s">
        <v>435</v>
      </c>
    </row>
    <row r="3" spans="2:2" x14ac:dyDescent="0.15">
      <c r="B3" t="s">
        <v>600</v>
      </c>
    </row>
    <row r="4" spans="2:2" x14ac:dyDescent="0.15">
      <c r="B4" t="s">
        <v>601</v>
      </c>
    </row>
    <row r="5" spans="2:2" x14ac:dyDescent="0.15">
      <c r="B5" t="s">
        <v>602</v>
      </c>
    </row>
    <row r="6" spans="2:2" x14ac:dyDescent="0.15">
      <c r="B6" t="s">
        <v>603</v>
      </c>
    </row>
    <row r="7" spans="2:2" x14ac:dyDescent="0.15">
      <c r="B7" t="s">
        <v>604</v>
      </c>
    </row>
    <row r="8" spans="2:2" x14ac:dyDescent="0.15">
      <c r="B8" t="s">
        <v>605</v>
      </c>
    </row>
    <row r="9" spans="2:2" x14ac:dyDescent="0.15">
      <c r="B9" t="s">
        <v>606</v>
      </c>
    </row>
    <row r="10" spans="2:2" x14ac:dyDescent="0.15">
      <c r="B10" t="s">
        <v>607</v>
      </c>
    </row>
    <row r="11" spans="2:2" x14ac:dyDescent="0.15">
      <c r="B11" t="s">
        <v>608</v>
      </c>
    </row>
    <row r="14" spans="2:2" x14ac:dyDescent="0.15">
      <c r="B14" t="s">
        <v>609</v>
      </c>
    </row>
    <row r="20" spans="2:2" x14ac:dyDescent="0.15">
      <c r="B20" t="s">
        <v>610</v>
      </c>
    </row>
    <row r="21" spans="2:2" x14ac:dyDescent="0.15">
      <c r="B21" t="s">
        <v>611</v>
      </c>
    </row>
    <row r="22" spans="2:2" x14ac:dyDescent="0.15">
      <c r="B22" t="s">
        <v>612</v>
      </c>
    </row>
    <row r="23" spans="2:2" x14ac:dyDescent="0.15">
      <c r="B23" t="s">
        <v>613</v>
      </c>
    </row>
    <row r="24" spans="2:2" x14ac:dyDescent="0.15">
      <c r="B24" t="s">
        <v>385</v>
      </c>
    </row>
    <row r="25" spans="2:2" x14ac:dyDescent="0.15">
      <c r="B25" t="s">
        <v>614</v>
      </c>
    </row>
    <row r="26" spans="2:2" x14ac:dyDescent="0.15">
      <c r="B26" t="s">
        <v>615</v>
      </c>
    </row>
    <row r="27" spans="2:2" x14ac:dyDescent="0.15">
      <c r="B27" t="s">
        <v>616</v>
      </c>
    </row>
    <row r="28" spans="2:2" x14ac:dyDescent="0.15">
      <c r="B28" t="s">
        <v>617</v>
      </c>
    </row>
    <row r="29" spans="2:2" x14ac:dyDescent="0.15">
      <c r="B29" t="s">
        <v>618</v>
      </c>
    </row>
    <row r="30" spans="2:2" x14ac:dyDescent="0.15">
      <c r="B30" t="s">
        <v>619</v>
      </c>
    </row>
    <row r="31" spans="2:2" x14ac:dyDescent="0.15">
      <c r="B31" t="s">
        <v>620</v>
      </c>
    </row>
    <row r="32" spans="2:2" x14ac:dyDescent="0.15">
      <c r="B32" t="s">
        <v>621</v>
      </c>
    </row>
    <row r="33" spans="2:2" x14ac:dyDescent="0.15">
      <c r="B33" t="s">
        <v>622</v>
      </c>
    </row>
    <row r="34" spans="2:2" x14ac:dyDescent="0.15">
      <c r="B34" t="s">
        <v>623</v>
      </c>
    </row>
    <row r="35" spans="2:2" x14ac:dyDescent="0.15">
      <c r="B35" t="s">
        <v>624</v>
      </c>
    </row>
    <row r="36" spans="2:2" x14ac:dyDescent="0.15">
      <c r="B36" t="s">
        <v>514</v>
      </c>
    </row>
    <row r="37" spans="2:2" x14ac:dyDescent="0.15">
      <c r="B37" t="s">
        <v>400</v>
      </c>
    </row>
    <row r="38" spans="2:2" x14ac:dyDescent="0.15">
      <c r="B38" t="s">
        <v>625</v>
      </c>
    </row>
    <row r="39" spans="2:2" x14ac:dyDescent="0.15">
      <c r="B39" t="s">
        <v>626</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1367</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173</cp:revision>
  <dcterms:created xsi:type="dcterms:W3CDTF">2020-07-27T15:42:24Z</dcterms:created>
  <dcterms:modified xsi:type="dcterms:W3CDTF">2024-07-25T02:31:32Z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