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6460silver/"/>
    </mc:Choice>
  </mc:AlternateContent>
  <xr:revisionPtr revIDLastSave="0" documentId="13_ncr:1_{98FCB9CE-D705-9E4B-9064-51C111DABE95}"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9" i="2"/>
  <c r="B8" i="2"/>
  <c r="B7" i="2"/>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U42" i="2"/>
  <c r="T42" i="2"/>
  <c r="S42" i="2"/>
  <c r="R42" i="2"/>
  <c r="Q42" i="2"/>
  <c r="P42" i="2"/>
  <c r="O42" i="2"/>
  <c r="N42" i="2"/>
  <c r="M42" i="2"/>
  <c r="J42" i="2"/>
  <c r="I42" i="2"/>
  <c r="H42" i="2"/>
  <c r="V41" i="2"/>
  <c r="H41" i="2" s="1"/>
  <c r="U41" i="2"/>
  <c r="T41" i="2"/>
  <c r="S41" i="2"/>
  <c r="R41" i="2"/>
  <c r="Q41" i="2"/>
  <c r="P41" i="2"/>
  <c r="O41" i="2"/>
  <c r="N41" i="2"/>
  <c r="M41" i="2"/>
  <c r="L41" i="2"/>
  <c r="J41" i="2"/>
  <c r="I41" i="2"/>
  <c r="V40" i="2"/>
  <c r="U40" i="2"/>
  <c r="T40" i="2"/>
  <c r="S40" i="2"/>
  <c r="R40" i="2"/>
  <c r="Q40" i="2"/>
  <c r="P40" i="2"/>
  <c r="O40" i="2"/>
  <c r="N40" i="2"/>
  <c r="M40" i="2"/>
  <c r="L40" i="2"/>
  <c r="J40" i="2"/>
  <c r="I40" i="2"/>
  <c r="H40" i="2"/>
  <c r="V39" i="2"/>
  <c r="U39" i="2"/>
  <c r="T39" i="2"/>
  <c r="S39" i="2"/>
  <c r="R39" i="2"/>
  <c r="Q39" i="2"/>
  <c r="P39" i="2"/>
  <c r="O39" i="2"/>
  <c r="N39" i="2"/>
  <c r="M39" i="2"/>
  <c r="L39" i="2"/>
  <c r="J39" i="2"/>
  <c r="I39" i="2"/>
  <c r="H39" i="2"/>
  <c r="V38" i="2"/>
  <c r="U38" i="2"/>
  <c r="T38" i="2"/>
  <c r="S38" i="2"/>
  <c r="R38" i="2"/>
  <c r="Q38" i="2"/>
  <c r="P38" i="2"/>
  <c r="O38" i="2"/>
  <c r="N38" i="2"/>
  <c r="M38" i="2"/>
  <c r="L38" i="2"/>
  <c r="J38" i="2"/>
  <c r="I38" i="2"/>
  <c r="H38" i="2"/>
  <c r="V37" i="2"/>
  <c r="U37" i="2"/>
  <c r="T37" i="2"/>
  <c r="S37" i="2"/>
  <c r="R37" i="2"/>
  <c r="Q37" i="2"/>
  <c r="P37" i="2"/>
  <c r="O37" i="2"/>
  <c r="N37" i="2"/>
  <c r="M37" i="2"/>
  <c r="L37" i="2"/>
  <c r="J37" i="2"/>
  <c r="I37" i="2"/>
  <c r="H37" i="2"/>
  <c r="V36" i="2"/>
  <c r="H36" i="2" s="1"/>
  <c r="U36" i="2"/>
  <c r="T36" i="2"/>
  <c r="S36" i="2"/>
  <c r="R36" i="2"/>
  <c r="Q36" i="2"/>
  <c r="P36" i="2"/>
  <c r="O36" i="2"/>
  <c r="N36" i="2"/>
  <c r="M36" i="2"/>
  <c r="L36" i="2"/>
  <c r="J36" i="2"/>
  <c r="I36" i="2"/>
  <c r="V35" i="2"/>
  <c r="U35" i="2"/>
  <c r="T35" i="2"/>
  <c r="S35" i="2"/>
  <c r="R35" i="2"/>
  <c r="Q35" i="2"/>
  <c r="P35" i="2"/>
  <c r="O35" i="2"/>
  <c r="N35" i="2"/>
  <c r="M35" i="2"/>
  <c r="L35" i="2"/>
  <c r="J35" i="2"/>
  <c r="I35" i="2"/>
  <c r="H35" i="2"/>
  <c r="V34" i="2"/>
  <c r="U34" i="2"/>
  <c r="T34" i="2"/>
  <c r="S34" i="2"/>
  <c r="R34" i="2"/>
  <c r="Q34" i="2"/>
  <c r="P34" i="2"/>
  <c r="O34" i="2"/>
  <c r="N34" i="2"/>
  <c r="M34" i="2"/>
  <c r="L34" i="2"/>
  <c r="J34" i="2"/>
  <c r="I34" i="2"/>
  <c r="H34" i="2"/>
  <c r="V33" i="2"/>
  <c r="U33" i="2"/>
  <c r="T33" i="2"/>
  <c r="S33" i="2"/>
  <c r="R33" i="2"/>
  <c r="Q33" i="2"/>
  <c r="P33" i="2"/>
  <c r="O33" i="2"/>
  <c r="N33" i="2"/>
  <c r="M33" i="2"/>
  <c r="L33" i="2"/>
  <c r="J33" i="2"/>
  <c r="I33" i="2"/>
  <c r="H33" i="2"/>
  <c r="B33" i="2"/>
  <c r="AL14" i="1" s="1"/>
  <c r="V32" i="2"/>
  <c r="U32" i="2"/>
  <c r="T32" i="2"/>
  <c r="S32" i="2"/>
  <c r="R32" i="2"/>
  <c r="Q32" i="2"/>
  <c r="P32" i="2"/>
  <c r="O32" i="2"/>
  <c r="N32" i="2"/>
  <c r="M32" i="2"/>
  <c r="L32" i="2"/>
  <c r="J32" i="2"/>
  <c r="I32" i="2"/>
  <c r="H32" i="2"/>
  <c r="V31" i="2"/>
  <c r="H31" i="2" s="1"/>
  <c r="U31" i="2"/>
  <c r="T31" i="2"/>
  <c r="S31" i="2"/>
  <c r="R31" i="2"/>
  <c r="Q31" i="2"/>
  <c r="P31" i="2"/>
  <c r="O31" i="2"/>
  <c r="N31" i="2"/>
  <c r="M31" i="2"/>
  <c r="L31" i="2"/>
  <c r="J31" i="2"/>
  <c r="I31" i="2"/>
  <c r="B31" i="2"/>
  <c r="EI7" i="1" s="1"/>
  <c r="V30" i="2"/>
  <c r="U30" i="2"/>
  <c r="T30" i="2"/>
  <c r="S30" i="2"/>
  <c r="R30" i="2"/>
  <c r="Q30" i="2"/>
  <c r="P30" i="2"/>
  <c r="O30" i="2"/>
  <c r="N30" i="2"/>
  <c r="M30" i="2"/>
  <c r="L30" i="2"/>
  <c r="J30" i="2"/>
  <c r="I30" i="2"/>
  <c r="H30" i="2"/>
  <c r="V29" i="2"/>
  <c r="H29" i="2" s="1"/>
  <c r="U29" i="2"/>
  <c r="T29" i="2"/>
  <c r="S29" i="2"/>
  <c r="R29" i="2"/>
  <c r="Q29" i="2"/>
  <c r="P29" i="2"/>
  <c r="O29" i="2"/>
  <c r="N29" i="2"/>
  <c r="M29" i="2"/>
  <c r="L29" i="2"/>
  <c r="J29" i="2"/>
  <c r="I29" i="2"/>
  <c r="B29" i="2"/>
  <c r="AB6" i="1" s="1"/>
  <c r="V28" i="2"/>
  <c r="H28" i="2" s="1"/>
  <c r="U28" i="2"/>
  <c r="T28" i="2"/>
  <c r="S28" i="2"/>
  <c r="R28" i="2"/>
  <c r="Q28" i="2"/>
  <c r="P28" i="2"/>
  <c r="O28" i="2"/>
  <c r="N28" i="2"/>
  <c r="M28" i="2"/>
  <c r="L28" i="2"/>
  <c r="J28" i="2"/>
  <c r="I28" i="2"/>
  <c r="V27" i="2"/>
  <c r="H27" i="2" s="1"/>
  <c r="U27" i="2"/>
  <c r="T27" i="2"/>
  <c r="S27" i="2"/>
  <c r="R27" i="2"/>
  <c r="Q27" i="2"/>
  <c r="P27" i="2"/>
  <c r="O27" i="2"/>
  <c r="N27" i="2"/>
  <c r="M27" i="2"/>
  <c r="L27" i="2"/>
  <c r="J27" i="2"/>
  <c r="I27" i="2"/>
  <c r="B27" i="2"/>
  <c r="V26" i="2"/>
  <c r="U26" i="2"/>
  <c r="T26" i="2"/>
  <c r="S26" i="2"/>
  <c r="R26" i="2"/>
  <c r="Q26" i="2"/>
  <c r="P26" i="2"/>
  <c r="O26" i="2"/>
  <c r="N26" i="2"/>
  <c r="M26" i="2"/>
  <c r="L26" i="2"/>
  <c r="J26" i="2"/>
  <c r="I26" i="2"/>
  <c r="H26" i="2"/>
  <c r="B26" i="2"/>
  <c r="V25" i="2"/>
  <c r="U25" i="2"/>
  <c r="T25" i="2"/>
  <c r="S25" i="2"/>
  <c r="R25" i="2"/>
  <c r="Q25" i="2"/>
  <c r="P25" i="2"/>
  <c r="O25" i="2"/>
  <c r="N25" i="2"/>
  <c r="M25" i="2"/>
  <c r="L25" i="2"/>
  <c r="J25" i="2"/>
  <c r="I25" i="2"/>
  <c r="H25" i="2"/>
  <c r="B25" i="2"/>
  <c r="V24" i="2"/>
  <c r="U24" i="2"/>
  <c r="T24" i="2"/>
  <c r="S24" i="2"/>
  <c r="R24" i="2"/>
  <c r="Q24" i="2"/>
  <c r="P24" i="2"/>
  <c r="O24" i="2"/>
  <c r="N24" i="2"/>
  <c r="M24" i="2"/>
  <c r="L24" i="2"/>
  <c r="J24" i="2"/>
  <c r="I24" i="2"/>
  <c r="H24" i="2"/>
  <c r="B24" i="2"/>
  <c r="AJ14" i="1" s="1"/>
  <c r="V23" i="2"/>
  <c r="U23" i="2"/>
  <c r="T23" i="2"/>
  <c r="S23" i="2"/>
  <c r="R23" i="2"/>
  <c r="Q23" i="2"/>
  <c r="P23" i="2"/>
  <c r="O23" i="2"/>
  <c r="N23" i="2"/>
  <c r="M23" i="2"/>
  <c r="L23" i="2"/>
  <c r="I23" i="2"/>
  <c r="H23" i="2"/>
  <c r="B23" i="2"/>
  <c r="V22" i="2"/>
  <c r="H22" i="2" s="1"/>
  <c r="U22" i="2"/>
  <c r="T22" i="2"/>
  <c r="S22" i="2"/>
  <c r="R22" i="2"/>
  <c r="Q22" i="2"/>
  <c r="P22" i="2"/>
  <c r="O22" i="2"/>
  <c r="N22" i="2"/>
  <c r="M22" i="2"/>
  <c r="L22" i="2"/>
  <c r="I22" i="2"/>
  <c r="V21" i="2"/>
  <c r="U21" i="2"/>
  <c r="T21" i="2"/>
  <c r="S21" i="2"/>
  <c r="R21" i="2"/>
  <c r="Q21" i="2"/>
  <c r="P21" i="2"/>
  <c r="O21" i="2"/>
  <c r="N21" i="2"/>
  <c r="M21" i="2"/>
  <c r="L21" i="2"/>
  <c r="I21" i="2"/>
  <c r="H21" i="2"/>
  <c r="V20" i="2"/>
  <c r="U20" i="2"/>
  <c r="T20" i="2"/>
  <c r="S20" i="2"/>
  <c r="R20" i="2"/>
  <c r="Q20" i="2"/>
  <c r="P20" i="2"/>
  <c r="O20" i="2"/>
  <c r="N20" i="2"/>
  <c r="M20" i="2"/>
  <c r="L20" i="2"/>
  <c r="I20" i="2"/>
  <c r="H20" i="2"/>
  <c r="V19" i="2"/>
  <c r="H19" i="2" s="1"/>
  <c r="U19" i="2"/>
  <c r="T19" i="2"/>
  <c r="S19" i="2"/>
  <c r="R19" i="2"/>
  <c r="Q19" i="2"/>
  <c r="P19" i="2"/>
  <c r="O19" i="2"/>
  <c r="N19" i="2"/>
  <c r="M19" i="2"/>
  <c r="L19" i="2"/>
  <c r="I19" i="2"/>
  <c r="V18" i="2"/>
  <c r="H18" i="2" s="1"/>
  <c r="U18" i="2"/>
  <c r="T18" i="2"/>
  <c r="S18" i="2"/>
  <c r="R18" i="2"/>
  <c r="Q18" i="2"/>
  <c r="P18" i="2"/>
  <c r="O18" i="2"/>
  <c r="N18" i="2"/>
  <c r="M18" i="2"/>
  <c r="L18" i="2"/>
  <c r="I18" i="2"/>
  <c r="V17" i="2"/>
  <c r="H17" i="2" s="1"/>
  <c r="U17" i="2"/>
  <c r="T17" i="2"/>
  <c r="S17" i="2"/>
  <c r="R17" i="2"/>
  <c r="Q17" i="2"/>
  <c r="P17" i="2"/>
  <c r="O17" i="2"/>
  <c r="N17" i="2"/>
  <c r="M17" i="2"/>
  <c r="L17" i="2"/>
  <c r="I17" i="2"/>
  <c r="V16" i="2"/>
  <c r="U16" i="2"/>
  <c r="T16" i="2"/>
  <c r="S16" i="2"/>
  <c r="R16" i="2"/>
  <c r="Q16" i="2"/>
  <c r="P16" i="2"/>
  <c r="O16" i="2"/>
  <c r="N16" i="2"/>
  <c r="M16" i="2"/>
  <c r="L16" i="2"/>
  <c r="I16" i="2"/>
  <c r="H16" i="2"/>
  <c r="V15" i="2"/>
  <c r="H15" i="2" s="1"/>
  <c r="U15" i="2"/>
  <c r="T15" i="2"/>
  <c r="S15" i="2"/>
  <c r="R15" i="2"/>
  <c r="Q15" i="2"/>
  <c r="P15" i="2"/>
  <c r="O15" i="2"/>
  <c r="N15" i="2"/>
  <c r="M15" i="2"/>
  <c r="L15" i="2"/>
  <c r="I15" i="2"/>
  <c r="V14" i="2"/>
  <c r="U14" i="2"/>
  <c r="T14" i="2"/>
  <c r="S14" i="2"/>
  <c r="R14" i="2"/>
  <c r="Q14" i="2"/>
  <c r="P14" i="2"/>
  <c r="O14" i="2"/>
  <c r="N14" i="2"/>
  <c r="M14" i="2"/>
  <c r="L14" i="2"/>
  <c r="I14" i="2"/>
  <c r="H14" i="2"/>
  <c r="V13" i="2"/>
  <c r="U13" i="2"/>
  <c r="T13" i="2"/>
  <c r="S13" i="2"/>
  <c r="Q13" i="2"/>
  <c r="N13" i="2"/>
  <c r="L13" i="2"/>
  <c r="O13" i="2" s="1"/>
  <c r="O14" i="1" s="1"/>
  <c r="I13" i="2"/>
  <c r="H13" i="2"/>
  <c r="D13" i="2"/>
  <c r="V12" i="2"/>
  <c r="H12" i="2" s="1"/>
  <c r="U12" i="2"/>
  <c r="R12" i="2"/>
  <c r="Q12" i="2"/>
  <c r="P12" i="2"/>
  <c r="O12" i="2"/>
  <c r="N12" i="2"/>
  <c r="M12" i="2"/>
  <c r="L12" i="2"/>
  <c r="S12" i="2" s="1"/>
  <c r="S13" i="1" s="1"/>
  <c r="I12" i="2"/>
  <c r="D12" i="2"/>
  <c r="V11" i="2"/>
  <c r="H11" i="2" s="1"/>
  <c r="R11" i="2"/>
  <c r="Q11" i="2"/>
  <c r="L11" i="2"/>
  <c r="M11" i="2" s="1"/>
  <c r="M12" i="1" s="1"/>
  <c r="I11" i="2"/>
  <c r="D11" i="2"/>
  <c r="V10" i="2"/>
  <c r="H10" i="2" s="1"/>
  <c r="L10" i="2"/>
  <c r="Q10" i="2" s="1"/>
  <c r="Q11" i="1" s="1"/>
  <c r="I10" i="2"/>
  <c r="D10" i="2"/>
  <c r="C10" i="2"/>
  <c r="V9" i="2"/>
  <c r="U9" i="2"/>
  <c r="T9" i="2"/>
  <c r="S9" i="2"/>
  <c r="R9" i="2"/>
  <c r="Q9" i="2"/>
  <c r="P9" i="2"/>
  <c r="N9" i="2"/>
  <c r="L9" i="2"/>
  <c r="O9" i="2" s="1"/>
  <c r="O10" i="1" s="1"/>
  <c r="I9" i="2"/>
  <c r="H9" i="2"/>
  <c r="AT10" i="1" s="1"/>
  <c r="D9" i="2"/>
  <c r="C9" i="2"/>
  <c r="V8" i="2"/>
  <c r="H8" i="2" s="1"/>
  <c r="M8" i="2"/>
  <c r="L8" i="2"/>
  <c r="R8" i="2" s="1"/>
  <c r="R9" i="1" s="1"/>
  <c r="I8" i="2"/>
  <c r="D8" i="2"/>
  <c r="C8" i="2"/>
  <c r="V7" i="2"/>
  <c r="U7" i="2"/>
  <c r="T7" i="2"/>
  <c r="S7" i="2"/>
  <c r="R7" i="2"/>
  <c r="P7" i="2"/>
  <c r="M7" i="2"/>
  <c r="L7" i="2"/>
  <c r="N7" i="2" s="1"/>
  <c r="N8" i="1" s="1"/>
  <c r="I7" i="2"/>
  <c r="H7" i="2"/>
  <c r="F8" i="1" s="1"/>
  <c r="D7" i="2"/>
  <c r="C7" i="2"/>
  <c r="V6" i="2"/>
  <c r="H6" i="2" s="1"/>
  <c r="O6" i="2"/>
  <c r="N6" i="2"/>
  <c r="L6" i="2"/>
  <c r="T6" i="2" s="1"/>
  <c r="T7" i="1" s="1"/>
  <c r="I6" i="2"/>
  <c r="D6" i="2"/>
  <c r="C6" i="2"/>
  <c r="V5" i="2"/>
  <c r="U5" i="2"/>
  <c r="T5" i="2"/>
  <c r="S5" i="2"/>
  <c r="Q5" i="2"/>
  <c r="N5" i="2"/>
  <c r="L5" i="2"/>
  <c r="O5" i="2" s="1"/>
  <c r="O6" i="1" s="1"/>
  <c r="I5" i="2"/>
  <c r="H5" i="2"/>
  <c r="D5" i="2"/>
  <c r="C5" i="2"/>
  <c r="V4" i="2"/>
  <c r="H4" i="2" s="1"/>
  <c r="O4" i="2"/>
  <c r="N4" i="2"/>
  <c r="L4" i="2"/>
  <c r="T4" i="2" s="1"/>
  <c r="T5" i="1" s="1"/>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K14" i="1"/>
  <c r="AI14" i="1"/>
  <c r="AA14" i="1"/>
  <c r="Z14" i="1"/>
  <c r="Y14" i="1"/>
  <c r="X14" i="1"/>
  <c r="W14" i="1"/>
  <c r="U14" i="1"/>
  <c r="T14" i="1"/>
  <c r="S14" i="1"/>
  <c r="Q14" i="1"/>
  <c r="N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I13" i="1"/>
  <c r="AB13" i="1"/>
  <c r="AA13" i="1"/>
  <c r="Z13" i="1"/>
  <c r="Y13" i="1"/>
  <c r="X13" i="1"/>
  <c r="W13" i="1"/>
  <c r="U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EV12" i="1"/>
  <c r="ES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I12" i="1"/>
  <c r="AA12" i="1"/>
  <c r="Z12" i="1"/>
  <c r="Y12" i="1"/>
  <c r="X12" i="1"/>
  <c r="W12" i="1"/>
  <c r="R12" i="1"/>
  <c r="Q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I11" i="1"/>
  <c r="AB11" i="1"/>
  <c r="AA11" i="1"/>
  <c r="Z11" i="1"/>
  <c r="Y11" i="1"/>
  <c r="X11" i="1"/>
  <c r="W11" i="1"/>
  <c r="K11" i="1"/>
  <c r="J11" i="1"/>
  <c r="I11" i="1"/>
  <c r="H11" i="1"/>
  <c r="G11" i="1"/>
  <c r="E11" i="1"/>
  <c r="D11" i="1"/>
  <c r="C11" i="1"/>
  <c r="B11" i="1"/>
  <c r="A11" i="1"/>
  <c r="FV10" i="1"/>
  <c r="FU10" i="1"/>
  <c r="FT10" i="1"/>
  <c r="FS10" i="1"/>
  <c r="FR10" i="1"/>
  <c r="FQ10" i="1"/>
  <c r="FP10" i="1"/>
  <c r="FO10" i="1"/>
  <c r="FM10" i="1"/>
  <c r="FJ10" i="1"/>
  <c r="FI10" i="1"/>
  <c r="FH10" i="1"/>
  <c r="EV10" i="1"/>
  <c r="ES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M10" i="1"/>
  <c r="AK10" i="1"/>
  <c r="AI10" i="1"/>
  <c r="AB10" i="1"/>
  <c r="AA10" i="1"/>
  <c r="Z10" i="1"/>
  <c r="Y10" i="1"/>
  <c r="X10" i="1"/>
  <c r="W10" i="1"/>
  <c r="U10" i="1"/>
  <c r="T10" i="1"/>
  <c r="S10" i="1"/>
  <c r="R10" i="1"/>
  <c r="Q10" i="1"/>
  <c r="P10" i="1"/>
  <c r="N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J9" i="1"/>
  <c r="CI9" i="1"/>
  <c r="CH9" i="1"/>
  <c r="CG9" i="1"/>
  <c r="BH9" i="1"/>
  <c r="BG9" i="1"/>
  <c r="BF9" i="1"/>
  <c r="BE9" i="1"/>
  <c r="AV9" i="1"/>
  <c r="AM9" i="1"/>
  <c r="AK9" i="1"/>
  <c r="AI9" i="1"/>
  <c r="AA9" i="1"/>
  <c r="Z9" i="1"/>
  <c r="Y9" i="1"/>
  <c r="X9" i="1"/>
  <c r="W9" i="1"/>
  <c r="M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R8" i="1"/>
  <c r="CQ8" i="1"/>
  <c r="CP8" i="1"/>
  <c r="CO8" i="1"/>
  <c r="L8" i="1" s="1"/>
  <c r="CL8" i="1"/>
  <c r="CK8" i="1"/>
  <c r="CJ8" i="1"/>
  <c r="CI8" i="1"/>
  <c r="CH8" i="1"/>
  <c r="CG8" i="1"/>
  <c r="BH8" i="1"/>
  <c r="BG8" i="1"/>
  <c r="BF8" i="1"/>
  <c r="BE8" i="1"/>
  <c r="AV8" i="1"/>
  <c r="AT8" i="1"/>
  <c r="AM8" i="1"/>
  <c r="AK8" i="1"/>
  <c r="AI8" i="1"/>
  <c r="AA8" i="1"/>
  <c r="Z8" i="1"/>
  <c r="Y8" i="1"/>
  <c r="X8" i="1"/>
  <c r="W8" i="1"/>
  <c r="U8" i="1"/>
  <c r="T8" i="1"/>
  <c r="S8" i="1"/>
  <c r="R8" i="1"/>
  <c r="P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Q7" i="1"/>
  <c r="CP7" i="1"/>
  <c r="CO7" i="1"/>
  <c r="L7" i="1" s="1"/>
  <c r="CL7" i="1"/>
  <c r="CK7" i="1"/>
  <c r="CJ7" i="1"/>
  <c r="CI7" i="1"/>
  <c r="CH7" i="1"/>
  <c r="CG7" i="1"/>
  <c r="BH7" i="1"/>
  <c r="BG7" i="1"/>
  <c r="BF7" i="1"/>
  <c r="BE7" i="1"/>
  <c r="AV7" i="1"/>
  <c r="AM7" i="1"/>
  <c r="AK7" i="1"/>
  <c r="AJ7" i="1"/>
  <c r="AI7" i="1"/>
  <c r="AB7" i="1"/>
  <c r="AA7" i="1"/>
  <c r="Z7" i="1"/>
  <c r="Y7" i="1"/>
  <c r="X7" i="1"/>
  <c r="W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Q6" i="1"/>
  <c r="CP6" i="1"/>
  <c r="CO6" i="1"/>
  <c r="L6" i="1" s="1"/>
  <c r="CL6" i="1"/>
  <c r="CK6" i="1"/>
  <c r="CJ6" i="1"/>
  <c r="CI6" i="1"/>
  <c r="CH6" i="1"/>
  <c r="CG6" i="1"/>
  <c r="BH6" i="1"/>
  <c r="BG6" i="1"/>
  <c r="BF6" i="1"/>
  <c r="BE6" i="1"/>
  <c r="AV6" i="1"/>
  <c r="AT6" i="1"/>
  <c r="AM6" i="1"/>
  <c r="AK6" i="1"/>
  <c r="AJ6" i="1"/>
  <c r="AI6" i="1"/>
  <c r="AA6" i="1"/>
  <c r="Z6" i="1"/>
  <c r="Y6" i="1"/>
  <c r="X6" i="1"/>
  <c r="W6" i="1"/>
  <c r="U6" i="1"/>
  <c r="T6" i="1"/>
  <c r="S6" i="1"/>
  <c r="Q6" i="1"/>
  <c r="N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I5" i="1"/>
  <c r="AB5" i="1"/>
  <c r="AA5" i="1"/>
  <c r="Z5" i="1"/>
  <c r="Y5" i="1"/>
  <c r="X5" i="1"/>
  <c r="W5" i="1"/>
  <c r="O5" i="1"/>
  <c r="N5" i="1"/>
  <c r="K5" i="1"/>
  <c r="J5" i="1"/>
  <c r="I5" i="1"/>
  <c r="H5" i="1"/>
  <c r="G5" i="1"/>
  <c r="E5" i="1"/>
  <c r="D5" i="1"/>
  <c r="C5" i="1"/>
  <c r="B5" i="1"/>
  <c r="A5" i="1"/>
  <c r="AA4" i="1"/>
  <c r="J4" i="1"/>
  <c r="I4" i="1"/>
  <c r="H4" i="1"/>
  <c r="F4" i="1"/>
  <c r="D4" i="1"/>
  <c r="B4" i="1"/>
  <c r="A4" i="1"/>
  <c r="DP8" i="1" l="1"/>
  <c r="AJ5" i="1"/>
  <c r="AB12" i="1"/>
  <c r="DP6" i="1"/>
  <c r="AB8" i="1"/>
  <c r="EI8" i="1"/>
  <c r="EI9" i="1"/>
  <c r="F10" i="1"/>
  <c r="AJ10" i="1"/>
  <c r="AJ11" i="1"/>
  <c r="EI12" i="1"/>
  <c r="DP14" i="1"/>
  <c r="DP7" i="1"/>
  <c r="AB9" i="1"/>
  <c r="AJ12" i="1"/>
  <c r="AB14" i="1"/>
  <c r="EI14" i="1"/>
  <c r="EI11" i="1"/>
  <c r="EI6" i="1"/>
  <c r="AJ8" i="1"/>
  <c r="DP13" i="1"/>
  <c r="AJ13" i="1"/>
  <c r="DP9" i="1"/>
  <c r="EI10" i="1"/>
  <c r="AJ9" i="1"/>
  <c r="FE9" i="1"/>
  <c r="FE10" i="1"/>
  <c r="FE6" i="1"/>
  <c r="L12" i="1"/>
  <c r="FE5" i="1"/>
  <c r="L14" i="1"/>
  <c r="AL10" i="1"/>
  <c r="AL6" i="1"/>
  <c r="AL8" i="1"/>
  <c r="AL11" i="1"/>
  <c r="AT11" i="1"/>
  <c r="F11" i="1"/>
  <c r="AT7" i="1"/>
  <c r="AL7" i="1"/>
  <c r="F7" i="1"/>
  <c r="F9" i="1"/>
  <c r="AL9" i="1"/>
  <c r="AT9" i="1"/>
  <c r="F5" i="1"/>
  <c r="AL5" i="1"/>
  <c r="AT5" i="1"/>
  <c r="F12" i="1"/>
  <c r="AT12" i="1"/>
  <c r="AL12" i="1"/>
  <c r="AT13" i="1"/>
  <c r="AL13" i="1"/>
  <c r="F13" i="1"/>
  <c r="FE8" i="1"/>
  <c r="L11" i="1"/>
  <c r="U4" i="2"/>
  <c r="U5" i="1" s="1"/>
  <c r="P5" i="2"/>
  <c r="P6" i="1" s="1"/>
  <c r="U6" i="2"/>
  <c r="U7" i="1" s="1"/>
  <c r="O7" i="2"/>
  <c r="O8" i="1" s="1"/>
  <c r="S8" i="2"/>
  <c r="S9" i="1" s="1"/>
  <c r="M9" i="2"/>
  <c r="M10" i="1" s="1"/>
  <c r="R10" i="2"/>
  <c r="R11" i="1" s="1"/>
  <c r="N11" i="2"/>
  <c r="N12" i="1" s="1"/>
  <c r="T12" i="2"/>
  <c r="T13" i="1" s="1"/>
  <c r="P13" i="2"/>
  <c r="P14" i="1" s="1"/>
  <c r="T8" i="2"/>
  <c r="T9" i="1" s="1"/>
  <c r="S10" i="2"/>
  <c r="S11" i="1" s="1"/>
  <c r="O11" i="2"/>
  <c r="O12" i="1" s="1"/>
  <c r="M4" i="2"/>
  <c r="M5" i="1" s="1"/>
  <c r="R5" i="2"/>
  <c r="R6" i="1" s="1"/>
  <c r="M6" i="2"/>
  <c r="M7" i="1" s="1"/>
  <c r="Q7" i="2"/>
  <c r="Q8" i="1" s="1"/>
  <c r="U8" i="2"/>
  <c r="U9" i="1" s="1"/>
  <c r="T10" i="2"/>
  <c r="T11" i="1" s="1"/>
  <c r="P11" i="2"/>
  <c r="P12" i="1" s="1"/>
  <c r="R13" i="2"/>
  <c r="R14" i="1" s="1"/>
  <c r="U10" i="2"/>
  <c r="U11" i="1" s="1"/>
  <c r="P4" i="2"/>
  <c r="P5" i="1" s="1"/>
  <c r="P6" i="2"/>
  <c r="P7" i="1" s="1"/>
  <c r="N8" i="2"/>
  <c r="N9" i="1" s="1"/>
  <c r="M10" i="2"/>
  <c r="M11" i="1" s="1"/>
  <c r="S11" i="2"/>
  <c r="S12" i="1" s="1"/>
  <c r="Q4" i="2"/>
  <c r="Q5" i="1" s="1"/>
  <c r="Q6" i="2"/>
  <c r="Q7" i="1" s="1"/>
  <c r="O8" i="2"/>
  <c r="O9" i="1" s="1"/>
  <c r="N10" i="2"/>
  <c r="N11" i="1" s="1"/>
  <c r="T11" i="2"/>
  <c r="T12" i="1" s="1"/>
  <c r="FE7" i="1"/>
  <c r="R4" i="2"/>
  <c r="R5" i="1" s="1"/>
  <c r="M5" i="2"/>
  <c r="M6" i="1" s="1"/>
  <c r="R6" i="2"/>
  <c r="R7" i="1" s="1"/>
  <c r="P8" i="2"/>
  <c r="P9" i="1" s="1"/>
  <c r="O10" i="2"/>
  <c r="O11" i="1" s="1"/>
  <c r="U11" i="2"/>
  <c r="U12" i="1" s="1"/>
  <c r="M13" i="2"/>
  <c r="M14" i="1" s="1"/>
  <c r="S4" i="2"/>
  <c r="S5" i="1" s="1"/>
  <c r="S6" i="2"/>
  <c r="S7" i="1" s="1"/>
  <c r="Q8" i="2"/>
  <c r="Q9" i="1" s="1"/>
  <c r="P10" i="2"/>
  <c r="P11" i="1" s="1"/>
</calcChain>
</file>

<file path=xl/sharedStrings.xml><?xml version="1.0" encoding="utf-8"?>
<sst xmlns="http://schemas.openxmlformats.org/spreadsheetml/2006/main" count="765" uniqueCount="615">
  <si>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</si>
  <si>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</si>
  <si>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</si>
  <si>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</si>
  <si>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</si>
  <si>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</si>
  <si>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</si>
  <si>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</si>
  <si>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</si>
  <si>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</si>
  <si>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</si>
  <si>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</si>
  <si>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</si>
  <si>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</si>
  <si>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</si>
  <si>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</si>
  <si>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</si>
  <si>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</si>
  <si>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</si>
  <si>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</si>
  <si>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</si>
  <si>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</si>
  <si>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</si>
  <si>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</si>
  <si>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</si>
  <si>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</si>
  <si>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</si>
  <si>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</si>
  <si>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</si>
  <si>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</si>
  <si>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</si>
  <si>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</si>
  <si>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</si>
  <si>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</si>
  <si>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</si>
  <si>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</si>
  <si>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</si>
  <si>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</si>
  <si>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</si>
  <si>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</si>
  <si>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</si>
  <si>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</si>
  <si>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</si>
  <si>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</si>
  <si>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</si>
  <si>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</si>
  <si>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</si>
  <si>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</si>
  <si>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</si>
  <si>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</si>
  <si>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</si>
  <si>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</si>
  <si>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</si>
  <si>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</si>
  <si>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</si>
  <si>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</si>
  <si>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</si>
  <si>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</si>
  <si>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</si>
  <si>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</si>
  <si>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</si>
  <si>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</si>
  <si>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</si>
  <si>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</si>
  <si>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</si>
  <si>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</si>
  <si>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</si>
  <si>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</si>
  <si>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</si>
  <si>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</si>
  <si>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</si>
  <si>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</si>
  <si>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</si>
  <si>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</si>
  <si>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</si>
  <si>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</si>
  <si>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</si>
  <si>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</si>
  <si>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</si>
  <si>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</si>
  <si>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</si>
  <si>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</si>
  <si>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</si>
  <si>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</si>
  <si>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</si>
  <si>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</si>
  <si>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</si>
  <si>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</si>
  <si>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</si>
  <si>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</si>
  <si>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</si>
  <si>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</si>
  <si>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</si>
  <si>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</si>
  <si>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</si>
  <si>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</si>
  <si>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</si>
  <si>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</si>
  <si>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</si>
  <si>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</si>
  <si>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</si>
  <si>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</si>
  <si>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</si>
  <si>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</si>
  <si>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</si>
  <si>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</si>
  <si>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</si>
  <si>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</si>
  <si>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</si>
  <si>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</si>
  <si>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</si>
  <si>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</si>
  <si>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</si>
  <si>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</si>
  <si>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</si>
  <si>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</si>
  <si>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</si>
  <si>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</si>
  <si>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</si>
  <si>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</si>
  <si>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</si>
  <si>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</si>
  <si>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</si>
  <si>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</si>
  <si>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</si>
  <si>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</si>
  <si>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</si>
  <si>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</si>
  <si>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</si>
  <si>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</si>
  <si>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</si>
  <si>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</si>
  <si>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</si>
  <si>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</si>
  <si>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</si>
  <si>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</si>
  <si>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</si>
  <si>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</si>
  <si>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</si>
  <si>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</si>
  <si>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</si>
  <si>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</si>
  <si>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</si>
  <si>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</si>
  <si>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</si>
  <si>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</si>
  <si>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</si>
  <si>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</si>
  <si>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</si>
  <si>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</si>
  <si>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</si>
  <si>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</si>
  <si>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</si>
  <si>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</si>
  <si>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</si>
  <si>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</si>
  <si>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</si>
  <si>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</si>
  <si>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</si>
  <si>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</si>
  <si>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</si>
  <si>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</si>
  <si>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</si>
  <si>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</si>
  <si>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</si>
  <si>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</si>
  <si>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</si>
  <si>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</si>
  <si>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</si>
  <si>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</si>
  <si>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</si>
  <si>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</si>
  <si>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</si>
  <si>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</si>
  <si>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</si>
  <si>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</si>
  <si>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</si>
  <si>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</si>
  <si>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</si>
  <si>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</si>
  <si>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</si>
  <si>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</si>
  <si>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</si>
  <si>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</si>
  <si>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</si>
  <si>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</si>
  <si>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</si>
  <si>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</si>
  <si>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</si>
  <si>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</si>
  <si>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</si>
  <si>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</si>
  <si>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</si>
  <si>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</si>
  <si>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</si>
  <si>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</si>
  <si>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</si>
  <si>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</si>
  <si>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</si>
  <si>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</si>
  <si>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</si>
  <si>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</si>
  <si>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</si>
  <si>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</si>
  <si>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</si>
  <si>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</si>
  <si>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</si>
  <si>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</si>
  <si>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</si>
  <si>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</si>
  <si>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</si>
  <si>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</si>
  <si>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</si>
  <si>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</si>
  <si>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</si>
  <si>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</si>
  <si>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</si>
  <si>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</si>
  <si>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</si>
  <si>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</si>
  <si>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</si>
  <si>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</si>
  <si>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</si>
  <si>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</si>
  <si>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</si>
  <si>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</si>
  <si>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</si>
  <si>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</si>
  <si>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</si>
  <si>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</si>
  <si>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</si>
  <si>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</si>
  <si>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</si>
  <si>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</si>
  <si>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</si>
  <si>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</si>
  <si>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</si>
  <si>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</si>
  <si>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</si>
  <si>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</si>
  <si>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</si>
  <si>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</si>
  <si>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</si>
  <si>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</si>
  <si>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</si>
  <si>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</si>
  <si>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</si>
  <si>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</si>
  <si>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</si>
  <si>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</si>
  <si>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</si>
  <si>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</si>
  <si>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</si>
  <si>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</si>
  <si>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</si>
  <si>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</si>
  <si>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</si>
  <si>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</si>
  <si>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</si>
  <si>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</si>
  <si>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</si>
  <si>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</si>
  <si>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</si>
  <si>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</si>
  <si>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</si>
  <si>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</si>
  <si>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</si>
  <si>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</si>
  <si>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</si>
  <si>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</si>
  <si>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</si>
  <si>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</si>
  <si>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</si>
  <si>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</si>
  <si>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</si>
  <si>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</si>
  <si>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</si>
  <si>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</si>
  <si>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</si>
  <si>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</si>
  <si>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</si>
  <si>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</si>
  <si>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</si>
  <si>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</si>
  <si>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</si>
  <si>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</si>
  <si>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</si>
  <si>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</si>
  <si>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</si>
  <si>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</si>
  <si>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</si>
  <si>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</si>
  <si>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</si>
  <si>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</si>
  <si>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</si>
  <si>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</si>
  <si>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</si>
  <si>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</si>
  <si>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</si>
  <si>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</si>
  <si>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</si>
  <si>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</si>
  <si>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</si>
  <si>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</si>
  <si>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</si>
  <si>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</si>
  <si>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</si>
  <si>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</si>
  <si>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</si>
  <si>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</si>
  <si>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</si>
  <si>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</si>
  <si>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</si>
  <si>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</si>
  <si>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</si>
  <si>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</si>
  <si>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</si>
  <si>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</si>
  <si>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</si>
  <si>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</si>
  <si>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</si>
  <si>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</si>
  <si>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</si>
  <si>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</si>
  <si>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</si>
  <si>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</si>
  <si>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</si>
  <si>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</si>
  <si>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</si>
  <si>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</si>
  <si>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</si>
  <si>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</si>
  <si>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</si>
  <si>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</si>
  <si>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</si>
  <si>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</si>
  <si>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</si>
  <si>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</si>
  <si>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</si>
  <si>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</si>
  <si>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</si>
  <si>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</si>
  <si>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</si>
  <si>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</si>
  <si>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</si>
  <si>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</si>
  <si>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</si>
  <si>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</si>
  <si>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</si>
  <si>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</si>
  <si>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</si>
  <si>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HP T440 - US</t>
  </si>
  <si>
    <t>Pruduct Title Backlit</t>
  </si>
  <si>
    <t>MODELS</t>
  </si>
  <si>
    <t>Product Title</t>
  </si>
  <si>
    <t>Product Model</t>
  </si>
  <si>
    <t>6460b, 6465b, 6470b, 6475b, 6460, 6465, 6470, 6475, 8470B 8460P 8460W 8470W</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</si>
  <si>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</si>
  <si>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</si>
  <si>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</si>
  <si>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</si>
  <si>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</si>
  <si>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</si>
  <si>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</si>
  <si>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</si>
  <si>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</si>
  <si>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</si>
  <si>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</si>
  <si>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</si>
  <si>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</si>
  <si>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</si>
  <si>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</si>
  <si>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6460 Silver reg with pointer - DE</t>
  </si>
  <si>
    <t>German</t>
  </si>
  <si>
    <t>HP/W. PS/6460 (SILVER FRAME)/RG/DE</t>
  </si>
  <si>
    <t>Price – NON-Backlit</t>
  </si>
  <si>
    <t>HP 6460 Silver reg with pointer - FR</t>
  </si>
  <si>
    <t>French</t>
  </si>
  <si>
    <t>HP/W. PS/6460 (SILVER FRAME)/RG/FR</t>
  </si>
  <si>
    <t>Packing size</t>
  </si>
  <si>
    <t>Big</t>
  </si>
  <si>
    <t>HP 6460 Silver reg with pointer - IT</t>
  </si>
  <si>
    <t>Italian</t>
  </si>
  <si>
    <t>HP/W. PS/6460 (SILVER FRAME)/RG/IT</t>
  </si>
  <si>
    <t>Package height (CM)</t>
  </si>
  <si>
    <t>HP 6460 Silver reg with pointer - ES</t>
  </si>
  <si>
    <t>Spanish</t>
  </si>
  <si>
    <t>HP/W. PS/6460 (SILVER FRAME)/RG/ES</t>
  </si>
  <si>
    <t>Package width (CM)</t>
  </si>
  <si>
    <t>HP 6460 Silver reg with pointer - UK</t>
  </si>
  <si>
    <t>UK</t>
  </si>
  <si>
    <t>HP/W. PS/6460 (SILVER FRAME)/RG/UK</t>
  </si>
  <si>
    <t>Package length (CM)</t>
  </si>
  <si>
    <t>HP 6460 Silver reg with pointer - NORDIC</t>
  </si>
  <si>
    <t>Scandinavian – Nordic</t>
  </si>
  <si>
    <t>HP/W. PS/6460 (SILVER FRAME)/RG/NOR</t>
  </si>
  <si>
    <t>Origin of Product</t>
  </si>
  <si>
    <t>HP 6460 Silver reg with pointer - BE</t>
  </si>
  <si>
    <t>Belgian</t>
  </si>
  <si>
    <t>HP/W. PS/6460 (SILVER FRAME)/RG/BE</t>
  </si>
  <si>
    <t>Package weight (GR)</t>
  </si>
  <si>
    <t>HP 6460 Silver reg with pointer - Swiss</t>
  </si>
  <si>
    <t>Swiss</t>
  </si>
  <si>
    <t>HP/W. PS/6460 (SILVER FRAME)/RG/CH</t>
  </si>
  <si>
    <t>HP 6460 Silver reg with pointer - US int</t>
  </si>
  <si>
    <t>US International</t>
  </si>
  <si>
    <t>HP/W. PS/6460 (SILVER FRAME)/RG/USI</t>
  </si>
  <si>
    <t>Parent sku</t>
  </si>
  <si>
    <t>HP 6460 parent</t>
  </si>
  <si>
    <t>HP 6460 Silver reg with pointer - US</t>
  </si>
  <si>
    <t>US</t>
  </si>
  <si>
    <t>HP/W. PS/6460 (SILVER FRAME)/RG/US</t>
  </si>
  <si>
    <t>Parent EAN</t>
  </si>
  <si>
    <t>Item_type</t>
  </si>
  <si>
    <t>Default quantity</t>
  </si>
  <si>
    <t>Format</t>
  </si>
  <si>
    <t>Update</t>
  </si>
  <si>
    <t>Bullet Point 1:</t>
  </si>
  <si>
    <t>Bullet Point 2:</t>
  </si>
  <si>
    <t>Bullet Point 5:</t>
  </si>
  <si>
    <t>Bullet Point 4:</t>
  </si>
  <si>
    <t>Product Description</t>
  </si>
  <si>
    <t>Bulgarian</t>
  </si>
  <si>
    <t>Warranty Message</t>
  </si>
  <si>
    <t>Czech</t>
  </si>
  <si>
    <t>Danish</t>
  </si>
  <si>
    <t>bullet point 4: regular</t>
  </si>
  <si>
    <t>Hungarian</t>
  </si>
  <si>
    <t>Dutch</t>
  </si>
  <si>
    <t>Norwegian</t>
  </si>
  <si>
    <t>language</t>
  </si>
  <si>
    <t>Polish</t>
  </si>
  <si>
    <t>Marketplace</t>
  </si>
  <si>
    <t>EU</t>
  </si>
  <si>
    <t>Portuguese</t>
  </si>
  <si>
    <t>Swedish – Finnish</t>
  </si>
  <si>
    <t>Russian</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</si>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</sst>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4" borderId="5" xfId="0" applyFill="1" applyBorder="1" applyAlignment="1">
      <alignment horizontal="left"/>
    </xf>
    <xf numFmtId="0" fontId="0" fillId="15" borderId="0" xfId="0" applyFill="1" applyAlignment="1">
      <alignment horizontal="right" wrapText="1"/>
    </xf>
    <xf numFmtId="0" fontId="0" fillId="0" borderId="3" xfId="0" applyBorder="1" applyAlignment="1">
      <alignment horizontal="right"/>
    </xf>
    <xf numFmtId="0" fontId="4" fillId="13" borderId="0" xfId="0" applyFont="1" applyFill="1"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1" fontId="0" fillId="0" borderId="0" xfId="0" applyNumberFormat="1" applyAlignment="1">
      <alignment wrapText="1"/>
    </xf>
    <xf numFmtId="0" fontId="0" fillId="0" borderId="0" xfId="0" applyAlignment="1">
      <alignment horizontal="left" wrapText="1"/>
    </xf>
    <xf numFmtId="1" fontId="0" fillId="14" borderId="6" xfId="0" applyNumberFormat="1" applyFill="1" applyBorder="1"/>
    <xf numFmtId="0" fontId="0" fillId="14" borderId="3" xfId="0" applyFill="1" applyBorder="1"/>
    <xf numFmtId="0" fontId="0" fillId="0" borderId="0" xfId="0" applyAlignment="1">
      <alignment horizontal="center"/>
    </xf>
    <xf numFmtId="0" fontId="6" fillId="0" borderId="0" xfId="0" applyFont="1"/>
    <xf numFmtId="0" fontId="0" fillId="14" borderId="0" xfId="0" applyFill="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HP/WP/6460silver/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8B9B8006" TargetMode="External"/><Relationship Id="rId1" Type="http://schemas.openxmlformats.org/officeDocument/2006/relationships/externalLinkPath" Target="file:///8B9B8006/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patrickvibild/repo/TellusAmazonPictures/after-big-bang-files/HP%20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 val="Polish"/>
      <sheetName val="Swedish"/>
      <sheetName val="Turkish"/>
    </sheetNames>
    <sheetDataSet>
      <sheetData sheetId="0"/>
      <sheetData sheetId="1"/>
      <sheetData sheetId="2">
        <row r="1">
          <cell r="C1" t="str">
            <v>Small</v>
          </cell>
        </row>
      </sheetData>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AE1" zoomScaleNormal="100" workbookViewId="0">
      <selection activeCell="GV8" sqref="GV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613</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614</v>
      </c>
    </row>
    <row r="4" spans="1:193" ht="17" x14ac:dyDescent="0.2">
      <c r="A4" s="2" t="str">
        <f>IF(ISBLANK(Values!E3),"",IF(Values!$B$37="EU","computercomponent","computer"))</f>
        <v>computercomponent</v>
      </c>
      <c r="B4" s="28" t="str">
        <f>Values!B13</f>
        <v>HP 6460 parent</v>
      </c>
      <c r="C4" s="28" t="s">
        <v>345</v>
      </c>
      <c r="D4" s="29">
        <f>Values!B14</f>
        <v>5714401646990</v>
      </c>
      <c r="E4" s="2" t="s">
        <v>346</v>
      </c>
      <c r="F4" s="28" t="str">
        <f>SUBSTITUTE(Values!B1, "{language}", "") &amp; " " &amp; Values!B3</f>
        <v>clavier de remplacement  rétroéclairé pour HP  6460b, 6465b, 6470b, 6475b, 6460, 6465, 6470, 6475, 8470B 8460P 8460W 8470W</v>
      </c>
      <c r="G4" s="28" t="s">
        <v>345</v>
      </c>
      <c r="H4" s="2" t="str">
        <f>Values!B16</f>
        <v>computer-keyboards</v>
      </c>
      <c r="I4" s="2" t="str">
        <f>IF(ISBLANK(Values!E3),"","4730574031")</f>
        <v>4730574031</v>
      </c>
      <c r="J4" s="30" t="str">
        <f>Values!B13</f>
        <v>HP 6460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64" x14ac:dyDescent="0.2">
      <c r="A5" s="2" t="str">
        <f>IF(ISBLANK(Values!E4),"",IF(Values!$B$37="EU","computercomponent","computer"))</f>
        <v>computercomponent</v>
      </c>
      <c r="B5" s="34" t="str">
        <f>IF(ISBLANK(Values!E4),"",Values!F4)</f>
        <v>HP 6460 Silver reg with pointer - DE</v>
      </c>
      <c r="C5" s="30" t="str">
        <f>IF(ISBLANK(Values!E4),"","TellusRem")</f>
        <v>TellusRem</v>
      </c>
      <c r="D5" s="29">
        <f>IF(ISBLANK(Values!E4),"",Values!E4)</f>
        <v>5714401646006</v>
      </c>
      <c r="E5" s="2" t="str">
        <f>IF(ISBLANK(Values!E4),"","EAN")</f>
        <v>EAN</v>
      </c>
      <c r="F5" s="28" t="str">
        <f>IF(ISBLANK(Values!E4),"",IF(Values!J4, SUBSTITUTE(Values!$B$1, "{language}", Values!H4) &amp; " " &amp;Values!$B$3, SUBSTITUTE(Values!$B$2, "{language}", Values!$H4) &amp; " " &amp;Values!$B$3))</f>
        <v>clavier de remplacement Allemand non rétroéclairé pour HP  6460b, 6465b, 6470b, 6475b, 6460, 6465, 6470, 6475, 8470B 8460P 8460W 8470W</v>
      </c>
      <c r="G5" s="30" t="str">
        <f>IF(ISBLANK(Values!E4),"","TellusRem")</f>
        <v>TellusRem</v>
      </c>
      <c r="H5" s="2" t="str">
        <f>IF(ISBLANK(Values!E4),"",Values!$B$16)</f>
        <v>computer-keyboards</v>
      </c>
      <c r="I5" s="2" t="str">
        <f>IF(ISBLANK(Values!E4),"","4730574031")</f>
        <v>4730574031</v>
      </c>
      <c r="J5" s="32" t="str">
        <f>IF(ISBLANK(Values!E4),"",Values!F4 )</f>
        <v>HP 6460 Silver reg with pointer - DE</v>
      </c>
      <c r="K5" s="28">
        <f>IF(ISBLANK(Values!E4),"",IF(Values!J4, Values!$B$4, Values!$B$5))</f>
        <v>42.99</v>
      </c>
      <c r="L5" s="28" t="str">
        <f>IF(ISBLANK(Values!E4),"",IF($CO5="DEFAULT", Values!$B$18, ""))</f>
        <v/>
      </c>
      <c r="M5" s="28" t="str">
        <f>IF(ISBLANK(Values!E4),"",Values!$M4)</f>
        <v>https://raw.githubusercontent.com/PatrickVibild/TellusAmazonPictures/master/pictures/HP/W. PS/6460 (SILVER FRAME)/RG/DE/1.jpg</v>
      </c>
      <c r="N5" s="28" t="str">
        <f>IF(ISBLANK(Values!$F4),"",Values!N4)</f>
        <v>https://raw.githubusercontent.com/PatrickVibild/TellusAmazonPictures/master/pictures/HP/W. PS/6460 (SILVER FRAME)/RG/DE/2.jpg</v>
      </c>
      <c r="O5" s="28" t="str">
        <f>IF(ISBLANK(Values!$F4),"",Values!O4)</f>
        <v>https://raw.githubusercontent.com/PatrickVibild/TellusAmazonPictures/master/pictures/HP/W. PS/6460 (SILVER FRAME)/RG/DE/3.jpg</v>
      </c>
      <c r="P5" s="28" t="str">
        <f>IF(ISBLANK(Values!$F4),"",Values!P4)</f>
        <v>https://raw.githubusercontent.com/PatrickVibild/TellusAmazonPictures/master/pictures/HP/W. PS/6460 (SILVER FRAME)/RG/DE/4.jpg</v>
      </c>
      <c r="Q5" s="28" t="str">
        <f>IF(ISBLANK(Values!$F4),"",Values!Q4)</f>
        <v>https://raw.githubusercontent.com/PatrickVibild/TellusAmazonPictures/master/pictures/HP/W. PS/6460 (SILVER FRAME)/RG/DE/5.jpg</v>
      </c>
      <c r="R5" s="28" t="str">
        <f>IF(ISBLANK(Values!$F4),"",Values!R4)</f>
        <v>https://raw.githubusercontent.com/PatrickVibild/TellusAmazonPictures/master/pictures/HP/W. PS/6460 (SILVER FRAME)/RG/DE/6.jpg</v>
      </c>
      <c r="S5" s="28" t="str">
        <f>IF(ISBLANK(Values!$F4),"",Values!S4)</f>
        <v>https://raw.githubusercontent.com/PatrickVibild/TellusAmazonPictures/master/pictures/HP/W. PS/6460 (SILVER FRAME)/RG/DE/7.jpg</v>
      </c>
      <c r="T5" s="28" t="str">
        <f>IF(ISBLANK(Values!$F4),"",Values!T4)</f>
        <v>https://raw.githubusercontent.com/PatrickVibild/TellusAmazonPictures/master/pictures/HP/W. PS/6460 (SILVER FRAME)/RG/DE/8.jpg</v>
      </c>
      <c r="U5" s="28" t="str">
        <f>IF(ISBLANK(Values!$F4),"",Values!U4)</f>
        <v>https://raw.githubusercontent.com/PatrickVibild/TellusAmazonPictures/master/pictures/HP/W. PS/6460 (SILVER FRAME)/RG/DE/9.jpg</v>
      </c>
      <c r="W5" s="30" t="str">
        <f>IF(ISBLANK(Values!E4),"","Child")</f>
        <v>Child</v>
      </c>
      <c r="X5" s="30" t="str">
        <f>IF(ISBLANK(Values!E4),"",Values!$B$13)</f>
        <v>HP 6460 parent</v>
      </c>
      <c r="Y5" s="32" t="str">
        <f>IF(ISBLANK(Values!E4),"","Size-Color")</f>
        <v>Size-Color</v>
      </c>
      <c r="Z5" s="30" t="str">
        <f>IF(ISBLANK(Values!E4),"","variation")</f>
        <v>variation</v>
      </c>
      <c r="AA5" s="2" t="str">
        <f>IF(ISBLANK(Values!E4),"",Values!$B$20)</f>
        <v>Update</v>
      </c>
      <c r="AB5" s="2"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5"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3"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5" s="2" t="str">
        <f>IF(ISBLANK(Values!E4),"",Values!$B$25)</f>
        <v xml:space="preserve">♻️ PRODUIT ÉCOLOGIQUE - Achetez remis à neuf, ACHETEZ VERT! Réduisez plus de 80% de dioxyde de carbone en achetant nos claviers remis à neuf, par rapport à l'achat d'un nouveau clavier! </v>
      </c>
      <c r="AL5" s="2" t="str">
        <f>IF(ISBLANK(Values!E4),"",SUBSTITUTE(SUBSTITUTE(IF(Values!$J4, Values!$B$26, Values!$B$33), "{language}", Values!$H4), "{flag}", INDEX(options!$E$1:$E$20, Values!$V4)))</f>
        <v>👉  DISPOSITION - 🇩🇪 Allemand non rétroéclairé.</v>
      </c>
      <c r="AM5" s="2" t="str">
        <f>SUBSTITUTE(IF(ISBLANK(Values!E4),"",Values!$B$27),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5" s="28" t="str">
        <f>IF(ISBLANK(Values!E4),"",Values!H4)</f>
        <v>Allemand</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Danemark</v>
      </c>
      <c r="CZ5" s="2" t="str">
        <f>IF(ISBLANK(Values!E4),"","No")</f>
        <v>No</v>
      </c>
      <c r="DA5" s="2" t="str">
        <f>IF(ISBLANK(Values!E4),"","No")</f>
        <v>No</v>
      </c>
      <c r="DO5" s="2" t="str">
        <f>IF(ISBLANK(Values!E4),"","Parts")</f>
        <v>Parts</v>
      </c>
      <c r="DP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2"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42.99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3">
        <f>K5</f>
        <v>42.99</v>
      </c>
    </row>
    <row r="6" spans="1:193" ht="64" x14ac:dyDescent="0.2">
      <c r="A6" s="2" t="str">
        <f>IF(ISBLANK(Values!E5),"",IF(Values!$B$37="EU","computercomponent","computer"))</f>
        <v>computercomponent</v>
      </c>
      <c r="B6" s="34" t="str">
        <f>IF(ISBLANK(Values!E5),"",Values!F5)</f>
        <v>HP 6460 Silver reg with pointer - FR</v>
      </c>
      <c r="C6" s="30" t="str">
        <f>IF(ISBLANK(Values!E5),"","TellusRem")</f>
        <v>TellusRem</v>
      </c>
      <c r="D6" s="29">
        <f>IF(ISBLANK(Values!E5),"",Values!E5)</f>
        <v>5714401646013</v>
      </c>
      <c r="E6" s="2" t="str">
        <f>IF(ISBLANK(Values!E5),"","EAN")</f>
        <v>EAN</v>
      </c>
      <c r="F6" s="28" t="str">
        <f>IF(ISBLANK(Values!E5),"",IF(Values!J5, SUBSTITUTE(Values!$B$1, "{language}", Values!H5) &amp; " " &amp;Values!$B$3, SUBSTITUTE(Values!$B$2, "{language}", Values!$H5) &amp; " " &amp;Values!$B$3))</f>
        <v>clavier de remplacement Français non rétroéclairé pour HP  6460b, 6465b, 6470b, 6475b, 6460, 6465, 6470, 6475, 8470B 8460P 8460W 8470W</v>
      </c>
      <c r="G6" s="30" t="str">
        <f>IF(ISBLANK(Values!E5),"","TellusRem")</f>
        <v>TellusRem</v>
      </c>
      <c r="H6" s="2" t="str">
        <f>IF(ISBLANK(Values!E5),"",Values!$B$16)</f>
        <v>computer-keyboards</v>
      </c>
      <c r="I6" s="2" t="str">
        <f>IF(ISBLANK(Values!E5),"","4730574031")</f>
        <v>4730574031</v>
      </c>
      <c r="J6" s="32" t="str">
        <f>IF(ISBLANK(Values!E5),"",Values!F5 )</f>
        <v>HP 6460 Silver reg with pointer - FR</v>
      </c>
      <c r="K6" s="28">
        <f>IF(ISBLANK(Values!E5),"",IF(Values!J5, Values!$B$4, Values!$B$5))</f>
        <v>42.99</v>
      </c>
      <c r="L6" s="28" t="str">
        <f>IF(ISBLANK(Values!E5),"",IF($CO6="DEFAULT", Values!$B$18, ""))</f>
        <v/>
      </c>
      <c r="M6" s="28" t="str">
        <f>IF(ISBLANK(Values!E5),"",Values!$M5)</f>
        <v>https://raw.githubusercontent.com/PatrickVibild/TellusAmazonPictures/master/pictures/HP/W. PS/6460 (SILVER FRAME)/RG/FR/1.jpg</v>
      </c>
      <c r="N6" s="28" t="str">
        <f>IF(ISBLANK(Values!$F5),"",Values!N5)</f>
        <v>https://raw.githubusercontent.com/PatrickVibild/TellusAmazonPictures/master/pictures/HP/W. PS/6460 (SILVER FRAME)/RG/FR/2.jpg</v>
      </c>
      <c r="O6" s="28" t="str">
        <f>IF(ISBLANK(Values!$F5),"",Values!O5)</f>
        <v>https://raw.githubusercontent.com/PatrickVibild/TellusAmazonPictures/master/pictures/HP/W. PS/6460 (SILVER FRAME)/RG/FR/3.jpg</v>
      </c>
      <c r="P6" s="28" t="str">
        <f>IF(ISBLANK(Values!$F5),"",Values!P5)</f>
        <v>https://raw.githubusercontent.com/PatrickVibild/TellusAmazonPictures/master/pictures/HP/W. PS/6460 (SILVER FRAME)/RG/FR/4.jpg</v>
      </c>
      <c r="Q6" s="28" t="str">
        <f>IF(ISBLANK(Values!$F5),"",Values!Q5)</f>
        <v>https://raw.githubusercontent.com/PatrickVibild/TellusAmazonPictures/master/pictures/HP/W. PS/6460 (SILVER FRAME)/RG/FR/5.jpg</v>
      </c>
      <c r="R6" s="28" t="str">
        <f>IF(ISBLANK(Values!$F5),"",Values!R5)</f>
        <v>https://raw.githubusercontent.com/PatrickVibild/TellusAmazonPictures/master/pictures/HP/W. PS/6460 (SILVER FRAME)/RG/FR/6.jpg</v>
      </c>
      <c r="S6" s="28" t="str">
        <f>IF(ISBLANK(Values!$F5),"",Values!S5)</f>
        <v>https://raw.githubusercontent.com/PatrickVibild/TellusAmazonPictures/master/pictures/HP/W. PS/6460 (SILVER FRAME)/RG/FR/7.jpg</v>
      </c>
      <c r="T6" s="28" t="str">
        <f>IF(ISBLANK(Values!$F5),"",Values!T5)</f>
        <v>https://raw.githubusercontent.com/PatrickVibild/TellusAmazonPictures/master/pictures/HP/W. PS/6460 (SILVER FRAME)/RG/FR/8.jpg</v>
      </c>
      <c r="U6" s="28" t="str">
        <f>IF(ISBLANK(Values!$F5),"",Values!U5)</f>
        <v>https://raw.githubusercontent.com/PatrickVibild/TellusAmazonPictures/master/pictures/HP/W. PS/6460 (SILVER FRAME)/RG/FR/9.jpg</v>
      </c>
      <c r="W6" s="30" t="str">
        <f>IF(ISBLANK(Values!E5),"","Child")</f>
        <v>Child</v>
      </c>
      <c r="X6" s="30" t="str">
        <f>IF(ISBLANK(Values!E5),"",Values!$B$13)</f>
        <v>HP 6460 parent</v>
      </c>
      <c r="Y6" s="32" t="str">
        <f>IF(ISBLANK(Values!E5),"","Size-Color")</f>
        <v>Size-Color</v>
      </c>
      <c r="Z6" s="30" t="str">
        <f>IF(ISBLANK(Values!E5),"","variation")</f>
        <v>variation</v>
      </c>
      <c r="AA6" s="2" t="str">
        <f>IF(ISBLANK(Values!E5),"",Values!$B$20)</f>
        <v>Update</v>
      </c>
      <c r="AB6" s="2"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5"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3"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6" s="2" t="str">
        <f>IF(ISBLANK(Values!E5),"",Values!$B$25)</f>
        <v xml:space="preserve">♻️ PRODUIT ÉCOLOGIQUE - Achetez remis à neuf, ACHETEZ VERT! Réduisez plus de 80% de dioxyde de carbone en achetant nos claviers remis à neuf, par rapport à l'achat d'un nouveau clavier! </v>
      </c>
      <c r="AL6" s="2" t="str">
        <f>IF(ISBLANK(Values!E5),"",SUBSTITUTE(SUBSTITUTE(IF(Values!$J5, Values!$B$26, Values!$B$33), "{language}", Values!$H5), "{flag}", INDEX(options!$E$1:$E$20, Values!$V5)))</f>
        <v>👉  DISPOSITION - 🇫🇷 Français non rétroéclairé.</v>
      </c>
      <c r="AM6" s="2" t="str">
        <f>SUBSTITUTE(IF(ISBLANK(Values!E5),"",Values!$B$27),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6" s="28" t="str">
        <f>IF(ISBLANK(Values!E5),"",Values!H5)</f>
        <v>Français</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Danemark</v>
      </c>
      <c r="CZ6" s="2" t="str">
        <f>IF(ISBLANK(Values!E5),"","No")</f>
        <v>No</v>
      </c>
      <c r="DA6" s="2" t="str">
        <f>IF(ISBLANK(Values!E5),"","No")</f>
        <v>No</v>
      </c>
      <c r="DO6" s="2" t="str">
        <f>IF(ISBLANK(Values!E5),"","Parts")</f>
        <v>Parts</v>
      </c>
      <c r="DP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2"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42.99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3">
        <f>K6</f>
        <v>42.99</v>
      </c>
    </row>
    <row r="7" spans="1:193" ht="64" x14ac:dyDescent="0.2">
      <c r="A7" s="2" t="str">
        <f>IF(ISBLANK(Values!E6),"",IF(Values!$B$37="EU","computercomponent","computer"))</f>
        <v>computercomponent</v>
      </c>
      <c r="B7" s="34" t="str">
        <f>IF(ISBLANK(Values!E6),"",Values!F6)</f>
        <v>HP 6460 Silver reg with pointer - IT</v>
      </c>
      <c r="C7" s="30" t="str">
        <f>IF(ISBLANK(Values!E6),"","TellusRem")</f>
        <v>TellusRem</v>
      </c>
      <c r="D7" s="29">
        <f>IF(ISBLANK(Values!E6),"",Values!E6)</f>
        <v>5714401646020</v>
      </c>
      <c r="E7" s="2" t="str">
        <f>IF(ISBLANK(Values!E6),"","EAN")</f>
        <v>EAN</v>
      </c>
      <c r="F7" s="28" t="str">
        <f>IF(ISBLANK(Values!E6),"",IF(Values!J6, SUBSTITUTE(Values!$B$1, "{language}", Values!H6) &amp; " " &amp;Values!$B$3, SUBSTITUTE(Values!$B$2, "{language}", Values!$H6) &amp; " " &amp;Values!$B$3))</f>
        <v>clavier de remplacement Italien non rétroéclairé pour HP  6460b, 6465b, 6470b, 6475b, 6460, 6465, 6470, 6475, 8470B 8460P 8460W 8470W</v>
      </c>
      <c r="G7" s="30" t="str">
        <f>IF(ISBLANK(Values!E6),"","TellusRem")</f>
        <v>TellusRem</v>
      </c>
      <c r="H7" s="2" t="str">
        <f>IF(ISBLANK(Values!E6),"",Values!$B$16)</f>
        <v>computer-keyboards</v>
      </c>
      <c r="I7" s="2" t="str">
        <f>IF(ISBLANK(Values!E6),"","4730574031")</f>
        <v>4730574031</v>
      </c>
      <c r="J7" s="32" t="str">
        <f>IF(ISBLANK(Values!E6),"",Values!F6 )</f>
        <v>HP 6460 Silver reg with pointer - IT</v>
      </c>
      <c r="K7" s="28">
        <f>IF(ISBLANK(Values!E6),"",IF(Values!J6, Values!$B$4, Values!$B$5))</f>
        <v>42.99</v>
      </c>
      <c r="L7" s="28" t="str">
        <f>IF(ISBLANK(Values!E6),"",IF($CO7="DEFAULT", Values!$B$18, ""))</f>
        <v/>
      </c>
      <c r="M7" s="28" t="str">
        <f>IF(ISBLANK(Values!E6),"",Values!$M6)</f>
        <v>https://raw.githubusercontent.com/PatrickVibild/TellusAmazonPictures/master/pictures/HP/W. PS/6460 (SILVER FRAME)/RG/IT/1.jpg</v>
      </c>
      <c r="N7" s="28" t="str">
        <f>IF(ISBLANK(Values!$F6),"",Values!N6)</f>
        <v>https://raw.githubusercontent.com/PatrickVibild/TellusAmazonPictures/master/pictures/HP/W. PS/6460 (SILVER FRAME)/RG/IT/2.jpg</v>
      </c>
      <c r="O7" s="28" t="str">
        <f>IF(ISBLANK(Values!$F6),"",Values!O6)</f>
        <v>https://raw.githubusercontent.com/PatrickVibild/TellusAmazonPictures/master/pictures/HP/W. PS/6460 (SILVER FRAME)/RG/IT/3.jpg</v>
      </c>
      <c r="P7" s="28" t="str">
        <f>IF(ISBLANK(Values!$F6),"",Values!P6)</f>
        <v>https://raw.githubusercontent.com/PatrickVibild/TellusAmazonPictures/master/pictures/HP/W. PS/6460 (SILVER FRAME)/RG/IT/4.jpg</v>
      </c>
      <c r="Q7" s="28" t="str">
        <f>IF(ISBLANK(Values!$F6),"",Values!Q6)</f>
        <v>https://raw.githubusercontent.com/PatrickVibild/TellusAmazonPictures/master/pictures/HP/W. PS/6460 (SILVER FRAME)/RG/IT/5.jpg</v>
      </c>
      <c r="R7" s="28" t="str">
        <f>IF(ISBLANK(Values!$F6),"",Values!R6)</f>
        <v>https://raw.githubusercontent.com/PatrickVibild/TellusAmazonPictures/master/pictures/HP/W. PS/6460 (SILVER FRAME)/RG/IT/6.jpg</v>
      </c>
      <c r="S7" s="28" t="str">
        <f>IF(ISBLANK(Values!$F6),"",Values!S6)</f>
        <v>https://raw.githubusercontent.com/PatrickVibild/TellusAmazonPictures/master/pictures/HP/W. PS/6460 (SILVER FRAME)/RG/IT/7.jpg</v>
      </c>
      <c r="T7" s="28" t="str">
        <f>IF(ISBLANK(Values!$F6),"",Values!T6)</f>
        <v>https://raw.githubusercontent.com/PatrickVibild/TellusAmazonPictures/master/pictures/HP/W. PS/6460 (SILVER FRAME)/RG/IT/8.jpg</v>
      </c>
      <c r="U7" s="28" t="str">
        <f>IF(ISBLANK(Values!$F6),"",Values!U6)</f>
        <v>https://raw.githubusercontent.com/PatrickVibild/TellusAmazonPictures/master/pictures/HP/W. PS/6460 (SILVER FRAME)/RG/IT/9.jpg</v>
      </c>
      <c r="W7" s="30" t="str">
        <f>IF(ISBLANK(Values!E6),"","Child")</f>
        <v>Child</v>
      </c>
      <c r="X7" s="30" t="str">
        <f>IF(ISBLANK(Values!E6),"",Values!$B$13)</f>
        <v>HP 6460 parent</v>
      </c>
      <c r="Y7" s="32" t="str">
        <f>IF(ISBLANK(Values!E6),"","Size-Color")</f>
        <v>Size-Color</v>
      </c>
      <c r="Z7" s="30" t="str">
        <f>IF(ISBLANK(Values!E6),"","variation")</f>
        <v>variation</v>
      </c>
      <c r="AA7" s="2" t="str">
        <f>IF(ISBLANK(Values!E6),"",Values!$B$20)</f>
        <v>Update</v>
      </c>
      <c r="AB7" s="2"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5"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3"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7" s="2" t="str">
        <f>IF(ISBLANK(Values!E6),"",Values!$B$25)</f>
        <v xml:space="preserve">♻️ PRODUIT ÉCOLOGIQUE - Achetez remis à neuf, ACHETEZ VERT! Réduisez plus de 80% de dioxyde de carbone en achetant nos claviers remis à neuf, par rapport à l'achat d'un nouveau clavier! </v>
      </c>
      <c r="AL7" s="2" t="str">
        <f>IF(ISBLANK(Values!E6),"",SUBSTITUTE(SUBSTITUTE(IF(Values!$J6, Values!$B$26, Values!$B$33), "{language}", Values!$H6), "{flag}", INDEX(options!$E$1:$E$20, Values!$V6)))</f>
        <v>👉  DISPOSITION - 🇮🇹 Italien non rétroéclairé.</v>
      </c>
      <c r="AM7" s="2" t="str">
        <f>SUBSTITUTE(IF(ISBLANK(Values!E6),"",Values!$B$27),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7" s="28" t="str">
        <f>IF(ISBLANK(Values!E6),"",Values!H6)</f>
        <v>Italien</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Danemark</v>
      </c>
      <c r="CZ7" s="2" t="str">
        <f>IF(ISBLANK(Values!E6),"","No")</f>
        <v>No</v>
      </c>
      <c r="DA7" s="2" t="str">
        <f>IF(ISBLANK(Values!E6),"","No")</f>
        <v>No</v>
      </c>
      <c r="DO7" s="2" t="str">
        <f>IF(ISBLANK(Values!E6),"","Parts")</f>
        <v>Parts</v>
      </c>
      <c r="DP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2"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42.99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3">
        <f>K7</f>
        <v>42.99</v>
      </c>
    </row>
    <row r="8" spans="1:193" ht="64" x14ac:dyDescent="0.2">
      <c r="A8" s="2" t="str">
        <f>IF(ISBLANK(Values!E7),"",IF(Values!$B$37="EU","computercomponent","computer"))</f>
        <v>computercomponent</v>
      </c>
      <c r="B8" s="34" t="str">
        <f>IF(ISBLANK(Values!E7),"",Values!F7)</f>
        <v>HP 6460 Silver reg with pointer - ES</v>
      </c>
      <c r="C8" s="30" t="str">
        <f>IF(ISBLANK(Values!E7),"","TellusRem")</f>
        <v>TellusRem</v>
      </c>
      <c r="D8" s="29">
        <f>IF(ISBLANK(Values!E7),"",Values!E7)</f>
        <v>5714401646037</v>
      </c>
      <c r="E8" s="2" t="str">
        <f>IF(ISBLANK(Values!E7),"","EAN")</f>
        <v>EAN</v>
      </c>
      <c r="F8" s="28" t="str">
        <f>IF(ISBLANK(Values!E7),"",IF(Values!J7, SUBSTITUTE(Values!$B$1, "{language}", Values!H7) &amp; " " &amp;Values!$B$3, SUBSTITUTE(Values!$B$2, "{language}", Values!$H7) &amp; " " &amp;Values!$B$3))</f>
        <v>clavier de remplacement Espagnol non rétroéclairé pour HP  6460b, 6465b, 6470b, 6475b, 6460, 6465, 6470, 6475, 8470B 8460P 8460W 8470W</v>
      </c>
      <c r="G8" s="30" t="str">
        <f>IF(ISBLANK(Values!E7),"","TellusRem")</f>
        <v>TellusRem</v>
      </c>
      <c r="H8" s="2" t="str">
        <f>IF(ISBLANK(Values!E7),"",Values!$B$16)</f>
        <v>computer-keyboards</v>
      </c>
      <c r="I8" s="2" t="str">
        <f>IF(ISBLANK(Values!E7),"","4730574031")</f>
        <v>4730574031</v>
      </c>
      <c r="J8" s="32" t="str">
        <f>IF(ISBLANK(Values!E7),"",Values!F7 )</f>
        <v>HP 6460 Silver reg with pointer - ES</v>
      </c>
      <c r="K8" s="28">
        <f>IF(ISBLANK(Values!E7),"",IF(Values!J7, Values!$B$4, Values!$B$5))</f>
        <v>42.99</v>
      </c>
      <c r="L8" s="28" t="str">
        <f>IF(ISBLANK(Values!E7),"",IF($CO8="DEFAULT", Values!$B$18, ""))</f>
        <v/>
      </c>
      <c r="M8" s="28" t="str">
        <f>IF(ISBLANK(Values!E7),"",Values!$M7)</f>
        <v>https://raw.githubusercontent.com/PatrickVibild/TellusAmazonPictures/master/pictures/HP/W. PS/6460 (SILVER FRAME)/RG/ES/1.jpg</v>
      </c>
      <c r="N8" s="28" t="str">
        <f>IF(ISBLANK(Values!$F7),"",Values!N7)</f>
        <v>https://raw.githubusercontent.com/PatrickVibild/TellusAmazonPictures/master/pictures/HP/W. PS/6460 (SILVER FRAME)/RG/ES/2.jpg</v>
      </c>
      <c r="O8" s="28" t="str">
        <f>IF(ISBLANK(Values!$F7),"",Values!O7)</f>
        <v>https://raw.githubusercontent.com/PatrickVibild/TellusAmazonPictures/master/pictures/HP/W. PS/6460 (SILVER FRAME)/RG/ES/3.jpg</v>
      </c>
      <c r="P8" s="28" t="str">
        <f>IF(ISBLANK(Values!$F7),"",Values!P7)</f>
        <v>https://raw.githubusercontent.com/PatrickVibild/TellusAmazonPictures/master/pictures/HP/W. PS/6460 (SILVER FRAME)/RG/ES/4.jpg</v>
      </c>
      <c r="Q8" s="28" t="str">
        <f>IF(ISBLANK(Values!$F7),"",Values!Q7)</f>
        <v>https://raw.githubusercontent.com/PatrickVibild/TellusAmazonPictures/master/pictures/HP/W. PS/6460 (SILVER FRAME)/RG/ES/5.jpg</v>
      </c>
      <c r="R8" s="28" t="str">
        <f>IF(ISBLANK(Values!$F7),"",Values!R7)</f>
        <v>https://raw.githubusercontent.com/PatrickVibild/TellusAmazonPictures/master/pictures/HP/W. PS/6460 (SILVER FRAME)/RG/ES/6.jpg</v>
      </c>
      <c r="S8" s="28" t="str">
        <f>IF(ISBLANK(Values!$F7),"",Values!S7)</f>
        <v>https://raw.githubusercontent.com/PatrickVibild/TellusAmazonPictures/master/pictures/HP/W. PS/6460 (SILVER FRAME)/RG/ES/7.jpg</v>
      </c>
      <c r="T8" s="28" t="str">
        <f>IF(ISBLANK(Values!$F7),"",Values!T7)</f>
        <v>https://raw.githubusercontent.com/PatrickVibild/TellusAmazonPictures/master/pictures/HP/W. PS/6460 (SILVER FRAME)/RG/ES/8.jpg</v>
      </c>
      <c r="U8" s="28" t="str">
        <f>IF(ISBLANK(Values!$F7),"",Values!U7)</f>
        <v>https://raw.githubusercontent.com/PatrickVibild/TellusAmazonPictures/master/pictures/HP/W. PS/6460 (SILVER FRAME)/RG/ES/9.jpg</v>
      </c>
      <c r="W8" s="30" t="str">
        <f>IF(ISBLANK(Values!E7),"","Child")</f>
        <v>Child</v>
      </c>
      <c r="X8" s="30" t="str">
        <f>IF(ISBLANK(Values!E7),"",Values!$B$13)</f>
        <v>HP 6460 parent</v>
      </c>
      <c r="Y8" s="32" t="str">
        <f>IF(ISBLANK(Values!E7),"","Size-Color")</f>
        <v>Size-Color</v>
      </c>
      <c r="Z8" s="30" t="str">
        <f>IF(ISBLANK(Values!E7),"","variation")</f>
        <v>variation</v>
      </c>
      <c r="AA8" s="2" t="str">
        <f>IF(ISBLANK(Values!E7),"",Values!$B$20)</f>
        <v>Update</v>
      </c>
      <c r="AB8" s="2"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5"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3"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8" s="2" t="str">
        <f>IF(ISBLANK(Values!E7),"",Values!$B$25)</f>
        <v xml:space="preserve">♻️ PRODUIT ÉCOLOGIQUE - Achetez remis à neuf, ACHETEZ VERT! Réduisez plus de 80% de dioxyde de carbone en achetant nos claviers remis à neuf, par rapport à l'achat d'un nouveau clavier! </v>
      </c>
      <c r="AL8" s="2" t="str">
        <f>IF(ISBLANK(Values!E7),"",SUBSTITUTE(SUBSTITUTE(IF(Values!$J7, Values!$B$26, Values!$B$33), "{language}", Values!$H7), "{flag}", INDEX(options!$E$1:$E$20, Values!$V7)))</f>
        <v>👉  DISPOSITION - 🇪🇸 Espagnol non rétroéclairé.</v>
      </c>
      <c r="AM8" s="2" t="str">
        <f>SUBSTITUTE(IF(ISBLANK(Values!E7),"",Values!$B$27),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8" s="28" t="str">
        <f>IF(ISBLANK(Values!E7),"",Values!H7)</f>
        <v>Espagnol</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Danemark</v>
      </c>
      <c r="CZ8" s="2" t="str">
        <f>IF(ISBLANK(Values!E7),"","No")</f>
        <v>No</v>
      </c>
      <c r="DA8" s="2" t="str">
        <f>IF(ISBLANK(Values!E7),"","No")</f>
        <v>No</v>
      </c>
      <c r="DO8" s="2" t="str">
        <f>IF(ISBLANK(Values!E7),"","Parts")</f>
        <v>Parts</v>
      </c>
      <c r="DP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2"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42.99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3">
        <f>K8</f>
        <v>42.99</v>
      </c>
    </row>
    <row r="9" spans="1:193" ht="64" x14ac:dyDescent="0.2">
      <c r="A9" s="2" t="str">
        <f>IF(ISBLANK(Values!E8),"",IF(Values!$B$37="EU","computercomponent","computer"))</f>
        <v>computercomponent</v>
      </c>
      <c r="B9" s="34" t="str">
        <f>IF(ISBLANK(Values!E8),"",Values!F8)</f>
        <v>HP 6460 Silver reg with pointer - UK</v>
      </c>
      <c r="C9" s="30" t="str">
        <f>IF(ISBLANK(Values!E8),"","TellusRem")</f>
        <v>TellusRem</v>
      </c>
      <c r="D9" s="29">
        <f>IF(ISBLANK(Values!E8),"",Values!E8)</f>
        <v>5714401646044</v>
      </c>
      <c r="E9" s="2" t="str">
        <f>IF(ISBLANK(Values!E8),"","EAN")</f>
        <v>EAN</v>
      </c>
      <c r="F9" s="28" t="str">
        <f>IF(ISBLANK(Values!E8),"",IF(Values!J8, SUBSTITUTE(Values!$B$1, "{language}", Values!H8) &amp; " " &amp;Values!$B$3, SUBSTITUTE(Values!$B$2, "{language}", Values!$H8) &amp; " " &amp;Values!$B$3))</f>
        <v>clavier de remplacement UK non rétroéclairé pour HP  6460b, 6465b, 6470b, 6475b, 6460, 6465, 6470, 6475, 8470B 8460P 8460W 8470W</v>
      </c>
      <c r="G9" s="30" t="str">
        <f>IF(ISBLANK(Values!E8),"","TellusRem")</f>
        <v>TellusRem</v>
      </c>
      <c r="H9" s="2" t="str">
        <f>IF(ISBLANK(Values!E8),"",Values!$B$16)</f>
        <v>computer-keyboards</v>
      </c>
      <c r="I9" s="2" t="str">
        <f>IF(ISBLANK(Values!E8),"","4730574031")</f>
        <v>4730574031</v>
      </c>
      <c r="J9" s="32" t="str">
        <f>IF(ISBLANK(Values!E8),"",Values!F8 )</f>
        <v>HP 6460 Silver reg with pointer - UK</v>
      </c>
      <c r="K9" s="28">
        <f>IF(ISBLANK(Values!E8),"",IF(Values!J8, Values!$B$4, Values!$B$5))</f>
        <v>42.99</v>
      </c>
      <c r="L9" s="28" t="str">
        <f>IF(ISBLANK(Values!E8),"",IF($CO9="DEFAULT", Values!$B$18, ""))</f>
        <v/>
      </c>
      <c r="M9" s="28" t="str">
        <f>IF(ISBLANK(Values!E8),"",Values!$M8)</f>
        <v>https://raw.githubusercontent.com/PatrickVibild/TellusAmazonPictures/master/pictures/HP/W. PS/6460 (SILVER FRAME)/RG/UK/1.jpg</v>
      </c>
      <c r="N9" s="28" t="str">
        <f>IF(ISBLANK(Values!$F8),"",Values!N8)</f>
        <v>https://raw.githubusercontent.com/PatrickVibild/TellusAmazonPictures/master/pictures/HP/W. PS/6460 (SILVER FRAME)/RG/UK/2.jpg</v>
      </c>
      <c r="O9" s="28" t="str">
        <f>IF(ISBLANK(Values!$F8),"",Values!O8)</f>
        <v>https://raw.githubusercontent.com/PatrickVibild/TellusAmazonPictures/master/pictures/HP/W. PS/6460 (SILVER FRAME)/RG/UK/3.jpg</v>
      </c>
      <c r="P9" s="28" t="str">
        <f>IF(ISBLANK(Values!$F8),"",Values!P8)</f>
        <v>https://raw.githubusercontent.com/PatrickVibild/TellusAmazonPictures/master/pictures/HP/W. PS/6460 (SILVER FRAME)/RG/UK/4.jpg</v>
      </c>
      <c r="Q9" s="28" t="str">
        <f>IF(ISBLANK(Values!$F8),"",Values!Q8)</f>
        <v>https://raw.githubusercontent.com/PatrickVibild/TellusAmazonPictures/master/pictures/HP/W. PS/6460 (SILVER FRAME)/RG/UK/5.jpg</v>
      </c>
      <c r="R9" s="28" t="str">
        <f>IF(ISBLANK(Values!$F8),"",Values!R8)</f>
        <v>https://raw.githubusercontent.com/PatrickVibild/TellusAmazonPictures/master/pictures/HP/W. PS/6460 (SILVER FRAME)/RG/UK/6.jpg</v>
      </c>
      <c r="S9" s="28" t="str">
        <f>IF(ISBLANK(Values!$F8),"",Values!S8)</f>
        <v>https://raw.githubusercontent.com/PatrickVibild/TellusAmazonPictures/master/pictures/HP/W. PS/6460 (SILVER FRAME)/RG/UK/7.jpg</v>
      </c>
      <c r="T9" s="28" t="str">
        <f>IF(ISBLANK(Values!$F8),"",Values!T8)</f>
        <v>https://raw.githubusercontent.com/PatrickVibild/TellusAmazonPictures/master/pictures/HP/W. PS/6460 (SILVER FRAME)/RG/UK/8.jpg</v>
      </c>
      <c r="U9" s="28" t="str">
        <f>IF(ISBLANK(Values!$F8),"",Values!U8)</f>
        <v>https://raw.githubusercontent.com/PatrickVibild/TellusAmazonPictures/master/pictures/HP/W. PS/6460 (SILVER FRAME)/RG/UK/9.jpg</v>
      </c>
      <c r="W9" s="30" t="str">
        <f>IF(ISBLANK(Values!E8),"","Child")</f>
        <v>Child</v>
      </c>
      <c r="X9" s="30" t="str">
        <f>IF(ISBLANK(Values!E8),"",Values!$B$13)</f>
        <v>HP 6460 parent</v>
      </c>
      <c r="Y9" s="32" t="str">
        <f>IF(ISBLANK(Values!E8),"","Size-Color")</f>
        <v>Size-Color</v>
      </c>
      <c r="Z9" s="30" t="str">
        <f>IF(ISBLANK(Values!E8),"","variation")</f>
        <v>variation</v>
      </c>
      <c r="AA9" s="2" t="str">
        <f>IF(ISBLANK(Values!E8),"",Values!$B$20)</f>
        <v>Update</v>
      </c>
      <c r="AB9" s="2"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5"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3"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9" s="2" t="str">
        <f>IF(ISBLANK(Values!E8),"",Values!$B$25)</f>
        <v xml:space="preserve">♻️ PRODUIT ÉCOLOGIQUE - Achetez remis à neuf, ACHETEZ VERT! Réduisez plus de 80% de dioxyde de carbone en achetant nos claviers remis à neuf, par rapport à l'achat d'un nouveau clavier! </v>
      </c>
      <c r="AL9" s="2" t="str">
        <f>IF(ISBLANK(Values!E8),"",SUBSTITUTE(SUBSTITUTE(IF(Values!$J8, Values!$B$26, Values!$B$33), "{language}", Values!$H8), "{flag}", INDEX(options!$E$1:$E$20, Values!$V8)))</f>
        <v>👉  DISPOSITION - 🇬🇧 UK non rétroéclairé.</v>
      </c>
      <c r="AM9" s="2" t="str">
        <f>SUBSTITUTE(IF(ISBLANK(Values!E8),"",Values!$B$27),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Danemark</v>
      </c>
      <c r="CZ9" s="2" t="str">
        <f>IF(ISBLANK(Values!E8),"","No")</f>
        <v>No</v>
      </c>
      <c r="DA9" s="2" t="str">
        <f>IF(ISBLANK(Values!E8),"","No")</f>
        <v>No</v>
      </c>
      <c r="DO9" s="2" t="str">
        <f>IF(ISBLANK(Values!E8),"","Parts")</f>
        <v>Parts</v>
      </c>
      <c r="DP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2"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42.99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3">
        <f>K9</f>
        <v>42.99</v>
      </c>
    </row>
    <row r="10" spans="1:193" ht="64" x14ac:dyDescent="0.2">
      <c r="A10" s="2" t="str">
        <f>IF(ISBLANK(Values!E9),"",IF(Values!$B$37="EU","computercomponent","computer"))</f>
        <v>computercomponent</v>
      </c>
      <c r="B10" s="34" t="str">
        <f>IF(ISBLANK(Values!E9),"",Values!F9)</f>
        <v>HP 6460 Silver reg with pointer - NORDIC</v>
      </c>
      <c r="C10" s="30" t="str">
        <f>IF(ISBLANK(Values!E10),"","TellusRem")</f>
        <v>TellusRem</v>
      </c>
      <c r="D10" s="29">
        <f>IF(ISBLANK(Values!E10),"",Values!E10)</f>
        <v>5714401646068</v>
      </c>
      <c r="E10" s="2" t="str">
        <f>IF(ISBLANK(Values!E10),"","EAN")</f>
        <v>EAN</v>
      </c>
      <c r="F10" s="28" t="str">
        <f>IF(ISBLANK(Values!E10),"",IF(Values!J9, SUBSTITUTE(Values!$B$1, "{language}", Values!H9) &amp; " " &amp;Values!$B$3, SUBSTITUTE(Values!$B$2, "{language}", Values!$H9) &amp; " " &amp;Values!$B$3))</f>
        <v>clavier de remplacement Scandinave - nordique non rétroéclairé pour HP  6460b, 6465b, 6470b, 6475b, 6460, 6465, 6470, 6475, 8470B 8460P 8460W 8470W</v>
      </c>
      <c r="G10" s="30" t="str">
        <f>IF(ISBLANK(Values!E9),"","TellusRem")</f>
        <v>TellusRem</v>
      </c>
      <c r="H10" s="2" t="str">
        <f>IF(ISBLANK(Values!E9),"",Values!$B$16)</f>
        <v>computer-keyboards</v>
      </c>
      <c r="I10" s="2" t="str">
        <f>IF(ISBLANK(Values!E9),"","4730574031")</f>
        <v>4730574031</v>
      </c>
      <c r="J10" s="32" t="str">
        <f>IF(ISBLANK(Values!E9),"",Values!F9 )</f>
        <v>HP 6460 Silver reg with pointer - NORDIC</v>
      </c>
      <c r="K10" s="28">
        <f>IF(ISBLANK(Values!E9),"",IF(Values!J9, Values!$B$4, Values!$B$5))</f>
        <v>42.99</v>
      </c>
      <c r="L10" s="28">
        <f>IF(ISBLANK(Values!E9),"",IF($CO10="DEFAULT", Values!$B$18, ""))</f>
        <v>5</v>
      </c>
      <c r="M10" s="28" t="str">
        <f>IF(ISBLANK(Values!E9),"",Values!$M9)</f>
        <v>https://raw.githubusercontent.com/PatrickVibild/TellusAmazonPictures/master/pictures/HP/W. PS/6460 (SILVER FRAME)/RG/NOR/1.jpg</v>
      </c>
      <c r="N10" s="28" t="str">
        <f>IF(ISBLANK(Values!$F9),"",Values!N9)</f>
        <v>https://raw.githubusercontent.com/PatrickVibild/TellusAmazonPictures/master/pictures/HP/W. PS/6460 (SILVER FRAME)/RG/NOR/2.jpg</v>
      </c>
      <c r="O10" s="28" t="str">
        <f>IF(ISBLANK(Values!$F9),"",Values!O9)</f>
        <v>https://raw.githubusercontent.com/PatrickVibild/TellusAmazonPictures/master/pictures/HP/W. PS/6460 (SILVER FRAME)/RG/NOR/3.jpg</v>
      </c>
      <c r="P10" s="28" t="str">
        <f>IF(ISBLANK(Values!$F9),"",Values!P9)</f>
        <v>https://raw.githubusercontent.com/PatrickVibild/TellusAmazonPictures/master/pictures/HP/W. PS/6460 (SILVER FRAME)/RG/NOR/4.jpg</v>
      </c>
      <c r="Q10" s="28" t="str">
        <f>IF(ISBLANK(Values!$F9),"",Values!Q9)</f>
        <v>https://raw.githubusercontent.com/PatrickVibild/TellusAmazonPictures/master/pictures/HP/W. PS/6460 (SILVER FRAME)/RG/NOR/5.jpg</v>
      </c>
      <c r="R10" s="28" t="str">
        <f>IF(ISBLANK(Values!$F9),"",Values!R9)</f>
        <v>https://raw.githubusercontent.com/PatrickVibild/TellusAmazonPictures/master/pictures/HP/W. PS/6460 (SILVER FRAME)/RG/NOR/6.jpg</v>
      </c>
      <c r="S10" s="28" t="str">
        <f>IF(ISBLANK(Values!$F9),"",Values!S9)</f>
        <v>https://raw.githubusercontent.com/PatrickVibild/TellusAmazonPictures/master/pictures/HP/W. PS/6460 (SILVER FRAME)/RG/NOR/7.jpg</v>
      </c>
      <c r="T10" s="28" t="str">
        <f>IF(ISBLANK(Values!$F9),"",Values!T9)</f>
        <v>https://raw.githubusercontent.com/PatrickVibild/TellusAmazonPictures/master/pictures/HP/W. PS/6460 (SILVER FRAME)/RG/NOR/8.jpg</v>
      </c>
      <c r="U10" s="28" t="str">
        <f>IF(ISBLANK(Values!$F9),"",Values!U9)</f>
        <v>https://raw.githubusercontent.com/PatrickVibild/TellusAmazonPictures/master/pictures/HP/W. PS/6460 (SILVER FRAME)/RG/NOR/9.jpg</v>
      </c>
      <c r="W10" s="30" t="str">
        <f>IF(ISBLANK(Values!E9),"","Child")</f>
        <v>Child</v>
      </c>
      <c r="X10" s="30" t="str">
        <f>IF(ISBLANK(Values!E9),"",Values!$B$13)</f>
        <v>HP 6460 parent</v>
      </c>
      <c r="Y10" s="32" t="str">
        <f>IF(ISBLANK(Values!E9),"","Size-Color")</f>
        <v>Size-Color</v>
      </c>
      <c r="Z10" s="30" t="str">
        <f>IF(ISBLANK(Values!E9),"","variation")</f>
        <v>variation</v>
      </c>
      <c r="AA10" s="2" t="str">
        <f>IF(ISBLANK(Values!E9),"",Values!$B$20)</f>
        <v>Update</v>
      </c>
      <c r="AB10" s="2"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5"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3"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0" s="2" t="str">
        <f>IF(ISBLANK(Values!E9),"",Values!$B$25)</f>
        <v xml:space="preserve">♻️ PRODUIT ÉCOLOGIQUE - Achetez remis à neuf, ACHETEZ VERT! Réduisez plus de 80% de dioxyde de carbone en achetant nos claviers remis à neuf, par rapport à l'achat d'un nouveau clavier! </v>
      </c>
      <c r="AL10" s="2" t="str">
        <f>IF(ISBLANK(Values!E9),"",SUBSTITUTE(SUBSTITUTE(IF(Values!$J9, Values!$B$26, Values!$B$33), "{language}", Values!$H9), "{flag}", INDEX(options!$E$1:$E$20, Values!$V9)))</f>
        <v>👉  DISPOSITION - 🇸🇪 🇫🇮 🇳🇴 🇩🇰 Scandinave - nordique non rétroéclairé.</v>
      </c>
      <c r="AM10" s="2" t="str">
        <f>SUBSTITUTE(IF(ISBLANK(Values!E9),"",Values!$B$27),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0" s="28" t="str">
        <f>IF(ISBLANK(Values!E9),"",Values!H9)</f>
        <v>Scandinave - nordique</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DEFAULT</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Danemark</v>
      </c>
      <c r="CZ10" s="2" t="str">
        <f>IF(ISBLANK(Values!E9),"","No")</f>
        <v>No</v>
      </c>
      <c r="DA10" s="2" t="str">
        <f>IF(ISBLANK(Values!E9),"","No")</f>
        <v>No</v>
      </c>
      <c r="DO10" s="2" t="str">
        <f>IF(ISBLANK(Values!E9),"","Parts")</f>
        <v>Parts</v>
      </c>
      <c r="DP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2"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2" t="str">
        <f>IF(ISBLANK(Values!E9),"","Amazon Tellus UPS")</f>
        <v>Amazon Tellus UPS</v>
      </c>
      <c r="EV10" s="2" t="str">
        <f>IF(ISBLANK(Values!E9),"","New")</f>
        <v>New</v>
      </c>
      <c r="FE10" s="2">
        <f>IF(ISBLANK(Values!E9),"",IF(CO10&lt;&gt;"DEFAULT", "", 3))</f>
        <v>3</v>
      </c>
      <c r="FH10" s="2" t="str">
        <f>IF(ISBLANK(Values!E9),"","FALSE")</f>
        <v>FALSE</v>
      </c>
      <c r="FI10" s="2" t="str">
        <f>IF(ISBLANK(Values!E9),"","FALSE")</f>
        <v>FALSE</v>
      </c>
      <c r="FJ10" s="2" t="str">
        <f>IF(ISBLANK(Values!E9),"","FALSE")</f>
        <v>FALSE</v>
      </c>
      <c r="FM10" s="2" t="str">
        <f>IF(ISBLANK(Values!E9),"","1")</f>
        <v>1</v>
      </c>
      <c r="FO10" s="28">
        <f>IF(ISBLANK(Values!E9),"",IF(Values!J9, Values!$B$4, Values!$B$5))</f>
        <v>42.99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3">
        <f>K10</f>
        <v>42.99</v>
      </c>
    </row>
    <row r="11" spans="1:193" ht="64" x14ac:dyDescent="0.2">
      <c r="A11" s="2" t="str">
        <f>IF(ISBLANK(Values!E10),"",IF(Values!$B$37="EU","computercomponent","computer"))</f>
        <v>computercomponent</v>
      </c>
      <c r="B11" s="34" t="str">
        <f>IF(ISBLANK(Values!E10),"",Values!F10)</f>
        <v>HP 6460 Silver reg with pointer - BE</v>
      </c>
      <c r="C11" s="30" t="str">
        <f>IF(ISBLANK(Values!E10),"","TellusRem")</f>
        <v>TellusRem</v>
      </c>
      <c r="D11" s="29">
        <f>IF(ISBLANK(Values!E10),"",Values!E10)</f>
        <v>5714401646068</v>
      </c>
      <c r="E11" s="2" t="str">
        <f>IF(ISBLANK(Values!E10),"","EAN")</f>
        <v>EAN</v>
      </c>
      <c r="F11" s="28" t="str">
        <f>IF(ISBLANK(Values!E10),"",IF(Values!J10, SUBSTITUTE(Values!$B$1, "{language}", Values!H10) &amp; " " &amp;Values!$B$3, SUBSTITUTE(Values!$B$2, "{language}", Values!$H10) &amp; " " &amp;Values!$B$3))</f>
        <v>clavier de remplacement Belge non rétroéclairé pour HP  6460b, 6465b, 6470b, 6475b, 6460, 6465, 6470, 6475, 8470B 8460P 8460W 8470W</v>
      </c>
      <c r="G11" s="30" t="str">
        <f>IF(ISBLANK(Values!E10),"","TellusRem")</f>
        <v>TellusRem</v>
      </c>
      <c r="H11" s="2" t="str">
        <f>IF(ISBLANK(Values!E10),"",Values!$B$16)</f>
        <v>computer-keyboards</v>
      </c>
      <c r="I11" s="2" t="str">
        <f>IF(ISBLANK(Values!E10),"","4730574031")</f>
        <v>4730574031</v>
      </c>
      <c r="J11" s="32" t="str">
        <f>IF(ISBLANK(Values!E10),"",Values!F10 )</f>
        <v>HP 6460 Silver reg with pointer - BE</v>
      </c>
      <c r="K11" s="28">
        <f>IF(ISBLANK(Values!E10),"",IF(Values!J10, Values!$B$4, Values!$B$5))</f>
        <v>42.99</v>
      </c>
      <c r="L11" s="28">
        <f>IF(ISBLANK(Values!E10),"",IF($CO11="DEFAULT", Values!$B$18, ""))</f>
        <v>5</v>
      </c>
      <c r="M11" s="28" t="str">
        <f>IF(ISBLANK(Values!E10),"",Values!$M10)</f>
        <v>https://raw.githubusercontent.com/PatrickVibild/TellusAmazonPictures/master/pictures/HP/W. PS/6460 (SILVER FRAME)/RG/BE/1.jpg</v>
      </c>
      <c r="N11" s="28" t="str">
        <f>IF(ISBLANK(Values!$F10),"",Values!N10)</f>
        <v>https://raw.githubusercontent.com/PatrickVibild/TellusAmazonPictures/master/pictures/HP/W. PS/6460 (SILVER FRAME)/RG/BE/2.jpg</v>
      </c>
      <c r="O11" s="28" t="str">
        <f>IF(ISBLANK(Values!$F10),"",Values!O10)</f>
        <v>https://raw.githubusercontent.com/PatrickVibild/TellusAmazonPictures/master/pictures/HP/W. PS/6460 (SILVER FRAME)/RG/BE/3.jpg</v>
      </c>
      <c r="P11" s="28" t="str">
        <f>IF(ISBLANK(Values!$F10),"",Values!P10)</f>
        <v>https://raw.githubusercontent.com/PatrickVibild/TellusAmazonPictures/master/pictures/HP/W. PS/6460 (SILVER FRAME)/RG/BE/4.jpg</v>
      </c>
      <c r="Q11" s="28" t="str">
        <f>IF(ISBLANK(Values!$F10),"",Values!Q10)</f>
        <v>https://raw.githubusercontent.com/PatrickVibild/TellusAmazonPictures/master/pictures/HP/W. PS/6460 (SILVER FRAME)/RG/BE/5.jpg</v>
      </c>
      <c r="R11" s="28" t="str">
        <f>IF(ISBLANK(Values!$F10),"",Values!R10)</f>
        <v>https://raw.githubusercontent.com/PatrickVibild/TellusAmazonPictures/master/pictures/HP/W. PS/6460 (SILVER FRAME)/RG/BE/6.jpg</v>
      </c>
      <c r="S11" s="28" t="str">
        <f>IF(ISBLANK(Values!$F10),"",Values!S10)</f>
        <v>https://raw.githubusercontent.com/PatrickVibild/TellusAmazonPictures/master/pictures/HP/W. PS/6460 (SILVER FRAME)/RG/BE/7.jpg</v>
      </c>
      <c r="T11" s="28" t="str">
        <f>IF(ISBLANK(Values!$F10),"",Values!T10)</f>
        <v>https://raw.githubusercontent.com/PatrickVibild/TellusAmazonPictures/master/pictures/HP/W. PS/6460 (SILVER FRAME)/RG/BE/8.jpg</v>
      </c>
      <c r="U11" s="28" t="str">
        <f>IF(ISBLANK(Values!$F10),"",Values!U10)</f>
        <v>https://raw.githubusercontent.com/PatrickVibild/TellusAmazonPictures/master/pictures/HP/W. PS/6460 (SILVER FRAME)/RG/BE/9.jpg</v>
      </c>
      <c r="W11" s="30" t="str">
        <f>IF(ISBLANK(Values!E10),"","Child")</f>
        <v>Child</v>
      </c>
      <c r="X11" s="30" t="str">
        <f>IF(ISBLANK(Values!E10),"",Values!$B$13)</f>
        <v>HP 6460 parent</v>
      </c>
      <c r="Y11" s="32" t="str">
        <f>IF(ISBLANK(Values!E10),"","Size-Color")</f>
        <v>Size-Color</v>
      </c>
      <c r="Z11" s="30" t="str">
        <f>IF(ISBLANK(Values!E10),"","variation")</f>
        <v>variation</v>
      </c>
      <c r="AA11" s="2" t="str">
        <f>IF(ISBLANK(Values!E10),"",Values!$B$20)</f>
        <v>Update</v>
      </c>
      <c r="AB11" s="2"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5"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3"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1" s="2" t="str">
        <f>IF(ISBLANK(Values!E10),"",Values!$B$25)</f>
        <v xml:space="preserve">♻️ PRODUIT ÉCOLOGIQUE - Achetez remis à neuf, ACHETEZ VERT! Réduisez plus de 80% de dioxyde de carbone en achetant nos claviers remis à neuf, par rapport à l'achat d'un nouveau clavier! </v>
      </c>
      <c r="AL11" s="2" t="str">
        <f>IF(ISBLANK(Values!E10),"",SUBSTITUTE(SUBSTITUTE(IF(Values!$J10, Values!$B$26, Values!$B$33), "{language}", Values!$H10), "{flag}", INDEX(options!$E$1:$E$20, Values!$V10)))</f>
        <v>👉  DISPOSITION - 🇧🇪 Belge non rétroéclairé.</v>
      </c>
      <c r="AM11" s="2" t="str">
        <f>SUBSTITUTE(IF(ISBLANK(Values!E10),"",Values!$B$27),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1" s="28" t="str">
        <f>IF(ISBLANK(Values!E10),"",Values!H10)</f>
        <v>Belge</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DEFAULT</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Danemark</v>
      </c>
      <c r="CZ11" s="2" t="str">
        <f>IF(ISBLANK(Values!E10),"","No")</f>
        <v>No</v>
      </c>
      <c r="DA11" s="2" t="str">
        <f>IF(ISBLANK(Values!E10),"","No")</f>
        <v>No</v>
      </c>
      <c r="DO11" s="2" t="str">
        <f>IF(ISBLANK(Values!E10),"","Parts")</f>
        <v>Parts</v>
      </c>
      <c r="DP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2"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2" t="str">
        <f>IF(ISBLANK(Values!E10),"","Amazon Tellus UPS")</f>
        <v>Amazon Tellus UPS</v>
      </c>
      <c r="EV11" s="2" t="str">
        <f>IF(ISBLANK(Values!E10),"","New")</f>
        <v>New</v>
      </c>
      <c r="FE11" s="2">
        <f>IF(ISBLANK(Values!E10),"",IF(CO11&lt;&gt;"DEFAULT", "", 3))</f>
        <v>3</v>
      </c>
      <c r="FH11" s="2" t="str">
        <f>IF(ISBLANK(Values!E10),"","FALSE")</f>
        <v>FALSE</v>
      </c>
      <c r="FI11" s="2" t="str">
        <f>IF(ISBLANK(Values!E10),"","FALSE")</f>
        <v>FALSE</v>
      </c>
      <c r="FJ11" s="2" t="str">
        <f>IF(ISBLANK(Values!E10),"","FALSE")</f>
        <v>FALSE</v>
      </c>
      <c r="FM11" s="2" t="str">
        <f>IF(ISBLANK(Values!E10),"","1")</f>
        <v>1</v>
      </c>
      <c r="FO11" s="28">
        <f>IF(ISBLANK(Values!E10),"",IF(Values!J10, Values!$B$4, Values!$B$5))</f>
        <v>42.99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3">
        <f>K11</f>
        <v>42.99</v>
      </c>
    </row>
    <row r="12" spans="1:193" ht="64" x14ac:dyDescent="0.2">
      <c r="A12" s="2" t="str">
        <f>IF(ISBLANK(Values!E11),"",IF(Values!$B$37="EU","computercomponent","computer"))</f>
        <v>computercomponent</v>
      </c>
      <c r="B12" s="34" t="str">
        <f>IF(ISBLANK(Values!E11),"",Values!F11)</f>
        <v>HP 6460 Silver reg with pointer - Swiss</v>
      </c>
      <c r="C12" s="30" t="str">
        <f>IF(ISBLANK(Values!E11),"","TellusRem")</f>
        <v>TellusRem</v>
      </c>
      <c r="D12" s="29">
        <f>IF(ISBLANK(Values!E11),"",Values!E11)</f>
        <v>5714401646075</v>
      </c>
      <c r="E12" s="2" t="str">
        <f>IF(ISBLANK(Values!E11),"","EAN")</f>
        <v>EAN</v>
      </c>
      <c r="F12" s="28" t="str">
        <f>IF(ISBLANK(Values!E11),"",IF(Values!J11, SUBSTITUTE(Values!$B$1, "{language}", Values!H11) &amp; " " &amp;Values!$B$3, SUBSTITUTE(Values!$B$2, "{language}", Values!$H11) &amp; " " &amp;Values!$B$3))</f>
        <v>clavier de remplacement Suisse non rétroéclairé pour HP  6460b, 6465b, 6470b, 6475b, 6460, 6465, 6470, 6475, 8470B 8460P 8460W 8470W</v>
      </c>
      <c r="G12" s="30" t="str">
        <f>IF(ISBLANK(Values!E11),"","TellusRem")</f>
        <v>TellusRem</v>
      </c>
      <c r="H12" s="2" t="str">
        <f>IF(ISBLANK(Values!E11),"",Values!$B$16)</f>
        <v>computer-keyboards</v>
      </c>
      <c r="I12" s="2" t="str">
        <f>IF(ISBLANK(Values!E11),"","4730574031")</f>
        <v>4730574031</v>
      </c>
      <c r="J12" s="32" t="str">
        <f>IF(ISBLANK(Values!E11),"",Values!F11 )</f>
        <v>HP 6460 Silver reg with pointer - Swiss</v>
      </c>
      <c r="K12" s="28">
        <f>IF(ISBLANK(Values!E11),"",IF(Values!J11, Values!$B$4, Values!$B$5))</f>
        <v>42.99</v>
      </c>
      <c r="L12" s="28">
        <f>IF(ISBLANK(Values!E11),"",IF($CO12="DEFAULT", Values!$B$18, ""))</f>
        <v>5</v>
      </c>
      <c r="M12" s="28" t="str">
        <f>IF(ISBLANK(Values!E11),"",Values!$M11)</f>
        <v>https://raw.githubusercontent.com/PatrickVibild/TellusAmazonPictures/master/pictures/HP/W. PS/6460 (SILVER FRAME)/RG/CH/1.jpg</v>
      </c>
      <c r="N12" s="28" t="str">
        <f>IF(ISBLANK(Values!$F11),"",Values!N11)</f>
        <v>https://raw.githubusercontent.com/PatrickVibild/TellusAmazonPictures/master/pictures/HP/W. PS/6460 (SILVER FRAME)/RG/CH/2.jpg</v>
      </c>
      <c r="O12" s="28" t="str">
        <f>IF(ISBLANK(Values!$F11),"",Values!O11)</f>
        <v>https://raw.githubusercontent.com/PatrickVibild/TellusAmazonPictures/master/pictures/HP/W. PS/6460 (SILVER FRAME)/RG/CH/3.jpg</v>
      </c>
      <c r="P12" s="28" t="str">
        <f>IF(ISBLANK(Values!$F11),"",Values!P11)</f>
        <v>https://raw.githubusercontent.com/PatrickVibild/TellusAmazonPictures/master/pictures/HP/W. PS/6460 (SILVER FRAME)/RG/CH/4.jpg</v>
      </c>
      <c r="Q12" s="28" t="str">
        <f>IF(ISBLANK(Values!$F11),"",Values!Q11)</f>
        <v>https://raw.githubusercontent.com/PatrickVibild/TellusAmazonPictures/master/pictures/HP/W. PS/6460 (SILVER FRAME)/RG/CH/5.jpg</v>
      </c>
      <c r="R12" s="28" t="str">
        <f>IF(ISBLANK(Values!$F11),"",Values!R11)</f>
        <v>https://raw.githubusercontent.com/PatrickVibild/TellusAmazonPictures/master/pictures/HP/W. PS/6460 (SILVER FRAME)/RG/CH/6.jpg</v>
      </c>
      <c r="S12" s="28" t="str">
        <f>IF(ISBLANK(Values!$F11),"",Values!S11)</f>
        <v>https://raw.githubusercontent.com/PatrickVibild/TellusAmazonPictures/master/pictures/HP/W. PS/6460 (SILVER FRAME)/RG/CH/7.jpg</v>
      </c>
      <c r="T12" s="28" t="str">
        <f>IF(ISBLANK(Values!$F11),"",Values!T11)</f>
        <v>https://raw.githubusercontent.com/PatrickVibild/TellusAmazonPictures/master/pictures/HP/W. PS/6460 (SILVER FRAME)/RG/CH/8.jpg</v>
      </c>
      <c r="U12" s="28" t="str">
        <f>IF(ISBLANK(Values!$F11),"",Values!U11)</f>
        <v>https://raw.githubusercontent.com/PatrickVibild/TellusAmazonPictures/master/pictures/HP/W. PS/6460 (SILVER FRAME)/RG/CH/9.jpg</v>
      </c>
      <c r="W12" s="30" t="str">
        <f>IF(ISBLANK(Values!E11),"","Child")</f>
        <v>Child</v>
      </c>
      <c r="X12" s="30" t="str">
        <f>IF(ISBLANK(Values!E11),"",Values!$B$13)</f>
        <v>HP 6460 parent</v>
      </c>
      <c r="Y12" s="32" t="str">
        <f>IF(ISBLANK(Values!E11),"","Size-Color")</f>
        <v>Size-Color</v>
      </c>
      <c r="Z12" s="30" t="str">
        <f>IF(ISBLANK(Values!E11),"","variation")</f>
        <v>variation</v>
      </c>
      <c r="AA12" s="2" t="str">
        <f>IF(ISBLANK(Values!E11),"",Values!$B$20)</f>
        <v>Update</v>
      </c>
      <c r="AB12" s="2"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5"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3"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2" s="2" t="str">
        <f>IF(ISBLANK(Values!E11),"",Values!$B$25)</f>
        <v xml:space="preserve">♻️ PRODUIT ÉCOLOGIQUE - Achetez remis à neuf, ACHETEZ VERT! Réduisez plus de 80% de dioxyde de carbone en achetant nos claviers remis à neuf, par rapport à l'achat d'un nouveau clavier! </v>
      </c>
      <c r="AL12" s="2" t="str">
        <f>IF(ISBLANK(Values!E11),"",SUBSTITUTE(SUBSTITUTE(IF(Values!$J11, Values!$B$26, Values!$B$33), "{language}", Values!$H11), "{flag}", INDEX(options!$E$1:$E$20, Values!$V11)))</f>
        <v>👉  DISPOSITION - 🇨🇭 Suisse non rétroéclairé.</v>
      </c>
      <c r="AM12" s="2" t="str">
        <f>SUBSTITUTE(IF(ISBLANK(Values!E11),"",Values!$B$27),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2" s="28" t="str">
        <f>IF(ISBLANK(Values!E11),"",Values!H11)</f>
        <v>Suisse</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Danemark</v>
      </c>
      <c r="CZ12" s="2" t="str">
        <f>IF(ISBLANK(Values!E11),"","No")</f>
        <v>No</v>
      </c>
      <c r="DA12" s="2" t="str">
        <f>IF(ISBLANK(Values!E11),"","No")</f>
        <v>No</v>
      </c>
      <c r="DO12" s="2" t="str">
        <f>IF(ISBLANK(Values!E11),"","Parts")</f>
        <v>Parts</v>
      </c>
      <c r="DP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2"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42.99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3">
        <f>K12</f>
        <v>42.99</v>
      </c>
    </row>
    <row r="13" spans="1:193" ht="64" x14ac:dyDescent="0.2">
      <c r="A13" s="2" t="str">
        <f>IF(ISBLANK(Values!E12),"",IF(Values!$B$37="EU","computercomponent","computer"))</f>
        <v>computercomponent</v>
      </c>
      <c r="B13" s="34" t="str">
        <f>IF(ISBLANK(Values!E12),"",Values!F12)</f>
        <v>HP 6460 Silver reg with pointer - US int</v>
      </c>
      <c r="C13" s="30" t="str">
        <f>IF(ISBLANK(Values!E12),"","TellusRem")</f>
        <v>TellusRem</v>
      </c>
      <c r="D13" s="29">
        <f>IF(ISBLANK(Values!E12),"",Values!E12)</f>
        <v>5714401646082</v>
      </c>
      <c r="E13" s="2" t="str">
        <f>IF(ISBLANK(Values!E12),"","EAN")</f>
        <v>EAN</v>
      </c>
      <c r="F13" s="28" t="str">
        <f>IF(ISBLANK(Values!E12),"",IF(Values!J12, SUBSTITUTE(Values!$B$1, "{language}", Values!H12) &amp; " " &amp;Values!$B$3, SUBSTITUTE(Values!$B$2, "{language}", Values!$H12) &amp; " " &amp;Values!$B$3))</f>
        <v>clavier de remplacement US international non rétroéclairé pour HP  6460b, 6465b, 6470b, 6475b, 6460, 6465, 6470, 6475, 8470B 8460P 8460W 8470W</v>
      </c>
      <c r="G13" s="30" t="str">
        <f>IF(ISBLANK(Values!E12),"","TellusRem")</f>
        <v>TellusRem</v>
      </c>
      <c r="H13" s="2" t="str">
        <f>IF(ISBLANK(Values!E12),"",Values!$B$16)</f>
        <v>computer-keyboards</v>
      </c>
      <c r="I13" s="2" t="str">
        <f>IF(ISBLANK(Values!E12),"","4730574031")</f>
        <v>4730574031</v>
      </c>
      <c r="J13" s="32" t="str">
        <f>IF(ISBLANK(Values!E12),"",Values!F12 )</f>
        <v>HP 6460 Silver reg with pointer - US int</v>
      </c>
      <c r="K13" s="28">
        <f>IF(ISBLANK(Values!E12),"",IF(Values!J12, Values!$B$4, Values!$B$5))</f>
        <v>42.99</v>
      </c>
      <c r="L13" s="28">
        <f>IF(ISBLANK(Values!E12),"",IF($CO13="DEFAULT", Values!$B$18, ""))</f>
        <v>5</v>
      </c>
      <c r="M13" s="28" t="str">
        <f>IF(ISBLANK(Values!E12),"",Values!$M12)</f>
        <v>https://raw.githubusercontent.com/PatrickVibild/TellusAmazonPictures/master/pictures/HP/W. PS/6460 (SILVER FRAME)/RG/USI/1.jpg</v>
      </c>
      <c r="N13" s="28" t="str">
        <f>IF(ISBLANK(Values!$F12),"",Values!N12)</f>
        <v>https://raw.githubusercontent.com/PatrickVibild/TellusAmazonPictures/master/pictures/HP/W. PS/6460 (SILVER FRAME)/RG/USI/2.jpg</v>
      </c>
      <c r="O13" s="28" t="str">
        <f>IF(ISBLANK(Values!$F12),"",Values!O12)</f>
        <v>https://raw.githubusercontent.com/PatrickVibild/TellusAmazonPictures/master/pictures/HP/W. PS/6460 (SILVER FRAME)/RG/USI/3.jpg</v>
      </c>
      <c r="P13" s="28" t="str">
        <f>IF(ISBLANK(Values!$F12),"",Values!P12)</f>
        <v>https://raw.githubusercontent.com/PatrickVibild/TellusAmazonPictures/master/pictures/HP/W. PS/6460 (SILVER FRAME)/RG/USI/4.jpg</v>
      </c>
      <c r="Q13" s="28" t="str">
        <f>IF(ISBLANK(Values!$F12),"",Values!Q12)</f>
        <v>https://raw.githubusercontent.com/PatrickVibild/TellusAmazonPictures/master/pictures/HP/W. PS/6460 (SILVER FRAME)/RG/USI/5.jpg</v>
      </c>
      <c r="R13" s="28" t="str">
        <f>IF(ISBLANK(Values!$F12),"",Values!R12)</f>
        <v>https://raw.githubusercontent.com/PatrickVibild/TellusAmazonPictures/master/pictures/HP/W. PS/6460 (SILVER FRAME)/RG/USI/6.jpg</v>
      </c>
      <c r="S13" s="28" t="str">
        <f>IF(ISBLANK(Values!$F12),"",Values!S12)</f>
        <v>https://raw.githubusercontent.com/PatrickVibild/TellusAmazonPictures/master/pictures/HP/W. PS/6460 (SILVER FRAME)/RG/USI/7.jpg</v>
      </c>
      <c r="T13" s="28" t="str">
        <f>IF(ISBLANK(Values!$F12),"",Values!T12)</f>
        <v>https://raw.githubusercontent.com/PatrickVibild/TellusAmazonPictures/master/pictures/HP/W. PS/6460 (SILVER FRAME)/RG/USI/8.jpg</v>
      </c>
      <c r="U13" s="28" t="str">
        <f>IF(ISBLANK(Values!$F12),"",Values!U12)</f>
        <v>https://raw.githubusercontent.com/PatrickVibild/TellusAmazonPictures/master/pictures/HP/W. PS/6460 (SILVER FRAME)/RG/USI/9.jpg</v>
      </c>
      <c r="W13" s="30" t="str">
        <f>IF(ISBLANK(Values!E12),"","Child")</f>
        <v>Child</v>
      </c>
      <c r="X13" s="30" t="str">
        <f>IF(ISBLANK(Values!E12),"",Values!$B$13)</f>
        <v>HP 6460 parent</v>
      </c>
      <c r="Y13" s="32" t="str">
        <f>IF(ISBLANK(Values!E12),"","Size-Color")</f>
        <v>Size-Color</v>
      </c>
      <c r="Z13" s="30" t="str">
        <f>IF(ISBLANK(Values!E12),"","variation")</f>
        <v>variation</v>
      </c>
      <c r="AA13" s="2" t="str">
        <f>IF(ISBLANK(Values!E12),"",Values!$B$20)</f>
        <v>Update</v>
      </c>
      <c r="AB13" s="2"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5"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3"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3" s="2" t="str">
        <f>IF(ISBLANK(Values!E12),"",Values!$B$25)</f>
        <v xml:space="preserve">♻️ PRODUIT ÉCOLOGIQUE - Achetez remis à neuf, ACHETEZ VERT! Réduisez plus de 80% de dioxyde de carbone en achetant nos claviers remis à neuf, par rapport à l'achat d'un nouveau clavier! </v>
      </c>
      <c r="AL13" s="2" t="str">
        <f>IF(ISBLANK(Values!E12),"",SUBSTITUTE(SUBSTITUTE(IF(Values!$J12, Values!$B$26, Values!$B$33), "{language}", Values!$H12), "{flag}", INDEX(options!$E$1:$E$20, Values!$V12)))</f>
        <v>👉  DISPOSITION - 🇺🇸 with € symbol US international non rétroéclairé.</v>
      </c>
      <c r="AM13" s="2" t="str">
        <f>SUBSTITUTE(IF(ISBLANK(Values!E12),"",Values!$B$27),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3" s="28" t="str">
        <f>IF(ISBLANK(Values!E12),"",Values!H12)</f>
        <v>US international</v>
      </c>
      <c r="AV13" s="2" t="str">
        <f>IF(ISBLANK(Values!E12),"",IF(Values!J12,"Backlit", "Non-Backlit"))</f>
        <v>Non-Backlit</v>
      </c>
      <c r="BE13" s="2" t="str">
        <f>IF(ISBLANK(Values!E12),"","Professional Audience")</f>
        <v>Professional Audience</v>
      </c>
      <c r="BF13" s="2" t="str">
        <f>IF(ISBLANK(Values!E12),"","Consumer Audience")</f>
        <v>Consumer Audience</v>
      </c>
      <c r="BG13" s="2" t="str">
        <f>IF(ISBLANK(Values!E12),"","Adults")</f>
        <v>Adults</v>
      </c>
      <c r="BH13" s="2"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2" t="str">
        <f>IF(ISBLANK(Values!E12), "", IF(AND(Values!$B$37=options!$G$2, Values!$C12), "AMAZON_NA", IF(AND(Values!$B$37=options!$G$1, Values!$D12), "AMAZON_EU", "DEFAULT")))</f>
        <v>DEFAULT</v>
      </c>
      <c r="CP13" s="2" t="str">
        <f>IF(ISBLANK(Values!E12),"",Values!$B$7)</f>
        <v>41</v>
      </c>
      <c r="CQ13" s="2" t="str">
        <f>IF(ISBLANK(Values!E12),"",Values!$B$8)</f>
        <v>17</v>
      </c>
      <c r="CR13" s="2"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Danemark</v>
      </c>
      <c r="CZ13" s="2" t="str">
        <f>IF(ISBLANK(Values!E12),"","No")</f>
        <v>No</v>
      </c>
      <c r="DA13" s="2" t="str">
        <f>IF(ISBLANK(Values!E12),"","No")</f>
        <v>No</v>
      </c>
      <c r="DO13" s="2" t="str">
        <f>IF(ISBLANK(Values!E12),"","Parts")</f>
        <v>Parts</v>
      </c>
      <c r="DP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2"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2" t="str">
        <f>IF(ISBLANK(Values!E12),"","Amazon Tellus UPS")</f>
        <v>Amazon Tellus UPS</v>
      </c>
      <c r="EV13" s="2" t="str">
        <f>IF(ISBLANK(Values!E12),"","New")</f>
        <v>New</v>
      </c>
      <c r="FE13" s="2">
        <f>IF(ISBLANK(Values!E12),"",IF(CO13&lt;&gt;"DEFAULT", "", 3))</f>
        <v>3</v>
      </c>
      <c r="FH13" s="2" t="str">
        <f>IF(ISBLANK(Values!E12),"","FALSE")</f>
        <v>FALSE</v>
      </c>
      <c r="FI13" s="2" t="str">
        <f>IF(ISBLANK(Values!E12),"","FALSE")</f>
        <v>FALSE</v>
      </c>
      <c r="FJ13" s="2" t="str">
        <f>IF(ISBLANK(Values!E12),"","FALSE")</f>
        <v>FALSE</v>
      </c>
      <c r="FM13" s="2" t="str">
        <f>IF(ISBLANK(Values!E12),"","1")</f>
        <v>1</v>
      </c>
      <c r="FO13" s="28">
        <f>IF(ISBLANK(Values!E12),"",IF(Values!J12, Values!$B$4, Values!$B$5))</f>
        <v>42.99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c r="GK13" s="63">
        <f>K13</f>
        <v>42.99</v>
      </c>
    </row>
    <row r="14" spans="1:193" ht="64" x14ac:dyDescent="0.2">
      <c r="A14" s="2" t="str">
        <f>IF(ISBLANK(Values!E13),"",IF(Values!$B$37="EU","computercomponent","computer"))</f>
        <v>computercomponent</v>
      </c>
      <c r="B14" s="34" t="str">
        <f>IF(ISBLANK(Values!E13),"",Values!F13)</f>
        <v>HP 6460 Silver reg with pointer - US</v>
      </c>
      <c r="C14" s="30" t="str">
        <f>IF(ISBLANK(Values!E13),"","TellusRem")</f>
        <v>TellusRem</v>
      </c>
      <c r="D14" s="29">
        <f>IF(ISBLANK(Values!E13),"",Values!E13)</f>
        <v>5714401646099</v>
      </c>
      <c r="E14" s="2" t="str">
        <f>IF(ISBLANK(Values!E13),"","EAN")</f>
        <v>EAN</v>
      </c>
      <c r="F14" s="28" t="str">
        <f>IF(ISBLANK(Values!E13),"",IF(Values!J13, SUBSTITUTE(Values!$B$1, "{language}", Values!H13) &amp; " " &amp;Values!$B$3, SUBSTITUTE(Values!$B$2, "{language}", Values!$H13) &amp; " " &amp;Values!$B$3))</f>
        <v>clavier de remplacement US non rétroéclairé pour HP  6460b, 6465b, 6470b, 6475b, 6460, 6465, 6470, 6475, 8470B 8460P 8460W 8470W</v>
      </c>
      <c r="G14" s="30" t="str">
        <f>IF(ISBLANK(Values!E13),"","TellusRem")</f>
        <v>TellusRem</v>
      </c>
      <c r="H14" s="2" t="str">
        <f>IF(ISBLANK(Values!E13),"",Values!$B$16)</f>
        <v>computer-keyboards</v>
      </c>
      <c r="I14" s="2" t="str">
        <f>IF(ISBLANK(Values!E13),"","4730574031")</f>
        <v>4730574031</v>
      </c>
      <c r="J14" s="32" t="str">
        <f>IF(ISBLANK(Values!E13),"",Values!F13 )</f>
        <v>HP 6460 Silver reg with pointer - US</v>
      </c>
      <c r="K14" s="28">
        <f>IF(ISBLANK(Values!E13),"",IF(Values!J13, Values!$B$4, Values!$B$5))</f>
        <v>42.99</v>
      </c>
      <c r="L14" s="28">
        <f>IF(ISBLANK(Values!E13),"",IF($CO14="DEFAULT", Values!$B$18, ""))</f>
        <v>5</v>
      </c>
      <c r="M14" s="28" t="str">
        <f>IF(ISBLANK(Values!E13),"",Values!$M13)</f>
        <v>https://raw.githubusercontent.com/PatrickVibild/TellusAmazonPictures/master/pictures/HP/W. PS/6460 (SILVER FRAME)/RG/US/1.jpg</v>
      </c>
      <c r="N14" s="28" t="str">
        <f>IF(ISBLANK(Values!$F13),"",Values!N13)</f>
        <v>https://raw.githubusercontent.com/PatrickVibild/TellusAmazonPictures/master/pictures/HP/W. PS/6460 (SILVER FRAME)/RG/US/2.jpg</v>
      </c>
      <c r="O14" s="28" t="str">
        <f>IF(ISBLANK(Values!$F13),"",Values!O13)</f>
        <v>https://raw.githubusercontent.com/PatrickVibild/TellusAmazonPictures/master/pictures/HP/W. PS/6460 (SILVER FRAME)/RG/US/3.jpg</v>
      </c>
      <c r="P14" s="28" t="str">
        <f>IF(ISBLANK(Values!$F13),"",Values!P13)</f>
        <v>https://raw.githubusercontent.com/PatrickVibild/TellusAmazonPictures/master/pictures/HP/W. PS/6460 (SILVER FRAME)/RG/US/4.jpg</v>
      </c>
      <c r="Q14" s="28" t="str">
        <f>IF(ISBLANK(Values!$F13),"",Values!Q13)</f>
        <v>https://raw.githubusercontent.com/PatrickVibild/TellusAmazonPictures/master/pictures/HP/W. PS/6460 (SILVER FRAME)/RG/US/5.jpg</v>
      </c>
      <c r="R14" s="28" t="str">
        <f>IF(ISBLANK(Values!$F13),"",Values!R13)</f>
        <v>https://raw.githubusercontent.com/PatrickVibild/TellusAmazonPictures/master/pictures/HP/W. PS/6460 (SILVER FRAME)/RG/US/6.jpg</v>
      </c>
      <c r="S14" s="28" t="str">
        <f>IF(ISBLANK(Values!$F13),"",Values!S13)</f>
        <v>https://raw.githubusercontent.com/PatrickVibild/TellusAmazonPictures/master/pictures/HP/W. PS/6460 (SILVER FRAME)/RG/US/7.jpg</v>
      </c>
      <c r="T14" s="28" t="str">
        <f>IF(ISBLANK(Values!$F13),"",Values!T13)</f>
        <v>https://raw.githubusercontent.com/PatrickVibild/TellusAmazonPictures/master/pictures/HP/W. PS/6460 (SILVER FRAME)/RG/US/8.jpg</v>
      </c>
      <c r="U14" s="28" t="str">
        <f>IF(ISBLANK(Values!$F13),"",Values!U13)</f>
        <v>https://raw.githubusercontent.com/PatrickVibild/TellusAmazonPictures/master/pictures/HP/W. PS/6460 (SILVER FRAME)/RG/US/9.jpg</v>
      </c>
      <c r="W14" s="30" t="str">
        <f>IF(ISBLANK(Values!E13),"","Child")</f>
        <v>Child</v>
      </c>
      <c r="X14" s="30" t="str">
        <f>IF(ISBLANK(Values!E13),"",Values!$B$13)</f>
        <v>HP 6460 parent</v>
      </c>
      <c r="Y14" s="32" t="str">
        <f>IF(ISBLANK(Values!E13),"","Size-Color")</f>
        <v>Size-Color</v>
      </c>
      <c r="Z14" s="30" t="str">
        <f>IF(ISBLANK(Values!E13),"","variation")</f>
        <v>variation</v>
      </c>
      <c r="AA14" s="2" t="str">
        <f>IF(ISBLANK(Values!E13),"",Values!$B$20)</f>
        <v>Update</v>
      </c>
      <c r="AB14" s="2"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5"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3"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6460b, 6465b, 6470b, 6475b, 6460, 6465, 6470, 6475, 8470B 8460P 8460W 8470W</v>
      </c>
      <c r="AK14" s="2" t="str">
        <f>IF(ISBLANK(Values!E13),"",Values!$B$25)</f>
        <v xml:space="preserve">♻️ PRODUIT ÉCOLOGIQUE - Achetez remis à neuf, ACHETEZ VERT! Réduisez plus de 80% de dioxyde de carbone en achetant nos claviers remis à neuf, par rapport à l'achat d'un nouveau clavier! </v>
      </c>
      <c r="AL14" s="2" t="str">
        <f>IF(ISBLANK(Values!E13),"",SUBSTITUTE(SUBSTITUTE(IF(Values!$J13, Values!$B$26, Values!$B$33), "{language}", Values!$H13), "{flag}", INDEX(options!$E$1:$E$20, Values!$V13)))</f>
        <v>👉  DISPOSITION - 🇺🇸 US non rétroéclairé.</v>
      </c>
      <c r="AM14" s="2" t="str">
        <f>SUBSTITUTE(IF(ISBLANK(Values!E13),"",Values!$B$27), "{model}", Values!$B$3)</f>
        <v xml:space="preserve">👉 COMPATIBLE AVEC - HP 6460b, 6465b, 6470b, 6475b, 6460, 6465, 6470, 6475, 8470B 8460P 8460W 8470W. Veuillez vérifier attentivement l'image et la description avant d'acheter un clavier. Cela garantit que vous obtenez le bon clavier d'ordinateur portable pour votre ordinateur. Installation super facile. </v>
      </c>
      <c r="AT14" s="28" t="str">
        <f>IF(ISBLANK(Values!E13),"",Values!H13)</f>
        <v>US</v>
      </c>
      <c r="AV14" s="2" t="str">
        <f>IF(ISBLANK(Values!E13),"",IF(Values!J13,"Backlit", "Non-Backlit"))</f>
        <v>Non-Backlit</v>
      </c>
      <c r="BE14" s="2" t="str">
        <f>IF(ISBLANK(Values!E13),"","Professional Audience")</f>
        <v>Professional Audience</v>
      </c>
      <c r="BF14" s="2" t="str">
        <f>IF(ISBLANK(Values!E13),"","Consumer Audience")</f>
        <v>Consumer Audience</v>
      </c>
      <c r="BG14" s="2" t="str">
        <f>IF(ISBLANK(Values!E13),"","Adults")</f>
        <v>Adults</v>
      </c>
      <c r="BH14" s="2"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2" t="str">
        <f>IF(ISBLANK(Values!E13), "", IF(AND(Values!$B$37=options!$G$2, Values!$C13), "AMAZON_NA", IF(AND(Values!$B$37=options!$G$1, Values!$D13), "AMAZON_EU", "DEFAULT")))</f>
        <v>DEFAULT</v>
      </c>
      <c r="CP14" s="2" t="str">
        <f>IF(ISBLANK(Values!E13),"",Values!$B$7)</f>
        <v>41</v>
      </c>
      <c r="CQ14" s="2" t="str">
        <f>IF(ISBLANK(Values!E13),"",Values!$B$8)</f>
        <v>17</v>
      </c>
      <c r="CR14" s="2"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Danemark</v>
      </c>
      <c r="CZ14" s="2" t="str">
        <f>IF(ISBLANK(Values!E13),"","No")</f>
        <v>No</v>
      </c>
      <c r="DA14" s="2" t="str">
        <f>IF(ISBLANK(Values!E13),"","No")</f>
        <v>No</v>
      </c>
      <c r="DO14" s="2" t="str">
        <f>IF(ISBLANK(Values!E13),"","Parts")</f>
        <v>Parts</v>
      </c>
      <c r="DP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2"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2" t="str">
        <f>IF(ISBLANK(Values!E13),"","Amazon Tellus UPS")</f>
        <v>Amazon Tellus UPS</v>
      </c>
      <c r="EV14" s="2" t="str">
        <f>IF(ISBLANK(Values!E13),"","New")</f>
        <v>New</v>
      </c>
      <c r="FE14" s="2">
        <f>IF(ISBLANK(Values!E13),"",IF(CO14&lt;&gt;"DEFAULT", "", 3))</f>
        <v>3</v>
      </c>
      <c r="FH14" s="2" t="str">
        <f>IF(ISBLANK(Values!E13),"","FALSE")</f>
        <v>FALSE</v>
      </c>
      <c r="FI14" s="2" t="str">
        <f>IF(ISBLANK(Values!E13),"","FALSE")</f>
        <v>FALSE</v>
      </c>
      <c r="FJ14" s="2" t="str">
        <f>IF(ISBLANK(Values!E13),"","FALSE")</f>
        <v>FALSE</v>
      </c>
      <c r="FM14" s="2" t="str">
        <f>IF(ISBLANK(Values!E13),"","1")</f>
        <v>1</v>
      </c>
      <c r="FO14" s="28">
        <f>IF(ISBLANK(Values!E13),"",IF(Values!J13, Values!$B$4, Values!$B$5))</f>
        <v>42.99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c r="GK14" s="63">
        <f>K14</f>
        <v>42.99</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3"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3"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3"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3"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3"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3"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3"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3"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4"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4"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4"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4"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4"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4"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4"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4"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4"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4"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4"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4"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4"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4"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4"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4"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4"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4"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4"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3"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3"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3"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3"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3"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3"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3"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3"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9 O10:U122 N10: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N6:U9 M6:M1048576 O10:U122 N10:N204">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N5:U9 O10:U122 N10:N204 M4:M204">
    <cfRule type="expression" dxfId="475" priority="1046">
      <formula>IF(VLOOKUP($M$3,#NAME?,MATCH($A4,#NAME?,0)+1,0)&gt;0,1,0)</formula>
    </cfRule>
  </conditionalFormatting>
  <conditionalFormatting sqref="N5:U9 O10:U122 N10:N204">
    <cfRule type="expression" dxfId="474" priority="1045">
      <formula>IF(LEN(N5)&gt;0,1,0)</formula>
    </cfRule>
  </conditionalFormatting>
  <conditionalFormatting sqref="O4 V5:V122 O7:O1048576 P123:V131">
    <cfRule type="expression" dxfId="47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2" priority="74">
      <formula>IF(VLOOKUP($O$3,#NAME?,MATCH($A4,#NAME?,0)+1,0)&gt;0,1,0)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1640625"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 xml:space="preserve">clavier de remplacement {language} rétroéclairé pour HP </v>
      </c>
      <c r="E1" s="62" t="s">
        <v>353</v>
      </c>
      <c r="F1" s="62"/>
      <c r="G1" s="62"/>
      <c r="H1" s="1"/>
      <c r="I1" s="1"/>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 xml:space="preserve">clavier de remplacement {language} non rétroéclairé pour HP </v>
      </c>
    </row>
    <row r="3" spans="1:22" ht="28" x14ac:dyDescent="0.15">
      <c r="A3" s="38" t="s">
        <v>355</v>
      </c>
      <c r="B3" s="37"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70" x14ac:dyDescent="0.15">
      <c r="A4" s="38" t="s">
        <v>371</v>
      </c>
      <c r="B4" s="40">
        <v>56.99</v>
      </c>
      <c r="C4" s="41" t="b">
        <f>FALSE()</f>
        <v>0</v>
      </c>
      <c r="D4" s="41" t="b">
        <f>TRUE()</f>
        <v>1</v>
      </c>
      <c r="E4" s="37">
        <v>5714401646006</v>
      </c>
      <c r="F4" s="37" t="s">
        <v>372</v>
      </c>
      <c r="G4" s="42"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43" t="b">
        <f>TRUE()</f>
        <v>1</v>
      </c>
      <c r="J4" s="44" t="b">
        <v>0</v>
      </c>
      <c r="K4" s="45" t="s">
        <v>374</v>
      </c>
      <c r="L4" s="46" t="b">
        <f>TRUE()</f>
        <v>1</v>
      </c>
      <c r="M4" s="47" t="str">
        <f t="shared" ref="M4:M35" si="0">IF(ISBLANK(K4),"",IF(L4, "https://raw.githubusercontent.com/PatrickVibild/TellusAmazonPictures/master/pictures/"&amp;K4&amp;"/1.jpg","https://download.HP.com/Images/Parts/"&amp;K4&amp;"/"&amp;K4&amp;"_A.jpg"))</f>
        <v>https://raw.githubusercontent.com/PatrickVibild/TellusAmazonPictures/master/pictures/HP/W. PS/6460 (SILVER FRAME)/RG/DE/1.jpg</v>
      </c>
      <c r="N4" s="47" t="str">
        <f t="shared" ref="N4:N35" si="1">IF(ISBLANK(K4),"",IF(L4, "https://raw.githubusercontent.com/PatrickVibild/TellusAmazonPictures/master/pictures/"&amp;K4&amp;"/2.jpg","https://download.HP.com/Images/Parts/"&amp;K4&amp;"/"&amp;K4&amp;"_B.jpg"))</f>
        <v>https://raw.githubusercontent.com/PatrickVibild/TellusAmazonPictures/master/pictures/HP/W. PS/6460 (SILVER FRAME)/RG/DE/2.jpg</v>
      </c>
      <c r="O4" s="48" t="str">
        <f t="shared" ref="O4:O35" si="2">IF(ISBLANK(K4),"",IF(L4, "https://raw.githubusercontent.com/PatrickVibild/TellusAmazonPictures/master/pictures/"&amp;K4&amp;"/3.jpg","https://download.HP.com/Images/Parts/"&amp;K4&amp;"/"&amp;K4&amp;"_details.jpg"))</f>
        <v>https://raw.githubusercontent.com/PatrickVibild/TellusAmazonPictures/master/pictures/HP/W. PS/6460 (SILVER FRAME)/RG/DE/3.jpg</v>
      </c>
      <c r="P4" t="str">
        <f t="shared" ref="P4:P35" si="3">IF(ISBLANK(K4),"",IF(L4, "https://raw.githubusercontent.com/PatrickVibild/TellusAmazonPictures/master/pictures/"&amp;K4&amp;"/4.jpg", ""))</f>
        <v>https://raw.githubusercontent.com/PatrickVibild/TellusAmazonPictures/master/pictures/HP/W. PS/6460 (SILVER FRAME)/RG/DE/4.jpg</v>
      </c>
      <c r="Q4" t="str">
        <f t="shared" ref="Q4:Q35" si="4">IF(ISBLANK(K4),"",IF(L4, "https://raw.githubusercontent.com/PatrickVibild/TellusAmazonPictures/master/pictures/"&amp;K4&amp;"/5.jpg", ""))</f>
        <v>https://raw.githubusercontent.com/PatrickVibild/TellusAmazonPictures/master/pictures/HP/W. PS/6460 (SILVER FRAME)/RG/DE/5.jpg</v>
      </c>
      <c r="R4" t="str">
        <f t="shared" ref="R4:R35" si="5">IF(ISBLANK(K4),"",IF(L4, "https://raw.githubusercontent.com/PatrickVibild/TellusAmazonPictures/master/pictures/"&amp;K4&amp;"/6.jpg", ""))</f>
        <v>https://raw.githubusercontent.com/PatrickVibild/TellusAmazonPictures/master/pictures/HP/W. PS/6460 (SILVER FRAME)/RG/DE/6.jpg</v>
      </c>
      <c r="S4" t="str">
        <f t="shared" ref="S4:S35" si="6">IF(ISBLANK(K4),"",IF(L4, "https://raw.githubusercontent.com/PatrickVibild/TellusAmazonPictures/master/pictures/"&amp;K4&amp;"/7.jpg", ""))</f>
        <v>https://raw.githubusercontent.com/PatrickVibild/TellusAmazonPictures/master/pictures/HP/W. PS/6460 (SILVER FRAME)/RG/DE/7.jpg</v>
      </c>
      <c r="T4" t="str">
        <f t="shared" ref="T4:T35" si="7">IF(ISBLANK(K4),"",IF(L4, "https://raw.githubusercontent.com/PatrickVibild/TellusAmazonPictures/master/pictures/"&amp;K4&amp;"/8.jpg",""))</f>
        <v>https://raw.githubusercontent.com/PatrickVibild/TellusAmazonPictures/master/pictures/HP/W. PS/6460 (SILVER FRAME)/RG/DE/8.jpg</v>
      </c>
      <c r="U4" t="str">
        <f t="shared" ref="U4:U35" si="8">IF(ISBLANK(K4),"",IF(L4, "https://raw.githubusercontent.com/PatrickVibild/TellusAmazonPictures/master/pictures/"&amp;K4&amp;"/9.jpg", ""))</f>
        <v>https://raw.githubusercontent.com/PatrickVibild/TellusAmazonPictures/master/pictures/HP/W. PS/6460 (SILVER FRAME)/RG/DE/9.jpg</v>
      </c>
      <c r="V4" s="42">
        <f>MATCH(G4,options!$D$1:$D$20,0)</f>
        <v>1</v>
      </c>
    </row>
    <row r="5" spans="1:22" ht="70" x14ac:dyDescent="0.15">
      <c r="A5" s="38" t="s">
        <v>375</v>
      </c>
      <c r="B5" s="40">
        <v>42.99</v>
      </c>
      <c r="C5" s="41" t="b">
        <f>FALSE()</f>
        <v>0</v>
      </c>
      <c r="D5" s="41" t="b">
        <f>TRUE()</f>
        <v>1</v>
      </c>
      <c r="E5" s="37">
        <v>5714401646013</v>
      </c>
      <c r="F5" s="37" t="s">
        <v>376</v>
      </c>
      <c r="G5" s="49"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43" t="b">
        <f>TRUE()</f>
        <v>1</v>
      </c>
      <c r="J5" s="44" t="b">
        <v>0</v>
      </c>
      <c r="K5" s="37" t="s">
        <v>378</v>
      </c>
      <c r="L5" s="46" t="b">
        <f>TRUE()</f>
        <v>1</v>
      </c>
      <c r="M5" s="47" t="str">
        <f t="shared" si="0"/>
        <v>https://raw.githubusercontent.com/PatrickVibild/TellusAmazonPictures/master/pictures/HP/W. PS/6460 (SILVER FRAME)/RG/FR/1.jpg</v>
      </c>
      <c r="N5" s="47" t="str">
        <f t="shared" si="1"/>
        <v>https://raw.githubusercontent.com/PatrickVibild/TellusAmazonPictures/master/pictures/HP/W. PS/6460 (SILVER FRAME)/RG/FR/2.jpg</v>
      </c>
      <c r="O5" s="48" t="str">
        <f t="shared" si="2"/>
        <v>https://raw.githubusercontent.com/PatrickVibild/TellusAmazonPictures/master/pictures/HP/W. PS/6460 (SILVER FRAME)/RG/FR/3.jpg</v>
      </c>
      <c r="P5" t="str">
        <f t="shared" si="3"/>
        <v>https://raw.githubusercontent.com/PatrickVibild/TellusAmazonPictures/master/pictures/HP/W. PS/6460 (SILVER FRAME)/RG/FR/4.jpg</v>
      </c>
      <c r="Q5" t="str">
        <f t="shared" si="4"/>
        <v>https://raw.githubusercontent.com/PatrickVibild/TellusAmazonPictures/master/pictures/HP/W. PS/6460 (SILVER FRAME)/RG/FR/5.jpg</v>
      </c>
      <c r="R5" t="str">
        <f t="shared" si="5"/>
        <v>https://raw.githubusercontent.com/PatrickVibild/TellusAmazonPictures/master/pictures/HP/W. PS/6460 (SILVER FRAME)/RG/FR/6.jpg</v>
      </c>
      <c r="S5" t="str">
        <f t="shared" si="6"/>
        <v>https://raw.githubusercontent.com/PatrickVibild/TellusAmazonPictures/master/pictures/HP/W. PS/6460 (SILVER FRAME)/RG/FR/7.jpg</v>
      </c>
      <c r="T5" t="str">
        <f t="shared" si="7"/>
        <v>https://raw.githubusercontent.com/PatrickVibild/TellusAmazonPictures/master/pictures/HP/W. PS/6460 (SILVER FRAME)/RG/FR/8.jpg</v>
      </c>
      <c r="U5" t="str">
        <f t="shared" si="8"/>
        <v>https://raw.githubusercontent.com/PatrickVibild/TellusAmazonPictures/master/pictures/HP/W. PS/6460 (SILVER FRAME)/RG/FR/9.jpg</v>
      </c>
      <c r="V5" s="42">
        <f>MATCH(G5,options!$D$1:$D$20,0)</f>
        <v>2</v>
      </c>
    </row>
    <row r="6" spans="1:22" ht="70" x14ac:dyDescent="0.15">
      <c r="A6" s="38" t="s">
        <v>379</v>
      </c>
      <c r="B6" s="50" t="s">
        <v>380</v>
      </c>
      <c r="C6" s="41" t="b">
        <f>FALSE()</f>
        <v>0</v>
      </c>
      <c r="D6" s="41" t="b">
        <f>TRUE()</f>
        <v>1</v>
      </c>
      <c r="E6" s="37">
        <v>5714401646020</v>
      </c>
      <c r="F6" s="37" t="s">
        <v>381</v>
      </c>
      <c r="G6" s="49"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43" t="b">
        <f>TRUE()</f>
        <v>1</v>
      </c>
      <c r="J6" s="44" t="b">
        <v>0</v>
      </c>
      <c r="K6" s="37" t="s">
        <v>383</v>
      </c>
      <c r="L6" s="46" t="b">
        <f>TRUE()</f>
        <v>1</v>
      </c>
      <c r="M6" s="51" t="str">
        <f t="shared" si="0"/>
        <v>https://raw.githubusercontent.com/PatrickVibild/TellusAmazonPictures/master/pictures/HP/W. PS/6460 (SILVER FRAME)/RG/IT/1.jpg</v>
      </c>
      <c r="N6" s="47" t="str">
        <f t="shared" si="1"/>
        <v>https://raw.githubusercontent.com/PatrickVibild/TellusAmazonPictures/master/pictures/HP/W. PS/6460 (SILVER FRAME)/RG/IT/2.jpg</v>
      </c>
      <c r="O6" s="48" t="str">
        <f t="shared" si="2"/>
        <v>https://raw.githubusercontent.com/PatrickVibild/TellusAmazonPictures/master/pictures/HP/W. PS/6460 (SILVER FRAME)/RG/IT/3.jpg</v>
      </c>
      <c r="P6" t="str">
        <f t="shared" si="3"/>
        <v>https://raw.githubusercontent.com/PatrickVibild/TellusAmazonPictures/master/pictures/HP/W. PS/6460 (SILVER FRAME)/RG/IT/4.jpg</v>
      </c>
      <c r="Q6" t="str">
        <f t="shared" si="4"/>
        <v>https://raw.githubusercontent.com/PatrickVibild/TellusAmazonPictures/master/pictures/HP/W. PS/6460 (SILVER FRAME)/RG/IT/5.jpg</v>
      </c>
      <c r="R6" t="str">
        <f t="shared" si="5"/>
        <v>https://raw.githubusercontent.com/PatrickVibild/TellusAmazonPictures/master/pictures/HP/W. PS/6460 (SILVER FRAME)/RG/IT/6.jpg</v>
      </c>
      <c r="S6" t="str">
        <f t="shared" si="6"/>
        <v>https://raw.githubusercontent.com/PatrickVibild/TellusAmazonPictures/master/pictures/HP/W. PS/6460 (SILVER FRAME)/RG/IT/7.jpg</v>
      </c>
      <c r="T6" t="str">
        <f t="shared" si="7"/>
        <v>https://raw.githubusercontent.com/PatrickVibild/TellusAmazonPictures/master/pictures/HP/W. PS/6460 (SILVER FRAME)/RG/IT/8.jpg</v>
      </c>
      <c r="U6" t="str">
        <f t="shared" si="8"/>
        <v>https://raw.githubusercontent.com/PatrickVibild/TellusAmazonPictures/master/pictures/HP/W. PS/6460 (SILVER FRAME)/RG/IT/9.jpg</v>
      </c>
      <c r="V6" s="42">
        <f>MATCH(G6,options!$D$1:$D$20,0)</f>
        <v>3</v>
      </c>
    </row>
    <row r="7" spans="1:22" ht="70" x14ac:dyDescent="0.15">
      <c r="A7" s="38" t="s">
        <v>384</v>
      </c>
      <c r="B7" s="52" t="str">
        <f>IF(B6=[2]options!C1,"32","41")</f>
        <v>41</v>
      </c>
      <c r="C7" s="41" t="b">
        <f>FALSE()</f>
        <v>0</v>
      </c>
      <c r="D7" s="41" t="b">
        <f>TRUE()</f>
        <v>1</v>
      </c>
      <c r="E7" s="37">
        <v>5714401646037</v>
      </c>
      <c r="F7" s="37" t="s">
        <v>385</v>
      </c>
      <c r="G7" s="49"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43" t="b">
        <f>TRUE()</f>
        <v>1</v>
      </c>
      <c r="J7" s="44" t="b">
        <v>0</v>
      </c>
      <c r="K7" s="37" t="s">
        <v>387</v>
      </c>
      <c r="L7" s="46" t="b">
        <f>TRUE()</f>
        <v>1</v>
      </c>
      <c r="M7" s="47" t="str">
        <f t="shared" si="0"/>
        <v>https://raw.githubusercontent.com/PatrickVibild/TellusAmazonPictures/master/pictures/HP/W. PS/6460 (SILVER FRAME)/RG/ES/1.jpg</v>
      </c>
      <c r="N7" s="47" t="str">
        <f t="shared" si="1"/>
        <v>https://raw.githubusercontent.com/PatrickVibild/TellusAmazonPictures/master/pictures/HP/W. PS/6460 (SILVER FRAME)/RG/ES/2.jpg</v>
      </c>
      <c r="O7" s="48" t="str">
        <f t="shared" si="2"/>
        <v>https://raw.githubusercontent.com/PatrickVibild/TellusAmazonPictures/master/pictures/HP/W. PS/6460 (SILVER FRAME)/RG/ES/3.jpg</v>
      </c>
      <c r="P7" t="str">
        <f t="shared" si="3"/>
        <v>https://raw.githubusercontent.com/PatrickVibild/TellusAmazonPictures/master/pictures/HP/W. PS/6460 (SILVER FRAME)/RG/ES/4.jpg</v>
      </c>
      <c r="Q7" t="str">
        <f t="shared" si="4"/>
        <v>https://raw.githubusercontent.com/PatrickVibild/TellusAmazonPictures/master/pictures/HP/W. PS/6460 (SILVER FRAME)/RG/ES/5.jpg</v>
      </c>
      <c r="R7" t="str">
        <f t="shared" si="5"/>
        <v>https://raw.githubusercontent.com/PatrickVibild/TellusAmazonPictures/master/pictures/HP/W. PS/6460 (SILVER FRAME)/RG/ES/6.jpg</v>
      </c>
      <c r="S7" t="str">
        <f t="shared" si="6"/>
        <v>https://raw.githubusercontent.com/PatrickVibild/TellusAmazonPictures/master/pictures/HP/W. PS/6460 (SILVER FRAME)/RG/ES/7.jpg</v>
      </c>
      <c r="T7" t="str">
        <f t="shared" si="7"/>
        <v>https://raw.githubusercontent.com/PatrickVibild/TellusAmazonPictures/master/pictures/HP/W. PS/6460 (SILVER FRAME)/RG/ES/8.jpg</v>
      </c>
      <c r="U7" t="str">
        <f t="shared" si="8"/>
        <v>https://raw.githubusercontent.com/PatrickVibild/TellusAmazonPictures/master/pictures/HP/W. PS/6460 (SILVER FRAME)/RG/ES/9.jpg</v>
      </c>
      <c r="V7" s="42">
        <f>MATCH(G7,options!$D$1:$D$20,0)</f>
        <v>4</v>
      </c>
    </row>
    <row r="8" spans="1:22" ht="70" x14ac:dyDescent="0.15">
      <c r="A8" s="38" t="s">
        <v>388</v>
      </c>
      <c r="B8" s="52" t="str">
        <f>IF(B6=[2]options!C1,"18","17")</f>
        <v>17</v>
      </c>
      <c r="C8" s="41" t="b">
        <f>FALSE()</f>
        <v>0</v>
      </c>
      <c r="D8" s="41" t="b">
        <f>TRUE()</f>
        <v>1</v>
      </c>
      <c r="E8" s="37">
        <v>5714401646044</v>
      </c>
      <c r="F8" s="37" t="s">
        <v>389</v>
      </c>
      <c r="G8" s="49"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3" t="b">
        <f>TRUE()</f>
        <v>1</v>
      </c>
      <c r="J8" s="44" t="b">
        <v>0</v>
      </c>
      <c r="K8" s="37" t="s">
        <v>391</v>
      </c>
      <c r="L8" s="46" t="b">
        <f>TRUE()</f>
        <v>1</v>
      </c>
      <c r="M8" s="47" t="str">
        <f t="shared" si="0"/>
        <v>https://raw.githubusercontent.com/PatrickVibild/TellusAmazonPictures/master/pictures/HP/W. PS/6460 (SILVER FRAME)/RG/UK/1.jpg</v>
      </c>
      <c r="N8" s="47" t="str">
        <f t="shared" si="1"/>
        <v>https://raw.githubusercontent.com/PatrickVibild/TellusAmazonPictures/master/pictures/HP/W. PS/6460 (SILVER FRAME)/RG/UK/2.jpg</v>
      </c>
      <c r="O8" s="48" t="str">
        <f t="shared" si="2"/>
        <v>https://raw.githubusercontent.com/PatrickVibild/TellusAmazonPictures/master/pictures/HP/W. PS/6460 (SILVER FRAME)/RG/UK/3.jpg</v>
      </c>
      <c r="P8" t="str">
        <f t="shared" si="3"/>
        <v>https://raw.githubusercontent.com/PatrickVibild/TellusAmazonPictures/master/pictures/HP/W. PS/6460 (SILVER FRAME)/RG/UK/4.jpg</v>
      </c>
      <c r="Q8" t="str">
        <f t="shared" si="4"/>
        <v>https://raw.githubusercontent.com/PatrickVibild/TellusAmazonPictures/master/pictures/HP/W. PS/6460 (SILVER FRAME)/RG/UK/5.jpg</v>
      </c>
      <c r="R8" t="str">
        <f t="shared" si="5"/>
        <v>https://raw.githubusercontent.com/PatrickVibild/TellusAmazonPictures/master/pictures/HP/W. PS/6460 (SILVER FRAME)/RG/UK/6.jpg</v>
      </c>
      <c r="S8" t="str">
        <f t="shared" si="6"/>
        <v>https://raw.githubusercontent.com/PatrickVibild/TellusAmazonPictures/master/pictures/HP/W. PS/6460 (SILVER FRAME)/RG/UK/7.jpg</v>
      </c>
      <c r="T8" t="str">
        <f t="shared" si="7"/>
        <v>https://raw.githubusercontent.com/PatrickVibild/TellusAmazonPictures/master/pictures/HP/W. PS/6460 (SILVER FRAME)/RG/UK/8.jpg</v>
      </c>
      <c r="U8" t="str">
        <f t="shared" si="8"/>
        <v>https://raw.githubusercontent.com/PatrickVibild/TellusAmazonPictures/master/pictures/HP/W. PS/6460 (SILVER FRAME)/RG/UK/9.jpg</v>
      </c>
      <c r="V8" s="42">
        <f>MATCH(G8,options!$D$1:$D$20,0)</f>
        <v>5</v>
      </c>
    </row>
    <row r="9" spans="1:22" ht="70" x14ac:dyDescent="0.15">
      <c r="A9" s="38" t="s">
        <v>392</v>
      </c>
      <c r="B9" s="52" t="str">
        <f>IF(B6=[2]options!C1,"2","5")</f>
        <v>5</v>
      </c>
      <c r="C9" s="41" t="b">
        <f>FALSE()</f>
        <v>0</v>
      </c>
      <c r="D9" s="41" t="b">
        <f>FALSE()</f>
        <v>0</v>
      </c>
      <c r="E9" s="37">
        <v>5714401646051</v>
      </c>
      <c r="F9" s="37" t="s">
        <v>393</v>
      </c>
      <c r="G9" s="49"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43" t="b">
        <f>TRUE()</f>
        <v>1</v>
      </c>
      <c r="J9" s="44" t="b">
        <v>0</v>
      </c>
      <c r="K9" s="37" t="s">
        <v>395</v>
      </c>
      <c r="L9" s="46" t="b">
        <f>TRUE()</f>
        <v>1</v>
      </c>
      <c r="M9" s="47" t="str">
        <f t="shared" si="0"/>
        <v>https://raw.githubusercontent.com/PatrickVibild/TellusAmazonPictures/master/pictures/HP/W. PS/6460 (SILVER FRAME)/RG/NOR/1.jpg</v>
      </c>
      <c r="N9" s="47" t="str">
        <f t="shared" si="1"/>
        <v>https://raw.githubusercontent.com/PatrickVibild/TellusAmazonPictures/master/pictures/HP/W. PS/6460 (SILVER FRAME)/RG/NOR/2.jpg</v>
      </c>
      <c r="O9" s="48" t="str">
        <f t="shared" si="2"/>
        <v>https://raw.githubusercontent.com/PatrickVibild/TellusAmazonPictures/master/pictures/HP/W. PS/6460 (SILVER FRAME)/RG/NOR/3.jpg</v>
      </c>
      <c r="P9" t="str">
        <f t="shared" si="3"/>
        <v>https://raw.githubusercontent.com/PatrickVibild/TellusAmazonPictures/master/pictures/HP/W. PS/6460 (SILVER FRAME)/RG/NOR/4.jpg</v>
      </c>
      <c r="Q9" t="str">
        <f t="shared" si="4"/>
        <v>https://raw.githubusercontent.com/PatrickVibild/TellusAmazonPictures/master/pictures/HP/W. PS/6460 (SILVER FRAME)/RG/NOR/5.jpg</v>
      </c>
      <c r="R9" t="str">
        <f t="shared" si="5"/>
        <v>https://raw.githubusercontent.com/PatrickVibild/TellusAmazonPictures/master/pictures/HP/W. PS/6460 (SILVER FRAME)/RG/NOR/6.jpg</v>
      </c>
      <c r="S9" t="str">
        <f t="shared" si="6"/>
        <v>https://raw.githubusercontent.com/PatrickVibild/TellusAmazonPictures/master/pictures/HP/W. PS/6460 (SILVER FRAME)/RG/NOR/7.jpg</v>
      </c>
      <c r="T9" t="str">
        <f t="shared" si="7"/>
        <v>https://raw.githubusercontent.com/PatrickVibild/TellusAmazonPictures/master/pictures/HP/W. PS/6460 (SILVER FRAME)/RG/NOR/8.jpg</v>
      </c>
      <c r="U9" t="str">
        <f t="shared" si="8"/>
        <v>https://raw.githubusercontent.com/PatrickVibild/TellusAmazonPictures/master/pictures/HP/W. PS/6460 (SILVER FRAME)/RG/NOR/9.jpg</v>
      </c>
      <c r="V9" s="42">
        <f>MATCH(G9,options!$D$1:$D$20,0)</f>
        <v>6</v>
      </c>
    </row>
    <row r="10" spans="1:22" ht="70" x14ac:dyDescent="0.15">
      <c r="A10" t="s">
        <v>396</v>
      </c>
      <c r="B10" s="45"/>
      <c r="C10" s="41" t="b">
        <f>FALSE()</f>
        <v>0</v>
      </c>
      <c r="D10" s="41" t="b">
        <f>FALSE()</f>
        <v>0</v>
      </c>
      <c r="E10" s="37">
        <v>5714401646068</v>
      </c>
      <c r="F10" s="37" t="s">
        <v>397</v>
      </c>
      <c r="G10" s="49"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43" t="b">
        <f>TRUE()</f>
        <v>1</v>
      </c>
      <c r="J10" s="44" t="b">
        <v>0</v>
      </c>
      <c r="K10" s="37" t="s">
        <v>399</v>
      </c>
      <c r="L10" s="46" t="b">
        <f>TRUE()</f>
        <v>1</v>
      </c>
      <c r="M10" s="47" t="str">
        <f t="shared" si="0"/>
        <v>https://raw.githubusercontent.com/PatrickVibild/TellusAmazonPictures/master/pictures/HP/W. PS/6460 (SILVER FRAME)/RG/BE/1.jpg</v>
      </c>
      <c r="N10" s="47" t="str">
        <f t="shared" si="1"/>
        <v>https://raw.githubusercontent.com/PatrickVibild/TellusAmazonPictures/master/pictures/HP/W. PS/6460 (SILVER FRAME)/RG/BE/2.jpg</v>
      </c>
      <c r="O10" s="48" t="str">
        <f t="shared" si="2"/>
        <v>https://raw.githubusercontent.com/PatrickVibild/TellusAmazonPictures/master/pictures/HP/W. PS/6460 (SILVER FRAME)/RG/BE/3.jpg</v>
      </c>
      <c r="P10" t="str">
        <f t="shared" si="3"/>
        <v>https://raw.githubusercontent.com/PatrickVibild/TellusAmazonPictures/master/pictures/HP/W. PS/6460 (SILVER FRAME)/RG/BE/4.jpg</v>
      </c>
      <c r="Q10" t="str">
        <f t="shared" si="4"/>
        <v>https://raw.githubusercontent.com/PatrickVibild/TellusAmazonPictures/master/pictures/HP/W. PS/6460 (SILVER FRAME)/RG/BE/5.jpg</v>
      </c>
      <c r="R10" t="str">
        <f t="shared" si="5"/>
        <v>https://raw.githubusercontent.com/PatrickVibild/TellusAmazonPictures/master/pictures/HP/W. PS/6460 (SILVER FRAME)/RG/BE/6.jpg</v>
      </c>
      <c r="S10" t="str">
        <f t="shared" si="6"/>
        <v>https://raw.githubusercontent.com/PatrickVibild/TellusAmazonPictures/master/pictures/HP/W. PS/6460 (SILVER FRAME)/RG/BE/7.jpg</v>
      </c>
      <c r="T10" t="str">
        <f t="shared" si="7"/>
        <v>https://raw.githubusercontent.com/PatrickVibild/TellusAmazonPictures/master/pictures/HP/W. PS/6460 (SILVER FRAME)/RG/BE/8.jpg</v>
      </c>
      <c r="U10" t="str">
        <f t="shared" si="8"/>
        <v>https://raw.githubusercontent.com/PatrickVibild/TellusAmazonPictures/master/pictures/HP/W. PS/6460 (SILVER FRAME)/RG/BE/9.jpg</v>
      </c>
      <c r="V10" s="42">
        <f>MATCH(G10,options!$D$1:$D$20,0)</f>
        <v>7</v>
      </c>
    </row>
    <row r="11" spans="1:22" ht="70" x14ac:dyDescent="0.15">
      <c r="A11" s="38" t="s">
        <v>400</v>
      </c>
      <c r="B11" s="53">
        <v>150</v>
      </c>
      <c r="C11" s="41" t="b">
        <v>0</v>
      </c>
      <c r="D11" s="41" t="b">
        <f>FALSE()</f>
        <v>0</v>
      </c>
      <c r="E11" s="37">
        <v>5714401646075</v>
      </c>
      <c r="F11" s="37" t="s">
        <v>401</v>
      </c>
      <c r="G11" s="49"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Suisse</v>
      </c>
      <c r="I11" s="43" t="b">
        <f>TRUE()</f>
        <v>1</v>
      </c>
      <c r="J11" s="44" t="b">
        <v>0</v>
      </c>
      <c r="K11" s="37" t="s">
        <v>403</v>
      </c>
      <c r="L11" s="46" t="b">
        <f>TRUE()</f>
        <v>1</v>
      </c>
      <c r="M11" s="47" t="str">
        <f t="shared" si="0"/>
        <v>https://raw.githubusercontent.com/PatrickVibild/TellusAmazonPictures/master/pictures/HP/W. PS/6460 (SILVER FRAME)/RG/CH/1.jpg</v>
      </c>
      <c r="N11" s="47" t="str">
        <f t="shared" si="1"/>
        <v>https://raw.githubusercontent.com/PatrickVibild/TellusAmazonPictures/master/pictures/HP/W. PS/6460 (SILVER FRAME)/RG/CH/2.jpg</v>
      </c>
      <c r="O11" s="48" t="str">
        <f t="shared" si="2"/>
        <v>https://raw.githubusercontent.com/PatrickVibild/TellusAmazonPictures/master/pictures/HP/W. PS/6460 (SILVER FRAME)/RG/CH/3.jpg</v>
      </c>
      <c r="P11" t="str">
        <f t="shared" si="3"/>
        <v>https://raw.githubusercontent.com/PatrickVibild/TellusAmazonPictures/master/pictures/HP/W. PS/6460 (SILVER FRAME)/RG/CH/4.jpg</v>
      </c>
      <c r="Q11" t="str">
        <f t="shared" si="4"/>
        <v>https://raw.githubusercontent.com/PatrickVibild/TellusAmazonPictures/master/pictures/HP/W. PS/6460 (SILVER FRAME)/RG/CH/5.jpg</v>
      </c>
      <c r="R11" t="str">
        <f t="shared" si="5"/>
        <v>https://raw.githubusercontent.com/PatrickVibild/TellusAmazonPictures/master/pictures/HP/W. PS/6460 (SILVER FRAME)/RG/CH/6.jpg</v>
      </c>
      <c r="S11" t="str">
        <f t="shared" si="6"/>
        <v>https://raw.githubusercontent.com/PatrickVibild/TellusAmazonPictures/master/pictures/HP/W. PS/6460 (SILVER FRAME)/RG/CH/7.jpg</v>
      </c>
      <c r="T11" t="str">
        <f t="shared" si="7"/>
        <v>https://raw.githubusercontent.com/PatrickVibild/TellusAmazonPictures/master/pictures/HP/W. PS/6460 (SILVER FRAME)/RG/CH/8.jpg</v>
      </c>
      <c r="U11" t="str">
        <f t="shared" si="8"/>
        <v>https://raw.githubusercontent.com/PatrickVibild/TellusAmazonPictures/master/pictures/HP/W. PS/6460 (SILVER FRAME)/RG/CH/9.jpg</v>
      </c>
      <c r="V11" s="42">
        <f>MATCH(G11,options!$D$1:$D$20,0)</f>
        <v>15</v>
      </c>
    </row>
    <row r="12" spans="1:22" ht="70" x14ac:dyDescent="0.15">
      <c r="B12" s="45"/>
      <c r="C12" s="41" t="b">
        <v>0</v>
      </c>
      <c r="D12" s="41" t="b">
        <f>FALSE()</f>
        <v>0</v>
      </c>
      <c r="E12" s="37">
        <v>5714401646082</v>
      </c>
      <c r="F12" s="37" t="s">
        <v>404</v>
      </c>
      <c r="G12" s="49" t="s">
        <v>405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43" t="b">
        <f>TRUE()</f>
        <v>1</v>
      </c>
      <c r="J12" s="44" t="b">
        <v>0</v>
      </c>
      <c r="K12" s="37" t="s">
        <v>406</v>
      </c>
      <c r="L12" s="46" t="b">
        <f>TRUE()</f>
        <v>1</v>
      </c>
      <c r="M12" s="47" t="str">
        <f t="shared" si="0"/>
        <v>https://raw.githubusercontent.com/PatrickVibild/TellusAmazonPictures/master/pictures/HP/W. PS/6460 (SILVER FRAME)/RG/USI/1.jpg</v>
      </c>
      <c r="N12" s="47" t="str">
        <f t="shared" si="1"/>
        <v>https://raw.githubusercontent.com/PatrickVibild/TellusAmazonPictures/master/pictures/HP/W. PS/6460 (SILVER FRAME)/RG/USI/2.jpg</v>
      </c>
      <c r="O12" s="48" t="str">
        <f t="shared" si="2"/>
        <v>https://raw.githubusercontent.com/PatrickVibild/TellusAmazonPictures/master/pictures/HP/W. PS/6460 (SILVER FRAME)/RG/USI/3.jpg</v>
      </c>
      <c r="P12" t="str">
        <f t="shared" si="3"/>
        <v>https://raw.githubusercontent.com/PatrickVibild/TellusAmazonPictures/master/pictures/HP/W. PS/6460 (SILVER FRAME)/RG/USI/4.jpg</v>
      </c>
      <c r="Q12" t="str">
        <f t="shared" si="4"/>
        <v>https://raw.githubusercontent.com/PatrickVibild/TellusAmazonPictures/master/pictures/HP/W. PS/6460 (SILVER FRAME)/RG/USI/5.jpg</v>
      </c>
      <c r="R12" t="str">
        <f t="shared" si="5"/>
        <v>https://raw.githubusercontent.com/PatrickVibild/TellusAmazonPictures/master/pictures/HP/W. PS/6460 (SILVER FRAME)/RG/USI/6.jpg</v>
      </c>
      <c r="S12" t="str">
        <f t="shared" si="6"/>
        <v>https://raw.githubusercontent.com/PatrickVibild/TellusAmazonPictures/master/pictures/HP/W. PS/6460 (SILVER FRAME)/RG/USI/7.jpg</v>
      </c>
      <c r="T12" t="str">
        <f t="shared" si="7"/>
        <v>https://raw.githubusercontent.com/PatrickVibild/TellusAmazonPictures/master/pictures/HP/W. PS/6460 (SILVER FRAME)/RG/USI/8.jpg</v>
      </c>
      <c r="U12" t="str">
        <f t="shared" si="8"/>
        <v>https://raw.githubusercontent.com/PatrickVibild/TellusAmazonPictures/master/pictures/HP/W. PS/6460 (SILVER FRAME)/RG/USI/9.jpg</v>
      </c>
      <c r="V12" s="42">
        <f>MATCH(G12,options!$D$1:$D$20,0)</f>
        <v>16</v>
      </c>
    </row>
    <row r="13" spans="1:22" ht="70" x14ac:dyDescent="0.15">
      <c r="A13" s="38" t="s">
        <v>407</v>
      </c>
      <c r="B13" s="37" t="s">
        <v>408</v>
      </c>
      <c r="C13" s="41" t="b">
        <v>1</v>
      </c>
      <c r="D13" s="41" t="b">
        <f>FALSE()</f>
        <v>0</v>
      </c>
      <c r="E13" s="37">
        <v>5714401646099</v>
      </c>
      <c r="F13" s="37" t="s">
        <v>409</v>
      </c>
      <c r="G13" s="49" t="s">
        <v>410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43" t="b">
        <f>TRUE()</f>
        <v>1</v>
      </c>
      <c r="J13" s="44" t="b">
        <v>0</v>
      </c>
      <c r="K13" s="37" t="s">
        <v>411</v>
      </c>
      <c r="L13" s="46" t="b">
        <f>TRUE()</f>
        <v>1</v>
      </c>
      <c r="M13" s="47" t="str">
        <f t="shared" si="0"/>
        <v>https://raw.githubusercontent.com/PatrickVibild/TellusAmazonPictures/master/pictures/HP/W. PS/6460 (SILVER FRAME)/RG/US/1.jpg</v>
      </c>
      <c r="N13" s="47" t="str">
        <f t="shared" si="1"/>
        <v>https://raw.githubusercontent.com/PatrickVibild/TellusAmazonPictures/master/pictures/HP/W. PS/6460 (SILVER FRAME)/RG/US/2.jpg</v>
      </c>
      <c r="O13" s="48" t="str">
        <f t="shared" si="2"/>
        <v>https://raw.githubusercontent.com/PatrickVibild/TellusAmazonPictures/master/pictures/HP/W. PS/6460 (SILVER FRAME)/RG/US/3.jpg</v>
      </c>
      <c r="P13" t="str">
        <f t="shared" si="3"/>
        <v>https://raw.githubusercontent.com/PatrickVibild/TellusAmazonPictures/master/pictures/HP/W. PS/6460 (SILVER FRAME)/RG/US/4.jpg</v>
      </c>
      <c r="Q13" t="str">
        <f t="shared" si="4"/>
        <v>https://raw.githubusercontent.com/PatrickVibild/TellusAmazonPictures/master/pictures/HP/W. PS/6460 (SILVER FRAME)/RG/US/5.jpg</v>
      </c>
      <c r="R13" t="str">
        <f t="shared" si="5"/>
        <v>https://raw.githubusercontent.com/PatrickVibild/TellusAmazonPictures/master/pictures/HP/W. PS/6460 (SILVER FRAME)/RG/US/6.jpg</v>
      </c>
      <c r="S13" t="str">
        <f t="shared" si="6"/>
        <v>https://raw.githubusercontent.com/PatrickVibild/TellusAmazonPictures/master/pictures/HP/W. PS/6460 (SILVER FRAME)/RG/US/7.jpg</v>
      </c>
      <c r="T13" t="str">
        <f t="shared" si="7"/>
        <v>https://raw.githubusercontent.com/PatrickVibild/TellusAmazonPictures/master/pictures/HP/W. PS/6460 (SILVER FRAME)/RG/US/8.jpg</v>
      </c>
      <c r="U13" t="str">
        <f t="shared" si="8"/>
        <v>https://raw.githubusercontent.com/PatrickVibild/TellusAmazonPictures/master/pictures/HP/W. PS/6460 (SILVER FRAME)/RG/US/9.jpg</v>
      </c>
      <c r="V13" s="42">
        <f>MATCH(G13,options!$D$1:$D$20,0)</f>
        <v>18</v>
      </c>
    </row>
    <row r="14" spans="1:22" x14ac:dyDescent="0.15">
      <c r="A14" s="38" t="s">
        <v>412</v>
      </c>
      <c r="B14" s="37">
        <v>5714401646990</v>
      </c>
      <c r="C14" s="41"/>
      <c r="D14" s="41"/>
      <c r="E14" s="37"/>
      <c r="F14" s="37"/>
      <c r="G14" s="49" t="s">
        <v>373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Allemand</v>
      </c>
      <c r="I14" s="43" t="b">
        <f>TRUE()</f>
        <v>1</v>
      </c>
      <c r="J14" s="44" t="b">
        <v>1</v>
      </c>
      <c r="K14" s="37"/>
      <c r="L14" s="46" t="b">
        <f>FALSE()</f>
        <v>0</v>
      </c>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2">
        <f>MATCH(G14,options!$D$1:$D$20,0)</f>
        <v>1</v>
      </c>
    </row>
    <row r="15" spans="1:22" x14ac:dyDescent="0.15">
      <c r="B15" s="45"/>
      <c r="C15" s="41"/>
      <c r="D15" s="41"/>
      <c r="E15" s="37"/>
      <c r="F15" s="37"/>
      <c r="G15" s="49" t="s">
        <v>377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Français</v>
      </c>
      <c r="I15" s="43" t="b">
        <f>TRUE()</f>
        <v>1</v>
      </c>
      <c r="J15" s="44" t="b">
        <v>1</v>
      </c>
      <c r="K15" s="37"/>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2">
        <f>MATCH(G15,options!$D$1:$D$20,0)</f>
        <v>2</v>
      </c>
    </row>
    <row r="16" spans="1:22" ht="14" x14ac:dyDescent="0.15">
      <c r="A16" s="38" t="s">
        <v>413</v>
      </c>
      <c r="B16" s="39" t="s">
        <v>612</v>
      </c>
      <c r="C16" s="41"/>
      <c r="D16" s="41"/>
      <c r="E16" s="37"/>
      <c r="F16" s="37"/>
      <c r="G16" s="49" t="s">
        <v>382</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v>
      </c>
      <c r="I16" s="43" t="b">
        <f>TRUE()</f>
        <v>1</v>
      </c>
      <c r="J16" s="44" t="b">
        <v>1</v>
      </c>
      <c r="K16" s="37"/>
      <c r="L16" s="46" t="b">
        <f>FALSE()</f>
        <v>0</v>
      </c>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2">
        <f>MATCH(G16,options!$D$1:$D$20,0)</f>
        <v>3</v>
      </c>
    </row>
    <row r="17" spans="1:22" x14ac:dyDescent="0.15">
      <c r="B17" s="45"/>
      <c r="C17" s="41"/>
      <c r="D17" s="41"/>
      <c r="E17" s="37"/>
      <c r="F17" s="37"/>
      <c r="G17" s="49" t="s">
        <v>386</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Espagnol</v>
      </c>
      <c r="I17" s="43" t="b">
        <f>TRUE()</f>
        <v>1</v>
      </c>
      <c r="J17" s="44" t="b">
        <v>1</v>
      </c>
      <c r="K17" s="37"/>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2">
        <f>MATCH(G17,options!$D$1:$D$20,0)</f>
        <v>4</v>
      </c>
    </row>
    <row r="18" spans="1:22" x14ac:dyDescent="0.15">
      <c r="A18" s="38" t="s">
        <v>414</v>
      </c>
      <c r="B18" s="53">
        <v>5</v>
      </c>
      <c r="C18" s="41"/>
      <c r="D18" s="41"/>
      <c r="E18" s="37"/>
      <c r="F18" s="37"/>
      <c r="G18" s="49"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43" t="b">
        <f>TRUE()</f>
        <v>1</v>
      </c>
      <c r="J18" s="44" t="b">
        <v>1</v>
      </c>
      <c r="K18" s="37"/>
      <c r="L18" s="46" t="b">
        <f>FALSE()</f>
        <v>0</v>
      </c>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2">
        <f>MATCH(G18,options!$D$1:$D$20,0)</f>
        <v>5</v>
      </c>
    </row>
    <row r="19" spans="1:22" x14ac:dyDescent="0.15">
      <c r="B19" s="45"/>
      <c r="C19" s="41"/>
      <c r="D19" s="41"/>
      <c r="E19" s="37"/>
      <c r="F19" s="37"/>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Scandinave - nordique</v>
      </c>
      <c r="I19" s="43" t="b">
        <f>TRUE()</f>
        <v>1</v>
      </c>
      <c r="J19" s="44" t="b">
        <v>1</v>
      </c>
      <c r="K19" s="37"/>
      <c r="L19" s="46" t="b">
        <f>FALSE()</f>
        <v>0</v>
      </c>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2">
        <f>MATCH(G19,options!$D$1:$D$20,0)</f>
        <v>6</v>
      </c>
    </row>
    <row r="20" spans="1:22" ht="14" x14ac:dyDescent="0.15">
      <c r="A20" s="38" t="s">
        <v>415</v>
      </c>
      <c r="B20" s="54" t="s">
        <v>416</v>
      </c>
      <c r="C20" s="41"/>
      <c r="D20" s="41"/>
      <c r="E20" s="37"/>
      <c r="F20" s="37"/>
      <c r="G20" s="49"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Belge</v>
      </c>
      <c r="I20" s="43" t="b">
        <f>TRUE()</f>
        <v>1</v>
      </c>
      <c r="J20" s="44" t="b">
        <v>1</v>
      </c>
      <c r="K20" s="37"/>
      <c r="L20" s="46" t="b">
        <f>FALSE()</f>
        <v>0</v>
      </c>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2">
        <f>MATCH(G20,options!$D$1:$D$20,0)</f>
        <v>7</v>
      </c>
    </row>
    <row r="21" spans="1:22" x14ac:dyDescent="0.15">
      <c r="B21" s="45"/>
      <c r="C21" s="41"/>
      <c r="D21" s="41"/>
      <c r="E21" s="37"/>
      <c r="F21" s="37"/>
      <c r="G21" s="49"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Suisse</v>
      </c>
      <c r="I21" s="43" t="b">
        <f>TRUE()</f>
        <v>1</v>
      </c>
      <c r="J21" s="44" t="b">
        <v>1</v>
      </c>
      <c r="K21" s="37"/>
      <c r="L21" s="46" t="b">
        <f>TRUE()</f>
        <v>1</v>
      </c>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2">
        <f>MATCH(G21,options!$D$1:$D$20,0)</f>
        <v>15</v>
      </c>
    </row>
    <row r="22" spans="1:22" x14ac:dyDescent="0.15">
      <c r="B22" s="45"/>
      <c r="C22" s="41"/>
      <c r="D22" s="41"/>
      <c r="E22" s="37"/>
      <c r="F22" s="37"/>
      <c r="G22" s="49"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43" t="b">
        <f>TRUE()</f>
        <v>1</v>
      </c>
      <c r="J22" s="44" t="b">
        <v>1</v>
      </c>
      <c r="K22" s="37"/>
      <c r="L22" s="46" t="b">
        <f>TRUE()</f>
        <v>1</v>
      </c>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2">
        <f>MATCH(G22,options!$D$1:$D$20,0)</f>
        <v>16</v>
      </c>
    </row>
    <row r="23" spans="1:22" ht="56" x14ac:dyDescent="0.15">
      <c r="A23" s="38" t="s">
        <v>417</v>
      </c>
      <c r="B23" s="39" t="str">
        <f>IF(Values!$B$36=English!$B$2,English!B3, IF(Values!$B$36=German!$B$2,German!B3, IF(Values!$B$36=Italian!$B$2,Italian!B3, IF(Values!$B$36=Spanish!$B$2, Spanish!B3, IF(Values!$B$36=French!$B$2, French!B3, IF(Values!$B$36=Dutch!$B$2,Dutch!B3, IF(Values!$B$36=English!$D$32, English!B14,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1"/>
      <c r="D23" s="41"/>
      <c r="E23" s="37"/>
      <c r="F23" s="37"/>
      <c r="G23" s="49" t="s">
        <v>410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3" t="b">
        <f>TRUE()</f>
        <v>1</v>
      </c>
      <c r="J23" s="44" t="b">
        <v>1</v>
      </c>
      <c r="K23" s="37"/>
      <c r="L23" s="46" t="b">
        <f>FALSE()</f>
        <v>0</v>
      </c>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8" t="s">
        <v>418</v>
      </c>
      <c r="B24" s="39" t="str">
        <f>IF(Values!$B$36=English!$B$2,English!B4, IF(Values!$B$36=German!$B$2,German!B4, IF(Values!$B$36=Italian!$B$2,Italian!B4, IF(Values!$B$36=Spanish!$B$2, Spanish!B4, IF(Values!$B$36=French!$B$2, French!B4, IF(Values!$B$36=Dutch!$B$2,Dutch!B4, IF(Values!$B$36=English!$D$32, English!D34,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c r="D24" s="41"/>
      <c r="E24" s="55"/>
      <c r="F24" s="37"/>
      <c r="G24" s="49" t="s">
        <v>377</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Français</v>
      </c>
      <c r="I24" s="43" t="b">
        <f>TRUE()</f>
        <v>1</v>
      </c>
      <c r="J24" s="44" t="b">
        <f>FALSE()</f>
        <v>0</v>
      </c>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2">
        <f>MATCH(G24,options!$D$1:$D$20,0)</f>
        <v>2</v>
      </c>
    </row>
    <row r="25" spans="1:22" ht="42" x14ac:dyDescent="0.15">
      <c r="A25" s="38" t="s">
        <v>419</v>
      </c>
      <c r="B25" s="39" t="str">
        <f>IF(Values!$B$36=English!$B$2,English!B5, IF(Values!$B$36=German!$B$2,German!B5, IF(Values!$B$36=Italian!$B$2,Italian!B5, IF(Values!$B$36=Spanish!$B$2, Spanish!B5, IF(Values!$B$36=French!$B$2, French!B5, IF(Values!$B$36=Dutch!$B$2,Dutch!B5, IF(Values!$B$36=English!$D$32, English!D35, 0)))))))</f>
        <v xml:space="preserve">♻️ PRODUIT ÉCOLOGIQUE - Achetez remis à neuf, ACHETEZ VERT! Réduisez plus de 80% de dioxyde de carbone en achetant nos claviers remis à neuf, par rapport à l'achat d'un nouveau clavier! </v>
      </c>
      <c r="C25" s="41"/>
      <c r="D25" s="41"/>
      <c r="E25" s="55"/>
      <c r="F25" s="37"/>
      <c r="G25" s="49" t="s">
        <v>382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v>
      </c>
      <c r="I25" s="43" t="b">
        <f>TRUE()</f>
        <v>1</v>
      </c>
      <c r="J25" s="44" t="b">
        <f>FALSE()</f>
        <v>0</v>
      </c>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2">
        <f>MATCH(G25,options!$D$1:$D$20,0)</f>
        <v>3</v>
      </c>
    </row>
    <row r="26" spans="1:22" ht="14" x14ac:dyDescent="0.15">
      <c r="A26" s="38" t="s">
        <v>420</v>
      </c>
      <c r="B26" s="39" t="str">
        <f>IF(Values!$B$36=English!$B$2,English!B6, IF(Values!$B$36=German!$B$2,German!B6, IF(Values!$B$36=Italian!$B$2,Italian!B6, IF(Values!$B$36=Spanish!$B$2, Spanish!B6, IF(Values!$B$36=French!$B$2, French!B6, IF(Values!$B$36=Dutch!$B$2,Dutch!B6, IF(Values!$B$36=English!$D$32, English!D36, 0)))))))</f>
        <v>👉  DISPOSITION - {flag} {language} rétroéclairé.</v>
      </c>
      <c r="C26" s="41"/>
      <c r="D26" s="41"/>
      <c r="E26" s="55"/>
      <c r="F26" s="37"/>
      <c r="G26" s="49" t="s">
        <v>386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Espagnol</v>
      </c>
      <c r="I26" s="43" t="b">
        <f>TRUE()</f>
        <v>1</v>
      </c>
      <c r="J26" s="44" t="b">
        <f>FALSE()</f>
        <v>0</v>
      </c>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2">
        <f>MATCH(G26,options!$D$1:$D$20,0)</f>
        <v>4</v>
      </c>
    </row>
    <row r="27" spans="1:22" ht="56" x14ac:dyDescent="0.15">
      <c r="A27" s="38" t="s">
        <v>419</v>
      </c>
      <c r="B27" s="39" t="str">
        <f>IF(Values!$B$36=English!$B$2,English!B7, IF(Values!$B$36=German!$B$2,German!B7, IF(Values!$B$36=Italian!$B$2,Italian!B7, IF(Values!$B$36=Spanish!$B$2, Spanish!B7, IF(Values!$B$36=French!$B$2, French!B7, IF(Values!$B$36=Dutch!$B$2,Dutch!B7, IF(Values!$B$36=English!$D$32, English!D37, 0)))))))</f>
        <v xml:space="preserve">👉 COMPATIBLE AVEC - HP {model}. Veuillez vérifier attentivement l'image et la description avant d'acheter un clavier. Cela garantit que vous obtenez le bon clavier d'ordinateur portable pour votre ordinateur. Installation super facile. </v>
      </c>
      <c r="C27" s="41"/>
      <c r="D27" s="41"/>
      <c r="E27" s="55"/>
      <c r="F27" s="37"/>
      <c r="G27" s="49" t="s">
        <v>390</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43" t="b">
        <f>TRUE()</f>
        <v>1</v>
      </c>
      <c r="J27" s="44" t="b">
        <f>FALSE()</f>
        <v>0</v>
      </c>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2">
        <f>MATCH(G27,options!$D$1:$D$20,0)</f>
        <v>5</v>
      </c>
    </row>
    <row r="28" spans="1:22" x14ac:dyDescent="0.15">
      <c r="B28" s="56"/>
      <c r="C28" s="41"/>
      <c r="D28" s="41"/>
      <c r="E28" s="55"/>
      <c r="F28" s="37"/>
      <c r="G28" s="49" t="s">
        <v>394</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Scandinave - nordique</v>
      </c>
      <c r="I28" s="43" t="b">
        <f>TRUE()</f>
        <v>1</v>
      </c>
      <c r="J28" s="44" t="b">
        <f>FALSE()</f>
        <v>0</v>
      </c>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2">
        <f>MATCH(G28,options!$D$1:$D$20,0)</f>
        <v>6</v>
      </c>
    </row>
    <row r="29" spans="1:22" ht="56" x14ac:dyDescent="0.15">
      <c r="A29" s="38" t="s">
        <v>421</v>
      </c>
      <c r="B29" s="39" t="str">
        <f>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C29" s="41"/>
      <c r="D29" s="41"/>
      <c r="E29" s="55"/>
      <c r="F29" s="37"/>
      <c r="G29" s="49" t="s">
        <v>398</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Belge</v>
      </c>
      <c r="I29" s="43" t="b">
        <f>TRUE()</f>
        <v>1</v>
      </c>
      <c r="J29" s="44" t="b">
        <f>FALSE()</f>
        <v>0</v>
      </c>
      <c r="K29" s="3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2">
        <f>MATCH(G29,options!$D$1:$D$20,0)</f>
        <v>7</v>
      </c>
    </row>
    <row r="30" spans="1:22" x14ac:dyDescent="0.15">
      <c r="B30" s="56"/>
      <c r="C30" s="41"/>
      <c r="D30" s="41"/>
      <c r="E30" s="55"/>
      <c r="F30" s="37"/>
      <c r="G30" s="49" t="s">
        <v>422</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Bulgare</v>
      </c>
      <c r="I30" s="43" t="b">
        <f>TRUE()</f>
        <v>1</v>
      </c>
      <c r="J30" s="44" t="b">
        <f>FALSE()</f>
        <v>0</v>
      </c>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2">
        <f>MATCH(G30,options!$D$1:$D$20,0)</f>
        <v>8</v>
      </c>
    </row>
    <row r="31" spans="1:22" ht="56" x14ac:dyDescent="0.15">
      <c r="A31" s="38" t="s">
        <v>423</v>
      </c>
      <c r="B31" s="39" t="str">
        <f>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C31" s="41"/>
      <c r="D31" s="41"/>
      <c r="E31" s="55"/>
      <c r="F31" s="37"/>
      <c r="G31" s="49" t="s">
        <v>424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Tchèque</v>
      </c>
      <c r="I31" s="43" t="b">
        <f>TRUE()</f>
        <v>1</v>
      </c>
      <c r="J31" s="44" t="b">
        <f>FALSE()</f>
        <v>0</v>
      </c>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2">
        <f>MATCH(G31,options!$D$1:$D$20,0)</f>
        <v>20</v>
      </c>
    </row>
    <row r="32" spans="1:22" x14ac:dyDescent="0.15">
      <c r="C32" s="41"/>
      <c r="D32" s="41"/>
      <c r="E32" s="55"/>
      <c r="F32" s="37"/>
      <c r="G32" s="49" t="s">
        <v>425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Danois</v>
      </c>
      <c r="I32" s="43" t="b">
        <f>TRUE()</f>
        <v>1</v>
      </c>
      <c r="J32" s="44" t="b">
        <f>FALSE()</f>
        <v>0</v>
      </c>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2">
        <f>MATCH(G32,options!$D$1:$D$20,0)</f>
        <v>9</v>
      </c>
    </row>
    <row r="33" spans="1:22" ht="14" x14ac:dyDescent="0.15">
      <c r="A33" s="38" t="s">
        <v>426</v>
      </c>
      <c r="B33" s="39" t="str">
        <f>IF(Values!$B$36=English!$B$2,English!B14, IF(Values!$B$36=German!$B$2,German!B14, IF(Values!$B$36=Italian!$B$2,Italian!B14, IF(Values!$B$36=Spanish!$B$2, Spanish!B14, IF(Values!$B$36=French!$B$2, French!B14, IF(Values!$B$36=Dutch!$B$2,Dutch!B14, IF(Values!$B$36=English!$D$32, English!B14, 0)))))))</f>
        <v>👉  DISPOSITION - {flag} {language} non rétroéclairé.</v>
      </c>
      <c r="C33" s="41"/>
      <c r="D33" s="41"/>
      <c r="E33" s="55"/>
      <c r="F33" s="37"/>
      <c r="G33" s="49" t="s">
        <v>427</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Hongrois</v>
      </c>
      <c r="I33" s="43" t="b">
        <f>TRUE()</f>
        <v>1</v>
      </c>
      <c r="J33" s="44" t="b">
        <f>FALSE()</f>
        <v>0</v>
      </c>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2">
        <f>MATCH(G33,options!$D$1:$D$20,0)</f>
        <v>19</v>
      </c>
    </row>
    <row r="34" spans="1:22" x14ac:dyDescent="0.15">
      <c r="C34" s="41"/>
      <c r="D34" s="41"/>
      <c r="E34" s="55"/>
      <c r="F34" s="37"/>
      <c r="G34" s="49" t="s">
        <v>428</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Néerlandais</v>
      </c>
      <c r="I34" s="43" t="b">
        <f>TRUE()</f>
        <v>1</v>
      </c>
      <c r="J34" s="44" t="b">
        <f>FALSE()</f>
        <v>0</v>
      </c>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2">
        <f>MATCH(G34,options!$D$1:$D$20,0)</f>
        <v>10</v>
      </c>
    </row>
    <row r="35" spans="1:22" x14ac:dyDescent="0.15">
      <c r="C35" s="41"/>
      <c r="D35" s="41"/>
      <c r="E35" s="55"/>
      <c r="F35" s="37"/>
      <c r="G35" s="49" t="s">
        <v>429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Norvégienne</v>
      </c>
      <c r="I35" s="43" t="b">
        <f>TRUE()</f>
        <v>1</v>
      </c>
      <c r="J35" s="44" t="b">
        <f>FALSE()</f>
        <v>0</v>
      </c>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2">
        <f>MATCH(G35,options!$D$1:$D$20,0)</f>
        <v>11</v>
      </c>
    </row>
    <row r="36" spans="1:22" ht="14" x14ac:dyDescent="0.15">
      <c r="A36" s="38" t="s">
        <v>430</v>
      </c>
      <c r="B36" s="54" t="s">
        <v>377</v>
      </c>
      <c r="C36" s="41"/>
      <c r="D36" s="41"/>
      <c r="E36" s="55"/>
      <c r="F36" s="37"/>
      <c r="G36" s="49" t="s">
        <v>431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Polonais</v>
      </c>
      <c r="I36" s="43" t="b">
        <f>TRUE()</f>
        <v>1</v>
      </c>
      <c r="J36" s="44" t="b">
        <f>FALSE()</f>
        <v>0</v>
      </c>
      <c r="K36" s="37"/>
      <c r="L36" s="46" t="b">
        <f>FALSE()</f>
        <v>0</v>
      </c>
      <c r="M36" s="47" t="str">
        <f t="shared" ref="M36:M67" si="9">IF(ISBLANK(K36),"",IF(L36, "https://raw.githubusercontent.com/PatrickVibild/TellusAmazonPictures/master/pictures/"&amp;K36&amp;"/1.jpg","https://download.HP.com/Images/Parts/"&amp;K36&amp;"/"&amp;K36&amp;"_A.jpg"))</f>
        <v/>
      </c>
      <c r="N36" s="47" t="str">
        <f t="shared" ref="N36:N67" si="10">IF(ISBLANK(K36),"",IF(L36, "https://raw.githubusercontent.com/PatrickVibild/TellusAmazonPictures/master/pictures/"&amp;K36&amp;"/2.jpg","https://download.HP.com/Images/Parts/"&amp;K36&amp;"/"&amp;K36&amp;"_B.jpg"))</f>
        <v/>
      </c>
      <c r="O36" s="48"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432</v>
      </c>
      <c r="B37" s="54" t="s">
        <v>433</v>
      </c>
      <c r="C37" s="41"/>
      <c r="D37" s="41"/>
      <c r="E37" s="55"/>
      <c r="F37" s="37"/>
      <c r="G37" s="49" t="s">
        <v>434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Portugais</v>
      </c>
      <c r="I37" s="43" t="b">
        <f>TRUE()</f>
        <v>1</v>
      </c>
      <c r="J37" s="44" t="b">
        <f>FALSE()</f>
        <v>0</v>
      </c>
      <c r="K37" s="37"/>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2">
        <f>MATCH(G37,options!$D$1:$D$20,0)</f>
        <v>13</v>
      </c>
    </row>
    <row r="38" spans="1:22" x14ac:dyDescent="0.15">
      <c r="C38" s="41"/>
      <c r="D38" s="41"/>
      <c r="E38" s="55"/>
      <c r="F38" s="37"/>
      <c r="G38" s="49" t="s">
        <v>435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Suédois – Finlandais</v>
      </c>
      <c r="I38" s="43" t="b">
        <f>TRUE()</f>
        <v>1</v>
      </c>
      <c r="J38" s="44" t="b">
        <f>FALSE()</f>
        <v>0</v>
      </c>
      <c r="K38" s="37"/>
      <c r="L38" s="46" t="b">
        <f>FALSE()</f>
        <v>0</v>
      </c>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2">
        <f>MATCH(G38,options!$D$1:$D$20,0)</f>
        <v>14</v>
      </c>
    </row>
    <row r="39" spans="1:22" x14ac:dyDescent="0.15">
      <c r="C39" s="41"/>
      <c r="D39" s="41"/>
      <c r="E39" s="55"/>
      <c r="F39" s="37"/>
      <c r="G39" s="49" t="s">
        <v>402</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Suisse</v>
      </c>
      <c r="I39" s="43" t="b">
        <f>TRUE()</f>
        <v>1</v>
      </c>
      <c r="J39" s="44" t="b">
        <f>FALSE()</f>
        <v>0</v>
      </c>
      <c r="K39" s="37"/>
      <c r="L39" s="46" t="b">
        <f>FALSE()</f>
        <v>0</v>
      </c>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2">
        <f>MATCH(G39,options!$D$1:$D$20,0)</f>
        <v>15</v>
      </c>
    </row>
    <row r="40" spans="1:22" x14ac:dyDescent="0.15">
      <c r="C40" s="41"/>
      <c r="D40" s="41"/>
      <c r="E40" s="55"/>
      <c r="F40" s="37"/>
      <c r="G40" s="49" t="s">
        <v>405</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43" t="b">
        <f>TRUE()</f>
        <v>1</v>
      </c>
      <c r="J40" s="44" t="b">
        <f>FALSE()</f>
        <v>0</v>
      </c>
      <c r="K40" s="37"/>
      <c r="L40" s="46" t="b">
        <f>FALSE()</f>
        <v>0</v>
      </c>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2">
        <f>MATCH(G40,options!$D$1:$D$20,0)</f>
        <v>16</v>
      </c>
    </row>
    <row r="41" spans="1:22" x14ac:dyDescent="0.15">
      <c r="C41" s="41"/>
      <c r="D41" s="41"/>
      <c r="E41" s="55"/>
      <c r="F41" s="37"/>
      <c r="G41" s="49" t="s">
        <v>410</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43" t="b">
        <f>TRUE()</f>
        <v>1</v>
      </c>
      <c r="J41" s="44" t="b">
        <f>FALSE()</f>
        <v>0</v>
      </c>
      <c r="K41" s="37"/>
      <c r="L41" s="46" t="b">
        <f>FALSE()</f>
        <v>0</v>
      </c>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2">
        <f>MATCH(G41,options!$D$1:$D$20,0)</f>
        <v>18</v>
      </c>
    </row>
    <row r="42" spans="1:22" x14ac:dyDescent="0.15">
      <c r="C42" s="41"/>
      <c r="D42" s="41"/>
      <c r="E42" s="37"/>
      <c r="F42" s="37"/>
      <c r="G42" s="42" t="s">
        <v>436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43" t="b">
        <f>TRUE()</f>
        <v>1</v>
      </c>
      <c r="J42" s="44" t="b">
        <f>FALSE()</f>
        <v>0</v>
      </c>
      <c r="K42" s="37"/>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7"/>
      <c r="F43" s="37"/>
      <c r="G43" s="42" t="s">
        <v>410</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43" t="b">
        <f>TRUE()</f>
        <v>1</v>
      </c>
      <c r="J43" s="44" t="b">
        <f>FALSE()</f>
        <v>0</v>
      </c>
      <c r="K43" s="37"/>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7"/>
      <c r="F44" s="58"/>
      <c r="G44" s="5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8"/>
      <c r="J44" s="58"/>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7"/>
      <c r="F45" s="58"/>
      <c r="G45" s="5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8"/>
      <c r="J45" s="58"/>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7"/>
      <c r="F46" s="58"/>
      <c r="G46" s="5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8"/>
      <c r="J46" s="58"/>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7"/>
      <c r="F47" s="58"/>
      <c r="G47" s="5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8"/>
      <c r="J47" s="58"/>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7"/>
      <c r="F48" s="58"/>
      <c r="G48" s="5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8"/>
      <c r="J48" s="58"/>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7"/>
      <c r="F49" s="58"/>
      <c r="G49" s="5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8"/>
      <c r="J49" s="58"/>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7"/>
      <c r="F50" s="58"/>
      <c r="G50" s="5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8"/>
      <c r="J50" s="58"/>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7"/>
      <c r="F51" s="58"/>
      <c r="G51" s="5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8"/>
      <c r="J51" s="58"/>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7"/>
      <c r="F52" s="58"/>
      <c r="G52" s="5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8"/>
      <c r="J52" s="58"/>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7"/>
      <c r="F53" s="58"/>
      <c r="G53" s="5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8"/>
      <c r="J53" s="58"/>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7"/>
      <c r="F54" s="58"/>
      <c r="G54" s="5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8"/>
      <c r="J54" s="58"/>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7"/>
      <c r="F55" s="58"/>
      <c r="G55" s="5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8"/>
      <c r="J55" s="58"/>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7"/>
      <c r="F56" s="58"/>
      <c r="G56" s="5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8"/>
      <c r="J56" s="58"/>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7"/>
      <c r="F57" s="58"/>
      <c r="G57" s="5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8"/>
      <c r="J57" s="58"/>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7"/>
      <c r="F58" s="58"/>
      <c r="G58" s="5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8"/>
      <c r="J58" s="58"/>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7"/>
      <c r="F59" s="58"/>
      <c r="G59" s="5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8"/>
      <c r="J59" s="58"/>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7"/>
      <c r="F60" s="58"/>
      <c r="G60" s="5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8"/>
      <c r="J60" s="58"/>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7"/>
      <c r="F61" s="58"/>
      <c r="G61" s="5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8"/>
      <c r="J61" s="58"/>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7"/>
      <c r="F62" s="58"/>
      <c r="G62" s="5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8"/>
      <c r="J62" s="58"/>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7"/>
      <c r="F63" s="58"/>
      <c r="G63" s="5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8"/>
      <c r="J63" s="58"/>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7"/>
      <c r="F64" s="58"/>
      <c r="G64" s="5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8"/>
      <c r="J64" s="58"/>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7"/>
      <c r="F65" s="58"/>
      <c r="G65" s="5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8"/>
      <c r="J65" s="58"/>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7"/>
      <c r="F66" s="58"/>
      <c r="G66" s="5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8"/>
      <c r="J66" s="58"/>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7"/>
      <c r="F67" s="58"/>
      <c r="G67" s="5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8"/>
      <c r="J67" s="58"/>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7"/>
      <c r="F68" s="58"/>
      <c r="G68" s="5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8"/>
      <c r="J68" s="58"/>
      <c r="K68" s="47"/>
      <c r="L68" s="47"/>
      <c r="M68" s="47" t="str">
        <f t="shared" ref="M68:M99" si="18">IF(ISBLANK(K68),"",IF(L68, "https://raw.githubusercontent.com/PatrickVibild/TellusAmazonPictures/master/pictures/"&amp;K68&amp;"/1.jpg","https://download.HP.com/Images/Parts/"&amp;K68&amp;"/"&amp;K68&amp;"_A.jpg"))</f>
        <v/>
      </c>
      <c r="N68" s="47" t="str">
        <f t="shared" ref="N68:N103" si="19">IF(ISBLANK(K68),"",IF(L68, "https://raw.githubusercontent.com/PatrickVibild/TellusAmazonPictures/master/pictures/"&amp;K68&amp;"/2.jpg","https://download.HP.com/Images/Parts/"&amp;K68&amp;"/"&amp;K68&amp;"_B.jpg"))</f>
        <v/>
      </c>
      <c r="O68" s="48"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7"/>
      <c r="F69" s="58"/>
      <c r="G69" s="5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8"/>
      <c r="J69" s="58"/>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7"/>
      <c r="F70" s="58"/>
      <c r="G70" s="5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8"/>
      <c r="J70" s="58"/>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7"/>
      <c r="F71" s="58"/>
      <c r="G71" s="5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8"/>
      <c r="J71" s="58"/>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7"/>
      <c r="F72" s="58"/>
      <c r="G72" s="5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8"/>
      <c r="J72" s="58"/>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7"/>
      <c r="F73" s="58"/>
      <c r="G73" s="5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8"/>
      <c r="J73" s="58"/>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7"/>
      <c r="F74" s="58"/>
      <c r="G74" s="5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8"/>
      <c r="J74" s="58"/>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7"/>
      <c r="F75" s="58"/>
      <c r="G75" s="5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8"/>
      <c r="J75" s="58"/>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7"/>
      <c r="F76" s="58"/>
      <c r="G76" s="5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8"/>
      <c r="J76" s="58"/>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7"/>
      <c r="F77" s="58"/>
      <c r="G77" s="5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8"/>
      <c r="J77" s="58"/>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7"/>
      <c r="F78" s="58"/>
      <c r="G78" s="5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8"/>
      <c r="J78" s="58"/>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7"/>
      <c r="F79" s="58"/>
      <c r="G79" s="5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8"/>
      <c r="J79" s="58"/>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7"/>
      <c r="F80" s="58"/>
      <c r="G80" s="5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8"/>
      <c r="J80" s="58"/>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7"/>
      <c r="F81" s="58"/>
      <c r="G81" s="5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8"/>
      <c r="J81" s="58"/>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7"/>
      <c r="F82" s="58"/>
      <c r="G82" s="5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8"/>
      <c r="J82" s="58"/>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7"/>
      <c r="F83" s="58"/>
      <c r="G83" s="5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8"/>
      <c r="J83" s="58"/>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7"/>
      <c r="F84" s="58"/>
      <c r="G84" s="5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8"/>
      <c r="J84" s="58"/>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7"/>
      <c r="F85" s="58"/>
      <c r="G85" s="5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8"/>
      <c r="J85" s="58"/>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7"/>
      <c r="F86" s="58"/>
      <c r="G86" s="5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8"/>
      <c r="J86" s="58"/>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7"/>
      <c r="F87" s="58"/>
      <c r="G87" s="5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8"/>
      <c r="J87" s="58"/>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7"/>
      <c r="F88" s="58"/>
      <c r="G88" s="5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8"/>
      <c r="J88" s="58"/>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7"/>
      <c r="F89" s="58"/>
      <c r="G89" s="5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8"/>
      <c r="J89" s="58"/>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7"/>
      <c r="F90" s="58"/>
      <c r="G90" s="5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8"/>
      <c r="J90" s="58"/>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7"/>
      <c r="F91" s="58"/>
      <c r="G91" s="5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8"/>
      <c r="J91" s="58"/>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7"/>
      <c r="F92" s="58"/>
      <c r="G92" s="5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8"/>
      <c r="J92" s="58"/>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7"/>
      <c r="F93" s="58"/>
      <c r="G93" s="5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8"/>
      <c r="J93" s="58"/>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7"/>
      <c r="F94" s="58"/>
      <c r="G94" s="5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8"/>
      <c r="J94" s="58"/>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7"/>
      <c r="F95" s="58"/>
      <c r="G95" s="5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8"/>
      <c r="J95" s="58"/>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7"/>
      <c r="F96" s="58"/>
      <c r="G96" s="5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8"/>
      <c r="J96" s="58"/>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7"/>
      <c r="F97" s="58"/>
      <c r="G97" s="5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8"/>
      <c r="J97" s="58"/>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7"/>
      <c r="F98" s="58"/>
      <c r="G98" s="5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8"/>
      <c r="J98" s="58"/>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7"/>
      <c r="F99" s="58"/>
      <c r="G99" s="5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8"/>
      <c r="J99" s="58"/>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7"/>
      <c r="F100" s="58"/>
      <c r="G100" s="5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8"/>
      <c r="J100" s="58"/>
      <c r="K100" s="47"/>
      <c r="L100" s="47"/>
      <c r="M100" s="47" t="str">
        <f t="shared" ref="M100:M103" si="27">IF(ISBLANK(K100),"",IF(L100, "https://raw.githubusercontent.com/PatrickVibild/TellusAmazonPictures/master/pictures/"&amp;K100&amp;"/1.jpg","https://download.HP.com/Images/Parts/"&amp;K100&amp;"/"&amp;K100&amp;"_A.jpg"))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7"/>
      <c r="F101" s="58"/>
      <c r="G101" s="5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8"/>
      <c r="J101" s="58"/>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7"/>
      <c r="F102" s="58"/>
      <c r="G102" s="5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8"/>
      <c r="J102" s="58"/>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7"/>
      <c r="F103" s="58"/>
      <c r="G103" s="5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8"/>
      <c r="J103" s="58"/>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7"/>
      <c r="F104" s="58"/>
      <c r="G104" s="5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8"/>
      <c r="J104" s="58"/>
      <c r="K104" s="47"/>
      <c r="L104" s="47"/>
      <c r="M104" s="47" t="str">
        <f>IF(ISBLANK(K104),"","https://download.HP.com/Images/Parts/"&amp;K104&amp;"/"&amp;K104&amp;"_A.jpg")</f>
        <v/>
      </c>
      <c r="N104" s="47" t="str">
        <f>IF(ISBLANK(K104),"","https://download.HP.com/Images/Parts/"&amp;K104&amp;"/"&amp;K104&amp;"_B.jpg")</f>
        <v/>
      </c>
      <c r="O104" s="48" t="str">
        <f>IF(ISBLANK(K104),"","https://download.HP.com/Images/Parts/"&amp;K104&amp;"/"&amp;K104&amp;"_details.jpg")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416</v>
      </c>
      <c r="B1" s="41" t="b">
        <f>TRUE()</f>
        <v>1</v>
      </c>
      <c r="C1" t="s">
        <v>437</v>
      </c>
      <c r="D1" s="42" t="s">
        <v>373</v>
      </c>
      <c r="E1" t="s">
        <v>438</v>
      </c>
      <c r="F1" t="s">
        <v>439</v>
      </c>
      <c r="G1" t="s">
        <v>433</v>
      </c>
    </row>
    <row r="2" spans="1:7" x14ac:dyDescent="0.15">
      <c r="A2" t="s">
        <v>440</v>
      </c>
      <c r="B2" s="41" t="b">
        <f>FALSE()</f>
        <v>0</v>
      </c>
      <c r="C2" t="s">
        <v>380</v>
      </c>
      <c r="D2" s="42" t="s">
        <v>377</v>
      </c>
      <c r="E2" t="s">
        <v>441</v>
      </c>
      <c r="F2" t="s">
        <v>377</v>
      </c>
      <c r="G2" t="s">
        <v>410</v>
      </c>
    </row>
    <row r="3" spans="1:7" x14ac:dyDescent="0.15">
      <c r="A3" t="s">
        <v>442</v>
      </c>
      <c r="D3" s="42" t="s">
        <v>382</v>
      </c>
      <c r="E3" t="s">
        <v>443</v>
      </c>
      <c r="F3" t="s">
        <v>373</v>
      </c>
    </row>
    <row r="4" spans="1:7" x14ac:dyDescent="0.15">
      <c r="D4" s="42" t="s">
        <v>386</v>
      </c>
      <c r="E4" t="s">
        <v>444</v>
      </c>
      <c r="F4" t="s">
        <v>382</v>
      </c>
    </row>
    <row r="5" spans="1:7" x14ac:dyDescent="0.15">
      <c r="D5" s="42" t="s">
        <v>390</v>
      </c>
      <c r="E5" t="s">
        <v>445</v>
      </c>
      <c r="F5" t="s">
        <v>386</v>
      </c>
    </row>
    <row r="6" spans="1:7" x14ac:dyDescent="0.15">
      <c r="D6" s="42" t="s">
        <v>394</v>
      </c>
      <c r="E6" t="s">
        <v>446</v>
      </c>
      <c r="F6" t="s">
        <v>428</v>
      </c>
    </row>
    <row r="7" spans="1:7" x14ac:dyDescent="0.15">
      <c r="D7" s="42" t="s">
        <v>398</v>
      </c>
      <c r="E7" t="s">
        <v>447</v>
      </c>
    </row>
    <row r="8" spans="1:7" x14ac:dyDescent="0.15">
      <c r="D8" s="42" t="s">
        <v>422</v>
      </c>
      <c r="E8" t="s">
        <v>448</v>
      </c>
    </row>
    <row r="9" spans="1:7" x14ac:dyDescent="0.15">
      <c r="D9" s="42" t="s">
        <v>425</v>
      </c>
      <c r="E9" t="s">
        <v>449</v>
      </c>
    </row>
    <row r="10" spans="1:7" x14ac:dyDescent="0.15">
      <c r="D10" s="42" t="s">
        <v>428</v>
      </c>
      <c r="E10" t="s">
        <v>450</v>
      </c>
    </row>
    <row r="11" spans="1:7" x14ac:dyDescent="0.15">
      <c r="D11" s="42" t="s">
        <v>429</v>
      </c>
      <c r="E11" t="s">
        <v>451</v>
      </c>
    </row>
    <row r="12" spans="1:7" x14ac:dyDescent="0.15">
      <c r="D12" s="42" t="s">
        <v>431</v>
      </c>
      <c r="E12" t="s">
        <v>452</v>
      </c>
    </row>
    <row r="13" spans="1:7" x14ac:dyDescent="0.15">
      <c r="D13" s="42" t="s">
        <v>434</v>
      </c>
      <c r="E13" t="s">
        <v>453</v>
      </c>
    </row>
    <row r="14" spans="1:7" x14ac:dyDescent="0.15">
      <c r="D14" s="42" t="s">
        <v>435</v>
      </c>
      <c r="E14" t="s">
        <v>454</v>
      </c>
    </row>
    <row r="15" spans="1:7" x14ac:dyDescent="0.15">
      <c r="D15" s="42" t="s">
        <v>402</v>
      </c>
      <c r="E15" t="s">
        <v>455</v>
      </c>
    </row>
    <row r="16" spans="1:7" x14ac:dyDescent="0.15">
      <c r="D16" s="42" t="s">
        <v>405</v>
      </c>
      <c r="E16" s="59" t="s">
        <v>456</v>
      </c>
    </row>
    <row r="17" spans="4:5" x14ac:dyDescent="0.15">
      <c r="D17" s="42" t="s">
        <v>436</v>
      </c>
      <c r="E17" t="s">
        <v>457</v>
      </c>
    </row>
    <row r="18" spans="4:5" x14ac:dyDescent="0.15">
      <c r="D18" s="42" t="s">
        <v>410</v>
      </c>
      <c r="E18" t="s">
        <v>458</v>
      </c>
    </row>
    <row r="19" spans="4:5" x14ac:dyDescent="0.15">
      <c r="D19" s="42" t="s">
        <v>427</v>
      </c>
      <c r="E19" t="s">
        <v>459</v>
      </c>
    </row>
    <row r="20" spans="4:5" x14ac:dyDescent="0.15">
      <c r="D20" s="42" t="s">
        <v>424</v>
      </c>
      <c r="E20" t="s">
        <v>460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33203125" defaultRowHeight="13" x14ac:dyDescent="0.15"/>
  <cols>
    <col min="1" max="1" width="15" customWidth="1"/>
    <col min="2" max="2" width="251.5" customWidth="1"/>
  </cols>
  <sheetData>
    <row r="2" spans="1:2" x14ac:dyDescent="0.15">
      <c r="B2" t="s">
        <v>439</v>
      </c>
    </row>
    <row r="3" spans="1:2" x14ac:dyDescent="0.15">
      <c r="B3" s="61" t="s">
        <v>461</v>
      </c>
    </row>
    <row r="4" spans="1:2" x14ac:dyDescent="0.15">
      <c r="B4" s="61" t="s">
        <v>462</v>
      </c>
    </row>
    <row r="5" spans="1:2" x14ac:dyDescent="0.15">
      <c r="B5" s="61" t="s">
        <v>463</v>
      </c>
    </row>
    <row r="6" spans="1:2" x14ac:dyDescent="0.15">
      <c r="A6" t="s">
        <v>464</v>
      </c>
      <c r="B6" s="61" t="s">
        <v>465</v>
      </c>
    </row>
    <row r="7" spans="1:2" x14ac:dyDescent="0.15">
      <c r="B7" s="61" t="s">
        <v>466</v>
      </c>
    </row>
    <row r="8" spans="1:2" x14ac:dyDescent="0.15">
      <c r="A8" t="s">
        <v>40</v>
      </c>
      <c r="B8" s="61" t="s">
        <v>467</v>
      </c>
    </row>
    <row r="9" spans="1:2" x14ac:dyDescent="0.15">
      <c r="A9" t="s">
        <v>468</v>
      </c>
      <c r="B9" s="61" t="s">
        <v>469</v>
      </c>
    </row>
    <row r="10" spans="1:2" x14ac:dyDescent="0.15">
      <c r="B10" t="s">
        <v>470</v>
      </c>
    </row>
    <row r="11" spans="1:2" x14ac:dyDescent="0.15">
      <c r="B11" t="s">
        <v>471</v>
      </c>
    </row>
    <row r="14" spans="1:2" x14ac:dyDescent="0.15">
      <c r="B14" s="61" t="s">
        <v>472</v>
      </c>
    </row>
    <row r="20" spans="2:2" x14ac:dyDescent="0.15">
      <c r="B20" s="42" t="s">
        <v>373</v>
      </c>
    </row>
    <row r="21" spans="2:2" x14ac:dyDescent="0.15">
      <c r="B21" s="42" t="s">
        <v>377</v>
      </c>
    </row>
    <row r="22" spans="2:2" x14ac:dyDescent="0.15">
      <c r="B22" s="42" t="s">
        <v>382</v>
      </c>
    </row>
    <row r="23" spans="2:2" x14ac:dyDescent="0.15">
      <c r="B23" s="42" t="s">
        <v>386</v>
      </c>
    </row>
    <row r="24" spans="2:2" x14ac:dyDescent="0.15">
      <c r="B24" s="42" t="s">
        <v>390</v>
      </c>
    </row>
    <row r="25" spans="2:2" x14ac:dyDescent="0.15">
      <c r="B25" s="42" t="s">
        <v>394</v>
      </c>
    </row>
    <row r="26" spans="2:2" x14ac:dyDescent="0.15">
      <c r="B26" s="42" t="s">
        <v>398</v>
      </c>
    </row>
    <row r="27" spans="2:2" x14ac:dyDescent="0.15">
      <c r="B27" s="42" t="s">
        <v>422</v>
      </c>
    </row>
    <row r="28" spans="2:2" x14ac:dyDescent="0.15">
      <c r="B28" s="42" t="s">
        <v>425</v>
      </c>
    </row>
    <row r="29" spans="2:2" x14ac:dyDescent="0.15">
      <c r="B29" s="42" t="s">
        <v>428</v>
      </c>
    </row>
    <row r="30" spans="2:2" x14ac:dyDescent="0.15">
      <c r="B30" s="42" t="s">
        <v>429</v>
      </c>
    </row>
    <row r="31" spans="2:2" x14ac:dyDescent="0.15">
      <c r="B31" s="42" t="s">
        <v>431</v>
      </c>
    </row>
    <row r="32" spans="2:2" x14ac:dyDescent="0.15">
      <c r="B32" s="42" t="s">
        <v>434</v>
      </c>
    </row>
    <row r="33" spans="2:4" x14ac:dyDescent="0.15">
      <c r="B33" s="42" t="s">
        <v>435</v>
      </c>
    </row>
    <row r="34" spans="2:4" x14ac:dyDescent="0.15">
      <c r="B34" s="42" t="s">
        <v>402</v>
      </c>
      <c r="D34" s="61"/>
    </row>
    <row r="35" spans="2:4" x14ac:dyDescent="0.15">
      <c r="B35" s="42" t="s">
        <v>405</v>
      </c>
      <c r="D35" s="61"/>
    </row>
    <row r="36" spans="2:4" x14ac:dyDescent="0.15">
      <c r="B36" s="42" t="s">
        <v>436</v>
      </c>
      <c r="D36" s="61"/>
    </row>
    <row r="37" spans="2:4" x14ac:dyDescent="0.15">
      <c r="B37" s="42" t="s">
        <v>410</v>
      </c>
      <c r="D37" s="61"/>
    </row>
    <row r="38" spans="2:4" x14ac:dyDescent="0.15">
      <c r="B38" s="42" t="s">
        <v>427</v>
      </c>
      <c r="D38" s="61"/>
    </row>
    <row r="39" spans="2:4" x14ac:dyDescent="0.15">
      <c r="B39" s="42" t="s">
        <v>424</v>
      </c>
      <c r="D39" s="61"/>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33203125" defaultRowHeight="13" x14ac:dyDescent="0.15"/>
  <sheetData>
    <row r="2" spans="1:2" x14ac:dyDescent="0.15">
      <c r="B2" t="s">
        <v>373</v>
      </c>
    </row>
    <row r="3" spans="1:2" ht="16" x14ac:dyDescent="0.2">
      <c r="B3" s="60" t="s">
        <v>473</v>
      </c>
    </row>
    <row r="4" spans="1:2" ht="16" x14ac:dyDescent="0.2">
      <c r="B4" s="60" t="s">
        <v>474</v>
      </c>
    </row>
    <row r="5" spans="1:2" ht="16" x14ac:dyDescent="0.2">
      <c r="B5" s="60" t="s">
        <v>475</v>
      </c>
    </row>
    <row r="6" spans="1:2" ht="16" x14ac:dyDescent="0.2">
      <c r="B6" s="60" t="s">
        <v>476</v>
      </c>
    </row>
    <row r="7" spans="1:2" ht="16" x14ac:dyDescent="0.2">
      <c r="B7" s="60" t="s">
        <v>477</v>
      </c>
    </row>
    <row r="8" spans="1:2" x14ac:dyDescent="0.15">
      <c r="A8" t="s">
        <v>478</v>
      </c>
      <c r="B8" t="s">
        <v>479</v>
      </c>
    </row>
    <row r="9" spans="1:2" x14ac:dyDescent="0.15">
      <c r="A9" t="s">
        <v>480</v>
      </c>
      <c r="B9" t="s">
        <v>481</v>
      </c>
    </row>
    <row r="10" spans="1:2" x14ac:dyDescent="0.15">
      <c r="B10" t="s">
        <v>482</v>
      </c>
    </row>
    <row r="11" spans="1:2" x14ac:dyDescent="0.15">
      <c r="B11" t="s">
        <v>483</v>
      </c>
    </row>
    <row r="14" spans="1:2" x14ac:dyDescent="0.15">
      <c r="B14" t="s">
        <v>484</v>
      </c>
    </row>
    <row r="20" spans="2:2" x14ac:dyDescent="0.15">
      <c r="B20" t="s">
        <v>485</v>
      </c>
    </row>
    <row r="21" spans="2:2" x14ac:dyDescent="0.15">
      <c r="B21" t="s">
        <v>486</v>
      </c>
    </row>
    <row r="22" spans="2:2" x14ac:dyDescent="0.15">
      <c r="B22" t="s">
        <v>487</v>
      </c>
    </row>
    <row r="23" spans="2:2" x14ac:dyDescent="0.15">
      <c r="B23" t="s">
        <v>488</v>
      </c>
    </row>
    <row r="24" spans="2:2" x14ac:dyDescent="0.15">
      <c r="B24" t="s">
        <v>390</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405</v>
      </c>
    </row>
    <row r="36" spans="2:2" x14ac:dyDescent="0.15">
      <c r="B36" t="s">
        <v>499</v>
      </c>
    </row>
    <row r="37" spans="2:2" x14ac:dyDescent="0.15">
      <c r="B37" t="s">
        <v>500</v>
      </c>
    </row>
    <row r="38" spans="2:2" x14ac:dyDescent="0.15">
      <c r="B38" t="s">
        <v>501</v>
      </c>
    </row>
    <row r="39" spans="2:2" x14ac:dyDescent="0.15">
      <c r="B39" t="s">
        <v>502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33203125" defaultRowHeight="13" x14ac:dyDescent="0.15"/>
  <sheetData>
    <row r="1" spans="1:2" x14ac:dyDescent="0.15">
      <c r="B1" s="61"/>
    </row>
    <row r="2" spans="1:2" x14ac:dyDescent="0.15">
      <c r="B2" s="61" t="s">
        <v>386</v>
      </c>
    </row>
    <row r="3" spans="1:2" x14ac:dyDescent="0.15">
      <c r="B3" s="61" t="s">
        <v>503</v>
      </c>
    </row>
    <row r="4" spans="1:2" x14ac:dyDescent="0.15">
      <c r="B4" s="61" t="s">
        <v>504</v>
      </c>
    </row>
    <row r="5" spans="1:2" x14ac:dyDescent="0.15">
      <c r="B5" s="61" t="s">
        <v>505</v>
      </c>
    </row>
    <row r="6" spans="1:2" x14ac:dyDescent="0.15">
      <c r="B6" s="61" t="s">
        <v>506</v>
      </c>
    </row>
    <row r="7" spans="1:2" x14ac:dyDescent="0.15">
      <c r="B7" s="61" t="s">
        <v>507</v>
      </c>
    </row>
    <row r="8" spans="1:2" x14ac:dyDescent="0.15">
      <c r="A8" t="s">
        <v>478</v>
      </c>
      <c r="B8" s="61" t="s">
        <v>508</v>
      </c>
    </row>
    <row r="9" spans="1:2" x14ac:dyDescent="0.15">
      <c r="A9" t="s">
        <v>480</v>
      </c>
      <c r="B9" s="61" t="s">
        <v>509</v>
      </c>
    </row>
    <row r="10" spans="1:2" x14ac:dyDescent="0.15">
      <c r="B10" s="61" t="s">
        <v>510</v>
      </c>
    </row>
    <row r="11" spans="1:2" x14ac:dyDescent="0.15">
      <c r="B11" s="61" t="s">
        <v>511</v>
      </c>
    </row>
    <row r="12" spans="1:2" x14ac:dyDescent="0.15">
      <c r="B12" s="61"/>
    </row>
    <row r="13" spans="1:2" x14ac:dyDescent="0.15">
      <c r="B13" s="61"/>
    </row>
    <row r="14" spans="1:2" x14ac:dyDescent="0.15">
      <c r="B14" s="61" t="s">
        <v>512</v>
      </c>
    </row>
    <row r="15" spans="1:2" x14ac:dyDescent="0.15">
      <c r="B15" s="61"/>
    </row>
    <row r="20" spans="2:2" x14ac:dyDescent="0.15">
      <c r="B20" t="s">
        <v>513</v>
      </c>
    </row>
    <row r="21" spans="2:2" x14ac:dyDescent="0.15">
      <c r="B21" t="s">
        <v>514</v>
      </c>
    </row>
    <row r="22" spans="2:2" x14ac:dyDescent="0.15">
      <c r="B22" t="s">
        <v>515</v>
      </c>
    </row>
    <row r="23" spans="2:2" x14ac:dyDescent="0.15">
      <c r="B23" t="s">
        <v>516</v>
      </c>
    </row>
    <row r="24" spans="2:2" x14ac:dyDescent="0.15">
      <c r="B24" t="s">
        <v>517</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410</v>
      </c>
    </row>
    <row r="38" spans="2:2" x14ac:dyDescent="0.15">
      <c r="B38" t="s">
        <v>530</v>
      </c>
    </row>
    <row r="39" spans="2:2" x14ac:dyDescent="0.15">
      <c r="B39" t="s">
        <v>531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33203125" defaultRowHeight="13" x14ac:dyDescent="0.15"/>
  <sheetData>
    <row r="2" spans="2:2" x14ac:dyDescent="0.15">
      <c r="B2" t="s">
        <v>377</v>
      </c>
    </row>
    <row r="3" spans="2:2" x14ac:dyDescent="0.15">
      <c r="B3" t="s">
        <v>532</v>
      </c>
    </row>
    <row r="4" spans="2:2" x14ac:dyDescent="0.15">
      <c r="B4" t="s">
        <v>533</v>
      </c>
    </row>
    <row r="5" spans="2:2" x14ac:dyDescent="0.15">
      <c r="B5" t="s">
        <v>534</v>
      </c>
    </row>
    <row r="6" spans="2:2" x14ac:dyDescent="0.15">
      <c r="B6" t="s">
        <v>535</v>
      </c>
    </row>
    <row r="7" spans="2:2" x14ac:dyDescent="0.15">
      <c r="B7" t="s">
        <v>536</v>
      </c>
    </row>
    <row r="8" spans="2:2" ht="16" x14ac:dyDescent="0.2">
      <c r="B8" s="60" t="s">
        <v>537</v>
      </c>
    </row>
    <row r="9" spans="2:2" x14ac:dyDescent="0.15">
      <c r="B9" t="s">
        <v>538</v>
      </c>
    </row>
    <row r="10" spans="2:2" x14ac:dyDescent="0.15">
      <c r="B10" s="61" t="s">
        <v>539</v>
      </c>
    </row>
    <row r="11" spans="2:2" x14ac:dyDescent="0.15">
      <c r="B11" s="61" t="s">
        <v>540</v>
      </c>
    </row>
    <row r="14" spans="2:2" x14ac:dyDescent="0.15">
      <c r="B14" t="s">
        <v>541</v>
      </c>
    </row>
    <row r="20" spans="2:2" x14ac:dyDescent="0.15">
      <c r="B20" t="s">
        <v>542</v>
      </c>
    </row>
    <row r="21" spans="2:2" x14ac:dyDescent="0.15">
      <c r="B21" t="s">
        <v>543</v>
      </c>
    </row>
    <row r="22" spans="2:2" x14ac:dyDescent="0.15">
      <c r="B22" t="s">
        <v>544</v>
      </c>
    </row>
    <row r="23" spans="2:2" x14ac:dyDescent="0.15">
      <c r="B23" t="s">
        <v>545</v>
      </c>
    </row>
    <row r="24" spans="2:2" x14ac:dyDescent="0.15">
      <c r="B24" t="s">
        <v>390</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33203125" defaultRowHeight="13" x14ac:dyDescent="0.15"/>
  <sheetData>
    <row r="2" spans="2:2" x14ac:dyDescent="0.15">
      <c r="B2" t="s">
        <v>382</v>
      </c>
    </row>
    <row r="3" spans="2:2" ht="16" x14ac:dyDescent="0.2">
      <c r="B3" s="60" t="s">
        <v>560</v>
      </c>
    </row>
    <row r="4" spans="2:2" ht="16" x14ac:dyDescent="0.2">
      <c r="B4" s="60" t="s">
        <v>561</v>
      </c>
    </row>
    <row r="5" spans="2:2" x14ac:dyDescent="0.15">
      <c r="B5" t="s">
        <v>562</v>
      </c>
    </row>
    <row r="6" spans="2:2" ht="16" x14ac:dyDescent="0.2">
      <c r="B6" s="60" t="s">
        <v>563</v>
      </c>
    </row>
    <row r="7" spans="2:2" ht="16" x14ac:dyDescent="0.2">
      <c r="B7" s="60" t="s">
        <v>564</v>
      </c>
    </row>
    <row r="8" spans="2:2" x14ac:dyDescent="0.15">
      <c r="B8" t="s">
        <v>565</v>
      </c>
    </row>
    <row r="9" spans="2:2" x14ac:dyDescent="0.15">
      <c r="B9" t="s">
        <v>566</v>
      </c>
    </row>
    <row r="10" spans="2:2" x14ac:dyDescent="0.15">
      <c r="B10" t="s">
        <v>567</v>
      </c>
    </row>
    <row r="11" spans="2:2" x14ac:dyDescent="0.15">
      <c r="B11" t="s">
        <v>568</v>
      </c>
    </row>
    <row r="14" spans="2:2" ht="16" x14ac:dyDescent="0.2">
      <c r="B14" s="60" t="s">
        <v>569</v>
      </c>
    </row>
    <row r="20" spans="2:2" x14ac:dyDescent="0.15">
      <c r="B20" t="s">
        <v>570</v>
      </c>
    </row>
    <row r="21" spans="2:2" x14ac:dyDescent="0.15">
      <c r="B21" t="s">
        <v>571</v>
      </c>
    </row>
    <row r="22" spans="2:2" x14ac:dyDescent="0.15">
      <c r="B22" t="s">
        <v>515</v>
      </c>
    </row>
    <row r="23" spans="2:2" x14ac:dyDescent="0.15">
      <c r="B23" t="s">
        <v>572</v>
      </c>
    </row>
    <row r="24" spans="2:2" x14ac:dyDescent="0.15">
      <c r="B24" t="s">
        <v>390</v>
      </c>
    </row>
    <row r="25" spans="2:2" x14ac:dyDescent="0.15">
      <c r="B25" t="s">
        <v>573</v>
      </c>
    </row>
    <row r="26" spans="2:2" x14ac:dyDescent="0.15">
      <c r="B26" t="s">
        <v>519</v>
      </c>
    </row>
    <row r="27" spans="2:2" x14ac:dyDescent="0.15">
      <c r="B27" t="s">
        <v>574</v>
      </c>
    </row>
    <row r="28" spans="2:2" x14ac:dyDescent="0.15">
      <c r="B28" t="s">
        <v>575</v>
      </c>
    </row>
    <row r="29" spans="2:2" x14ac:dyDescent="0.15">
      <c r="B29" t="s">
        <v>576</v>
      </c>
    </row>
    <row r="30" spans="2:2" x14ac:dyDescent="0.15">
      <c r="B30" t="s">
        <v>577</v>
      </c>
    </row>
    <row r="31" spans="2:2" x14ac:dyDescent="0.15">
      <c r="B31" t="s">
        <v>578</v>
      </c>
    </row>
    <row r="32" spans="2:2" x14ac:dyDescent="0.15">
      <c r="B32" t="s">
        <v>579</v>
      </c>
    </row>
    <row r="33" spans="2:2" x14ac:dyDescent="0.15">
      <c r="B33" t="s">
        <v>580</v>
      </c>
    </row>
    <row r="34" spans="2:2" x14ac:dyDescent="0.15">
      <c r="B34" t="s">
        <v>581</v>
      </c>
    </row>
    <row r="35" spans="2:2" x14ac:dyDescent="0.15">
      <c r="B35" t="s">
        <v>556</v>
      </c>
    </row>
    <row r="36" spans="2:2" x14ac:dyDescent="0.15">
      <c r="B36" t="s">
        <v>582</v>
      </c>
    </row>
    <row r="37" spans="2:2" x14ac:dyDescent="0.15">
      <c r="B37" t="s">
        <v>500</v>
      </c>
    </row>
    <row r="38" spans="2:2" x14ac:dyDescent="0.15">
      <c r="B38" t="s">
        <v>583</v>
      </c>
    </row>
    <row r="39" spans="2:2" x14ac:dyDescent="0.15">
      <c r="B39" t="s">
        <v>584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33203125" defaultRowHeight="13" x14ac:dyDescent="0.15"/>
  <sheetData>
    <row r="2" spans="2:2" x14ac:dyDescent="0.15">
      <c r="B2" t="s">
        <v>428</v>
      </c>
    </row>
    <row r="3" spans="2:2" x14ac:dyDescent="0.15">
      <c r="B3" t="s">
        <v>585</v>
      </c>
    </row>
    <row r="4" spans="2:2" x14ac:dyDescent="0.15">
      <c r="B4" t="s">
        <v>586</v>
      </c>
    </row>
    <row r="5" spans="2:2" x14ac:dyDescent="0.15">
      <c r="B5" t="s">
        <v>587</v>
      </c>
    </row>
    <row r="6" spans="2:2" x14ac:dyDescent="0.15">
      <c r="B6" t="s">
        <v>588</v>
      </c>
    </row>
    <row r="7" spans="2:2" x14ac:dyDescent="0.15">
      <c r="B7" t="s">
        <v>589</v>
      </c>
    </row>
    <row r="8" spans="2:2" x14ac:dyDescent="0.15">
      <c r="B8" t="s">
        <v>590</v>
      </c>
    </row>
    <row r="9" spans="2:2" x14ac:dyDescent="0.15">
      <c r="B9" t="s">
        <v>591</v>
      </c>
    </row>
    <row r="10" spans="2:2" x14ac:dyDescent="0.15">
      <c r="B10" t="s">
        <v>592</v>
      </c>
    </row>
    <row r="11" spans="2:2" x14ac:dyDescent="0.15">
      <c r="B11" t="s">
        <v>593</v>
      </c>
    </row>
    <row r="14" spans="2:2" x14ac:dyDescent="0.15">
      <c r="B14" t="s">
        <v>594</v>
      </c>
    </row>
    <row r="20" spans="2:2" x14ac:dyDescent="0.15">
      <c r="B20" t="s">
        <v>595</v>
      </c>
    </row>
    <row r="21" spans="2:2" x14ac:dyDescent="0.15">
      <c r="B21" t="s">
        <v>596</v>
      </c>
    </row>
    <row r="22" spans="2:2" x14ac:dyDescent="0.15">
      <c r="B22" t="s">
        <v>597</v>
      </c>
    </row>
    <row r="23" spans="2:2" x14ac:dyDescent="0.15">
      <c r="B23" t="s">
        <v>598</v>
      </c>
    </row>
    <row r="24" spans="2:2" x14ac:dyDescent="0.15">
      <c r="B24" t="s">
        <v>390</v>
      </c>
    </row>
    <row r="25" spans="2:2" x14ac:dyDescent="0.15">
      <c r="B25" t="s">
        <v>599</v>
      </c>
    </row>
    <row r="26" spans="2:2" x14ac:dyDescent="0.15">
      <c r="B26" t="s">
        <v>600</v>
      </c>
    </row>
    <row r="27" spans="2:2" x14ac:dyDescent="0.15">
      <c r="B27" t="s">
        <v>601</v>
      </c>
    </row>
    <row r="28" spans="2:2" x14ac:dyDescent="0.15">
      <c r="B28" t="s">
        <v>602</v>
      </c>
    </row>
    <row r="29" spans="2:2" x14ac:dyDescent="0.15">
      <c r="B29" t="s">
        <v>603</v>
      </c>
    </row>
    <row r="30" spans="2:2" x14ac:dyDescent="0.15">
      <c r="B30" t="s">
        <v>604</v>
      </c>
    </row>
    <row r="31" spans="2:2" x14ac:dyDescent="0.15">
      <c r="B31" t="s">
        <v>605</v>
      </c>
    </row>
    <row r="32" spans="2:2" x14ac:dyDescent="0.15">
      <c r="B32" t="s">
        <v>606</v>
      </c>
    </row>
    <row r="33" spans="2:2" x14ac:dyDescent="0.15">
      <c r="B33" t="s">
        <v>607</v>
      </c>
    </row>
    <row r="34" spans="2:2" x14ac:dyDescent="0.15">
      <c r="B34" t="s">
        <v>608</v>
      </c>
    </row>
    <row r="35" spans="2:2" x14ac:dyDescent="0.15">
      <c r="B35" t="s">
        <v>609</v>
      </c>
    </row>
    <row r="36" spans="2:2" x14ac:dyDescent="0.15">
      <c r="B36" t="s">
        <v>499</v>
      </c>
    </row>
    <row r="37" spans="2:2" x14ac:dyDescent="0.15">
      <c r="B37" t="s">
        <v>410</v>
      </c>
    </row>
    <row r="38" spans="2:2" x14ac:dyDescent="0.15">
      <c r="B38" t="s">
        <v>610</v>
      </c>
    </row>
    <row r="39" spans="2:2" x14ac:dyDescent="0.15">
      <c r="B39" t="s">
        <v>611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1223</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217</cp:revision>
  <dcterms:created xsi:type="dcterms:W3CDTF">2020-07-27T15:42:24Z</dcterms:created>
  <dcterms:modified xsi:type="dcterms:W3CDTF">2024-07-24T22:18:39Z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