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HP/WP/6560B silver/"/>
    </mc:Choice>
  </mc:AlternateContent>
  <xr:revisionPtr revIDLastSave="0" documentId="13_ncr:1_{81F2E245-D3AC-4D4B-959F-4338F4278C09}"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5"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DP14" i="1" s="1"/>
  <c r="B29" i="2"/>
  <c r="AB8"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P13" i="2"/>
  <c r="P14" i="1" s="1"/>
  <c r="O13" i="2"/>
  <c r="O14" i="1" s="1"/>
  <c r="I13" i="2"/>
  <c r="D13" i="2"/>
  <c r="V12" i="2"/>
  <c r="H12" i="2" s="1"/>
  <c r="U12" i="2"/>
  <c r="U13" i="1" s="1"/>
  <c r="I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U10" i="1" s="1"/>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M7" i="2"/>
  <c r="M8" i="1" s="1"/>
  <c r="U7" i="2"/>
  <c r="U8" i="1" s="1"/>
  <c r="I7" i="2"/>
  <c r="D7" i="2"/>
  <c r="C7" i="2"/>
  <c r="V6" i="2"/>
  <c r="U6" i="2"/>
  <c r="U7" i="1" s="1"/>
  <c r="T6" i="2"/>
  <c r="T7" i="1" s="1"/>
  <c r="Q6" i="2"/>
  <c r="P6" i="2"/>
  <c r="O6" i="2"/>
  <c r="N6" i="2"/>
  <c r="N7" i="1" s="1"/>
  <c r="M6" i="2"/>
  <c r="M7" i="1" s="1"/>
  <c r="S6" i="2"/>
  <c r="S7" i="1" s="1"/>
  <c r="I6" i="2"/>
  <c r="D6" i="2"/>
  <c r="C6" i="2"/>
  <c r="CO7" i="1" s="1"/>
  <c r="V5" i="2"/>
  <c r="Q5" i="2"/>
  <c r="P5" i="2"/>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U14" i="1"/>
  <c r="CT14" i="1"/>
  <c r="CS14" i="1"/>
  <c r="CR14" i="1"/>
  <c r="CO14" i="1"/>
  <c r="L14" i="1" s="1"/>
  <c r="CL14" i="1"/>
  <c r="CH14" i="1"/>
  <c r="CG14" i="1"/>
  <c r="BH14" i="1"/>
  <c r="BG14" i="1"/>
  <c r="BF14" i="1"/>
  <c r="BE14" i="1"/>
  <c r="AV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O10" i="1"/>
  <c r="DA10" i="1"/>
  <c r="CZ10" i="1"/>
  <c r="CU10" i="1"/>
  <c r="CT10" i="1"/>
  <c r="CS10" i="1"/>
  <c r="CR10" i="1"/>
  <c r="CQ10" i="1"/>
  <c r="CP10" i="1"/>
  <c r="CO10" i="1"/>
  <c r="FE10" i="1" s="1"/>
  <c r="CL10" i="1"/>
  <c r="CH10" i="1"/>
  <c r="CG10" i="1"/>
  <c r="BH10" i="1"/>
  <c r="BG10" i="1"/>
  <c r="BF10" i="1"/>
  <c r="BE10" i="1"/>
  <c r="AV10" i="1"/>
  <c r="AJ10" i="1"/>
  <c r="AA10" i="1"/>
  <c r="Z10" i="1"/>
  <c r="Y10" i="1"/>
  <c r="X10" i="1"/>
  <c r="W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U8" i="1"/>
  <c r="CT8" i="1"/>
  <c r="CS8" i="1"/>
  <c r="CO8" i="1"/>
  <c r="FE8" i="1" s="1"/>
  <c r="CL8" i="1"/>
  <c r="CH8" i="1"/>
  <c r="CG8" i="1"/>
  <c r="BH8" i="1"/>
  <c r="BG8" i="1"/>
  <c r="BF8" i="1"/>
  <c r="BE8" i="1"/>
  <c r="AV8" i="1"/>
  <c r="AA8" i="1"/>
  <c r="Z8" i="1"/>
  <c r="Y8" i="1"/>
  <c r="X8" i="1"/>
  <c r="W8" i="1"/>
  <c r="N8" i="1"/>
  <c r="K8" i="1"/>
  <c r="J8" i="1"/>
  <c r="I8" i="1"/>
  <c r="H8" i="1"/>
  <c r="G8" i="1"/>
  <c r="E8" i="1"/>
  <c r="D8" i="1"/>
  <c r="C8" i="1"/>
  <c r="B8" i="1"/>
  <c r="A8" i="1"/>
  <c r="FV7" i="1"/>
  <c r="FU7" i="1"/>
  <c r="FT7" i="1"/>
  <c r="FS7" i="1"/>
  <c r="FR7" i="1"/>
  <c r="FQ7" i="1"/>
  <c r="FP7" i="1"/>
  <c r="FO7" i="1"/>
  <c r="FM7" i="1"/>
  <c r="FJ7" i="1"/>
  <c r="FI7" i="1"/>
  <c r="FH7" i="1"/>
  <c r="EV7" i="1"/>
  <c r="ES7" i="1"/>
  <c r="DY7" i="1"/>
  <c r="DO7" i="1"/>
  <c r="DA7" i="1"/>
  <c r="CZ7" i="1"/>
  <c r="CU7" i="1"/>
  <c r="CT7" i="1"/>
  <c r="CS7" i="1"/>
  <c r="CL7" i="1"/>
  <c r="CK7" i="1"/>
  <c r="CH7" i="1"/>
  <c r="CG7" i="1"/>
  <c r="BH7" i="1"/>
  <c r="BG7" i="1"/>
  <c r="BF7" i="1"/>
  <c r="BE7" i="1"/>
  <c r="AV7" i="1"/>
  <c r="AT7" i="1"/>
  <c r="AA7" i="1"/>
  <c r="Z7" i="1"/>
  <c r="Y7" i="1"/>
  <c r="X7" i="1"/>
  <c r="W7" i="1"/>
  <c r="Q7" i="1"/>
  <c r="P7" i="1"/>
  <c r="O7" i="1"/>
  <c r="K7" i="1"/>
  <c r="J7" i="1"/>
  <c r="I7" i="1"/>
  <c r="H7" i="1"/>
  <c r="G7" i="1"/>
  <c r="E7" i="1"/>
  <c r="D7" i="1"/>
  <c r="C7" i="1"/>
  <c r="B7" i="1"/>
  <c r="A7" i="1"/>
  <c r="FV6" i="1"/>
  <c r="FU6" i="1"/>
  <c r="FT6" i="1"/>
  <c r="FS6" i="1"/>
  <c r="FR6" i="1"/>
  <c r="FQ6" i="1"/>
  <c r="FP6" i="1"/>
  <c r="FO6" i="1"/>
  <c r="FM6" i="1"/>
  <c r="FJ6" i="1"/>
  <c r="FI6" i="1"/>
  <c r="FH6" i="1"/>
  <c r="EV6" i="1"/>
  <c r="ES6" i="1"/>
  <c r="DY6" i="1"/>
  <c r="DO6" i="1"/>
  <c r="DA6" i="1"/>
  <c r="CZ6" i="1"/>
  <c r="CU6" i="1"/>
  <c r="CT6" i="1"/>
  <c r="CS6" i="1"/>
  <c r="CO6" i="1"/>
  <c r="FE6" i="1" s="1"/>
  <c r="CL6" i="1"/>
  <c r="CK6" i="1"/>
  <c r="CI6" i="1"/>
  <c r="CH6" i="1"/>
  <c r="CG6" i="1"/>
  <c r="BH6" i="1"/>
  <c r="BG6" i="1"/>
  <c r="BF6" i="1"/>
  <c r="BE6" i="1"/>
  <c r="AV6" i="1"/>
  <c r="AI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DY5" i="1"/>
  <c r="DP5" i="1"/>
  <c r="DO5" i="1"/>
  <c r="DA5" i="1"/>
  <c r="CZ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DP6" i="1" l="1"/>
  <c r="EI8" i="1"/>
  <c r="EI5" i="1"/>
  <c r="DP7" i="1"/>
  <c r="EI13" i="1"/>
  <c r="EI6" i="1"/>
  <c r="EI7" i="1"/>
  <c r="DP9" i="1"/>
  <c r="DP10" i="1"/>
  <c r="AB13" i="1"/>
  <c r="AB14" i="1"/>
  <c r="AB5" i="1"/>
  <c r="AB6" i="1"/>
  <c r="DP8" i="1"/>
  <c r="EI9" i="1"/>
  <c r="AB10" i="1"/>
  <c r="AB9" i="1"/>
  <c r="AB7" i="1"/>
  <c r="DP13"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<sst xmlns="http://schemas.openxmlformats.org/spreadsheetml/2006/main" count="865" uniqueCount="696">
  <si>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</si>
  <si>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</si>
  <si>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</si>
  <si>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</si>
  <si>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</si>
  <si>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</si>
  <si>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</si>
  <si>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</si>
  <si>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</si>
  <si>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</si>
  <si>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</si>
  <si>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</si>
  <si>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</si>
  <si>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</si>
  <si>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</si>
  <si>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</si>
  <si>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</si>
  <si>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</si>
  <si>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</si>
  <si>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</si>
  <si>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</si>
  <si>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</si>
  <si>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</si>
  <si>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</si>
  <si>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</si>
  <si>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</si>
  <si>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</si>
  <si>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</si>
  <si>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</si>
  <si>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</si>
  <si>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</si>
  <si>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</si>
  <si>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</si>
  <si>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</si>
  <si>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</si>
  <si>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</si>
  <si>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</si>
  <si>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</si>
  <si>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</si>
  <si>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</si>
  <si>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</si>
  <si>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</si>
  <si>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</si>
  <si>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</si>
  <si>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</si>
  <si>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</si>
  <si>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</si>
  <si>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</si>
  <si>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</si>
  <si>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</si>
  <si>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</si>
  <si>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</si>
  <si>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</si>
  <si>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</si>
  <si>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</si>
  <si>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</si>
  <si>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</si>
  <si>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</si>
  <si>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</si>
  <si>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</si>
  <si>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</si>
  <si>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</si>
  <si>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</si>
  <si>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</si>
  <si>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</si>
  <si>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</si>
  <si>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</si>
  <si>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</si>
  <si>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</si>
  <si>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</si>
  <si>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</si>
  <si>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</si>
  <si>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</si>
  <si>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</si>
  <si>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</si>
  <si>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</si>
  <si>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</si>
  <si>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</si>
  <si>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</si>
  <si>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</si>
  <si>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</si>
  <si>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</si>
  <si>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</si>
  <si>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</si>
  <si>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</si>
  <si>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</si>
  <si>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</si>
  <si>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</si>
  <si>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</si>
  <si>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</si>
  <si>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</si>
  <si>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</si>
  <si>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</si>
  <si>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</si>
  <si>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</si>
  <si>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</si>
  <si>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</si>
  <si>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</si>
  <si>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</si>
  <si>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</si>
  <si>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</si>
  <si>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</si>
  <si>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</si>
  <si>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</si>
  <si>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</si>
  <si>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</si>
  <si>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</si>
  <si>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</si>
  <si>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</si>
  <si>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</si>
  <si>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</si>
  <si>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</si>
  <si>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</si>
  <si>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</si>
  <si>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</si>
  <si>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</si>
  <si>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</si>
  <si>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</si>
  <si>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</si>
  <si>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</si>
  <si>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</si>
  <si>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</si>
  <si>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</si>
  <si>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</si>
  <si>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</si>
  <si>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</si>
  <si>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</si>
  <si>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</si>
  <si>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</si>
  <si>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</si>
  <si>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</si>
  <si>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</si>
  <si>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</si>
  <si>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</si>
  <si>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</si>
  <si>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</si>
  <si>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</si>
  <si>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</si>
  <si>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</si>
  <si>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</si>
  <si>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</si>
  <si>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</si>
  <si>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</si>
  <si>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</si>
  <si>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</si>
  <si>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</si>
  <si>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</si>
  <si>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</si>
  <si>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</si>
  <si>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</si>
  <si>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</si>
  <si>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</si>
  <si>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</si>
  <si>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</si>
  <si>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</si>
  <si>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</si>
  <si>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</si>
  <si>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</si>
  <si>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</si>
  <si>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</si>
  <si>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</si>
  <si>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</si>
  <si>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</si>
  <si>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</si>
  <si>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</si>
  <si>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</si>
  <si>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</si>
  <si>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</si>
  <si>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</si>
  <si>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</si>
  <si>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</si>
  <si>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</si>
  <si>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</si>
  <si>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</si>
  <si>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</si>
  <si>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</si>
  <si>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</si>
  <si>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</si>
  <si>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</si>
  <si>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</si>
  <si>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</si>
  <si>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</si>
  <si>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</si>
  <si>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</si>
  <si>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</si>
  <si>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</si>
  <si>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</si>
  <si>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</si>
  <si>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</si>
  <si>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</si>
  <si>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</si>
  <si>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</si>
  <si>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</si>
  <si>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</si>
  <si>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</si>
  <si>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</si>
  <si>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</si>
  <si>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</si>
  <si>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</si>
  <si>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</si>
  <si>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</si>
  <si>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</si>
  <si>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</si>
  <si>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</si>
  <si>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</si>
  <si>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</si>
  <si>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</si>
  <si>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</si>
  <si>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</si>
  <si>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</si>
  <si>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</si>
  <si>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</si>
  <si>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</si>
  <si>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</si>
  <si>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</si>
  <si>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</si>
  <si>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</si>
  <si>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</si>
  <si>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</si>
  <si>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</si>
  <si>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</si>
  <si>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</si>
  <si>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</si>
  <si>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</si>
  <si>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</si>
  <si>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</si>
  <si>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</si>
  <si>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</si>
  <si>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</si>
  <si>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</si>
  <si>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</si>
  <si>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</si>
  <si>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</si>
  <si>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</si>
  <si>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</si>
  <si>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</si>
  <si>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</si>
  <si>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</si>
  <si>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</si>
  <si>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</si>
  <si>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</si>
  <si>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</si>
  <si>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</si>
  <si>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</si>
  <si>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</si>
  <si>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</si>
  <si>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</si>
  <si>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</si>
  <si>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</si>
  <si>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</si>
  <si>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</si>
  <si>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</si>
  <si>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</si>
  <si>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</si>
  <si>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</si>
  <si>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</si>
  <si>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</si>
  <si>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</si>
  <si>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</si>
  <si>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</si>
  <si>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</si>
  <si>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</si>
  <si>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</si>
  <si>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</si>
  <si>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</si>
  <si>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</si>
  <si>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</si>
  <si>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</si>
  <si>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</si>
  <si>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</si>
  <si>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</si>
  <si>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</si>
  <si>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</si>
  <si>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</si>
  <si>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</si>
  <si>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</si>
  <si>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</si>
  <si>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</si>
  <si>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</si>
  <si>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</si>
  <si>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</si>
  <si>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</si>
  <si>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</si>
  <si>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</si>
  <si>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</si>
  <si>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</si>
  <si>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</si>
  <si>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</si>
  <si>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</si>
  <si>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</si>
  <si>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</si>
  <si>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</si>
  <si>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</si>
  <si>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</si>
  <si>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</si>
  <si>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</si>
  <si>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</si>
  <si>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</si>
  <si>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</si>
  <si>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</si>
  <si>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</si>
  <si>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</si>
  <si>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</si>
  <si>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</si>
  <si>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</si>
  <si>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</si>
  <si>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</si>
  <si>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</si>
  <si>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</si>
  <si>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</si>
  <si>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</si>
  <si>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</si>
  <si>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</si>
  <si>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</si>
  <si>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</si>
  <si>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</si>
  <si>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</si>
  <si>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</si>
  <si>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</si>
  <si>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</si>
  <si>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</si>
  <si>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</si>
  <si>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</si>
  <si>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</si>
  <si>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</si>
  <si>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</si>
  <si>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</si>
  <si>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</si>
  <si>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</si>
  <si>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</si>
  <si>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</si>
  <si>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</si>
  <si>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</si>
  <si>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</si>
  <si>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</si>
  <si>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</si>
  <si>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</si>
  <si>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</si>
  <si>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</si>
  <si>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</si>
  <si>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</si>
  <si>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</si>
  <si>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</si>
  <si>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</si>
  <si>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</si>
  <si>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</si>
  <si>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</si>
  <si>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</si>
  <si>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</si>
  <si>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</si>
  <si>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</si>
  <si>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</si>
  <si>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</si>
  <si>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</si>
  <si>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</si>
  <si>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</si>
  <si>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</si>
  <si>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</si>
  <si>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</si>
  <si>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</si>
  <si>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</si>
  <si>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</si>
  <si>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</si>
  <si>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</si>
  <si>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</si>
  <si>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</si>
  <si>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</si>
  <si>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</si>
  <si>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</si>
  <si>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</si>
  <si>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</si>
  <si>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</si>
  <si>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</si>
  <si>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</si>
  <si>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</si>
  <si>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</si>
  <si>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</si>
  <si>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</si>
  <si>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</si>
  <si>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</si>
  <si>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</si>
  <si>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</si>
  <si>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</si>
  <si>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</si>
  <si>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</si>
  <si>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</si>
  <si>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</si>
  <si>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</si>
  <si>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</si>
  <si>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</si>
  <si>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</si>
  <si>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</si>
  <si>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</si>
  <si>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</si>
  <si>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</si>
  <si>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</si>
  <si>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</si>
  <si>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</si>
  <si>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</si>
  <si>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</si>
  <si>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</si>
  <si>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</si>
  <si>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</si>
  <si>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</si>
  <si>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</si>
  <si>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</si>
  <si>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</si>
  <si>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</si>
  <si>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</si>
  <si>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</si>
  <si>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</si>
  <si>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</si>
  <si>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</si>
  <si>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</si>
  <si>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</si>
  <si>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</si>
  <si>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</si>
  <si>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</si>
  <si>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</si>
  <si>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</si>
  <si>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</si>
  <si>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</si>
  <si>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</si>
  <si>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</si>
  <si>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</si>
  <si>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</si>
  <si>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</si>
  <si>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</si>
  <si>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</si>
  <si>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</si>
  <si>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</si>
  <si>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</si>
  <si>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</si>
  <si>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</si>
  <si>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</si>
  <si>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</si>
  <si>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</si>
  <si>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</si>
  <si>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</si>
  <si>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</si>
  <si>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</si>
  <si>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</si>
  <si>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</si>
  <si>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</si>
  <si>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</si>
  <si>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</si>
  <si>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</si>
  <si>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</si>
  <si>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</si>
  <si>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</si>
  <si>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</si>
  <si>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</si>
  <si>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</si>
  <si>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</si>
  <si>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</si>
  <si>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</si>
  <si>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</si>
  <si>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</si>
  <si>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</si>
  <si>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</si>
  <si>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</si>
  <si>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</si>
  <si>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</si>
  <si>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</si>
  <si>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</si>
  <si>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</si>
  <si>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</si>
  <si>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</si>
  <si>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</si>
  <si>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</si>
  <si>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</si>
  <si>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</si>
  <si>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</si>
  <si>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</si>
  <si>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</si>
  <si>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</si>
  <si>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</si>
  <si>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</si>
  <si>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</si>
  <si>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</si>
  <si>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</si>
  <si>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</si>
  <si>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</si>
  <si>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</si>
  <si>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</si>
  <si>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</si>
  <si>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</si>
  <si>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</si>
  <si>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</si>
  <si>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</si>
  <si>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</si>
  <si>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</si>
  <si>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</si>
  <si>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</si>
  <si>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</si>
  <si>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</si>
  <si>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</si>
  <si>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</si>
  <si>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</si>
  <si>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</si>
  <si>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</si>
  <si>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</si>
  <si>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</si>
  <si>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</si>
  <si>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</si>
  <si>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</si>
  <si>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</si>
  <si>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</si>
  <si>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</si>
  <si>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</si>
  <si>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</si>
  <si>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</si>
  <si>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</si>
  <si>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</si>
  <si>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</si>
  <si>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</si>
  <si>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</si>
  <si>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</si>
  <si>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</si>
  <si>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</si>
  <si>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</si>
  <si>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</si>
  <si>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</si>
  <si>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</si>
  <si>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</si>
  <si>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</si>
  <si>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</si>
  <si>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</si>
  <si>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</si>
  <si>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</si>
  <si>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</si>
  <si>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</si>
  <si>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</si>
  <si>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</si>
  <si>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</si>
  <si>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</si>
  <si>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</si>
  <si>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</si>
  <si>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</si>
  <si>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</si>
  <si>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</si>
  <si>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</si>
  <si>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</si>
  <si>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</si>
  <si>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</si>
  <si>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</si>
  <si>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</si>
  <si>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</si>
  <si>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</si>
  <si>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</si>
  <si>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</si>
  <si>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</si>
  <si>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</si>
  <si>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</si>
  <si>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</si>
  <si>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</si>
  <si>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</si>
  <si>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</si>
  <si>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</si>
  <si>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</si>
  <si>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</si>
  <si>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</si>
  <si>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</si>
  <si>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</si>
  <si>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</si>
  <si>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</si>
  <si>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</si>
  <si>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</si>
  <si>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</si>
  <si>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</si>
  <si>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</si>
  <si>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</si>
  <si>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</si>
  <si>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</si>
  <si>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</si>
  <si>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</si>
  <si>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</si>
  <si>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</si>
  <si>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</si>
  <si>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</si>
  <si>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</si>
  <si>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</si>
  <si>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</si>
  <si>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</si>
  <si>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</si>
  <si>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</si>
  <si>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</si>
  <si>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</si>
  <si>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</si>
  <si>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</si>
  <si>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</si>
  <si>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</si>
  <si>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</si>
  <si>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</si>
  <si>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</si>
  <si>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</si>
  <si>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</si>
  <si>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</si>
  <si>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</si>
  <si>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</si>
  <si>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</si>
  <si>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</si>
  <si>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</si>
  <si>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</si>
  <si>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</si>
  <si>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</si>
  <si>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</si>
  <si>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</si>
  <si>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</si>
  <si>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</si>
  <si>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</si>
  <si>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</si>
  <si>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</si>
  <si>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</si>
  <si>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</si>
  <si>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</si>
  <si>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</si>
  <si>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</si>
  <si>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</si>
  <si>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</si>
  <si>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</si>
  <si>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</si>
  <si>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</si>
  <si>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</si>
  <si>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</si>
  <si>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</si>
  <si>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</si>
  <si>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</si>
  <si>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</si>
  <si>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</si>
  <si>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</si>
  <si>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</si>
  <si>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</si>
  <si>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</si>
  <si>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</si>
  <si>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</si>
  <si>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</si>
  <si>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</si>
  <si>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</si>
  <si>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</si>
  <si>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</si>
  <si>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</si>
  <si>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</si>
  <si>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</si>
  <si>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</si>
  <si>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</si>
  <si>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</si>
  <si>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</si>
  <si>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</si>
  <si>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</si>
  <si>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</si>
  <si>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</si>
  <si>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</si>
  <si>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</si>
  <si>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</si>
  <si>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</si>
  <si>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</si>
  <si>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</si>
  <si>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</si>
  <si>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</si>
  <si>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</si>
  <si>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</si>
  <si>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</si>
  <si>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</si>
  <si>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</si>
  <si>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</si>
  <si>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</si>
  <si>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</si>
  <si>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</si>
  <si>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</si>
  <si>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</si>
  <si>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</si>
  <si>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</si>
  <si>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</si>
  <si>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</si>
  <si>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</si>
  <si>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6560 parent</t>
  </si>
  <si>
    <t>PROBOOK 6560B, PROBOOK 6565B, PROBOOK 6570B, ELITEBOOK 8560P, 6560B, 6565B, 6570B, 8560P</t>
  </si>
  <si>
    <t>HP 6560 Reg with point - DE</t>
  </si>
  <si>
    <t>HP 6560 Reg with point - FR</t>
  </si>
  <si>
    <t>HP 6560 Reg with point - IT</t>
  </si>
  <si>
    <t>HP 6560 Reg with point - ES</t>
  </si>
  <si>
    <t>HP 6560 Reg with point - UK</t>
  </si>
  <si>
    <t>HP 6560 Reg with point - NORDIC</t>
  </si>
  <si>
    <t>HP 6560 Reg with point - US int</t>
  </si>
  <si>
    <t>HP 6560 Reg with point - US</t>
  </si>
  <si>
    <t>HP/W. PS/6560B SILVER/REG/DE</t>
  </si>
  <si>
    <t>HP/W. PS/6560B SILVER/REG/FR</t>
  </si>
  <si>
    <t>HP/W. PS/6560B SILVER/REG/IT</t>
  </si>
  <si>
    <t>HP/W. PS/6560B SILVER/REG/ES</t>
  </si>
  <si>
    <t>HP/W. PS/6560B SILVER/REG/UK</t>
  </si>
  <si>
    <t>HP/W. PS/6560B SILVER/REG/NOR</t>
  </si>
  <si>
    <t>HP/W. PS/6560B SILVER/REG/USI</t>
  </si>
  <si>
    <t>HP/W. PS/6560B SILVER/REG/US</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</si>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</sst>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9"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CQ115" zoomScaleNormal="100" workbookViewId="0">
      <selection activeCell="CV5" sqref="CV5:CV14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694</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695</v>
      </c>
    </row>
    <row r="4" spans="1:193" ht="17" x14ac:dyDescent="0.2">
      <c r="A4" s="1" t="str">
        <f>IF(ISBLANK(Values!E3),"",IF(Values!$B$37="EU","computercomponent","computer"))</f>
        <v>computercomponent</v>
      </c>
      <c r="B4" s="27" t="str">
        <f>Values!B13</f>
        <v>HP 6560 parent</v>
      </c>
      <c r="C4" s="27" t="s">
        <v>345</v>
      </c>
      <c r="D4" s="28">
        <f>Values!B14</f>
        <v>5714401656999</v>
      </c>
      <c r="E4" s="1" t="s">
        <v>346</v>
      </c>
      <c r="F4" s="27" t="str">
        <f>SUBSTITUTE(Values!B1, "{language}", "") &amp; " " &amp; Values!B3</f>
        <v>Teclado de respuesto  retroiluminado  para HP   PROBOOK 6560B, PROBOOK 6565B, PROBOOK 6570B, ELITEBOOK 8560P, 6560B, 6565B, 6570B, 8560P</v>
      </c>
      <c r="G4" s="27" t="s">
        <v>345</v>
      </c>
      <c r="H4" s="1" t="str">
        <f>Values!B16</f>
        <v>computer-keyboards</v>
      </c>
      <c r="I4" s="1" t="str">
        <f>IF(ISBLANK(Values!E3),"","4730574031")</f>
        <v>4730574031</v>
      </c>
      <c r="J4" s="29" t="str">
        <f>Values!B13</f>
        <v>HP 6560 parent</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48" x14ac:dyDescent="0.2">
      <c r="A5" s="1" t="str">
        <f>IF(ISBLANK(Values!E4),"",IF(Values!$B$37="EU","computercomponent","computer"))</f>
        <v>computercomponent</v>
      </c>
      <c r="B5" s="33" t="str">
        <f>IF(ISBLANK(Values!E4),"",Values!F4)</f>
        <v>HP 6560 Reg with point - DE</v>
      </c>
      <c r="C5" s="29" t="str">
        <f>IF(ISBLANK(Values!E4),"","TellusRem")</f>
        <v>TellusRem</v>
      </c>
      <c r="D5" s="28">
        <f>IF(ISBLANK(Values!E4),"",Values!E4)</f>
        <v>5714401667018</v>
      </c>
      <c r="E5" s="1" t="str">
        <f>IF(ISBLANK(Values!E4),"","EAN")</f>
        <v>EAN</v>
      </c>
      <c r="F5" s="27" t="str">
        <f>IF(ISBLANK(Values!E4),"",IF(Values!J4, SUBSTITUTE(Values!$B$1, "{language}", Values!H4) &amp; " " &amp;Values!$B$3, SUBSTITUTE(Values!$B$2, "{language}", Values!$H4) &amp; " " &amp;Values!$B$3))</f>
        <v>Teclado de respuesto Alemán sin retroiluminación  para HP   PROBOOK 6560B, PROBOOK 6565B, PROBOOK 6570B, ELITEBOOK 8560P, 6560B, 6565B, 6570B, 8560P</v>
      </c>
      <c r="G5" s="29" t="str">
        <f>IF(ISBLANK(Values!E4),"","TellusRem")</f>
        <v>TellusRem</v>
      </c>
      <c r="H5" s="1" t="str">
        <f>IF(ISBLANK(Values!E4),"",Values!$B$16)</f>
        <v>computer-keyboards</v>
      </c>
      <c r="I5" s="1" t="str">
        <f>IF(ISBLANK(Values!E4),"","4730574031")</f>
        <v>4730574031</v>
      </c>
      <c r="J5" s="31" t="str">
        <f>IF(ISBLANK(Values!E4),"",Values!F4 )</f>
        <v>HP 6560 Reg with point - DE</v>
      </c>
      <c r="K5" s="27">
        <f>IF(ISBLANK(Values!E4),"",IF(Values!J4, Values!$B$4, Values!$B$5))</f>
        <v>37.99</v>
      </c>
      <c r="L5" s="27" t="str">
        <f>IF(ISBLANK(Values!E4),"",IF($CO5="DEFAULT", Values!$B$18, ""))</f>
        <v/>
      </c>
      <c r="M5" s="27" t="str">
        <f>IF(ISBLANK(Values!E4),"",Values!$M4)</f>
        <v>https://raw.githubusercontent.com/PatrickVibild/TellusAmazonPictures/master/pictures/HP/W. PS/6560B SILVER/REG/DE/1.jpg</v>
      </c>
      <c r="N5" s="27" t="str">
        <f>IF(ISBLANK(Values!$F4),"",Values!N4)</f>
        <v>https://raw.githubusercontent.com/PatrickVibild/TellusAmazonPictures/master/pictures/HP/W. PS/6560B SILVER/REG/DE/2.jpg</v>
      </c>
      <c r="O5" s="27" t="str">
        <f>IF(ISBLANK(Values!$F4),"",Values!O4)</f>
        <v>https://raw.githubusercontent.com/PatrickVibild/TellusAmazonPictures/master/pictures/HP/W. PS/6560B SILVER/REG/DE/3.jpg</v>
      </c>
      <c r="P5" s="27" t="str">
        <f>IF(ISBLANK(Values!$F4),"",Values!P4)</f>
        <v>https://raw.githubusercontent.com/PatrickVibild/TellusAmazonPictures/master/pictures/HP/W. PS/6560B SILVER/REG/DE/4.jpg</v>
      </c>
      <c r="Q5" s="27" t="str">
        <f>IF(ISBLANK(Values!$F4),"",Values!Q4)</f>
        <v>https://raw.githubusercontent.com/PatrickVibild/TellusAmazonPictures/master/pictures/HP/W. PS/6560B SILVER/REG/DE/5.jpg</v>
      </c>
      <c r="R5" s="27" t="str">
        <f>IF(ISBLANK(Values!$F4),"",Values!R4)</f>
        <v>https://raw.githubusercontent.com/PatrickVibild/TellusAmazonPictures/master/pictures/HP/W. PS/6560B SILVER/REG/DE/6.jpg</v>
      </c>
      <c r="S5" s="27" t="str">
        <f>IF(ISBLANK(Values!$F4),"",Values!S4)</f>
        <v>https://raw.githubusercontent.com/PatrickVibild/TellusAmazonPictures/master/pictures/HP/W. PS/6560B SILVER/REG/DE/7.jpg</v>
      </c>
      <c r="T5" s="27" t="str">
        <f>IF(ISBLANK(Values!$F4),"",Values!T4)</f>
        <v>https://raw.githubusercontent.com/PatrickVibild/TellusAmazonPictures/master/pictures/HP/W. PS/6560B SILVER/REG/DE/8.jpg</v>
      </c>
      <c r="U5" s="27" t="str">
        <f>IF(ISBLANK(Values!$F4),"",Values!U4)</f>
        <v>https://raw.githubusercontent.com/PatrickVibild/TellusAmazonPictures/master/pictures/HP/W. PS/6560B SILVER/REG/DE/9.jpg</v>
      </c>
      <c r="W5" s="29" t="str">
        <f>IF(ISBLANK(Values!E4),"","Child")</f>
        <v>Child</v>
      </c>
      <c r="X5" s="29" t="str">
        <f>IF(ISBLANK(Values!E4),"",Values!$B$13)</f>
        <v>HP 6560 parent</v>
      </c>
      <c r="Y5" s="31" t="str">
        <f>IF(ISBLANK(Values!E4),"","Size-Color")</f>
        <v>Size-Color</v>
      </c>
      <c r="Z5" s="29" t="str">
        <f>IF(ISBLANK(Values!E4),"","variation")</f>
        <v>variation</v>
      </c>
      <c r="AA5" s="1" t="str">
        <f>IF(ISBLANK(Values!E4),"",Values!$B$20)</f>
        <v>Update</v>
      </c>
      <c r="AB5" s="1" t="str">
        <f>IF(ISBLANK(Values!E4),"",Values!$B$29)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5" s="34" t="str">
        <f>IF(ISBLANK(Values!E4),"",IF(Values!I4,Values!$B$23,Values!$B$33))</f>
        <v>👉 REFORMADO: AHORRE DINERO - Reemplazo del teclado para portátil HP, misma calidad que los teclados OEM. TellusRem es el distribuidor líder de teclados en el mundo desde 2011. Teclado de reemplazo perfecto, fácil de reemplazar e instalar.</v>
      </c>
      <c r="AJ5" s="32" t="str">
        <f>IF(ISBLANK(Values!E4),"",Values!$B$24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PROBOOK 6560B, PROBOOK 6565B, PROBOOK 6570B, ELITEBOOK 8560P, 6560B, 6565B, 6570B, 8560P</v>
      </c>
      <c r="AK5" s="1" t="str">
        <f>IF(ISBLANK(Values!E4),"",Values!$B$25)</f>
        <v>♻️ PRODUCTO MEDIOAMBIENTAL - Compre reacondicionado, COMPRE VERDE. Reduzca más del 80% de dióxido de carbono comprando nuestros teclados reacondicionados, en comparación con obtener un teclado nuevo! Pieza de repuesto OEM perfecta para su teclado.</v>
      </c>
      <c r="AL5" s="1" t="str">
        <f>IF(ISBLANK(Values!E4),"",SUBSTITUTE(SUBSTITUTE(IF(Values!$J4, Values!$B$26, Values!$B$33), "{language}", Values!$H4), "{flag}", INDEX(options!$E$1:$E$20, Values!$V4)))</f>
        <v>👉 FORMATO – 🇩🇪 Alemán sin retroiluminación.</v>
      </c>
      <c r="AM5" s="1" t="str">
        <f>SUBSTITUTE(IF(ISBLANK(Values!E4),"",Values!$B$27), "{model}", Values!$B$3)</f>
        <v>👉 COMPATIBLE CON: HP PROBOOK 6560B, PROBOOK 6565B, PROBOOK 6570B, ELITEBOOK 8560P, 6560B, 6565B, 6570B, 8560P. Por favor, revise la imagen y la descripción cuidadosamente antes de comprar cualquier teclado. Esto asegura que obtenga el teclado correcto para su portátil. Instalación fácil.</v>
      </c>
      <c r="AT5" s="27" t="str">
        <f>IF(ISBLANK(Values!E4),"",Values!H4)</f>
        <v>Alemán</v>
      </c>
      <c r="AV5" s="1" t="str">
        <f>IF(ISBLANK(Values!E4),"",IF(Values!J4,"Backlit", "Non-Backlit"))</f>
        <v>Non-Backlit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5" s="1" t="str">
        <f>IF(ISBLANK(Values!E4),"","No")</f>
        <v>No</v>
      </c>
      <c r="DA5" s="1" t="str">
        <f>IF(ISBLANK(Values!E4),"","No")</f>
        <v>No</v>
      </c>
      <c r="DO5" s="1" t="str">
        <f>IF(ISBLANK(Values!E4),"","Parts")</f>
        <v>Parts</v>
      </c>
      <c r="DP5" s="1" t="str">
        <f>IF(ISBLANK(Values!E4),"",Values!$B$31)</f>
        <v>6 meses de garantía después de la fecha de entrega. En caso de mal funcionamiento del teclado, se enviará una nueva unidad o una pieza de repuesto para el teclado del producto. En caso de clasificación de existencias, se emite un reembolso completo.</v>
      </c>
      <c r="DY5" t="str">
        <f>IF(ISBLANK(Values!$E4), "", "not_applicable")</f>
        <v>not_applicable</v>
      </c>
      <c r="EI5" s="1" t="str">
        <f>IF(ISBLANK(Values!E4),"",Values!$B$31)</f>
        <v>6 meses de garantía después de la fecha de entrega. En caso de mal funcionamiento del teclado, se enviará una nueva unidad o una pieza de repuesto para el teclado del producto. En caso de clasificación de existencias, se emite un reembolso completo.</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f>IF(ISBLANK(Values!E4),"",IF(Values!J4, Values!$B$4, Values!$B$5))</f>
        <v>37.99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4">
        <f>K5</f>
        <v>37.99</v>
      </c>
    </row>
    <row r="6" spans="1:193" ht="48" x14ac:dyDescent="0.2">
      <c r="A6" s="1" t="str">
        <f>IF(ISBLANK(Values!E5),"",IF(Values!$B$37="EU","computercomponent","computer"))</f>
        <v>computercomponent</v>
      </c>
      <c r="B6" s="33" t="str">
        <f>IF(ISBLANK(Values!E5),"",Values!F5)</f>
        <v>HP 6560 Reg with point - FR</v>
      </c>
      <c r="C6" s="29" t="str">
        <f>IF(ISBLANK(Values!E5),"","TellusRem")</f>
        <v>TellusRem</v>
      </c>
      <c r="D6" s="28">
        <f>IF(ISBLANK(Values!E5),"",Values!E5)</f>
        <v>5714401667025</v>
      </c>
      <c r="E6" s="1" t="str">
        <f>IF(ISBLANK(Values!E5),"","EAN")</f>
        <v>EAN</v>
      </c>
      <c r="F6" s="27" t="str">
        <f>IF(ISBLANK(Values!E5),"",IF(Values!J5, SUBSTITUTE(Values!$B$1, "{language}", Values!H5) &amp; " " &amp;Values!$B$3, SUBSTITUTE(Values!$B$2, "{language}", Values!$H5) &amp; " " &amp;Values!$B$3))</f>
        <v>Teclado de respuesto Francés sin retroiluminación  para HP   PROBOOK 6560B, PROBOOK 6565B, PROBOOK 6570B, ELITEBOOK 8560P, 6560B, 6565B, 6570B, 8560P</v>
      </c>
      <c r="G6" s="29" t="str">
        <f>IF(ISBLANK(Values!E5),"","TellusRem")</f>
        <v>TellusRem</v>
      </c>
      <c r="H6" s="1" t="str">
        <f>IF(ISBLANK(Values!E5),"",Values!$B$16)</f>
        <v>computer-keyboards</v>
      </c>
      <c r="I6" s="1" t="str">
        <f>IF(ISBLANK(Values!E5),"","4730574031")</f>
        <v>4730574031</v>
      </c>
      <c r="J6" s="31" t="str">
        <f>IF(ISBLANK(Values!E5),"",Values!F5 )</f>
        <v>HP 6560 Reg with point - FR</v>
      </c>
      <c r="K6" s="27">
        <f>IF(ISBLANK(Values!E5),"",IF(Values!J5, Values!$B$4, Values!$B$5))</f>
        <v>37.99</v>
      </c>
      <c r="L6" s="27" t="str">
        <f>IF(ISBLANK(Values!E5),"",IF($CO6="DEFAULT", Values!$B$18, ""))</f>
        <v/>
      </c>
      <c r="M6" s="27" t="str">
        <f>IF(ISBLANK(Values!E5),"",Values!$M5)</f>
        <v>https://raw.githubusercontent.com/PatrickVibild/TellusAmazonPictures/master/pictures/HP/W. PS/6560B SILVER/REG/FR/1.jpg</v>
      </c>
      <c r="N6" s="27" t="str">
        <f>IF(ISBLANK(Values!$F5),"",Values!N5)</f>
        <v>https://raw.githubusercontent.com/PatrickVibild/TellusAmazonPictures/master/pictures/HP/W. PS/6560B SILVER/REG/FR/2.jpg</v>
      </c>
      <c r="O6" s="27" t="str">
        <f>IF(ISBLANK(Values!$F5),"",Values!O5)</f>
        <v>https://raw.githubusercontent.com/PatrickVibild/TellusAmazonPictures/master/pictures/HP/W. PS/6560B SILVER/REG/FR/3.jpg</v>
      </c>
      <c r="P6" s="27" t="str">
        <f>IF(ISBLANK(Values!$F5),"",Values!P5)</f>
        <v>https://raw.githubusercontent.com/PatrickVibild/TellusAmazonPictures/master/pictures/HP/W. PS/6560B SILVER/REG/FR/4.jpg</v>
      </c>
      <c r="Q6" s="27" t="str">
        <f>IF(ISBLANK(Values!$F5),"",Values!Q5)</f>
        <v>https://raw.githubusercontent.com/PatrickVibild/TellusAmazonPictures/master/pictures/HP/W. PS/6560B SILVER/REG/FR/5.jpg</v>
      </c>
      <c r="R6" s="27" t="str">
        <f>IF(ISBLANK(Values!$F5),"",Values!R5)</f>
        <v>https://raw.githubusercontent.com/PatrickVibild/TellusAmazonPictures/master/pictures/HP/W. PS/6560B SILVER/REG/FR/6.jpg</v>
      </c>
      <c r="S6" s="27" t="str">
        <f>IF(ISBLANK(Values!$F5),"",Values!S5)</f>
        <v>https://raw.githubusercontent.com/PatrickVibild/TellusAmazonPictures/master/pictures/HP/W. PS/6560B SILVER/REG/FR/7.jpg</v>
      </c>
      <c r="T6" s="27" t="str">
        <f>IF(ISBLANK(Values!$F5),"",Values!T5)</f>
        <v>https://raw.githubusercontent.com/PatrickVibild/TellusAmazonPictures/master/pictures/HP/W. PS/6560B SILVER/REG/FR/8.jpg</v>
      </c>
      <c r="U6" s="27" t="str">
        <f>IF(ISBLANK(Values!$F5),"",Values!U5)</f>
        <v>https://raw.githubusercontent.com/PatrickVibild/TellusAmazonPictures/master/pictures/HP/W. PS/6560B SILVER/REG/FR/9.jpg</v>
      </c>
      <c r="W6" s="29" t="str">
        <f>IF(ISBLANK(Values!E5),"","Child")</f>
        <v>Child</v>
      </c>
      <c r="X6" s="29" t="str">
        <f>IF(ISBLANK(Values!E5),"",Values!$B$13)</f>
        <v>HP 6560 parent</v>
      </c>
      <c r="Y6" s="31" t="str">
        <f>IF(ISBLANK(Values!E5),"","Size-Color")</f>
        <v>Size-Color</v>
      </c>
      <c r="Z6" s="29" t="str">
        <f>IF(ISBLANK(Values!E5),"","variation")</f>
        <v>variation</v>
      </c>
      <c r="AA6" s="1" t="str">
        <f>IF(ISBLANK(Values!E5),"",Values!$B$20)</f>
        <v>Update</v>
      </c>
      <c r="AB6" s="1" t="str">
        <f>IF(ISBLANK(Values!E5),"",Values!$B$29)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6" s="34" t="str">
        <f>IF(ISBLANK(Values!E5),"",IF(Values!I5,Values!$B$23,Values!$B$33))</f>
        <v>👉 REFORMADO: AHORRE DINERO - Reemplazo del teclado para portátil HP, misma calidad que los teclados OEM. TellusRem es el distribuidor líder de teclados en el mundo desde 2011. Teclado de reemplazo perfecto, fácil de reemplazar e instalar.</v>
      </c>
      <c r="AJ6" s="32" t="str">
        <f>IF(ISBLANK(Values!E5),"",Values!$B$24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PROBOOK 6560B, PROBOOK 6565B, PROBOOK 6570B, ELITEBOOK 8560P, 6560B, 6565B, 6570B, 8560P</v>
      </c>
      <c r="AK6" s="1" t="str">
        <f>IF(ISBLANK(Values!E5),"",Values!$B$25)</f>
        <v>♻️ PRODUCTO MEDIOAMBIENTAL - Compre reacondicionado, COMPRE VERDE. Reduzca más del 80% de dióxido de carbono comprando nuestros teclados reacondicionados, en comparación con obtener un teclado nuevo! Pieza de repuesto OEM perfecta para su teclado.</v>
      </c>
      <c r="AL6" s="1" t="str">
        <f>IF(ISBLANK(Values!E5),"",SUBSTITUTE(SUBSTITUTE(IF(Values!$J5, Values!$B$26, Values!$B$33), "{language}", Values!$H5), "{flag}", INDEX(options!$E$1:$E$20, Values!$V5)))</f>
        <v>👉 FORMATO – 🇫🇷 Francés sin retroiluminación.</v>
      </c>
      <c r="AM6" s="1" t="str">
        <f>SUBSTITUTE(IF(ISBLANK(Values!E5),"",Values!$B$27), "{model}", Values!$B$3)</f>
        <v>👉 COMPATIBLE CON: HP PROBOOK 6560B, PROBOOK 6565B, PROBOOK 6570B, ELITEBOOK 8560P, 6560B, 6565B, 6570B, 8560P. Por favor, revise la imagen y la descripción cuidadosamente antes de comprar cualquier teclado. Esto asegura que obtenga el teclado correcto para su portátil. Instalación fácil.</v>
      </c>
      <c r="AT6" s="27" t="str">
        <f>IF(ISBLANK(Values!E5),"",Values!H5)</f>
        <v>Francés</v>
      </c>
      <c r="AV6" s="1" t="str">
        <f>IF(ISBLANK(Values!E5),"",IF(Values!J5,"Backlit", "Non-Backlit"))</f>
        <v>Non-Backlit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6" s="1" t="str">
        <f>IF(ISBLANK(Values!E5),"","No")</f>
        <v>No</v>
      </c>
      <c r="DA6" s="1" t="str">
        <f>IF(ISBLANK(Values!E5),"","No")</f>
        <v>No</v>
      </c>
      <c r="DO6" s="1" t="str">
        <f>IF(ISBLANK(Values!E5),"","Parts")</f>
        <v>Parts</v>
      </c>
      <c r="DP6" s="1" t="str">
        <f>IF(ISBLANK(Values!E5),"",Values!$B$31)</f>
        <v>6 meses de garantía después de la fecha de entrega. En caso de mal funcionamiento del teclado, se enviará una nueva unidad o una pieza de repuesto para el teclado del producto. En caso de clasificación de existencias, se emite un reembolso completo.</v>
      </c>
      <c r="DY6" t="str">
        <f>IF(ISBLANK(Values!$E5), "", "not_applicable")</f>
        <v>not_applicable</v>
      </c>
      <c r="EI6" s="1" t="str">
        <f>IF(ISBLANK(Values!E5),"",Values!$B$31)</f>
        <v>6 meses de garantía después de la fecha de entrega. En caso de mal funcionamiento del teclado, se enviará una nueva unidad o una pieza de repuesto para el teclado del producto. En caso de clasificación de existencias, se emite un reembolso completo.</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f>IF(ISBLANK(Values!E5),"",IF(Values!J5, Values!$B$4, Values!$B$5))</f>
        <v>37.99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4">
        <f>K6</f>
        <v>37.99</v>
      </c>
    </row>
    <row r="7" spans="1:193" ht="48" x14ac:dyDescent="0.2">
      <c r="A7" s="1" t="str">
        <f>IF(ISBLANK(Values!E6),"",IF(Values!$B$37="EU","computercomponent","computer"))</f>
        <v>computercomponent</v>
      </c>
      <c r="B7" s="33" t="str">
        <f>IF(ISBLANK(Values!E6),"",Values!F6)</f>
        <v>HP 6560 Reg with point - IT</v>
      </c>
      <c r="C7" s="29" t="str">
        <f>IF(ISBLANK(Values!E6),"","TellusRem")</f>
        <v>TellusRem</v>
      </c>
      <c r="D7" s="28">
        <f>IF(ISBLANK(Values!E6),"",Values!E6)</f>
        <v>5714401667032</v>
      </c>
      <c r="E7" s="1" t="str">
        <f>IF(ISBLANK(Values!E6),"","EAN")</f>
        <v>EAN</v>
      </c>
      <c r="F7" s="27" t="str">
        <f>IF(ISBLANK(Values!E6),"",IF(Values!J6, SUBSTITUTE(Values!$B$1, "{language}", Values!H6) &amp; " " &amp;Values!$B$3, SUBSTITUTE(Values!$B$2, "{language}", Values!$H6) &amp; " " &amp;Values!$B$3))</f>
        <v>Teclado de respuesto Italiano sin retroiluminación  para HP   PROBOOK 6560B, PROBOOK 6565B, PROBOOK 6570B, ELITEBOOK 8560P, 6560B, 6565B, 6570B, 8560P</v>
      </c>
      <c r="G7" s="29" t="str">
        <f>IF(ISBLANK(Values!E6),"","TellusRem")</f>
        <v>TellusRem</v>
      </c>
      <c r="H7" s="1" t="str">
        <f>IF(ISBLANK(Values!E6),"",Values!$B$16)</f>
        <v>computer-keyboards</v>
      </c>
      <c r="I7" s="1" t="str">
        <f>IF(ISBLANK(Values!E6),"","4730574031")</f>
        <v>4730574031</v>
      </c>
      <c r="J7" s="31" t="str">
        <f>IF(ISBLANK(Values!E6),"",Values!F6 )</f>
        <v>HP 6560 Reg with point - IT</v>
      </c>
      <c r="K7" s="27">
        <f>IF(ISBLANK(Values!E6),"",IF(Values!J6, Values!$B$4, Values!$B$5))</f>
        <v>37.99</v>
      </c>
      <c r="L7" s="27" t="str">
        <f>IF(ISBLANK(Values!E6),"",IF($CO7="DEFAULT", Values!$B$18, ""))</f>
        <v/>
      </c>
      <c r="M7" s="27" t="str">
        <f>IF(ISBLANK(Values!E6),"",Values!$M6)</f>
        <v>https://raw.githubusercontent.com/PatrickVibild/TellusAmazonPictures/master/pictures/HP/W. PS/6560B SILVER/REG/IT/1.jpg</v>
      </c>
      <c r="N7" s="27" t="str">
        <f>IF(ISBLANK(Values!$F6),"",Values!N6)</f>
        <v>https://raw.githubusercontent.com/PatrickVibild/TellusAmazonPictures/master/pictures/HP/W. PS/6560B SILVER/REG/IT/2.jpg</v>
      </c>
      <c r="O7" s="27" t="str">
        <f>IF(ISBLANK(Values!$F6),"",Values!O6)</f>
        <v>https://raw.githubusercontent.com/PatrickVibild/TellusAmazonPictures/master/pictures/HP/W. PS/6560B SILVER/REG/IT/3.jpg</v>
      </c>
      <c r="P7" s="27" t="str">
        <f>IF(ISBLANK(Values!$F6),"",Values!P6)</f>
        <v>https://raw.githubusercontent.com/PatrickVibild/TellusAmazonPictures/master/pictures/HP/W. PS/6560B SILVER/REG/IT/4.jpg</v>
      </c>
      <c r="Q7" s="27" t="str">
        <f>IF(ISBLANK(Values!$F6),"",Values!Q6)</f>
        <v>https://raw.githubusercontent.com/PatrickVibild/TellusAmazonPictures/master/pictures/HP/W. PS/6560B SILVER/REG/IT/5.jpg</v>
      </c>
      <c r="R7" s="27" t="str">
        <f>IF(ISBLANK(Values!$F6),"",Values!R6)</f>
        <v>https://raw.githubusercontent.com/PatrickVibild/TellusAmazonPictures/master/pictures/HP/W. PS/6560B SILVER/REG/IT/6.jpg</v>
      </c>
      <c r="S7" s="27" t="str">
        <f>IF(ISBLANK(Values!$F6),"",Values!S6)</f>
        <v>https://raw.githubusercontent.com/PatrickVibild/TellusAmazonPictures/master/pictures/HP/W. PS/6560B SILVER/REG/IT/7.jpg</v>
      </c>
      <c r="T7" s="27" t="str">
        <f>IF(ISBLANK(Values!$F6),"",Values!T6)</f>
        <v>https://raw.githubusercontent.com/PatrickVibild/TellusAmazonPictures/master/pictures/HP/W. PS/6560B SILVER/REG/IT/8.jpg</v>
      </c>
      <c r="U7" s="27" t="str">
        <f>IF(ISBLANK(Values!$F6),"",Values!U6)</f>
        <v>https://raw.githubusercontent.com/PatrickVibild/TellusAmazonPictures/master/pictures/HP/W. PS/6560B SILVER/REG/IT/9.jpg</v>
      </c>
      <c r="W7" s="29" t="str">
        <f>IF(ISBLANK(Values!E6),"","Child")</f>
        <v>Child</v>
      </c>
      <c r="X7" s="29" t="str">
        <f>IF(ISBLANK(Values!E6),"",Values!$B$13)</f>
        <v>HP 6560 parent</v>
      </c>
      <c r="Y7" s="31" t="str">
        <f>IF(ISBLANK(Values!E6),"","Size-Color")</f>
        <v>Size-Color</v>
      </c>
      <c r="Z7" s="29" t="str">
        <f>IF(ISBLANK(Values!E6),"","variation")</f>
        <v>variation</v>
      </c>
      <c r="AA7" s="1" t="str">
        <f>IF(ISBLANK(Values!E6),"",Values!$B$20)</f>
        <v>Update</v>
      </c>
      <c r="AB7" s="1" t="str">
        <f>IF(ISBLANK(Values!E6),"",Values!$B$29)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7" s="34" t="str">
        <f>IF(ISBLANK(Values!E6),"",IF(Values!I6,Values!$B$23,Values!$B$33))</f>
        <v>👉 REFORMADO: AHORRE DINERO - Reemplazo del teclado para portátil HP, misma calidad que los teclados OEM. TellusRem es el distribuidor líder de teclados en el mundo desde 2011. Teclado de reemplazo perfecto, fácil de reemplazar e instalar.</v>
      </c>
      <c r="AJ7" s="32" t="str">
        <f>IF(ISBLANK(Values!E6),"",Values!$B$24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PROBOOK 6560B, PROBOOK 6565B, PROBOOK 6570B, ELITEBOOK 8560P, 6560B, 6565B, 6570B, 8560P</v>
      </c>
      <c r="AK7" s="1" t="str">
        <f>IF(ISBLANK(Values!E6),"",Values!$B$25)</f>
        <v>♻️ PRODUCTO MEDIOAMBIENTAL - Compre reacondicionado, COMPRE VERDE. Reduzca más del 80% de dióxido de carbono comprando nuestros teclados reacondicionados, en comparación con obtener un teclado nuevo! Pieza de repuesto OEM perfecta para su teclado.</v>
      </c>
      <c r="AL7" s="1" t="str">
        <f>IF(ISBLANK(Values!E6),"",SUBSTITUTE(SUBSTITUTE(IF(Values!$J6, Values!$B$26, Values!$B$33), "{language}", Values!$H6), "{flag}", INDEX(options!$E$1:$E$20, Values!$V6)))</f>
        <v>👉 FORMATO – 🇮🇹 Italiano sin retroiluminación.</v>
      </c>
      <c r="AM7" s="1" t="str">
        <f>SUBSTITUTE(IF(ISBLANK(Values!E6),"",Values!$B$27), "{model}", Values!$B$3)</f>
        <v>👉 COMPATIBLE CON: HP PROBOOK 6560B, PROBOOK 6565B, PROBOOK 6570B, ELITEBOOK 8560P, 6560B, 6565B, 6570B, 8560P. Por favor, revise la imagen y la descripción cuidadosamente antes de comprar cualquier teclado. Esto asegura que obtenga el teclado correcto para su portátil. Instalación fácil.</v>
      </c>
      <c r="AT7" s="27" t="str">
        <f>IF(ISBLANK(Values!E6),"",Values!H6)</f>
        <v>Italiano</v>
      </c>
      <c r="AV7" s="1" t="str">
        <f>IF(ISBLANK(Values!E6),"",IF(Values!J6,"Backlit", "Non-Backlit"))</f>
        <v>Non-Backlit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7" s="1" t="str">
        <f>IF(ISBLANK(Values!E6),"","No")</f>
        <v>No</v>
      </c>
      <c r="DA7" s="1" t="str">
        <f>IF(ISBLANK(Values!E6),"","No")</f>
        <v>No</v>
      </c>
      <c r="DO7" s="1" t="str">
        <f>IF(ISBLANK(Values!E6),"","Parts")</f>
        <v>Parts</v>
      </c>
      <c r="DP7" s="1" t="str">
        <f>IF(ISBLANK(Values!E6),"",Values!$B$31)</f>
        <v>6 meses de garantía después de la fecha de entrega. En caso de mal funcionamiento del teclado, se enviará una nueva unidad o una pieza de repuesto para el teclado del producto. En caso de clasificación de existencias, se emite un reembolso completo.</v>
      </c>
      <c r="DY7" t="str">
        <f>IF(ISBLANK(Values!$E6), "", "not_applicable")</f>
        <v>not_applicable</v>
      </c>
      <c r="EI7" s="1" t="str">
        <f>IF(ISBLANK(Values!E6),"",Values!$B$31)</f>
        <v>6 meses de garantía después de la fecha de entrega. En caso de mal funcionamiento del teclado, se enviará una nueva unidad o una pieza de repuesto para el teclado del producto. En caso de clasificación de existencias, se emite un reembolso completo.</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f>IF(ISBLANK(Values!E6),"",IF(Values!J6, Values!$B$4, Values!$B$5))</f>
        <v>37.99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4">
        <f>K7</f>
        <v>37.99</v>
      </c>
    </row>
    <row r="8" spans="1:193" ht="48" x14ac:dyDescent="0.2">
      <c r="A8" s="1" t="str">
        <f>IF(ISBLANK(Values!E7),"",IF(Values!$B$37="EU","computercomponent","computer"))</f>
        <v>computercomponent</v>
      </c>
      <c r="B8" s="33" t="str">
        <f>IF(ISBLANK(Values!E7),"",Values!F7)</f>
        <v>HP 6560 Reg with point - ES</v>
      </c>
      <c r="C8" s="29" t="str">
        <f>IF(ISBLANK(Values!E7),"","TellusRem")</f>
        <v>TellusRem</v>
      </c>
      <c r="D8" s="28">
        <f>IF(ISBLANK(Values!E7),"",Values!E7)</f>
        <v>5714401667049</v>
      </c>
      <c r="E8" s="1" t="str">
        <f>IF(ISBLANK(Values!E7),"","EAN")</f>
        <v>EAN</v>
      </c>
      <c r="F8" s="27" t="str">
        <f>IF(ISBLANK(Values!E7),"",IF(Values!J7, SUBSTITUTE(Values!$B$1, "{language}", Values!H7) &amp; " " &amp;Values!$B$3, SUBSTITUTE(Values!$B$2, "{language}", Values!$H7) &amp; " " &amp;Values!$B$3))</f>
        <v>Teclado de respuesto Español sin retroiluminación  para HP   PROBOOK 6560B, PROBOOK 6565B, PROBOOK 6570B, ELITEBOOK 8560P, 6560B, 6565B, 6570B, 8560P</v>
      </c>
      <c r="G8" s="29" t="str">
        <f>IF(ISBLANK(Values!E7),"","TellusRem")</f>
        <v>TellusRem</v>
      </c>
      <c r="H8" s="1" t="str">
        <f>IF(ISBLANK(Values!E7),"",Values!$B$16)</f>
        <v>computer-keyboards</v>
      </c>
      <c r="I8" s="1" t="str">
        <f>IF(ISBLANK(Values!E7),"","4730574031")</f>
        <v>4730574031</v>
      </c>
      <c r="J8" s="31" t="str">
        <f>IF(ISBLANK(Values!E7),"",Values!F7 )</f>
        <v>HP 6560 Reg with point - ES</v>
      </c>
      <c r="K8" s="27">
        <f>IF(ISBLANK(Values!E7),"",IF(Values!J7, Values!$B$4, Values!$B$5))</f>
        <v>37.99</v>
      </c>
      <c r="L8" s="27" t="str">
        <f>IF(ISBLANK(Values!E7),"",IF($CO8="DEFAULT", Values!$B$18, ""))</f>
        <v/>
      </c>
      <c r="M8" s="27" t="str">
        <f>IF(ISBLANK(Values!E7),"",Values!$M7)</f>
        <v>https://raw.githubusercontent.com/PatrickVibild/TellusAmazonPictures/master/pictures/HP/W. PS/6560B SILVER/REG/ES/1.jpg</v>
      </c>
      <c r="N8" s="27" t="str">
        <f>IF(ISBLANK(Values!$F7),"",Values!N7)</f>
        <v>https://raw.githubusercontent.com/PatrickVibild/TellusAmazonPictures/master/pictures/HP/W. PS/6560B SILVER/REG/ES/2.jpg</v>
      </c>
      <c r="O8" s="27" t="str">
        <f>IF(ISBLANK(Values!$F7),"",Values!O7)</f>
        <v>https://raw.githubusercontent.com/PatrickVibild/TellusAmazonPictures/master/pictures/HP/W. PS/6560B SILVER/REG/ES/3.jpg</v>
      </c>
      <c r="P8" s="27" t="str">
        <f>IF(ISBLANK(Values!$F7),"",Values!P7)</f>
        <v>https://raw.githubusercontent.com/PatrickVibild/TellusAmazonPictures/master/pictures/HP/W. PS/6560B SILVER/REG/ES/4.jpg</v>
      </c>
      <c r="Q8" s="27" t="str">
        <f>IF(ISBLANK(Values!$F7),"",Values!Q7)</f>
        <v>https://raw.githubusercontent.com/PatrickVibild/TellusAmazonPictures/master/pictures/HP/W. PS/6560B SILVER/REG/ES/5.jpg</v>
      </c>
      <c r="R8" s="27" t="str">
        <f>IF(ISBLANK(Values!$F7),"",Values!R7)</f>
        <v>https://raw.githubusercontent.com/PatrickVibild/TellusAmazonPictures/master/pictures/HP/W. PS/6560B SILVER/REG/ES/6.jpg</v>
      </c>
      <c r="S8" s="27" t="str">
        <f>IF(ISBLANK(Values!$F7),"",Values!S7)</f>
        <v>https://raw.githubusercontent.com/PatrickVibild/TellusAmazonPictures/master/pictures/HP/W. PS/6560B SILVER/REG/ES/7.jpg</v>
      </c>
      <c r="T8" s="27" t="str">
        <f>IF(ISBLANK(Values!$F7),"",Values!T7)</f>
        <v>https://raw.githubusercontent.com/PatrickVibild/TellusAmazonPictures/master/pictures/HP/W. PS/6560B SILVER/REG/ES/8.jpg</v>
      </c>
      <c r="U8" s="27" t="str">
        <f>IF(ISBLANK(Values!$F7),"",Values!U7)</f>
        <v>https://raw.githubusercontent.com/PatrickVibild/TellusAmazonPictures/master/pictures/HP/W. PS/6560B SILVER/REG/ES/9.jpg</v>
      </c>
      <c r="W8" s="29" t="str">
        <f>IF(ISBLANK(Values!E7),"","Child")</f>
        <v>Child</v>
      </c>
      <c r="X8" s="29" t="str">
        <f>IF(ISBLANK(Values!E7),"",Values!$B$13)</f>
        <v>HP 6560 parent</v>
      </c>
      <c r="Y8" s="31" t="str">
        <f>IF(ISBLANK(Values!E7),"","Size-Color")</f>
        <v>Size-Color</v>
      </c>
      <c r="Z8" s="29" t="str">
        <f>IF(ISBLANK(Values!E7),"","variation")</f>
        <v>variation</v>
      </c>
      <c r="AA8" s="1" t="str">
        <f>IF(ISBLANK(Values!E7),"",Values!$B$20)</f>
        <v>Update</v>
      </c>
      <c r="AB8" s="1" t="str">
        <f>IF(ISBLANK(Values!E7),"",Values!$B$29)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8" s="34" t="str">
        <f>IF(ISBLANK(Values!E7),"",IF(Values!I7,Values!$B$23,Values!$B$33))</f>
        <v>👉 REFORMADO: AHORRE DINERO - Reemplazo del teclado para portátil HP, misma calidad que los teclados OEM. TellusRem es el distribuidor líder de teclados en el mundo desde 2011. Teclado de reemplazo perfecto, fácil de reemplazar e instalar.</v>
      </c>
      <c r="AJ8" s="32" t="str">
        <f>IF(ISBLANK(Values!E7),"",Values!$B$24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PROBOOK 6560B, PROBOOK 6565B, PROBOOK 6570B, ELITEBOOK 8560P, 6560B, 6565B, 6570B, 8560P</v>
      </c>
      <c r="AK8" s="1" t="str">
        <f>IF(ISBLANK(Values!E7),"",Values!$B$25)</f>
        <v>♻️ PRODUCTO MEDIOAMBIENTAL - Compre reacondicionado, COMPRE VERDE. Reduzca más del 80% de dióxido de carbono comprando nuestros teclados reacondicionados, en comparación con obtener un teclado nuevo! Pieza de repuesto OEM perfecta para su teclado.</v>
      </c>
      <c r="AL8" s="1" t="str">
        <f>IF(ISBLANK(Values!E7),"",SUBSTITUTE(SUBSTITUTE(IF(Values!$J7, Values!$B$26, Values!$B$33), "{language}", Values!$H7), "{flag}", INDEX(options!$E$1:$E$20, Values!$V7)))</f>
        <v>👉 FORMATO – 🇪🇸 Español sin retroiluminación.</v>
      </c>
      <c r="AM8" s="1" t="str">
        <f>SUBSTITUTE(IF(ISBLANK(Values!E7),"",Values!$B$27), "{model}", Values!$B$3)</f>
        <v>👉 COMPATIBLE CON: HP PROBOOK 6560B, PROBOOK 6565B, PROBOOK 6570B, ELITEBOOK 8560P, 6560B, 6565B, 6570B, 8560P. Por favor, revise la imagen y la descripción cuidadosamente antes de comprar cualquier teclado. Esto asegura que obtenga el teclado correcto para su portátil. Instalación fácil.</v>
      </c>
      <c r="AT8" s="27" t="str">
        <f>IF(ISBLANK(Values!E7),"",Values!H7)</f>
        <v>Español</v>
      </c>
      <c r="AV8" s="1" t="str">
        <f>IF(ISBLANK(Values!E7),"",IF(Values!J7,"Backlit", "Non-Backlit"))</f>
        <v>Non-Backlit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8" s="1" t="str">
        <f>IF(ISBLANK(Values!E7),"","No")</f>
        <v>No</v>
      </c>
      <c r="DA8" s="1" t="str">
        <f>IF(ISBLANK(Values!E7),"","No")</f>
        <v>No</v>
      </c>
      <c r="DO8" s="1" t="str">
        <f>IF(ISBLANK(Values!E7),"","Parts")</f>
        <v>Parts</v>
      </c>
      <c r="DP8" s="1" t="str">
        <f>IF(ISBLANK(Values!E7),"",Values!$B$31)</f>
        <v>6 meses de garantía después de la fecha de entrega. En caso de mal funcionamiento del teclado, se enviará una nueva unidad o una pieza de repuesto para el teclado del producto. En caso de clasificación de existencias, se emite un reembolso completo.</v>
      </c>
      <c r="DY8" t="str">
        <f>IF(ISBLANK(Values!$E7), "", "not_applicable")</f>
        <v>not_applicable</v>
      </c>
      <c r="EI8" s="1" t="str">
        <f>IF(ISBLANK(Values!E7),"",Values!$B$31)</f>
        <v>6 meses de garantía después de la fecha de entrega. En caso de mal funcionamiento del teclado, se enviará una nueva unidad o una pieza de repuesto para el teclado del producto. En caso de clasificación de existencias, se emite un reembolso completo.</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f>IF(ISBLANK(Values!E7),"",IF(Values!J7, Values!$B$4, Values!$B$5))</f>
        <v>37.99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4">
        <f>K8</f>
        <v>37.99</v>
      </c>
    </row>
    <row r="9" spans="1:193" ht="48" x14ac:dyDescent="0.2">
      <c r="A9" s="1" t="str">
        <f>IF(ISBLANK(Values!E8),"",IF(Values!$B$37="EU","computercomponent","computer"))</f>
        <v>computercomponent</v>
      </c>
      <c r="B9" s="33" t="str">
        <f>IF(ISBLANK(Values!E8),"",Values!F8)</f>
        <v>HP 6560 Reg with point - UK</v>
      </c>
      <c r="C9" s="29" t="str">
        <f>IF(ISBLANK(Values!E8),"","TellusRem")</f>
        <v>TellusRem</v>
      </c>
      <c r="D9" s="28">
        <f>IF(ISBLANK(Values!E8),"",Values!E8)</f>
        <v>5714401667056</v>
      </c>
      <c r="E9" s="1" t="str">
        <f>IF(ISBLANK(Values!E8),"","EAN")</f>
        <v>EAN</v>
      </c>
      <c r="F9" s="27" t="str">
        <f>IF(ISBLANK(Values!E8),"",IF(Values!J8, SUBSTITUTE(Values!$B$1, "{language}", Values!H8) &amp; " " &amp;Values!$B$3, SUBSTITUTE(Values!$B$2, "{language}", Values!$H8) &amp; " " &amp;Values!$B$3))</f>
        <v>Teclado de respuesto Ingles sin retroiluminación  para HP   PROBOOK 6560B, PROBOOK 6565B, PROBOOK 6570B, ELITEBOOK 8560P, 6560B, 6565B, 6570B, 8560P</v>
      </c>
      <c r="G9" s="29" t="str">
        <f>IF(ISBLANK(Values!E8),"","TellusRem")</f>
        <v>TellusRem</v>
      </c>
      <c r="H9" s="1" t="str">
        <f>IF(ISBLANK(Values!E8),"",Values!$B$16)</f>
        <v>computer-keyboards</v>
      </c>
      <c r="I9" s="1" t="str">
        <f>IF(ISBLANK(Values!E8),"","4730574031")</f>
        <v>4730574031</v>
      </c>
      <c r="J9" s="31" t="str">
        <f>IF(ISBLANK(Values!E8),"",Values!F8 )</f>
        <v>HP 6560 Reg with point - UK</v>
      </c>
      <c r="K9" s="27">
        <f>IF(ISBLANK(Values!E8),"",IF(Values!J8, Values!$B$4, Values!$B$5))</f>
        <v>37.99</v>
      </c>
      <c r="L9" s="27" t="str">
        <f>IF(ISBLANK(Values!E8),"",IF($CO9="DEFAULT", Values!$B$18, ""))</f>
        <v/>
      </c>
      <c r="M9" s="27" t="str">
        <f>IF(ISBLANK(Values!E8),"",Values!$M8)</f>
        <v>https://raw.githubusercontent.com/PatrickVibild/TellusAmazonPictures/master/pictures/HP/W. PS/6560B SILVER/REG/UK/1.jpg</v>
      </c>
      <c r="N9" s="27" t="str">
        <f>IF(ISBLANK(Values!$F8),"",Values!N8)</f>
        <v>https://raw.githubusercontent.com/PatrickVibild/TellusAmazonPictures/master/pictures/HP/W. PS/6560B SILVER/REG/UK/2.jpg</v>
      </c>
      <c r="O9" s="27" t="str">
        <f>IF(ISBLANK(Values!$F8),"",Values!O8)</f>
        <v>https://raw.githubusercontent.com/PatrickVibild/TellusAmazonPictures/master/pictures/HP/W. PS/6560B SILVER/REG/UK/3.jpg</v>
      </c>
      <c r="P9" s="27" t="str">
        <f>IF(ISBLANK(Values!$F8),"",Values!P8)</f>
        <v>https://raw.githubusercontent.com/PatrickVibild/TellusAmazonPictures/master/pictures/HP/W. PS/6560B SILVER/REG/UK/4.jpg</v>
      </c>
      <c r="Q9" s="27" t="str">
        <f>IF(ISBLANK(Values!$F8),"",Values!Q8)</f>
        <v>https://raw.githubusercontent.com/PatrickVibild/TellusAmazonPictures/master/pictures/HP/W. PS/6560B SILVER/REG/UK/5.jpg</v>
      </c>
      <c r="R9" s="27" t="str">
        <f>IF(ISBLANK(Values!$F8),"",Values!R8)</f>
        <v>https://raw.githubusercontent.com/PatrickVibild/TellusAmazonPictures/master/pictures/HP/W. PS/6560B SILVER/REG/UK/6.jpg</v>
      </c>
      <c r="S9" s="27" t="str">
        <f>IF(ISBLANK(Values!$F8),"",Values!S8)</f>
        <v>https://raw.githubusercontent.com/PatrickVibild/TellusAmazonPictures/master/pictures/HP/W. PS/6560B SILVER/REG/UK/7.jpg</v>
      </c>
      <c r="T9" s="27" t="str">
        <f>IF(ISBLANK(Values!$F8),"",Values!T8)</f>
        <v>https://raw.githubusercontent.com/PatrickVibild/TellusAmazonPictures/master/pictures/HP/W. PS/6560B SILVER/REG/UK/8.jpg</v>
      </c>
      <c r="U9" s="27" t="str">
        <f>IF(ISBLANK(Values!$F8),"",Values!U8)</f>
        <v>https://raw.githubusercontent.com/PatrickVibild/TellusAmazonPictures/master/pictures/HP/W. PS/6560B SILVER/REG/UK/9.jpg</v>
      </c>
      <c r="W9" s="29" t="str">
        <f>IF(ISBLANK(Values!E8),"","Child")</f>
        <v>Child</v>
      </c>
      <c r="X9" s="29" t="str">
        <f>IF(ISBLANK(Values!E8),"",Values!$B$13)</f>
        <v>HP 6560 parent</v>
      </c>
      <c r="Y9" s="31" t="str">
        <f>IF(ISBLANK(Values!E8),"","Size-Color")</f>
        <v>Size-Color</v>
      </c>
      <c r="Z9" s="29" t="str">
        <f>IF(ISBLANK(Values!E8),"","variation")</f>
        <v>variation</v>
      </c>
      <c r="AA9" s="1" t="str">
        <f>IF(ISBLANK(Values!E8),"",Values!$B$20)</f>
        <v>Update</v>
      </c>
      <c r="AB9" s="1" t="str">
        <f>IF(ISBLANK(Values!E8),"",Values!$B$29)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9" s="34" t="str">
        <f>IF(ISBLANK(Values!E8),"",IF(Values!I8,Values!$B$23,Values!$B$33))</f>
        <v>👉 REFORMADO: AHORRE DINERO - Reemplazo del teclado para portátil HP, misma calidad que los teclados OEM. TellusRem es el distribuidor líder de teclados en el mundo desde 2011. Teclado de reemplazo perfecto, fácil de reemplazar e instalar.</v>
      </c>
      <c r="AJ9" s="32" t="str">
        <f>IF(ISBLANK(Values!E8),"",Values!$B$24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PROBOOK 6560B, PROBOOK 6565B, PROBOOK 6570B, ELITEBOOK 8560P, 6560B, 6565B, 6570B, 8560P</v>
      </c>
      <c r="AK9" s="1" t="str">
        <f>IF(ISBLANK(Values!E8),"",Values!$B$25)</f>
        <v>♻️ PRODUCTO MEDIOAMBIENTAL - Compre reacondicionado, COMPRE VERDE. Reduzca más del 80% de dióxido de carbono comprando nuestros teclados reacondicionados, en comparación con obtener un teclado nuevo! Pieza de repuesto OEM perfecta para su teclado.</v>
      </c>
      <c r="AL9" s="1" t="str">
        <f>IF(ISBLANK(Values!E8),"",SUBSTITUTE(SUBSTITUTE(IF(Values!$J8, Values!$B$26, Values!$B$33), "{language}", Values!$H8), "{flag}", INDEX(options!$E$1:$E$20, Values!$V8)))</f>
        <v>👉 FORMATO – 🇬🇧 Ingles sin retroiluminación.</v>
      </c>
      <c r="AM9" s="1" t="str">
        <f>SUBSTITUTE(IF(ISBLANK(Values!E8),"",Values!$B$27), "{model}", Values!$B$3)</f>
        <v>👉 COMPATIBLE CON: HP PROBOOK 6560B, PROBOOK 6565B, PROBOOK 6570B, ELITEBOOK 8560P, 6560B, 6565B, 6570B, 8560P. Por favor, revise la imagen y la descripción cuidadosamente antes de comprar cualquier teclado. Esto asegura que obtenga el teclado correcto para su portátil. Instalación fácil.</v>
      </c>
      <c r="AT9" s="27" t="str">
        <f>IF(ISBLANK(Values!E8),"",Values!H8)</f>
        <v>Ingles</v>
      </c>
      <c r="AV9" s="1" t="str">
        <f>IF(ISBLANK(Values!E8),"",IF(Values!J8,"Backlit", "Non-Backlit"))</f>
        <v>Non-Backlit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9" s="1" t="str">
        <f>IF(ISBLANK(Values!E8),"","No")</f>
        <v>No</v>
      </c>
      <c r="DA9" s="1" t="str">
        <f>IF(ISBLANK(Values!E8),"","No")</f>
        <v>No</v>
      </c>
      <c r="DO9" s="1" t="str">
        <f>IF(ISBLANK(Values!E8),"","Parts")</f>
        <v>Parts</v>
      </c>
      <c r="DP9" s="1" t="str">
        <f>IF(ISBLANK(Values!E8),"",Values!$B$31)</f>
        <v>6 meses de garantía después de la fecha de entrega. En caso de mal funcionamiento del teclado, se enviará una nueva unidad o una pieza de repuesto para el teclado del producto. En caso de clasificación de existencias, se emite un reembolso completo.</v>
      </c>
      <c r="DY9" t="str">
        <f>IF(ISBLANK(Values!$E8), "", "not_applicable")</f>
        <v>not_applicable</v>
      </c>
      <c r="EI9" s="1" t="str">
        <f>IF(ISBLANK(Values!E8),"",Values!$B$31)</f>
        <v>6 meses de garantía después de la fecha de entrega. En caso de mal funcionamiento del teclado, se enviará una nueva unidad o una pieza de repuesto para el teclado del producto. En caso de clasificación de existencias, se emite un reembolso completo.</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f>IF(ISBLANK(Values!E8),"",IF(Values!J8, Values!$B$4, Values!$B$5))</f>
        <v>37.99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4">
        <f>K9</f>
        <v>37.99</v>
      </c>
    </row>
    <row r="10" spans="1:193" ht="48" x14ac:dyDescent="0.2">
      <c r="A10" s="1" t="str">
        <f>IF(ISBLANK(Values!E9),"",IF(Values!$B$37="EU","computercomponent","computer"))</f>
        <v>computercomponent</v>
      </c>
      <c r="B10" s="33" t="str">
        <f>IF(ISBLANK(Values!E9),"",Values!F9)</f>
        <v>HP 6560 Reg with point - NORDIC</v>
      </c>
      <c r="C10" s="29" t="str">
        <f>IF(ISBLANK(Values!E9),"","TellusRem")</f>
        <v>TellusRem</v>
      </c>
      <c r="D10" s="28">
        <f>IF(ISBLANK(Values!E9),"",Values!E9)</f>
        <v>5714401667063</v>
      </c>
      <c r="E10" s="1" t="str">
        <f>IF(ISBLANK(Values!E9),"","EAN")</f>
        <v>EAN</v>
      </c>
      <c r="F10" s="27" t="str">
        <f>IF(ISBLANK(Values!E9),"",IF(Values!J9, SUBSTITUTE(Values!$B$1, "{language}", Values!H9) &amp; " " &amp;Values!$B$3, SUBSTITUTE(Values!$B$2, "{language}", Values!$H9) &amp; " " &amp;Values!$B$3))</f>
        <v>Teclado de respuesto Escandinavo - nórdico sin retroiluminación  para HP   PROBOOK 6560B, PROBOOK 6565B, PROBOOK 6570B, ELITEBOOK 8560P, 6560B, 6565B, 6570B, 8560P</v>
      </c>
      <c r="G10" s="29" t="str">
        <f>IF(ISBLANK(Values!E9),"","TellusRem")</f>
        <v>TellusRem</v>
      </c>
      <c r="H10" s="1" t="str">
        <f>IF(ISBLANK(Values!E9),"",Values!$B$16)</f>
        <v>computer-keyboards</v>
      </c>
      <c r="I10" s="1" t="str">
        <f>IF(ISBLANK(Values!E9),"","4730574031")</f>
        <v>4730574031</v>
      </c>
      <c r="J10" s="31" t="str">
        <f>IF(ISBLANK(Values!E9),"",Values!F9 )</f>
        <v>HP 6560 Reg with point - NORDIC</v>
      </c>
      <c r="K10" s="27">
        <f>IF(ISBLANK(Values!E9),"",IF(Values!J9, Values!$B$4, Values!$B$5))</f>
        <v>37.99</v>
      </c>
      <c r="L10" s="27" t="str">
        <f>IF(ISBLANK(Values!E9),"",IF($CO10="DEFAULT", Values!$B$18, ""))</f>
        <v/>
      </c>
      <c r="M10" s="27" t="str">
        <f>IF(ISBLANK(Values!E9),"",Values!$M9)</f>
        <v>https://raw.githubusercontent.com/PatrickVibild/TellusAmazonPictures/master/pictures/HP/W. PS/6560B SILVER/REG/NOR/1.jpg</v>
      </c>
      <c r="N10" s="27" t="str">
        <f>IF(ISBLANK(Values!$F9),"",Values!N9)</f>
        <v>https://raw.githubusercontent.com/PatrickVibild/TellusAmazonPictures/master/pictures/HP/W. PS/6560B SILVER/REG/NOR/2.jpg</v>
      </c>
      <c r="O10" s="27" t="str">
        <f>IF(ISBLANK(Values!$F9),"",Values!O9)</f>
        <v>https://raw.githubusercontent.com/PatrickVibild/TellusAmazonPictures/master/pictures/HP/W. PS/6560B SILVER/REG/NOR/3.jpg</v>
      </c>
      <c r="P10" s="27" t="str">
        <f>IF(ISBLANK(Values!$F9),"",Values!P9)</f>
        <v>https://raw.githubusercontent.com/PatrickVibild/TellusAmazonPictures/master/pictures/HP/W. PS/6560B SILVER/REG/NOR/4.jpg</v>
      </c>
      <c r="Q10" s="27" t="str">
        <f>IF(ISBLANK(Values!$F9),"",Values!Q9)</f>
        <v>https://raw.githubusercontent.com/PatrickVibild/TellusAmazonPictures/master/pictures/HP/W. PS/6560B SILVER/REG/NOR/5.jpg</v>
      </c>
      <c r="R10" s="27" t="str">
        <f>IF(ISBLANK(Values!$F9),"",Values!R9)</f>
        <v>https://raw.githubusercontent.com/PatrickVibild/TellusAmazonPictures/master/pictures/HP/W. PS/6560B SILVER/REG/NOR/6.jpg</v>
      </c>
      <c r="S10" s="27" t="str">
        <f>IF(ISBLANK(Values!$F9),"",Values!S9)</f>
        <v>https://raw.githubusercontent.com/PatrickVibild/TellusAmazonPictures/master/pictures/HP/W. PS/6560B SILVER/REG/NOR/7.jpg</v>
      </c>
      <c r="T10" s="27" t="str">
        <f>IF(ISBLANK(Values!$F9),"",Values!T9)</f>
        <v>https://raw.githubusercontent.com/PatrickVibild/TellusAmazonPictures/master/pictures/HP/W. PS/6560B SILVER/REG/NOR/8.jpg</v>
      </c>
      <c r="U10" s="27" t="str">
        <f>IF(ISBLANK(Values!$F9),"",Values!U9)</f>
        <v>https://raw.githubusercontent.com/PatrickVibild/TellusAmazonPictures/master/pictures/HP/W. PS/6560B SILVER/REG/NOR/9.jpg</v>
      </c>
      <c r="W10" s="29" t="str">
        <f>IF(ISBLANK(Values!E9),"","Child")</f>
        <v>Child</v>
      </c>
      <c r="X10" s="29" t="str">
        <f>IF(ISBLANK(Values!E9),"",Values!$B$13)</f>
        <v>HP 6560 parent</v>
      </c>
      <c r="Y10" s="31" t="str">
        <f>IF(ISBLANK(Values!E9),"","Size-Color")</f>
        <v>Size-Color</v>
      </c>
      <c r="Z10" s="29" t="str">
        <f>IF(ISBLANK(Values!E9),"","variation")</f>
        <v>variation</v>
      </c>
      <c r="AA10" s="1" t="str">
        <f>IF(ISBLANK(Values!E9),"",Values!$B$20)</f>
        <v>Update</v>
      </c>
      <c r="AB10" s="1" t="str">
        <f>IF(ISBLANK(Values!E9),"",Values!$B$29)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0" s="34" t="str">
        <f>IF(ISBLANK(Values!E9),"",IF(Values!I9,Values!$B$23,Values!$B$33))</f>
        <v>👉 REFORMADO: AHORRE DINERO - Reemplazo del teclado para portátil HP, misma calidad que los teclados OEM. TellusRem es el distribuidor líder de teclados en el mundo desde 2011. Teclado de reemplazo perfecto, fácil de reemplazar e instalar.</v>
      </c>
      <c r="AJ10" s="32" t="str">
        <f>IF(ISBLANK(Values!E9),"",Values!$B$24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PROBOOK 6560B, PROBOOK 6565B, PROBOOK 6570B, ELITEBOOK 8560P, 6560B, 6565B, 6570B, 8560P</v>
      </c>
      <c r="AK10" s="1" t="str">
        <f>IF(ISBLANK(Values!E9),"",Values!$B$25)</f>
        <v>♻️ PRODUCTO MEDIOAMBIENTAL - Compre reacondicionado, COMPRE VERDE. Reduzca más del 80% de dióxido de carbono comprando nuestros teclados reacondicionados, en comparación con obtener un teclado nuevo! Pieza de repuesto OEM perfecta para su teclado.</v>
      </c>
      <c r="AL10" s="1" t="str">
        <f>IF(ISBLANK(Values!E9),"",SUBSTITUTE(SUBSTITUTE(IF(Values!$J9, Values!$B$26, Values!$B$33), "{language}", Values!$H9), "{flag}", INDEX(options!$E$1:$E$20, Values!$V9)))</f>
        <v>👉 FORMATO – 🇸🇪 🇫🇮 🇳🇴 🇩🇰 Escandinavo - nórdico sin retroiluminación.</v>
      </c>
      <c r="AM10" s="1" t="str">
        <f>SUBSTITUTE(IF(ISBLANK(Values!E9),"",Values!$B$27), "{model}", Values!$B$3)</f>
        <v>👉 COMPATIBLE CON: HP PROBOOK 6560B, PROBOOK 6565B, PROBOOK 6570B, ELITEBOOK 8560P, 6560B, 6565B, 6570B, 8560P. Por favor, revise la imagen y la descripción cuidadosamente antes de comprar cualquier teclado. Esto asegura que obtenga el teclado correcto para su portátil. Instalación fácil.</v>
      </c>
      <c r="AT10" s="27" t="str">
        <f>IF(ISBLANK(Values!E9),"",Values!H9)</f>
        <v>Escandinavo - nórdico</v>
      </c>
      <c r="AV10" s="1" t="str">
        <f>IF(ISBLANK(Values!E9),"",IF(Values!J9,"Backlit", "Non-Backlit"))</f>
        <v>Non-Backlit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10" s="1" t="str">
        <f>IF(ISBLANK(Values!E9),"","No")</f>
        <v>No</v>
      </c>
      <c r="DA10" s="1" t="str">
        <f>IF(ISBLANK(Values!E9),"","No")</f>
        <v>No</v>
      </c>
      <c r="DO10" s="1" t="str">
        <f>IF(ISBLANK(Values!E9),"","Parts")</f>
        <v>Parts</v>
      </c>
      <c r="DP10" s="1" t="str">
        <f>IF(ISBLANK(Values!E9),"",Values!$B$31)</f>
        <v>6 meses de garantía después de la fecha de entrega. En caso de mal funcionamiento del teclado, se enviará una nueva unidad o una pieza de repuesto para el teclado del producto. En caso de clasificación de existencias, se emite un reembolso completo.</v>
      </c>
      <c r="DY10" t="str">
        <f>IF(ISBLANK(Values!$E9), "", "not_applicable")</f>
        <v>not_applicable</v>
      </c>
      <c r="EI10" s="1" t="str">
        <f>IF(ISBLANK(Values!E9),"",Values!$B$31)</f>
        <v>6 meses de garantía después de la fecha de entrega. En caso de mal funcionamiento del teclado, se enviará una nueva unidad o una pieza de repuesto para el teclado del producto. En caso de clasificación de existencias, se emite un reembolso completo.</v>
      </c>
      <c r="ES10" s="1" t="str">
        <f>IF(ISBLANK(Values!E9),"","Amazon Tellus UPS")</f>
        <v>Amazon Tellus UPS</v>
      </c>
      <c r="EV10" s="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7">
        <f>IF(ISBLANK(Values!E9),"",IF(Values!J9, Values!$B$4, Values!$B$5))</f>
        <v>37.99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4">
        <f>K10</f>
        <v>37.99</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c r="GK11" s="64"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c r="GK12" s="64" t="str">
        <f>K12</f>
        <v/>
      </c>
    </row>
    <row r="13" spans="1:193" ht="48" x14ac:dyDescent="0.2">
      <c r="A13" s="1" t="str">
        <f>IF(ISBLANK(Values!E12),"",IF(Values!$B$37="EU","computercomponent","computer"))</f>
        <v>computercomponent</v>
      </c>
      <c r="B13" s="33" t="str">
        <f>IF(ISBLANK(Values!E12),"",Values!F12)</f>
        <v>HP 6560 Reg with point - US int</v>
      </c>
      <c r="C13" s="29" t="str">
        <f>IF(ISBLANK(Values!E12),"","TellusRem")</f>
        <v>TellusRem</v>
      </c>
      <c r="D13" s="28">
        <f>IF(ISBLANK(Values!E12),"",Values!E12)</f>
        <v>5714401667094</v>
      </c>
      <c r="E13" s="1" t="str">
        <f>IF(ISBLANK(Values!E12),"","EAN")</f>
        <v>EAN</v>
      </c>
      <c r="F13" s="27" t="str">
        <f>IF(ISBLANK(Values!E12),"",IF(Values!J12, SUBSTITUTE(Values!$B$1, "{language}", Values!H12) &amp; " " &amp;Values!$B$3, SUBSTITUTE(Values!$B$2, "{language}", Values!$H12) &amp; " " &amp;Values!$B$3))</f>
        <v>Teclado de respuesto US internacional sin retroiluminación  para HP   PROBOOK 6560B, PROBOOK 6565B, PROBOOK 6570B, ELITEBOOK 8560P, 6560B, 6565B, 6570B, 8560P</v>
      </c>
      <c r="G13" s="29" t="str">
        <f>IF(ISBLANK(Values!E12),"","TellusRem")</f>
        <v>TellusRem</v>
      </c>
      <c r="H13" s="1" t="str">
        <f>IF(ISBLANK(Values!E12),"",Values!$B$16)</f>
        <v>computer-keyboards</v>
      </c>
      <c r="I13" s="1" t="str">
        <f>IF(ISBLANK(Values!E12),"","4730574031")</f>
        <v>4730574031</v>
      </c>
      <c r="J13" s="31" t="str">
        <f>IF(ISBLANK(Values!E12),"",Values!F12 )</f>
        <v>HP 6560 Reg with point - US int</v>
      </c>
      <c r="K13" s="27">
        <f>IF(ISBLANK(Values!E12),"",IF(Values!J12, Values!$B$4, Values!$B$5))</f>
        <v>37.99</v>
      </c>
      <c r="L13" s="27" t="str">
        <f>IF(ISBLANK(Values!E12),"",IF($CO13="DEFAULT", Values!$B$18, ""))</f>
        <v/>
      </c>
      <c r="M13" s="27" t="str">
        <f>IF(ISBLANK(Values!E12),"",Values!$M12)</f>
        <v>https://raw.githubusercontent.com/PatrickVibild/TellusAmazonPictures/master/pictures/HP/W. PS/6560B SILVER/REG/USI/1.jpg</v>
      </c>
      <c r="N13" s="27" t="str">
        <f>IF(ISBLANK(Values!$F12),"",Values!N12)</f>
        <v>https://raw.githubusercontent.com/PatrickVibild/TellusAmazonPictures/master/pictures/HP/W. PS/6560B SILVER/REG/USI/2.jpg</v>
      </c>
      <c r="O13" s="27" t="str">
        <f>IF(ISBLANK(Values!$F12),"",Values!O12)</f>
        <v>https://raw.githubusercontent.com/PatrickVibild/TellusAmazonPictures/master/pictures/HP/W. PS/6560B SILVER/REG/USI/3.jpg</v>
      </c>
      <c r="P13" s="27" t="str">
        <f>IF(ISBLANK(Values!$F12),"",Values!P12)</f>
        <v>https://raw.githubusercontent.com/PatrickVibild/TellusAmazonPictures/master/pictures/HP/W. PS/6560B SILVER/REG/USI/4.jpg</v>
      </c>
      <c r="Q13" s="27" t="str">
        <f>IF(ISBLANK(Values!$F12),"",Values!Q12)</f>
        <v>https://raw.githubusercontent.com/PatrickVibild/TellusAmazonPictures/master/pictures/HP/W. PS/6560B SILVER/REG/USI/5.jpg</v>
      </c>
      <c r="R13" s="27" t="str">
        <f>IF(ISBLANK(Values!$F12),"",Values!R12)</f>
        <v>https://raw.githubusercontent.com/PatrickVibild/TellusAmazonPictures/master/pictures/HP/W. PS/6560B SILVER/REG/USI/6.jpg</v>
      </c>
      <c r="S13" s="27" t="str">
        <f>IF(ISBLANK(Values!$F12),"",Values!S12)</f>
        <v>https://raw.githubusercontent.com/PatrickVibild/TellusAmazonPictures/master/pictures/HP/W. PS/6560B SILVER/REG/USI/7.jpg</v>
      </c>
      <c r="T13" s="27" t="str">
        <f>IF(ISBLANK(Values!$F12),"",Values!T12)</f>
        <v>https://raw.githubusercontent.com/PatrickVibild/TellusAmazonPictures/master/pictures/HP/W. PS/6560B SILVER/REG/USI/8.jpg</v>
      </c>
      <c r="U13" s="27" t="str">
        <f>IF(ISBLANK(Values!$F12),"",Values!U12)</f>
        <v>https://raw.githubusercontent.com/PatrickVibild/TellusAmazonPictures/master/pictures/HP/W. PS/6560B SILVER/REG/USI/9.jpg</v>
      </c>
      <c r="W13" s="29" t="str">
        <f>IF(ISBLANK(Values!E12),"","Child")</f>
        <v>Child</v>
      </c>
      <c r="X13" s="29" t="str">
        <f>IF(ISBLANK(Values!E12),"",Values!$B$13)</f>
        <v>HP 6560 parent</v>
      </c>
      <c r="Y13" s="31" t="str">
        <f>IF(ISBLANK(Values!E12),"","Size-Color")</f>
        <v>Size-Color</v>
      </c>
      <c r="Z13" s="29" t="str">
        <f>IF(ISBLANK(Values!E12),"","variation")</f>
        <v>variation</v>
      </c>
      <c r="AA13" s="1" t="str">
        <f>IF(ISBLANK(Values!E12),"",Values!$B$20)</f>
        <v>Update</v>
      </c>
      <c r="AB13" s="1" t="str">
        <f>IF(ISBLANK(Values!E12),"",Values!$B$29)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3" s="34" t="str">
        <f>IF(ISBLANK(Values!E12),"",IF(Values!I12,Values!$B$23,Values!$B$33))</f>
        <v>👉 REFORMADO: AHORRE DINERO - Reemplazo del teclado para portátil HP, misma calidad que los teclados OEM. TellusRem es el distribuidor líder de teclados en el mundo desde 2011. Teclado de reemplazo perfecto, fácil de reemplazar e instalar.</v>
      </c>
      <c r="AJ13" s="32" t="str">
        <f>IF(ISBLANK(Values!E12),"",Values!$B$24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PROBOOK 6560B, PROBOOK 6565B, PROBOOK 6570B, ELITEBOOK 8560P, 6560B, 6565B, 6570B, 8560P</v>
      </c>
      <c r="AK13" s="1" t="str">
        <f>IF(ISBLANK(Values!E12),"",Values!$B$25)</f>
        <v>♻️ PRODUCTO MEDIOAMBIENTAL - Compre reacondicionado, COMPRE VERDE. Reduzca más del 80% de dióxido de carbono comprando nuestros teclados reacondicionados, en comparación con obtener un teclado nuevo! Pieza de repuesto OEM perfecta para su teclado.</v>
      </c>
      <c r="AL13" s="1" t="str">
        <f>IF(ISBLANK(Values!E12),"",SUBSTITUTE(SUBSTITUTE(IF(Values!$J12, Values!$B$26, Values!$B$33), "{language}", Values!$H12), "{flag}", INDEX(options!$E$1:$E$20, Values!$V12)))</f>
        <v>👉 FORMATO – 🇺🇸 with € symbol US internacional sin retroiluminación.</v>
      </c>
      <c r="AM13" s="1" t="str">
        <f>SUBSTITUTE(IF(ISBLANK(Values!E12),"",Values!$B$27), "{model}", Values!$B$3)</f>
        <v>👉 COMPATIBLE CON: HP PROBOOK 6560B, PROBOOK 6565B, PROBOOK 6570B, ELITEBOOK 8560P, 6560B, 6565B, 6570B, 8560P. Por favor, revise la imagen y la descripción cuidadosamente antes de comprar cualquier teclado. Esto asegura que obtenga el teclado correcto para su portátil. Instalación fácil.</v>
      </c>
      <c r="AT13" s="27" t="str">
        <f>IF(ISBLANK(Values!E12),"",Values!H12)</f>
        <v>US internacional</v>
      </c>
      <c r="AV13" s="1" t="str">
        <f>IF(ISBLANK(Values!E12),"",IF(Values!J12,"Backlit", "Non-Backlit"))</f>
        <v>Non-Backlit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AMAZON_EU</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13" s="1" t="str">
        <f>IF(ISBLANK(Values!E12),"","No")</f>
        <v>No</v>
      </c>
      <c r="DA13" s="1" t="str">
        <f>IF(ISBLANK(Values!E12),"","No")</f>
        <v>No</v>
      </c>
      <c r="DO13" s="1" t="str">
        <f>IF(ISBLANK(Values!E12),"","Parts")</f>
        <v>Parts</v>
      </c>
      <c r="DP13" s="1" t="str">
        <f>IF(ISBLANK(Values!E12),"",Values!$B$31)</f>
        <v>6 meses de garantía después de la fecha de entrega. En caso de mal funcionamiento del teclado, se enviará una nueva unidad o una pieza de repuesto para el teclado del producto. En caso de clasificación de existencias, se emite un reembolso completo.</v>
      </c>
      <c r="DY13" t="str">
        <f>IF(ISBLANK(Values!$E12), "", "not_applicable")</f>
        <v>not_applicable</v>
      </c>
      <c r="EI13" s="1" t="str">
        <f>IF(ISBLANK(Values!E12),"",Values!$B$31)</f>
        <v>6 meses de garantía después de la fecha de entrega. En caso de mal funcionamiento del teclado, se enviará una nueva unidad o una pieza de repuesto para el teclado del producto. En caso de clasificación de existencias, se emite un reembolso completo.</v>
      </c>
      <c r="ES13" s="1" t="str">
        <f>IF(ISBLANK(Values!E12),"","Amazon Tellus UPS")</f>
        <v>Amazon Tellus UPS</v>
      </c>
      <c r="EV13" s="1" t="str">
        <f>IF(ISBLANK(Values!E12),"","New")</f>
        <v>New</v>
      </c>
      <c r="FE13" s="1" t="str">
        <f>IF(ISBLANK(Values!E12),"",IF(CO13&lt;&gt;"DEFAULT", "", 3))</f>
        <v/>
      </c>
      <c r="FH13" s="1" t="str">
        <f>IF(ISBLANK(Values!E12),"","FALSE")</f>
        <v>FALSE</v>
      </c>
      <c r="FI13" s="1" t="str">
        <f>IF(ISBLANK(Values!E12),"","FALSE")</f>
        <v>FALSE</v>
      </c>
      <c r="FJ13" s="1" t="str">
        <f>IF(ISBLANK(Values!E12),"","FALSE")</f>
        <v>FALSE</v>
      </c>
      <c r="FM13" s="1" t="str">
        <f>IF(ISBLANK(Values!E12),"","1")</f>
        <v>1</v>
      </c>
      <c r="FO13" s="27">
        <f>IF(ISBLANK(Values!E12),"",IF(Values!J12, Values!$B$4, Values!$B$5))</f>
        <v>37.99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c r="GK13" s="64">
        <f>K13</f>
        <v>37.99</v>
      </c>
    </row>
    <row r="14" spans="1:193" ht="48" x14ac:dyDescent="0.2">
      <c r="A14" s="1" t="str">
        <f>IF(ISBLANK(Values!E13),"",IF(Values!$B$37="EU","computercomponent","computer"))</f>
        <v>computercomponent</v>
      </c>
      <c r="B14" s="33" t="str">
        <f>IF(ISBLANK(Values!E13),"",Values!F13)</f>
        <v>HP 6560 Reg with point - US</v>
      </c>
      <c r="C14" s="29" t="str">
        <f>IF(ISBLANK(Values!E13),"","TellusRem")</f>
        <v>TellusRem</v>
      </c>
      <c r="D14" s="28">
        <f>IF(ISBLANK(Values!E13),"",Values!E13)</f>
        <v>5714401667100</v>
      </c>
      <c r="E14" s="1" t="str">
        <f>IF(ISBLANK(Values!E13),"","EAN")</f>
        <v>EAN</v>
      </c>
      <c r="F14" s="27" t="str">
        <f>IF(ISBLANK(Values!E13),"",IF(Values!J13, SUBSTITUTE(Values!$B$1, "{language}", Values!H13) &amp; " " &amp;Values!$B$3, SUBSTITUTE(Values!$B$2, "{language}", Values!$H13) &amp; " " &amp;Values!$B$3))</f>
        <v>Teclado de respuesto US sin retroiluminación  para HP   PROBOOK 6560B, PROBOOK 6565B, PROBOOK 6570B, ELITEBOOK 8560P, 6560B, 6565B, 6570B, 8560P</v>
      </c>
      <c r="G14" s="29" t="str">
        <f>IF(ISBLANK(Values!E13),"","TellusRem")</f>
        <v>TellusRem</v>
      </c>
      <c r="H14" s="1" t="str">
        <f>IF(ISBLANK(Values!E13),"",Values!$B$16)</f>
        <v>computer-keyboards</v>
      </c>
      <c r="I14" s="1" t="str">
        <f>IF(ISBLANK(Values!E13),"","4730574031")</f>
        <v>4730574031</v>
      </c>
      <c r="J14" s="31" t="str">
        <f>IF(ISBLANK(Values!E13),"",Values!F13 )</f>
        <v>HP 6560 Reg with point - US</v>
      </c>
      <c r="K14" s="27">
        <f>IF(ISBLANK(Values!E13),"",IF(Values!J13, Values!$B$4, Values!$B$5))</f>
        <v>37.99</v>
      </c>
      <c r="L14" s="27">
        <f>IF(ISBLANK(Values!E13),"",IF($CO14="DEFAULT", Values!$B$18, ""))</f>
        <v>5</v>
      </c>
      <c r="M14" s="27" t="str">
        <f>IF(ISBLANK(Values!E13),"",Values!$M13)</f>
        <v>https://raw.githubusercontent.com/PatrickVibild/TellusAmazonPictures/master/pictures/HP/W. PS/6560B SILVER/REG/US/1.jpg</v>
      </c>
      <c r="N14" s="27" t="str">
        <f>IF(ISBLANK(Values!$F13),"",Values!N13)</f>
        <v>https://raw.githubusercontent.com/PatrickVibild/TellusAmazonPictures/master/pictures/HP/W. PS/6560B SILVER/REG/US/2.jpg</v>
      </c>
      <c r="O14" s="27" t="str">
        <f>IF(ISBLANK(Values!$F13),"",Values!O13)</f>
        <v>https://raw.githubusercontent.com/PatrickVibild/TellusAmazonPictures/master/pictures/HP/W. PS/6560B SILVER/REG/US/3.jpg</v>
      </c>
      <c r="P14" s="27" t="str">
        <f>IF(ISBLANK(Values!$F13),"",Values!P13)</f>
        <v>https://raw.githubusercontent.com/PatrickVibild/TellusAmazonPictures/master/pictures/HP/W. PS/6560B SILVER/REG/US/4.jpg</v>
      </c>
      <c r="Q14" s="27" t="str">
        <f>IF(ISBLANK(Values!$F13),"",Values!Q13)</f>
        <v>https://raw.githubusercontent.com/PatrickVibild/TellusAmazonPictures/master/pictures/HP/W. PS/6560B SILVER/REG/US/5.jpg</v>
      </c>
      <c r="R14" s="27" t="str">
        <f>IF(ISBLANK(Values!$F13),"",Values!R13)</f>
        <v>https://raw.githubusercontent.com/PatrickVibild/TellusAmazonPictures/master/pictures/HP/W. PS/6560B SILVER/REG/US/6.jpg</v>
      </c>
      <c r="S14" s="27" t="str">
        <f>IF(ISBLANK(Values!$F13),"",Values!S13)</f>
        <v>https://raw.githubusercontent.com/PatrickVibild/TellusAmazonPictures/master/pictures/HP/W. PS/6560B SILVER/REG/US/7.jpg</v>
      </c>
      <c r="T14" s="27" t="str">
        <f>IF(ISBLANK(Values!$F13),"",Values!T13)</f>
        <v>https://raw.githubusercontent.com/PatrickVibild/TellusAmazonPictures/master/pictures/HP/W. PS/6560B SILVER/REG/US/8.jpg</v>
      </c>
      <c r="U14" s="27" t="str">
        <f>IF(ISBLANK(Values!$F13),"",Values!U13)</f>
        <v>https://raw.githubusercontent.com/PatrickVibild/TellusAmazonPictures/master/pictures/HP/W. PS/6560B SILVER/REG/US/9.jpg</v>
      </c>
      <c r="W14" s="29" t="str">
        <f>IF(ISBLANK(Values!E13),"","Child")</f>
        <v>Child</v>
      </c>
      <c r="X14" s="29" t="str">
        <f>IF(ISBLANK(Values!E13),"",Values!$B$13)</f>
        <v>HP 6560 parent</v>
      </c>
      <c r="Y14" s="31" t="str">
        <f>IF(ISBLANK(Values!E13),"","Size-Color")</f>
        <v>Size-Color</v>
      </c>
      <c r="Z14" s="29" t="str">
        <f>IF(ISBLANK(Values!E13),"","variation")</f>
        <v>variation</v>
      </c>
      <c r="AA14" s="1" t="str">
        <f>IF(ISBLANK(Values!E13),"",Values!$B$20)</f>
        <v>Update</v>
      </c>
      <c r="AB14" s="1" t="str">
        <f>IF(ISBLANK(Values!E13),"",Values!$B$29)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4" s="34" t="str">
        <f>IF(ISBLANK(Values!E13),"",IF(Values!I13,Values!$B$23,Values!$B$33))</f>
        <v>👉 REFORMADO: AHORRE DINERO - Reemplazo del teclado para portátil HP, misma calidad que los teclados OEM. TellusRem es el distribuidor líder de teclados en el mundo desde 2011. Teclado de reemplazo perfecto, fácil de reemplazar e instalar.</v>
      </c>
      <c r="AJ14" s="32" t="str">
        <f>IF(ISBLANK(Values!E13),"",Values!$B$24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PROBOOK 6560B, PROBOOK 6565B, PROBOOK 6570B, ELITEBOOK 8560P, 6560B, 6565B, 6570B, 8560P</v>
      </c>
      <c r="AK14" s="1" t="str">
        <f>IF(ISBLANK(Values!E13),"",Values!$B$25)</f>
        <v>♻️ PRODUCTO MEDIOAMBIENTAL - Compre reacondicionado, COMPRE VERDE. Reduzca más del 80% de dióxido de carbono comprando nuestros teclados reacondicionados, en comparación con obtener un teclado nuevo! Pieza de repuesto OEM perfecta para su teclado.</v>
      </c>
      <c r="AL14" s="1" t="str">
        <f>IF(ISBLANK(Values!E13),"",SUBSTITUTE(SUBSTITUTE(IF(Values!$J13, Values!$B$26, Values!$B$33), "{language}", Values!$H13), "{flag}", INDEX(options!$E$1:$E$20, Values!$V13)))</f>
        <v>👉 FORMATO – 🇺🇸 US sin retroiluminación.</v>
      </c>
      <c r="AM14" s="1" t="str">
        <f>SUBSTITUTE(IF(ISBLANK(Values!E13),"",Values!$B$27), "{model}", Values!$B$3)</f>
        <v>👉 COMPATIBLE CON: HP PROBOOK 6560B, PROBOOK 6565B, PROBOOK 6570B, ELITEBOOK 8560P, 6560B, 6565B, 6570B, 8560P. Por favor, revise la imagen y la descripción cuidadosamente antes de comprar cualquier teclado. Esto asegura que obtenga el teclado correcto para su portátil. Instalación fácil.</v>
      </c>
      <c r="AT14" s="27" t="str">
        <f>IF(ISBLANK(Values!E13),"",Values!H13)</f>
        <v>US</v>
      </c>
      <c r="AV14" s="1" t="str">
        <f>IF(ISBLANK(Values!E13),"",IF(Values!J13,"Backlit", "Non-Backlit"))</f>
        <v>Non-Backlit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14" s="1" t="str">
        <f>IF(ISBLANK(Values!E13),"","No")</f>
        <v>No</v>
      </c>
      <c r="DA14" s="1" t="str">
        <f>IF(ISBLANK(Values!E13),"","No")</f>
        <v>No</v>
      </c>
      <c r="DO14" s="1" t="str">
        <f>IF(ISBLANK(Values!E13),"","Parts")</f>
        <v>Parts</v>
      </c>
      <c r="DP14" s="1" t="str">
        <f>IF(ISBLANK(Values!E13),"",Values!$B$31)</f>
        <v>6 meses de garantía después de la fecha de entrega. En caso de mal funcionamiento del teclado, se enviará una nueva unidad o una pieza de repuesto para el teclado del producto. En caso de clasificación de existencias, se emite un reembolso completo.</v>
      </c>
      <c r="DY14" t="str">
        <f>IF(ISBLANK(Values!$E13), "", "not_applicable")</f>
        <v>not_applicable</v>
      </c>
      <c r="EI14" s="1" t="str">
        <f>IF(ISBLANK(Values!E13),"",Values!$B$31)</f>
        <v>6 meses de garantía después de la fecha de entrega. En caso de mal funcionamiento del teclado, se enviará una nueva unidad o una pieza de repuesto para el teclado del producto. En caso de clasificación de existencias, se emite un reembolso completo.</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f>IF(ISBLANK(Values!E13),"",IF(Values!J13, Values!$B$4, Values!$B$5))</f>
        <v>37.99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c r="GK14" s="64">
        <f>K14</f>
        <v>37.99</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4"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4"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4"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4"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4"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4"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4"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4"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5"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5" t="str">
        <f>K24</f>
        <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5"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5"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5"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5"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5"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5"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5"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5"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5"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5"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5"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5"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5"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5"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5"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5"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5"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4"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4"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4"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4"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4"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4"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4"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4"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5">
      <formula>IF(LEN(C4)&gt;0,1,0)</formula>
    </cfRule>
    <cfRule type="expression" dxfId="524" priority="996">
      <formula>IF(VLOOKUP($C$3,#NAME?,MATCH($A4,#NAME?,0)+1,0)&gt;0,1,0)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22">
      <formula>AND(IF(IFERROR(VLOOKUP($C$3,#NAME?,MATCH($A5,#NAME?,0)+1,0),0)&gt;0,0,1),IF(IFERROR(VLOOKUP($C$3,#NAME?,MATCH($A5,#NAME?,0)+1,0),0)&gt;0,0,1),IF(IFERROR(VLOOKUP($C$3,#NAME?,MATCH($A5,#NAME?,0)+1,0),0)&gt;0,0,1),IF(IFERROR(MATCH($A5,#NAME?,0),0)&gt;0,1,0))</formula>
    </cfRule>
    <cfRule type="expression" dxfId="521" priority="19">
      <formula>IF(VLOOKUP($C$3,#NAME?,MATCH($A5,#NAME?,0)+1,0)&gt;0,1,0)</formula>
    </cfRule>
    <cfRule type="expression" dxfId="520" priority="18">
      <formula>IF(LEN(C5)&gt;0,1,0)</formula>
    </cfRule>
  </conditionalFormatting>
  <conditionalFormatting sqref="D4:D1048576">
    <cfRule type="expression" dxfId="519" priority="27">
      <formula>AND(IF(IFERROR(VLOOKUP($D$3,#NAME?,MATCH($A4,#NAME?,0)+1,0),0)&gt;0,0,1),IF(IFERROR(VLOOKUP($D$3,#NAME?,MATCH($A4,#NAME?,0)+1,0),0)&gt;0,0,1),IF(IFERROR(VLOOKUP($D$3,#NAME?,MATCH($A4,#NAME?,0)+1,0),0)&gt;0,0,1),IF(IFERROR(MATCH($A4,#NAME?,0),0)&gt;0,1,0))</formula>
    </cfRule>
    <cfRule type="expression" dxfId="518" priority="24">
      <formula>IF(VLOOKUP($D$3,#NAME?,MATCH($A4,#NAME?,0)+1,0)&gt;0,1,0)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5">
      <formula>IF(LEN(G4)&gt;0,1,0)</formula>
    </cfRule>
    <cfRule type="expression" dxfId="507" priority="1019">
      <formula>AND(IF(IFERROR(VLOOKUP($G$3,#NAME?,MATCH($A4,#NAME?,0)+1,0),0)&gt;0,0,1),IF(IFERROR(VLOOKUP($G$3,#NAME?,MATCH($A4,#NAME?,0)+1,0),0)&gt;0,0,1),IF(IFERROR(VLOOKUP($G$3,#NAME?,MATCH($A4,#NAME?,0)+1,0),0)&gt;0,0,1),IF(IFERROR(MATCH($A4,#NAME?,0),0)&gt;0,1,0))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9">
      <formula>AND(IF(IFERROR(VLOOKUP($L$3,#NAME?,MATCH($A4,#NAME?,0)+1,0),0)&gt;0,0,1),IF(IFERROR(VLOOKUP($L$3,#NAME?,MATCH($A4,#NAME?,0)+1,0),0)&gt;0,0,1),IF(IFERROR(VLOOKUP($L$3,#NAME?,MATCH($A4,#NAME?,0)+1,0),0)&gt;0,0,1),IF(IFERROR(MATCH($A4,#NAME?,0),0)&gt;0,1,0))</formula>
    </cfRule>
    <cfRule type="expression" dxfId="494" priority="1036">
      <formula>IF(VLOOKUP($L$3,#NAME?,MATCH($A4,#NAME?,0)+1,0)&gt;0,1,0)</formula>
    </cfRule>
  </conditionalFormatting>
  <conditionalFormatting sqref="L5:L1048576">
    <cfRule type="expression" dxfId="493" priority="58">
      <formula>IF(LEN(L6)&gt;0,1,0)</formula>
    </cfRule>
    <cfRule type="expression" dxfId="492" priority="59">
      <formula>IF(VLOOKUP($L$3,#NAME?,MATCH($A5,#NAME?,0)+1,0)&gt;0,1,0)</formula>
    </cfRule>
    <cfRule type="expression" dxfId="491"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3">
      <formula>IF(LEN(M5)&gt;0,1,0)</formula>
    </cfRule>
    <cfRule type="expression" dxfId="487" priority="64">
      <formula>IF(VLOOKUP($M$3,#NAME?,MATCH($A5,#NAME?,0)+1,0)&gt;0,1,0)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4">
      <formula>IF(VLOOKUP($W$3,#NAME?,MATCH($A5,#NAME?,0)+1,0)&gt;0,1,0)</formula>
    </cfRule>
    <cfRule type="expression" dxfId="460" priority="117">
      <formula>AND(IF(IFERROR(VLOOKUP($W$3,#NAME?,MATCH($A5,#NAME?,0)+1,0),0)&gt;0,0,1),IF(IFERROR(VLOOKUP($W$3,#NAME?,MATCH($A5,#NAME?,0)+1,0),0)&gt;0,0,1),IF(IFERROR(VLOOKUP($W$3,#NAME?,MATCH($A5,#NAME?,0)+1,0),0)&gt;0,0,1),IF(IFERROR(MATCH($A5,#NAME?,0),0)&gt;0,1,0))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9">
      <formula>AND(IF(IFERROR(VLOOKUP($B$3,#NAME?,MATCH($A5,#NAME?,0)+1,0),0)&gt;0,0,1),IF(IFERROR(VLOOKUP($B$3,#NAME?,MATCH($A5,#NAME?,0)+1,0),0)&gt;0,0,1),IF(IFERROR(VLOOKUP($B$3,#NAME?,MATCH($A5,#NAME?,0)+1,0),0)&gt;0,0,1),IF(IFERROR(MATCH($A5,#NAME?,0),0)&gt;0,1,0))</formula>
    </cfRule>
    <cfRule type="expression" dxfId="454" priority="1076">
      <formula>IF(VLOOKUP($B$3,#NAME?,MATCH($A5,#NAME?,0)+1,0)&gt;0,1,0)</formula>
    </cfRule>
  </conditionalFormatting>
  <conditionalFormatting sqref="X5:X1048576">
    <cfRule type="expression" dxfId="453" priority="119">
      <formula>IF(VLOOKUP($X$3,#NAME?,MATCH($A5,#NAME?,0)+1,0)&gt;0,1,0)</formula>
    </cfRule>
    <cfRule type="expression" dxfId="452" priority="122">
      <formula>AND(IF(IFERROR(VLOOKUP($X$3,#NAME?,MATCH($A5,#NAME?,0)+1,0),0)&gt;0,0,1),IF(IFERROR(VLOOKUP($X$3,#NAME?,MATCH($A5,#NAME?,0)+1,0),0)&gt;0,0,1),IF(IFERROR(VLOOKUP($X$3,#NAME?,MATCH($A5,#NAME?,0)+1,0),0)&gt;0,0,1),IF(IFERROR(MATCH($A5,#NAME?,0),0)&gt;0,1,0))</formula>
    </cfRule>
  </conditionalFormatting>
  <conditionalFormatting sqref="Y5:Y1048576">
    <cfRule type="expression" dxfId="451" priority="124">
      <formula>IF(VLOOKUP($Y$3,#NAME?,MATCH($A5,#NAME?,0)+1,0)&gt;0,1,0)</formula>
    </cfRule>
    <cfRule type="expression" dxfId="450" priority="127">
      <formula>AND(IF(IFERROR(VLOOKUP($Y$3,#NAME?,MATCH($A5,#NAME?,0)+1,0),0)&gt;0,0,1),IF(IFERROR(VLOOKUP($Y$3,#NAME?,MATCH($A5,#NAME?,0)+1,0),0)&gt;0,0,1),IF(IFERROR(VLOOKUP($Y$3,#NAME?,MATCH($A5,#NAME?,0)+1,0),0)&gt;0,0,1),IF(IFERROR(MATCH($A5,#NAME?,0),0)&gt;0,1,0))</formula>
    </cfRule>
  </conditionalFormatting>
  <conditionalFormatting sqref="Z4:Z204">
    <cfRule type="expression" dxfId="449" priority="1060">
      <formula>IF(LEN(Z4)&gt;0,1,0)</formula>
    </cfRule>
    <cfRule type="expression" dxfId="448" priority="1061">
      <formula>IF(VLOOKUP($Q$3,#NAME?,MATCH($A4,#NAME?,0)+1,0)&gt;0,1,0)</formula>
    </cfRule>
    <cfRule type="expression" dxfId="447"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46" priority="129">
      <formula>IF(VLOOKUP($Z$3,#NAME?,MATCH($A5,#NAME?,0)+1,0)&gt;0,1,0)</formula>
    </cfRule>
    <cfRule type="expression" dxfId="445"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44" priority="134">
      <formula>IF(VLOOKUP($AA$3,#NAME?,MATCH($A4,#NAME?,0)+1,0)&gt;0,1,0)</formula>
    </cfRule>
    <cfRule type="expression" dxfId="443" priority="133">
      <formula>IF(LEN(AA4)&gt;0,1,0)</formula>
    </cfRule>
    <cfRule type="expression" dxfId="442"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41" priority="138">
      <formula>IF(LEN(AB4)&gt;0,1,0)</formula>
    </cfRule>
    <cfRule type="expression" dxfId="440" priority="139">
      <formula>IF(VLOOKUP($AB$3,#NAME?,MATCH($A4,#NAME?,0)+1,0)&gt;0,1,0)</formula>
    </cfRule>
    <cfRule type="expression" dxfId="439"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8" priority="143">
      <formula>IF(LEN(#REF!)&gt;0,1,0)</formula>
    </cfRule>
    <cfRule type="expression" dxfId="437" priority="144">
      <formula>IF(VLOOKUP($AC$3,#NAME?,MATCH(#REF!,#NAME?,0)+1,0)&gt;0,1,0)</formula>
    </cfRule>
    <cfRule type="expression" dxfId="436" priority="145">
      <formula>IF(VLOOKUP($AC$3,#NAME?,MATCH(#REF!,#NAME?,0)+1,0)&gt;0,1,0)</formula>
    </cfRule>
    <cfRule type="expression" dxfId="435" priority="146">
      <formula>IF(VLOOKUP($AC$3,#NAME?,MATCH(#REF!,#NAME?,0)+1,0)&gt;0,1,0)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4">
      <formula>IF(VLOOKUP($AE$3,#NAME?,MATCH($A4,#NAME?,0)+1,0)&gt;0,1,0)</formula>
    </cfRule>
    <cfRule type="expression" dxfId="429"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4">
      <formula>IF(VLOOKUP($AM$3,#NAME?,MATCH($A4,#NAME?,0)+1,0)&gt;0,1,0)</formula>
    </cfRule>
    <cfRule type="expression" dxfId="411"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4">
      <formula>IF(VLOOKUP($AO$3,#NAME?,MATCH($A4,#NAME?,0)+1,0)&gt;0,1,0)</formula>
    </cfRule>
    <cfRule type="expression" dxfId="40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4">
      <formula>IF(VLOOKUP($AS$3,#NAME?,MATCH($A4,#NAME?,0)+1,0)&gt;0,1,0)</formula>
    </cfRule>
    <cfRule type="expression" dxfId="399"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98" priority="228">
      <formula>IF(LEN(AT4)&gt;0,1,0)</formula>
    </cfRule>
    <cfRule type="expression" dxfId="397" priority="229">
      <formula>IF(VLOOKUP($AT$3,#NAME?,MATCH($A4,#NAME?,0)+1,0)&gt;0,1,0)</formula>
    </cfRule>
    <cfRule type="expression" dxfId="396"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95" priority="234">
      <formula>IF(VLOOKUP($AU$3,#NAME?,MATCH($A4,#NAME?,0)+1,0)&gt;0,1,0)</formula>
    </cfRule>
    <cfRule type="expression" dxfId="394" priority="233">
      <formula>IF(LEN(AU4)&gt;0,1,0)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49">
      <formula>IF(VLOOKUP($AX$3,#NAME?,MATCH($A4,#NAME?,0)+1,0)&gt;0,1,0)</formula>
    </cfRule>
    <cfRule type="expression" dxfId="386"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59">
      <formula>IF(VLOOKUP($AZ$3,#NAME?,MATCH($A4,#NAME?,0)+1,0)&gt;0,1,0)</formula>
    </cfRule>
    <cfRule type="expression" dxfId="381"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80" priority="264">
      <formula>IF(VLOOKUP($BA$3,#NAME?,MATCH($A4,#NAME?,0)+1,0)&gt;0,1,0)</formula>
    </cfRule>
    <cfRule type="expression" dxfId="379"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78" priority="269">
      <formula>IF(VLOOKUP($BB$3,#NAME?,MATCH($A4,#NAME?,0)+1,0)&gt;0,1,0)</formula>
    </cfRule>
    <cfRule type="expression" dxfId="37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76" priority="274">
      <formula>IF(VLOOKUP($BC$3,#NAME?,MATCH($A4,#NAME?,0)+1,0)&gt;0,1,0)</formula>
    </cfRule>
    <cfRule type="expression" dxfId="375"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74" priority="279">
      <formula>IF(VLOOKUP($BD$3,#NAME?,MATCH($A4,#NAME?,0)+1,0)&gt;0,1,0)</formula>
    </cfRule>
    <cfRule type="expression" dxfId="373"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299">
      <formula>IF(VLOOKUP($BH$3,#NAME?,MATCH($A5,#NAME?,0)+1,0)&gt;0,1,0)</formula>
    </cfRule>
    <cfRule type="expression" dxfId="364"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63" priority="304">
      <formula>IF(VLOOKUP($BI$3,#NAME?,MATCH($A4,#NAME?,0)+1,0)&gt;0,1,0)</formula>
    </cfRule>
    <cfRule type="expression" dxfId="362"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4">
      <formula>IF(VLOOKUP($CG$3,#NAME?,MATCH($A4,#NAME?,0)+1,0)&gt;0,1,0)</formula>
    </cfRule>
    <cfRule type="expression" dxfId="313"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12" priority="429">
      <formula>IF(VLOOKUP($CH$3,#NAME?,MATCH($A4,#NAME?,0)+1,0)&gt;0,1,0)</formula>
    </cfRule>
    <cfRule type="expression" dxfId="311"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10" priority="434">
      <formula>IF(VLOOKUP($CI$3,#NAME?,MATCH($A4,#NAME?,0)+1,0)&gt;0,1,0)</formula>
    </cfRule>
    <cfRule type="expression" dxfId="309"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4">
      <formula>IF(VLOOKUP($CK$3,#NAME?,MATCH($A4,#NAME?,0)+1,0)&gt;0,1,0)</formula>
    </cfRule>
    <cfRule type="expression" dxfId="305"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304" priority="449">
      <formula>IF(VLOOKUP($CL$3,#NAME?,MATCH($A4,#NAME?,0)+1,0)&gt;0,1,0)</formula>
    </cfRule>
    <cfRule type="expression" dxfId="303"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4">
      <formula>IF(VLOOKUP($CO$3,#NAME?,MATCH($A4,#NAME?,0)+1,0)&gt;0,1,0)</formula>
    </cfRule>
    <cfRule type="expression" dxfId="297" priority="7">
      <formula>AND(IF(IFERROR(VLOOKUP($CO$3,#NAME?,MATCH($A4,#NAME?,0)+1,0),0)&gt;0,0,1),IF(IFERROR(VLOOKUP($CO$3,#NAME?,MATCH($A4,#NAME?,0)+1,0),0)&gt;0,0,1),IF(IFERROR(VLOOKUP($CO$3,#NAME?,MATCH($A4,#NAME?,0)+1,0),0)&gt;0,0,1),IF(IFERROR(MATCH($A4,#NAME?,0),0)&gt;0,1,0))</formula>
    </cfRule>
    <cfRule type="expression" dxfId="296" priority="2">
      <formula>IF($W4&lt;&gt;"Parent",0,1)</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4">
      <formula>IF(VLOOKUP($CT$3,#NAME?,MATCH($A4,#NAME?,0)+1,0)&gt;0,1,0)</formula>
    </cfRule>
    <cfRule type="expression" dxfId="283"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4">
      <formula>IF(VLOOKUP($CV$3,#NAME?,MATCH($A4,#NAME?,0)+1,0)&gt;0,1,0)</formula>
    </cfRule>
    <cfRule type="expression" dxfId="279"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78" priority="499">
      <formula>IF(VLOOKUP($CW$3,#NAME?,MATCH($A4,#NAME?,0)+1,0)&gt;0,1,0)</formula>
    </cfRule>
    <cfRule type="expression" dxfId="27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6" priority="504">
      <formula>IF(VLOOKUP($CX$3,#NAME?,MATCH($A4,#NAME?,0)+1,0)&gt;0,1,0)</formula>
    </cfRule>
    <cfRule type="expression" dxfId="275"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4" priority="513">
      <formula>AND(IF(IFERROR(VLOOKUP($CY$3,#NAME?,MATCH($A4,#NAME?,0)+1,0),0)&gt;0,0,1),IF(IFERROR(VLOOKUP($CY$3,#NAME?,MATCH($A4,#NAME?,0)+1,0),0)&gt;0,0,1),IF(IFERROR(VLOOKUP($CY$3,#NAME?,MATCH($A4,#NAME?,0)+1,0),0)&gt;0,0,1),IF(IFERROR(MATCH($A4,#NAME?,0),0)&gt;0,1,0))</formula>
    </cfRule>
    <cfRule type="expression" dxfId="273" priority="510">
      <formula>IF(VLOOKUP($CY$3,#NAME?,MATCH($A4,#NAME?,0)+1,0)&gt;0,1,0)</formula>
    </cfRule>
    <cfRule type="expression" dxfId="272" priority="509">
      <formula>IF(LEN(CY4)&gt;0,1,0)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7" priority="533">
      <formula>IF(LEN(DC4)&gt;0,1,0)</formula>
    </cfRule>
    <cfRule type="expression" dxfId="256" priority="534">
      <formula>IF(VLOOKUP($DC$3,#NAME?,MATCH($A4,#NAME?,0)+1,0)&gt;0,1,0)</formula>
    </cfRule>
    <cfRule type="expression" dxfId="255"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54" priority="540">
      <formula>IF(VLOOKUP($DD$3,#NAME?,MATCH($A4,#NAME?,0)+1,0)&gt;0,1,0)</formula>
    </cfRule>
    <cfRule type="expression" dxfId="253" priority="539">
      <formula>IF(LEN(DD4)&gt;0,1,0)</formula>
    </cfRule>
    <cfRule type="expression" dxfId="252" priority="543">
      <formula>AND(IF(IFERROR(VLOOKUP($DD$3,#NAME?,MATCH($A4,#NAME?,0)+1,0),0)&gt;0,0,1),IF(IFERROR(VLOOKUP($DD$3,#NAME?,MATCH($A4,#NAME?,0)+1,0),0)&gt;0,0,1),IF(IFERROR(VLOOKUP($DD$3,#NAME?,MATCH($A4,#NAME?,0)+1,0),0)&gt;0,0,1),IF(IFERROR(MATCH($A4,#NAME?,0),0)&gt;0,1,0))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5">
      <formula>IF(LEN(DE4)&gt;0,1,0)</formula>
    </cfRule>
    <cfRule type="expression" dxfId="249" priority="546">
      <formula>IF(VLOOKUP($DE$3,#NAME?,MATCH($A4,#NAME?,0)+1,0)&gt;0,1,0)</formula>
    </cfRule>
    <cfRule type="expression" dxfId="248" priority="549">
      <formula>AND(IF(IFERROR(VLOOKUP($DE$3,#NAME?,MATCH($A4,#NAME?,0)+1,0),0)&gt;0,0,1),IF(IFERROR(VLOOKUP($DE$3,#NAME?,MATCH($A4,#NAME?,0)+1,0),0)&gt;0,0,1),IF(IFERROR(VLOOKUP($DE$3,#NAME?,MATCH($A4,#NAME?,0)+1,0),0)&gt;0,0,1),IF(IFERROR(MATCH($A4,#NAME?,0),0)&gt;0,1,0))</formula>
    </cfRule>
    <cfRule type="expression" dxfId="247"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7" priority="563">
      <formula>IF(LEN(DH4)&gt;0,1,0)</formula>
    </cfRule>
    <cfRule type="expression" dxfId="236" priority="564">
      <formula>IF(VLOOKUP($DH$3,#NAME?,MATCH($A4,#NAME?,0)+1,0)&gt;0,1,0)</formula>
    </cfRule>
    <cfRule type="expression" dxfId="235"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6">
      <formula>IF(VLOOKUP($DJ$3,#NAME?,MATCH($A4,#NAME?,0)+1,0)&gt;0,1,0)</formula>
    </cfRule>
    <cfRule type="expression" dxfId="228" priority="579">
      <formula>AND(IF(IFERROR(VLOOKUP($DJ$3,#NAME?,MATCH($A4,#NAME?,0)+1,0),0)&gt;0,0,1),IF(IFERROR(VLOOKUP($DJ$3,#NAME?,MATCH($A4,#NAME?,0)+1,0),0)&gt;0,0,1),IF(IFERROR(VLOOKUP($DJ$3,#NAME?,MATCH($A4,#NAME?,0)+1,0),0)&gt;0,0,1),IF(IFERROR(MATCH($A4,#NAME?,0),0)&gt;0,1,0))</formula>
    </cfRule>
    <cfRule type="expression" dxfId="227" priority="575">
      <formula>IF(LEN(DJ4)&gt;0,1,0)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1">
      <formula>IF(LEN(DK4)&gt;0,1,0)</formula>
    </cfRule>
    <cfRule type="expression" dxfId="224" priority="582">
      <formula>IF(VLOOKUP($DK$3,#NAME?,MATCH($A4,#NAME?,0)+1,0)&gt;0,1,0)</formula>
    </cfRule>
    <cfRule type="expression" dxfId="223"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3">
      <formula>IF(VLOOKUP($DO$3,#NAME?,MATCH($A5,#NAME?,0)+1,0)&gt;0,1,0)</formula>
    </cfRule>
    <cfRule type="expression" dxfId="213"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3">
      <formula>IF(LEN(DQ4)&gt;0,1,0)</formula>
    </cfRule>
    <cfRule type="expression" dxfId="207" priority="612">
      <formula>AND(AND(OR(AND(OR(OR(NOT(DY4&lt;&gt;"Not Applicable"),DY4=""))),AND(OR(OR(NOT(DZ4&lt;&gt;"Not Applicable"),DZ4=""))),AND(OR(OR(NOT(EA4&lt;&gt;"Not Applicable"),EA4=""))),AND(OR(OR(NOT(EB4&lt;&gt;"Not Applicable"),EB4=""))),AND(OR(OR(NOT(EC4&lt;&gt;"Not Applicable"),EC4="")))),A4&lt;&gt;""))</formula>
    </cfRule>
    <cfRule type="expression" dxfId="206" priority="614">
      <formula>IF(VLOOKUP($DQ$3,#NAME?,MATCH($A4,#NAME?,0)+1,0)&gt;0,1,0)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20">
      <formula>IF(VLOOKUP($DR$3,#NAME?,MATCH($A4,#NAME?,0)+1,0)&gt;0,1,0)</formula>
    </cfRule>
    <cfRule type="expression" dxfId="203" priority="623">
      <formula>AND(IF(IFERROR(VLOOKUP($DR$3,#NAME?,MATCH($A4,#NAME?,0)+1,0),0)&gt;0,0,1),IF(IFERROR(VLOOKUP($DR$3,#NAME?,MATCH($A4,#NAME?,0)+1,0),0)&gt;0,0,1),IF(IFERROR(VLOOKUP($DR$3,#NAME?,MATCH($A4,#NAME?,0)+1,0),0)&gt;0,0,1),IF(IFERROR(MATCH($A4,#NAME?,0),0)&gt;0,1,0))</formula>
    </cfRule>
    <cfRule type="expression" dxfId="202" priority="619">
      <formula>IF(LEN(DR4)&gt;0,1,0)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0" priority="641">
      <formula>IF(LEN(DV4)&gt;0,1,0)</formula>
    </cfRule>
    <cfRule type="expression" dxfId="189" priority="642">
      <formula>IF(VLOOKUP($DV$3,#NAME?,MATCH($A4,#NAME?,0)+1,0)&gt;0,1,0)</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48">
      <formula>IF(VLOOKUP($DW$3,#NAME?,MATCH($A4,#NAME?,0)+1,0)&gt;0,1,0)</formula>
    </cfRule>
    <cfRule type="expression" dxfId="186" priority="647">
      <formula>IF(LEN(DW4)&gt;0,1,0)</formula>
    </cfRule>
    <cfRule type="expression" dxfId="185" priority="651">
      <formula>AND(IF(IFERROR(VLOOKUP($DW$3,#NAME?,MATCH($A4,#NAME?,0)+1,0),0)&gt;0,0,1),IF(IFERROR(VLOOKUP($DW$3,#NAME?,MATCH($A4,#NAME?,0)+1,0),0)&gt;0,0,1),IF(IFERROR(VLOOKUP($DW$3,#NAME?,MATCH($A4,#NAME?,0)+1,0),0)&gt;0,0,1),IF(IFERROR(MATCH($A4,#NAME?,0),0)&gt;0,1,0))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3">
      <formula>IF(LEN(DX4)&gt;0,1,0)</formula>
    </cfRule>
    <cfRule type="expression" dxfId="182" priority="654">
      <formula>IF(VLOOKUP($DX$3,#NAME?,MATCH($A4,#NAME?,0)+1,0)&gt;0,1,0)</formula>
    </cfRule>
    <cfRule type="expression" dxfId="181" priority="657">
      <formula>AND(IF(IFERROR(VLOOKUP($DX$3,#NAME?,MATCH($A4,#NAME?,0)+1,0),0)&gt;0,0,1),IF(IFERROR(VLOOKUP($DX$3,#NAME?,MATCH($A4,#NAME?,0)+1,0),0)&gt;0,0,1),IF(IFERROR(VLOOKUP($DX$3,#NAME?,MATCH($A4,#NAME?,0)+1,0),0)&gt;0,0,1),IF(IFERROR(MATCH($A4,#NAME?,0),0)&gt;0,1,0))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58">
      <formula>AND(AND(OR(AND(OR(OR(NOT(CO4&lt;&gt;"DEFAULT"),CO4="")))),A4&lt;&gt;""))</formula>
    </cfRule>
    <cfRule type="expression" dxfId="178" priority="659">
      <formula>IF(LEN(DY4)&gt;0,1,0)</formula>
    </cfRule>
    <cfRule type="expression" dxfId="177" priority="660">
      <formula>IF(VLOOKUP($DY$3,#NAME?,MATCH($A4,#NAME?,0)+1,0)&gt;0,1,0)</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4">
      <formula>AND(AND(OR(AND(OR(OR(NOT(CO4&lt;&gt;"DEFAULT"),CO4="")))),A4&lt;&gt;""))</formula>
    </cfRule>
    <cfRule type="expression" dxfId="174" priority="665">
      <formula>IF(LEN(DZ4)&gt;0,1,0)</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0">
      <formula>AND(AND(OR(AND(OR(OR(NOT(CO4&lt;&gt;"DEFAULT"),CO4="")))),A4&lt;&gt;""))</formula>
    </cfRule>
    <cfRule type="expression" dxfId="170" priority="671">
      <formula>IF(LEN(EA4)&gt;0,1,0)</formula>
    </cfRule>
    <cfRule type="expression" dxfId="169" priority="672">
      <formula>IF(VLOOKUP($EA$3,#NAME?,MATCH($A4,#NAME?,0)+1,0)&gt;0,1,0)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76">
      <formula>AND(AND(OR(AND(OR(OR(NOT(CO4&lt;&gt;"DEFAULT"),CO4="")))),A4&lt;&gt;""))</formula>
    </cfRule>
    <cfRule type="expression" dxfId="166" priority="677">
      <formula>IF(LEN(EB4)&gt;0,1,0)</formula>
    </cfRule>
    <cfRule type="expression" dxfId="165" priority="678">
      <formula>IF(VLOOKUP($EB$3,#NAME?,MATCH($A4,#NAME?,0)+1,0)&gt;0,1,0)</formula>
    </cfRule>
    <cfRule type="expression" dxfId="164"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7">
      <formula>AND(IF(IFERROR(VLOOKUP($EC$3,#NAME?,MATCH($A4,#NAME?,0)+1,0),0)&gt;0,0,1),IF(IFERROR(VLOOKUP($EC$3,#NAME?,MATCH($A4,#NAME?,0)+1,0),0)&gt;0,0,1),IF(IFERROR(VLOOKUP($EC$3,#NAME?,MATCH($A4,#NAME?,0)+1,0),0)&gt;0,0,1),IF(IFERROR(MATCH($A4,#NAME?,0),0)&gt;0,1,0))</formula>
    </cfRule>
    <cfRule type="expression" dxfId="160" priority="684">
      <formula>IF(VLOOKUP($EC$3,#NAME?,MATCH($A4,#NAME?,0)+1,0)&gt;0,1,0)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21">
      <formula>AND(IF(IFERROR(VLOOKUP($EI$3,#NAME?,MATCH($A4,#NAME?,0)+1,0),0)&gt;0,0,1),IF(IFERROR(VLOOKUP($EI$3,#NAME?,MATCH($A4,#NAME?,0)+1,0),0)&gt;0,0,1),IF(IFERROR(VLOOKUP($EI$3,#NAME?,MATCH($A4,#NAME?,0)+1,0),0)&gt;0,0,1),IF(IFERROR(MATCH($A4,#NAME?,0),0)&gt;0,1,0))</formula>
    </cfRule>
    <cfRule type="expression" dxfId="140" priority="718">
      <formula>IF(VLOOKUP($EI$3,#NAME?,MATCH($A4,#NAME?,0)+1,0)&gt;0,1,0)</formula>
    </cfRule>
  </conditionalFormatting>
  <conditionalFormatting sqref="EJ4:EJ1048576">
    <cfRule type="expression" dxfId="139" priority="727">
      <formula>AND(IF(IFERROR(VLOOKUP($EJ$3,#NAME?,MATCH($A4,#NAME?,0)+1,0),0)&gt;0,0,1),IF(IFERROR(VLOOKUP($EJ$3,#NAME?,MATCH($A4,#NAME?,0)+1,0),0)&gt;0,0,1),IF(IFERROR(VLOOKUP($EJ$3,#NAME?,MATCH($A4,#NAME?,0)+1,0),0)&gt;0,0,1),IF(IFERROR(MATCH($A4,#NAME?,0),0)&gt;0,1,0))</formula>
    </cfRule>
    <cfRule type="expression" dxfId="138" priority="722">
      <formula>AND(AND(OR(AND(AND(OR(NOT(DY4="GHS"),DY4=""))),AND(AND(OR(NOT(DZ4="GHS"),DZ4=""))),AND(AND(OR(NOT(EA4="GHS"),EA4=""))),AND(AND(OR(NOT(EB4="GHS"),EB4=""))),AND(AND(OR(NOT(EC4="GHS"),EC4="")))),A4&lt;&gt;""))</formula>
    </cfRule>
    <cfRule type="expression" dxfId="137" priority="723">
      <formula>IF(LEN(EJ4)&gt;0,1,0)</formula>
    </cfRule>
    <cfRule type="expression" dxfId="136" priority="724">
      <formula>IF(VLOOKUP($EJ$3,#NAME?,MATCH($A4,#NAME?,0)+1,0)&gt;0,1,0)</formula>
    </cfRule>
  </conditionalFormatting>
  <conditionalFormatting sqref="EK4:EK1048576">
    <cfRule type="expression" dxfId="135" priority="730">
      <formula>IF(VLOOKUP($EK$3,#NAME?,MATCH($A4,#NAME?,0)+1,0)&gt;0,1,0)</formula>
    </cfRule>
    <cfRule type="expression" dxfId="134" priority="728">
      <formula>AND(AND(OR(AND(AND(OR(NOT(DY4="GHS"),DY4=""))),AND(AND(OR(NOT(DZ4="GHS"),DZ4=""))),AND(AND(OR(NOT(EA4="GHS"),EA4=""))),AND(AND(OR(NOT(EB4="GHS"),EB4=""))),AND(AND(OR(NOT(EC4="GHS"),EC4="")))),A4&lt;&gt;""))</formula>
    </cfRule>
    <cfRule type="expression" dxfId="133" priority="729">
      <formula>IF(LEN(EK4)&gt;0,1,0)</formula>
    </cfRule>
    <cfRule type="expression" dxfId="132"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31" priority="734">
      <formula>AND(AND(OR(AND(AND(OR(NOT(DY4="GHS"),DY4=""))),AND(AND(OR(NOT(DZ4="GHS"),DZ4=""))),AND(AND(OR(NOT(EA4="GHS"),EA4=""))),AND(AND(OR(NOT(EB4="GHS"),EB4=""))),AND(AND(OR(NOT(EC4="GHS"),EC4="")))),A4&lt;&gt;""))</formula>
    </cfRule>
    <cfRule type="expression" dxfId="130" priority="736">
      <formula>IF(VLOOKUP($EL$3,#NAME?,MATCH($A4,#NAME?,0)+1,0)&gt;0,1,0)</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9">
      <formula>AND(IF(IFERROR(VLOOKUP($EN$3,#NAME?,MATCH($A4,#NAME?,0)+1,0),0)&gt;0,0,1),IF(IFERROR(VLOOKUP($EN$3,#NAME?,MATCH($A4,#NAME?,0)+1,0),0)&gt;0,0,1),IF(IFERROR(VLOOKUP($EN$3,#NAME?,MATCH($A4,#NAME?,0)+1,0),0)&gt;0,0,1),IF(IFERROR(MATCH($A4,#NAME?,0),0)&gt;0,1,0))</formula>
    </cfRule>
    <cfRule type="expression" dxfId="124" priority="746">
      <formula>IF(VLOOKUP($EN$3,#NAME?,MATCH($A4,#NAME?,0)+1,0)&gt;0,1,0)</formula>
    </cfRule>
  </conditionalFormatting>
  <conditionalFormatting sqref="EO4:EO1048576">
    <cfRule type="expression" dxfId="123" priority="754">
      <formula>AND(IF(IFERROR(VLOOKUP($EO$3,#NAME?,MATCH($A4,#NAME?,0)+1,0),0)&gt;0,0,1),IF(IFERROR(VLOOKUP($EO$3,#NAME?,MATCH($A4,#NAME?,0)+1,0),0)&gt;0,0,1),IF(IFERROR(VLOOKUP($EO$3,#NAME?,MATCH($A4,#NAME?,0)+1,0),0)&gt;0,0,1),IF(IFERROR(MATCH($A4,#NAME?,0),0)&gt;0,1,0))</formula>
    </cfRule>
    <cfRule type="expression" dxfId="122" priority="751">
      <formula>IF(VLOOKUP($EO$3,#NAME?,MATCH($A4,#NAME?,0)+1,0)&gt;0,1,0)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1">
      <formula>IF(VLOOKUP($FA$3,#NAME?,MATCH($A4,#NAME?,0)+1,0)&gt;0,1,0)</formula>
    </cfRule>
    <cfRule type="expression" dxfId="98"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7" priority="816">
      <formula>IF(VLOOKUP($FB$3,#NAME?,MATCH($A4,#NAME?,0)+1,0)&gt;0,1,0)</formula>
    </cfRule>
    <cfRule type="expression" dxfId="96"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5" priority="821">
      <formula>IF(VLOOKUP($FC$3,#NAME?,MATCH($A4,#NAME?,0)+1,0)&gt;0,1,0)</formula>
    </cfRule>
    <cfRule type="expression" dxfId="94"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3" priority="826">
      <formula>IF(VLOOKUP($FD$3,#NAME?,MATCH($A4,#NAME?,0)+1,0)&gt;0,1,0)</formula>
    </cfRule>
    <cfRule type="expression" dxfId="92"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91" priority="831">
      <formula>IF(VLOOKUP($FE$3,#NAME?,MATCH($A4,#NAME?,0)+1,0)&gt;0,1,0)</formula>
    </cfRule>
    <cfRule type="expression" dxfId="9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9" priority="836">
      <formula>IF(VLOOKUP($FF$3,#NAME?,MATCH($A4,#NAME?,0)+1,0)&gt;0,1,0)</formula>
    </cfRule>
    <cfRule type="expression" dxfId="88"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87" priority="841">
      <formula>IF(VLOOKUP($FG$3,#NAME?,MATCH($A4,#NAME?,0)+1,0)&gt;0,1,0)</formula>
    </cfRule>
    <cfRule type="expression" dxfId="86"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4">
      <formula>IF(VLOOKUP($K$3,#NAME?,MATCH($A5,#NAME?,0)+1,0)&gt;0,1,0)</formula>
    </cfRule>
    <cfRule type="expression" dxfId="63"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6">
      <formula>IF(VLOOKUP($FP$3,#NAME?,MATCH($A4,#NAME?,0)+1,0)&gt;0,1,0)</formula>
    </cfRule>
    <cfRule type="expression" dxfId="58"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6">
      <formula>IF(VLOOKUP($FT$3,#NAME?,MATCH($A4,#NAME?,0)+1,0)&gt;0,1,0)</formula>
    </cfRule>
    <cfRule type="expression" dxfId="49"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6">
      <formula>IF(VLOOKUP($FV$3,#NAME?,MATCH($A4,#NAME?,0)+1,0)&gt;0,1,0)</formula>
    </cfRule>
    <cfRule type="expression" dxfId="4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44" priority="921">
      <formula>IF(VLOOKUP($FW$3,#NAME?,MATCH($A4,#NAME?,0)+1,0)&gt;0,1,0)</formula>
    </cfRule>
    <cfRule type="expression" dxfId="43"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42" priority="926">
      <formula>IF(VLOOKUP($FX$3,#NAME?,MATCH($A4,#NAME?,0)+1,0)&gt;0,1,0)</formula>
    </cfRule>
    <cfRule type="expression" dxfId="41"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1">
      <formula>IF(VLOOKUP($GC$3,#NAME?,MATCH($A4,#NAME?,0)+1,0)&gt;0,1,0)</formula>
    </cfRule>
    <cfRule type="expression" dxfId="31"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30" priority="956">
      <formula>IF(VLOOKUP($GD$3,#NAME?,MATCH($A4,#NAME?,0)+1,0)&gt;0,1,0)</formula>
    </cfRule>
    <cfRule type="expression" dxfId="29"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28" priority="961">
      <formula>IF(VLOOKUP($GE$3,#NAME?,MATCH($A4,#NAME?,0)+1,0)&gt;0,1,0)</formula>
    </cfRule>
    <cfRule type="expression" dxfId="27"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8" zoomScale="110" zoomScaleNormal="110" workbookViewId="0">
      <selection activeCell="B36" sqref="B36"/>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Teclado de respuesto {language} retroiluminado  para HP  </v>
      </c>
      <c r="E1" s="63" t="s">
        <v>352</v>
      </c>
      <c r="F1" s="63"/>
      <c r="G1" s="63"/>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Teclado de respuesto {language} sin retroiluminación  para HP  </v>
      </c>
    </row>
    <row r="3" spans="1:22" ht="17" x14ac:dyDescent="0.2">
      <c r="A3" s="37" t="s">
        <v>354</v>
      </c>
      <c r="B3" s="62" t="s">
        <v>677</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56" x14ac:dyDescent="0.15">
      <c r="A4" s="37" t="s">
        <v>369</v>
      </c>
      <c r="B4" s="41">
        <v>42.99</v>
      </c>
      <c r="C4" s="42" t="b">
        <f>FALSE()</f>
        <v>0</v>
      </c>
      <c r="D4" s="42" t="b">
        <f>TRUE()</f>
        <v>1</v>
      </c>
      <c r="E4" s="61">
        <v>5714401667018</v>
      </c>
      <c r="F4" s="60" t="s">
        <v>678</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Alemán</v>
      </c>
      <c r="I4" s="44" t="b">
        <f>TRUE()</f>
        <v>1</v>
      </c>
      <c r="J4" s="45" t="b">
        <v>0</v>
      </c>
      <c r="K4" s="36" t="s">
        <v>686</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https://raw.githubusercontent.com/PatrickVibild/TellusAmazonPictures/master/pictures/HP/W. PS/6560B SILVER/REG/DE/1.jpg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https://raw.githubusercontent.com/PatrickVibild/TellusAmazonPictures/master/pictures/HP/W. PS/6560B SILVER/REG/DE/2.jpg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https://raw.githubusercontent.com/PatrickVibild/TellusAmazonPictures/master/pictures/HP/W. PS/6560B SILVER/REG/DE/3.jpg</v>
      </c>
      <c r="P4" t="str">
        <f t="shared" ref="P4:P35" si="3">IF(ISBLANK(K4),"",IF(L4, "https://raw.githubusercontent.com/PatrickVibild/TellusAmazonPictures/master/pictures/"&amp;K4&amp;"/4.jpg", ""))</f>
        <v>https://raw.githubusercontent.com/PatrickVibild/TellusAmazonPictures/master/pictures/HP/W. PS/6560B SILVER/REG/DE/4.jpg</v>
      </c>
      <c r="Q4" t="str">
        <f t="shared" ref="Q4:Q35" si="4">IF(ISBLANK(K4),"",IF(L4, "https://raw.githubusercontent.com/PatrickVibild/TellusAmazonPictures/master/pictures/"&amp;K4&amp;"/5.jpg", ""))</f>
        <v>https://raw.githubusercontent.com/PatrickVibild/TellusAmazonPictures/master/pictures/HP/W. PS/6560B SILVER/REG/DE/5.jpg</v>
      </c>
      <c r="R4" t="str">
        <f t="shared" ref="R4:R35" si="5">IF(ISBLANK(K4),"",IF(L4, "https://raw.githubusercontent.com/PatrickVibild/TellusAmazonPictures/master/pictures/"&amp;K4&amp;"/6.jpg", ""))</f>
        <v>https://raw.githubusercontent.com/PatrickVibild/TellusAmazonPictures/master/pictures/HP/W. PS/6560B SILVER/REG/DE/6.jpg</v>
      </c>
      <c r="S4" t="str">
        <f t="shared" ref="S4:S35" si="6">IF(ISBLANK(K4),"",IF(L4, "https://raw.githubusercontent.com/PatrickVibild/TellusAmazonPictures/master/pictures/"&amp;K4&amp;"/7.jpg", ""))</f>
        <v>https://raw.githubusercontent.com/PatrickVibild/TellusAmazonPictures/master/pictures/HP/W. PS/6560B SILVER/REG/DE/7.jpg</v>
      </c>
      <c r="T4" t="str">
        <f t="shared" ref="T4:T35" si="7">IF(ISBLANK(K4),"",IF(L4, "https://raw.githubusercontent.com/PatrickVibild/TellusAmazonPictures/master/pictures/"&amp;K4&amp;"/8.jpg",""))</f>
        <v>https://raw.githubusercontent.com/PatrickVibild/TellusAmazonPictures/master/pictures/HP/W. PS/6560B SILVER/REG/DE/8.jpg</v>
      </c>
      <c r="U4" t="str">
        <f t="shared" ref="U4:U35" si="8">IF(ISBLANK(K4),"",IF(L4, "https://raw.githubusercontent.com/PatrickVibild/TellusAmazonPictures/master/pictures/"&amp;K4&amp;"/9.jpg", ""))</f>
        <v>https://raw.githubusercontent.com/PatrickVibild/TellusAmazonPictures/master/pictures/HP/W. PS/6560B SILVER/REG/DE/9.jpg</v>
      </c>
      <c r="V4" s="43">
        <f>MATCH(G4,options!$D$1:$D$20,0)</f>
        <v>1</v>
      </c>
    </row>
    <row r="5" spans="1:22" ht="56" x14ac:dyDescent="0.15">
      <c r="A5" s="37" t="s">
        <v>371</v>
      </c>
      <c r="B5" s="41">
        <v>37.99</v>
      </c>
      <c r="C5" s="42" t="b">
        <f>FALSE()</f>
        <v>0</v>
      </c>
      <c r="D5" s="42" t="b">
        <f>TRUE()</f>
        <v>1</v>
      </c>
      <c r="E5" s="61">
        <v>5714401667025</v>
      </c>
      <c r="F5" s="60" t="s">
        <v>679</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Francés</v>
      </c>
      <c r="I5" s="44" t="b">
        <f>TRUE()</f>
        <v>1</v>
      </c>
      <c r="J5" s="45" t="b">
        <v>0</v>
      </c>
      <c r="K5" s="36" t="s">
        <v>687</v>
      </c>
      <c r="L5" s="46" t="b">
        <v>1</v>
      </c>
      <c r="M5" s="47" t="str">
        <f t="shared" si="0"/>
        <v>https://raw.githubusercontent.com/PatrickVibild/TellusAmazonPictures/master/pictures/HP/W. PS/6560B SILVER/REG/FR/1.jpg</v>
      </c>
      <c r="N5" s="47" t="str">
        <f t="shared" si="1"/>
        <v>https://raw.githubusercontent.com/PatrickVibild/TellusAmazonPictures/master/pictures/HP/W. PS/6560B SILVER/REG/FR/2.jpg</v>
      </c>
      <c r="O5" s="48" t="str">
        <f t="shared" si="2"/>
        <v>https://raw.githubusercontent.com/PatrickVibild/TellusAmazonPictures/master/pictures/HP/W. PS/6560B SILVER/REG/FR/3.jpg</v>
      </c>
      <c r="P5" t="str">
        <f t="shared" si="3"/>
        <v>https://raw.githubusercontent.com/PatrickVibild/TellusAmazonPictures/master/pictures/HP/W. PS/6560B SILVER/REG/FR/4.jpg</v>
      </c>
      <c r="Q5" t="str">
        <f t="shared" si="4"/>
        <v>https://raw.githubusercontent.com/PatrickVibild/TellusAmazonPictures/master/pictures/HP/W. PS/6560B SILVER/REG/FR/5.jpg</v>
      </c>
      <c r="R5" t="str">
        <f t="shared" si="5"/>
        <v>https://raw.githubusercontent.com/PatrickVibild/TellusAmazonPictures/master/pictures/HP/W. PS/6560B SILVER/REG/FR/6.jpg</v>
      </c>
      <c r="S5" t="str">
        <f t="shared" si="6"/>
        <v>https://raw.githubusercontent.com/PatrickVibild/TellusAmazonPictures/master/pictures/HP/W. PS/6560B SILVER/REG/FR/7.jpg</v>
      </c>
      <c r="T5" t="str">
        <f t="shared" si="7"/>
        <v>https://raw.githubusercontent.com/PatrickVibild/TellusAmazonPictures/master/pictures/HP/W. PS/6560B SILVER/REG/FR/8.jpg</v>
      </c>
      <c r="U5" t="str">
        <f t="shared" si="8"/>
        <v>https://raw.githubusercontent.com/PatrickVibild/TellusAmazonPictures/master/pictures/HP/W. PS/6560B SILVER/REG/FR/9.jpg</v>
      </c>
      <c r="V5" s="43">
        <f>MATCH(G5,options!$D$1:$D$20,0)</f>
        <v>2</v>
      </c>
    </row>
    <row r="6" spans="1:22" ht="56" x14ac:dyDescent="0.15">
      <c r="A6" s="37" t="s">
        <v>373</v>
      </c>
      <c r="B6" s="49" t="s">
        <v>414</v>
      </c>
      <c r="C6" s="42" t="b">
        <f>FALSE()</f>
        <v>0</v>
      </c>
      <c r="D6" s="42" t="b">
        <f>TRUE()</f>
        <v>1</v>
      </c>
      <c r="E6" s="61">
        <v>5714401667032</v>
      </c>
      <c r="F6" s="60" t="s">
        <v>680</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Italiano</v>
      </c>
      <c r="I6" s="44" t="b">
        <f>TRUE()</f>
        <v>1</v>
      </c>
      <c r="J6" s="45" t="b">
        <v>0</v>
      </c>
      <c r="K6" s="36" t="s">
        <v>688</v>
      </c>
      <c r="L6" s="46" t="b">
        <v>1</v>
      </c>
      <c r="M6" s="47" t="str">
        <f t="shared" si="0"/>
        <v>https://raw.githubusercontent.com/PatrickVibild/TellusAmazonPictures/master/pictures/HP/W. PS/6560B SILVER/REG/IT/1.jpg</v>
      </c>
      <c r="N6" s="47" t="str">
        <f t="shared" si="1"/>
        <v>https://raw.githubusercontent.com/PatrickVibild/TellusAmazonPictures/master/pictures/HP/W. PS/6560B SILVER/REG/IT/2.jpg</v>
      </c>
      <c r="O6" s="48" t="str">
        <f t="shared" si="2"/>
        <v>https://raw.githubusercontent.com/PatrickVibild/TellusAmazonPictures/master/pictures/HP/W. PS/6560B SILVER/REG/IT/3.jpg</v>
      </c>
      <c r="P6" t="str">
        <f t="shared" si="3"/>
        <v>https://raw.githubusercontent.com/PatrickVibild/TellusAmazonPictures/master/pictures/HP/W. PS/6560B SILVER/REG/IT/4.jpg</v>
      </c>
      <c r="Q6" t="str">
        <f t="shared" si="4"/>
        <v>https://raw.githubusercontent.com/PatrickVibild/TellusAmazonPictures/master/pictures/HP/W. PS/6560B SILVER/REG/IT/5.jpg</v>
      </c>
      <c r="R6" t="str">
        <f t="shared" si="5"/>
        <v>https://raw.githubusercontent.com/PatrickVibild/TellusAmazonPictures/master/pictures/HP/W. PS/6560B SILVER/REG/IT/6.jpg</v>
      </c>
      <c r="S6" t="str">
        <f t="shared" si="6"/>
        <v>https://raw.githubusercontent.com/PatrickVibild/TellusAmazonPictures/master/pictures/HP/W. PS/6560B SILVER/REG/IT/7.jpg</v>
      </c>
      <c r="T6" t="str">
        <f t="shared" si="7"/>
        <v>https://raw.githubusercontent.com/PatrickVibild/TellusAmazonPictures/master/pictures/HP/W. PS/6560B SILVER/REG/IT/8.jpg</v>
      </c>
      <c r="U6" t="str">
        <f t="shared" si="8"/>
        <v>https://raw.githubusercontent.com/PatrickVibild/TellusAmazonPictures/master/pictures/HP/W. PS/6560B SILVER/REG/IT/9.jpg</v>
      </c>
      <c r="V6" s="43">
        <f>MATCH(G6,options!$D$1:$D$20,0)</f>
        <v>3</v>
      </c>
    </row>
    <row r="7" spans="1:22" ht="56" x14ac:dyDescent="0.15">
      <c r="A7" s="37" t="s">
        <v>376</v>
      </c>
      <c r="B7" s="50" t="str">
        <f>IF(B6=options!C1,"32","41")</f>
        <v>32</v>
      </c>
      <c r="C7" s="42" t="b">
        <f>FALSE()</f>
        <v>0</v>
      </c>
      <c r="D7" s="42" t="b">
        <f>TRUE()</f>
        <v>1</v>
      </c>
      <c r="E7" s="61">
        <v>5714401667049</v>
      </c>
      <c r="F7" s="60" t="s">
        <v>681</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Español</v>
      </c>
      <c r="I7" s="44" t="b">
        <f>TRUE()</f>
        <v>1</v>
      </c>
      <c r="J7" s="45" t="b">
        <v>0</v>
      </c>
      <c r="K7" s="36" t="s">
        <v>689</v>
      </c>
      <c r="L7" s="46" t="b">
        <v>1</v>
      </c>
      <c r="M7" s="47" t="str">
        <f t="shared" si="0"/>
        <v>https://raw.githubusercontent.com/PatrickVibild/TellusAmazonPictures/master/pictures/HP/W. PS/6560B SILVER/REG/ES/1.jpg</v>
      </c>
      <c r="N7" s="47" t="str">
        <f t="shared" si="1"/>
        <v>https://raw.githubusercontent.com/PatrickVibild/TellusAmazonPictures/master/pictures/HP/W. PS/6560B SILVER/REG/ES/2.jpg</v>
      </c>
      <c r="O7" s="48" t="str">
        <f t="shared" si="2"/>
        <v>https://raw.githubusercontent.com/PatrickVibild/TellusAmazonPictures/master/pictures/HP/W. PS/6560B SILVER/REG/ES/3.jpg</v>
      </c>
      <c r="P7" t="str">
        <f t="shared" si="3"/>
        <v>https://raw.githubusercontent.com/PatrickVibild/TellusAmazonPictures/master/pictures/HP/W. PS/6560B SILVER/REG/ES/4.jpg</v>
      </c>
      <c r="Q7" t="str">
        <f t="shared" si="4"/>
        <v>https://raw.githubusercontent.com/PatrickVibild/TellusAmazonPictures/master/pictures/HP/W. PS/6560B SILVER/REG/ES/5.jpg</v>
      </c>
      <c r="R7" t="str">
        <f t="shared" si="5"/>
        <v>https://raw.githubusercontent.com/PatrickVibild/TellusAmazonPictures/master/pictures/HP/W. PS/6560B SILVER/REG/ES/6.jpg</v>
      </c>
      <c r="S7" t="str">
        <f t="shared" si="6"/>
        <v>https://raw.githubusercontent.com/PatrickVibild/TellusAmazonPictures/master/pictures/HP/W. PS/6560B SILVER/REG/ES/7.jpg</v>
      </c>
      <c r="T7" t="str">
        <f t="shared" si="7"/>
        <v>https://raw.githubusercontent.com/PatrickVibild/TellusAmazonPictures/master/pictures/HP/W. PS/6560B SILVER/REG/ES/8.jpg</v>
      </c>
      <c r="U7" t="str">
        <f t="shared" si="8"/>
        <v>https://raw.githubusercontent.com/PatrickVibild/TellusAmazonPictures/master/pictures/HP/W. PS/6560B SILVER/REG/ES/9.jpg</v>
      </c>
      <c r="V7" s="43">
        <f>MATCH(G7,options!$D$1:$D$20,0)</f>
        <v>4</v>
      </c>
    </row>
    <row r="8" spans="1:22" ht="56" x14ac:dyDescent="0.15">
      <c r="A8" s="37" t="s">
        <v>378</v>
      </c>
      <c r="B8" s="50" t="str">
        <f>IF(B6=options!C1,"18","17")</f>
        <v>18</v>
      </c>
      <c r="C8" s="42" t="b">
        <f>FALSE()</f>
        <v>0</v>
      </c>
      <c r="D8" s="42" t="b">
        <f>TRUE()</f>
        <v>1</v>
      </c>
      <c r="E8" s="61">
        <v>5714401667056</v>
      </c>
      <c r="F8" s="60" t="s">
        <v>682</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Ingles</v>
      </c>
      <c r="I8" s="44" t="b">
        <f>TRUE()</f>
        <v>1</v>
      </c>
      <c r="J8" s="45" t="b">
        <v>0</v>
      </c>
      <c r="K8" s="36" t="s">
        <v>690</v>
      </c>
      <c r="L8" s="46" t="b">
        <v>1</v>
      </c>
      <c r="M8" s="47" t="str">
        <f t="shared" si="0"/>
        <v>https://raw.githubusercontent.com/PatrickVibild/TellusAmazonPictures/master/pictures/HP/W. PS/6560B SILVER/REG/UK/1.jpg</v>
      </c>
      <c r="N8" s="47" t="str">
        <f t="shared" si="1"/>
        <v>https://raw.githubusercontent.com/PatrickVibild/TellusAmazonPictures/master/pictures/HP/W. PS/6560B SILVER/REG/UK/2.jpg</v>
      </c>
      <c r="O8" s="48" t="str">
        <f t="shared" si="2"/>
        <v>https://raw.githubusercontent.com/PatrickVibild/TellusAmazonPictures/master/pictures/HP/W. PS/6560B SILVER/REG/UK/3.jpg</v>
      </c>
      <c r="P8" t="str">
        <f t="shared" si="3"/>
        <v>https://raw.githubusercontent.com/PatrickVibild/TellusAmazonPictures/master/pictures/HP/W. PS/6560B SILVER/REG/UK/4.jpg</v>
      </c>
      <c r="Q8" t="str">
        <f t="shared" si="4"/>
        <v>https://raw.githubusercontent.com/PatrickVibild/TellusAmazonPictures/master/pictures/HP/W. PS/6560B SILVER/REG/UK/5.jpg</v>
      </c>
      <c r="R8" t="str">
        <f t="shared" si="5"/>
        <v>https://raw.githubusercontent.com/PatrickVibild/TellusAmazonPictures/master/pictures/HP/W. PS/6560B SILVER/REG/UK/6.jpg</v>
      </c>
      <c r="S8" t="str">
        <f t="shared" si="6"/>
        <v>https://raw.githubusercontent.com/PatrickVibild/TellusAmazonPictures/master/pictures/HP/W. PS/6560B SILVER/REG/UK/7.jpg</v>
      </c>
      <c r="T8" t="str">
        <f t="shared" si="7"/>
        <v>https://raw.githubusercontent.com/PatrickVibild/TellusAmazonPictures/master/pictures/HP/W. PS/6560B SILVER/REG/UK/8.jpg</v>
      </c>
      <c r="U8" t="str">
        <f t="shared" si="8"/>
        <v>https://raw.githubusercontent.com/PatrickVibild/TellusAmazonPictures/master/pictures/HP/W. PS/6560B SILVER/REG/UK/9.jpg</v>
      </c>
      <c r="V8" s="43">
        <f>MATCH(G8,options!$D$1:$D$20,0)</f>
        <v>5</v>
      </c>
    </row>
    <row r="9" spans="1:22" ht="56" x14ac:dyDescent="0.15">
      <c r="A9" s="37" t="s">
        <v>380</v>
      </c>
      <c r="B9" s="50" t="str">
        <f>IF(B6=options!C1,"2","5")</f>
        <v>2</v>
      </c>
      <c r="C9" s="42" t="b">
        <f>FALSE()</f>
        <v>0</v>
      </c>
      <c r="D9" s="42" t="b">
        <f>TRUE()</f>
        <v>1</v>
      </c>
      <c r="E9" s="61">
        <v>5714401667063</v>
      </c>
      <c r="F9" s="60" t="s">
        <v>683</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Escandinavo - nórdico</v>
      </c>
      <c r="I9" s="44" t="b">
        <f>TRUE()</f>
        <v>1</v>
      </c>
      <c r="J9" s="45" t="b">
        <v>0</v>
      </c>
      <c r="K9" s="36" t="s">
        <v>691</v>
      </c>
      <c r="L9" s="46" t="b">
        <v>1</v>
      </c>
      <c r="M9" s="47" t="str">
        <f t="shared" si="0"/>
        <v>https://raw.githubusercontent.com/PatrickVibild/TellusAmazonPictures/master/pictures/HP/W. PS/6560B SILVER/REG/NOR/1.jpg</v>
      </c>
      <c r="N9" s="47" t="str">
        <f t="shared" si="1"/>
        <v>https://raw.githubusercontent.com/PatrickVibild/TellusAmazonPictures/master/pictures/HP/W. PS/6560B SILVER/REG/NOR/2.jpg</v>
      </c>
      <c r="O9" s="48" t="str">
        <f t="shared" si="2"/>
        <v>https://raw.githubusercontent.com/PatrickVibild/TellusAmazonPictures/master/pictures/HP/W. PS/6560B SILVER/REG/NOR/3.jpg</v>
      </c>
      <c r="P9" t="str">
        <f t="shared" si="3"/>
        <v>https://raw.githubusercontent.com/PatrickVibild/TellusAmazonPictures/master/pictures/HP/W. PS/6560B SILVER/REG/NOR/4.jpg</v>
      </c>
      <c r="Q9" t="str">
        <f t="shared" si="4"/>
        <v>https://raw.githubusercontent.com/PatrickVibild/TellusAmazonPictures/master/pictures/HP/W. PS/6560B SILVER/REG/NOR/5.jpg</v>
      </c>
      <c r="R9" t="str">
        <f t="shared" si="5"/>
        <v>https://raw.githubusercontent.com/PatrickVibild/TellusAmazonPictures/master/pictures/HP/W. PS/6560B SILVER/REG/NOR/6.jpg</v>
      </c>
      <c r="S9" t="str">
        <f t="shared" si="6"/>
        <v>https://raw.githubusercontent.com/PatrickVibild/TellusAmazonPictures/master/pictures/HP/W. PS/6560B SILVER/REG/NOR/7.jpg</v>
      </c>
      <c r="T9" t="str">
        <f t="shared" si="7"/>
        <v>https://raw.githubusercontent.com/PatrickVibild/TellusAmazonPictures/master/pictures/HP/W. PS/6560B SILVER/REG/NOR/8.jpg</v>
      </c>
      <c r="U9" t="str">
        <f t="shared" si="8"/>
        <v>https://raw.githubusercontent.com/PatrickVibild/TellusAmazonPictures/master/pictures/HP/W. PS/6560B SILVER/REG/NOR/9.jpg</v>
      </c>
      <c r="V9" s="43">
        <f>MATCH(G9,options!$D$1:$D$20,0)</f>
        <v>6</v>
      </c>
    </row>
    <row r="10" spans="1:22" ht="14" x14ac:dyDescent="0.15">
      <c r="A10" t="s">
        <v>382</v>
      </c>
      <c r="B10" s="51"/>
      <c r="C10" s="42"/>
      <c r="D10" s="42"/>
      <c r="E10" s="61"/>
      <c r="F10" s="60"/>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Belga</v>
      </c>
      <c r="I10" s="44" t="b">
        <f>TRUE()</f>
        <v>1</v>
      </c>
      <c r="J10" s="45" t="b">
        <v>0</v>
      </c>
      <c r="K10" s="36"/>
      <c r="L10" s="46"/>
      <c r="M10" s="47" t="str">
        <f t="shared" si="0"/>
        <v/>
      </c>
      <c r="N10" s="47" t="str">
        <f t="shared" si="1"/>
        <v/>
      </c>
      <c r="O10" s="48" t="str">
        <f t="shared" si="2"/>
        <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2">
        <v>150</v>
      </c>
      <c r="C11" s="42"/>
      <c r="D11" s="42"/>
      <c r="E11" s="61"/>
      <c r="F11" s="60"/>
      <c r="G11" s="43"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Suizo</v>
      </c>
      <c r="I11" s="44" t="b">
        <f>TRUE()</f>
        <v>1</v>
      </c>
      <c r="J11" s="45" t="b">
        <v>0</v>
      </c>
      <c r="K11" s="36"/>
      <c r="L11" s="46"/>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15</v>
      </c>
    </row>
    <row r="12" spans="1:22" ht="56" x14ac:dyDescent="0.15">
      <c r="B12" s="51"/>
      <c r="C12" s="42" t="b">
        <f>FALSE()</f>
        <v>0</v>
      </c>
      <c r="D12" s="42" t="b">
        <v>1</v>
      </c>
      <c r="E12" s="61">
        <v>5714401667094</v>
      </c>
      <c r="F12" s="60" t="s">
        <v>684</v>
      </c>
      <c r="G12" s="43"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internacional</v>
      </c>
      <c r="I12" s="44" t="b">
        <f>TRUE()</f>
        <v>1</v>
      </c>
      <c r="J12" s="45" t="b">
        <v>0</v>
      </c>
      <c r="K12" s="36" t="s">
        <v>692</v>
      </c>
      <c r="L12" s="46" t="b">
        <v>1</v>
      </c>
      <c r="M12" s="47" t="str">
        <f t="shared" si="0"/>
        <v>https://raw.githubusercontent.com/PatrickVibild/TellusAmazonPictures/master/pictures/HP/W. PS/6560B SILVER/REG/USI/1.jpg</v>
      </c>
      <c r="N12" s="47" t="str">
        <f t="shared" si="1"/>
        <v>https://raw.githubusercontent.com/PatrickVibild/TellusAmazonPictures/master/pictures/HP/W. PS/6560B SILVER/REG/USI/2.jpg</v>
      </c>
      <c r="O12" s="48" t="str">
        <f t="shared" si="2"/>
        <v>https://raw.githubusercontent.com/PatrickVibild/TellusAmazonPictures/master/pictures/HP/W. PS/6560B SILVER/REG/USI/3.jpg</v>
      </c>
      <c r="P12" t="str">
        <f t="shared" si="3"/>
        <v>https://raw.githubusercontent.com/PatrickVibild/TellusAmazonPictures/master/pictures/HP/W. PS/6560B SILVER/REG/USI/4.jpg</v>
      </c>
      <c r="Q12" t="str">
        <f t="shared" si="4"/>
        <v>https://raw.githubusercontent.com/PatrickVibild/TellusAmazonPictures/master/pictures/HP/W. PS/6560B SILVER/REG/USI/5.jpg</v>
      </c>
      <c r="R12" t="str">
        <f t="shared" si="5"/>
        <v>https://raw.githubusercontent.com/PatrickVibild/TellusAmazonPictures/master/pictures/HP/W. PS/6560B SILVER/REG/USI/6.jpg</v>
      </c>
      <c r="S12" t="str">
        <f t="shared" si="6"/>
        <v>https://raw.githubusercontent.com/PatrickVibild/TellusAmazonPictures/master/pictures/HP/W. PS/6560B SILVER/REG/USI/7.jpg</v>
      </c>
      <c r="T12" t="str">
        <f t="shared" si="7"/>
        <v>https://raw.githubusercontent.com/PatrickVibild/TellusAmazonPictures/master/pictures/HP/W. PS/6560B SILVER/REG/USI/8.jpg</v>
      </c>
      <c r="U12" t="str">
        <f t="shared" si="8"/>
        <v>https://raw.githubusercontent.com/PatrickVibild/TellusAmazonPictures/master/pictures/HP/W. PS/6560B SILVER/REG/USI/9.jpg</v>
      </c>
      <c r="V12" s="43">
        <f>MATCH(G12,options!$D$1:$D$20,0)</f>
        <v>16</v>
      </c>
    </row>
    <row r="13" spans="1:22" ht="56" x14ac:dyDescent="0.15">
      <c r="A13" s="37" t="s">
        <v>387</v>
      </c>
      <c r="B13" s="60" t="s">
        <v>676</v>
      </c>
      <c r="C13" s="42" t="b">
        <v>1</v>
      </c>
      <c r="D13" s="42" t="b">
        <f>FALSE()</f>
        <v>0</v>
      </c>
      <c r="E13" s="61">
        <v>5714401667100</v>
      </c>
      <c r="F13" s="60" t="s">
        <v>685</v>
      </c>
      <c r="G13" s="43"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0</v>
      </c>
      <c r="K13" s="36" t="s">
        <v>693</v>
      </c>
      <c r="L13" s="46" t="b">
        <v>1</v>
      </c>
      <c r="M13" s="47" t="str">
        <f t="shared" si="0"/>
        <v>https://raw.githubusercontent.com/PatrickVibild/TellusAmazonPictures/master/pictures/HP/W. PS/6560B SILVER/REG/US/1.jpg</v>
      </c>
      <c r="N13" s="47" t="str">
        <f t="shared" si="1"/>
        <v>https://raw.githubusercontent.com/PatrickVibild/TellusAmazonPictures/master/pictures/HP/W. PS/6560B SILVER/REG/US/2.jpg</v>
      </c>
      <c r="O13" s="48" t="str">
        <f t="shared" si="2"/>
        <v>https://raw.githubusercontent.com/PatrickVibild/TellusAmazonPictures/master/pictures/HP/W. PS/6560B SILVER/REG/US/3.jpg</v>
      </c>
      <c r="P13" t="str">
        <f t="shared" si="3"/>
        <v>https://raw.githubusercontent.com/PatrickVibild/TellusAmazonPictures/master/pictures/HP/W. PS/6560B SILVER/REG/US/4.jpg</v>
      </c>
      <c r="Q13" t="str">
        <f t="shared" si="4"/>
        <v>https://raw.githubusercontent.com/PatrickVibild/TellusAmazonPictures/master/pictures/HP/W. PS/6560B SILVER/REG/US/5.jpg</v>
      </c>
      <c r="R13" t="str">
        <f t="shared" si="5"/>
        <v>https://raw.githubusercontent.com/PatrickVibild/TellusAmazonPictures/master/pictures/HP/W. PS/6560B SILVER/REG/US/6.jpg</v>
      </c>
      <c r="S13" t="str">
        <f t="shared" si="6"/>
        <v>https://raw.githubusercontent.com/PatrickVibild/TellusAmazonPictures/master/pictures/HP/W. PS/6560B SILVER/REG/US/7.jpg</v>
      </c>
      <c r="T13" t="str">
        <f t="shared" si="7"/>
        <v>https://raw.githubusercontent.com/PatrickVibild/TellusAmazonPictures/master/pictures/HP/W. PS/6560B SILVER/REG/US/8.jpg</v>
      </c>
      <c r="U13" t="str">
        <f t="shared" si="8"/>
        <v>https://raw.githubusercontent.com/PatrickVibild/TellusAmazonPictures/master/pictures/HP/W. PS/6560B SILVER/REG/US/9.jpg</v>
      </c>
      <c r="V13" s="43">
        <f>MATCH(G13,options!$D$1:$D$20,0)</f>
        <v>18</v>
      </c>
    </row>
    <row r="14" spans="1:22" x14ac:dyDescent="0.15">
      <c r="A14" s="37" t="s">
        <v>389</v>
      </c>
      <c r="B14" s="60">
        <v>5714401656999</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Húngaro</v>
      </c>
      <c r="I14" s="44" t="b">
        <f>TRUE()</f>
        <v>1</v>
      </c>
      <c r="J14" s="45" t="b">
        <v>0</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row>
    <row r="15" spans="1:22" x14ac:dyDescent="0.15">
      <c r="B15" s="51"/>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Holandés</v>
      </c>
      <c r="I15" s="44" t="b">
        <f>TRUE()</f>
        <v>1</v>
      </c>
      <c r="J15" s="45" t="b">
        <v>0</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565</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Noruego</v>
      </c>
      <c r="I16" s="44" t="b">
        <f>TRUE()</f>
        <v>1</v>
      </c>
      <c r="J16" s="45" t="b">
        <v>0</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row>
    <row r="17" spans="1:22" x14ac:dyDescent="0.15">
      <c r="B17" s="51"/>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Polaco</v>
      </c>
      <c r="I17" s="44" t="b">
        <f>TRUE()</f>
        <v>1</v>
      </c>
      <c r="J17" s="45" t="b">
        <v>0</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x14ac:dyDescent="0.15">
      <c r="A18" s="37" t="s">
        <v>395</v>
      </c>
      <c r="B18" s="52">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Portugués</v>
      </c>
      <c r="I18" s="44" t="b">
        <f>TRUE()</f>
        <v>1</v>
      </c>
      <c r="J18" s="45" t="b">
        <v>0</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row>
    <row r="19" spans="1:22" x14ac:dyDescent="0.15">
      <c r="B19" s="51"/>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Sueco – Finlandes</v>
      </c>
      <c r="I19" s="44" t="b">
        <f>TRUE()</f>
        <v>1</v>
      </c>
      <c r="J19" s="45" t="b">
        <v>0</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399</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Suizo</v>
      </c>
      <c r="I20" s="44" t="b">
        <f>TRUE()</f>
        <v>1</v>
      </c>
      <c r="J20" s="45" t="b">
        <v>0</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row>
    <row r="21" spans="1:22" x14ac:dyDescent="0.15">
      <c r="B21" s="51"/>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internacional</v>
      </c>
      <c r="I21" s="44" t="b">
        <f>TRUE()</f>
        <v>1</v>
      </c>
      <c r="J21" s="45" t="b">
        <v>0</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row>
    <row r="22" spans="1:22" x14ac:dyDescent="0.15">
      <c r="B22" s="51"/>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Ruso</v>
      </c>
      <c r="I22" s="44" t="b">
        <f>TRUE()</f>
        <v>1</v>
      </c>
      <c r="J22" s="45" t="b">
        <v>0</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REFORMADO: AHORRE DINERO - Reemplazo del teclado para portátil HP, misma calidad que los teclados OEM. TellusRem es el distribuidor líder de teclados en el mundo desde 2011. Teclado de reemplazo perfecto, fácil de reemplazar e instalar.</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v>1</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Alemán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PRODUCTO MEDIOAMBIENTAL - Compre reacondicionado, COMPRE VERDE. Reduzca más del 80% de dióxido de carbono comprando nuestros teclados reacondicionados, en comparación con obtener un teclado nuevo! Pieza de repuesto OEM perfecta para su teclado.</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Francés</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FORMATO – {flag} {language} con retroiluminación.</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Italiano</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CON: HP {model}. Por favor, revise la imagen y la descripción cuidadosamente antes de comprar cualquier teclado. Esto asegura que obtenga el teclado correcto para su portátil. Instalación fácil.</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Español</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row>
    <row r="28" spans="1:22"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Ingles</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Escandinavo - nórdico</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row>
    <row r="30" spans="1:22"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Belga</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meses de garantía después de la fecha de entrega. En caso de mal funcionamiento del teclado, se enviará una nueva unidad o una pieza de repuesto para el teclado del producto. En caso de clasificación de existencias, se emite un reembolso completo.</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Búlgaro</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Checo</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FORMATO – {flag} {language} sin retroiluminación.</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Danés</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row>
    <row r="34" spans="1:22"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Húngaro</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row>
    <row r="35" spans="1:22"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Holandés</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377</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Noruego</v>
      </c>
      <c r="I36" s="44"/>
      <c r="J36" s="45"/>
      <c r="K36" s="36"/>
      <c r="L36" s="46"/>
      <c r="M36" s="47" t="str">
        <f t="shared" ref="M36:M67" si="9">IF(ISBLANK(K36),"",IF(L36, "https://raw.githubusercontent.com/PatrickVibild/TellusAmazonPictures/master/pictures/"&amp;K36&amp;"/1.jpg","https://download.lenovo.com/Images/Parts/"&amp;K36&amp;"/"&amp;K36&amp;"_A.jpg"))</f>
        <v/>
      </c>
      <c r="N36" s="47" t="str">
        <f t="shared" ref="N36:N67" si="10">IF(ISBLANK(K36),"",IF(L36, "https://raw.githubusercontent.com/PatrickVibild/TellusAmazonPictures/master/pictures/"&amp;K36&amp;"/2.jpg","https://download.lenovo.com/Images/Parts/"&amp;K36&amp;"/"&amp;K36&amp;"_B.jpg"))</f>
        <v/>
      </c>
      <c r="O36" s="48"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3" t="s">
        <v>416</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Polaco</v>
      </c>
      <c r="I37" s="44"/>
      <c r="J37" s="45"/>
      <c r="K37" s="36"/>
      <c r="L37" s="46"/>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Portugués</v>
      </c>
      <c r="I38" s="44"/>
      <c r="J38" s="45"/>
      <c r="K38" s="36"/>
      <c r="L38" s="46"/>
      <c r="M38" s="47" t="str">
        <f t="shared" si="9"/>
        <v/>
      </c>
      <c r="N38" s="47" t="str">
        <f t="shared" si="10"/>
        <v/>
      </c>
      <c r="O38" s="48" t="str">
        <f t="shared" si="11"/>
        <v/>
      </c>
      <c r="P38" t="str">
        <f t="shared" si="12"/>
        <v/>
      </c>
      <c r="Q38" t="str">
        <f t="shared" si="13"/>
        <v/>
      </c>
      <c r="R38" t="str">
        <f t="shared" si="14"/>
        <v/>
      </c>
      <c r="S38" t="str">
        <f t="shared" si="15"/>
        <v/>
      </c>
      <c r="T38" t="str">
        <f t="shared" si="16"/>
        <v/>
      </c>
      <c r="U38" t="str">
        <f t="shared" si="17"/>
        <v/>
      </c>
      <c r="V38" s="43">
        <f>MATCH(G38,options!$D$1:$D$20,0)</f>
        <v>13</v>
      </c>
    </row>
    <row r="39" spans="1:22"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Sueco – Finlandes</v>
      </c>
      <c r="I39" s="44"/>
      <c r="J39" s="45"/>
      <c r="K39" s="36"/>
      <c r="L39" s="46"/>
      <c r="M39" s="47" t="str">
        <f t="shared" si="9"/>
        <v/>
      </c>
      <c r="N39" s="47" t="str">
        <f t="shared" si="10"/>
        <v/>
      </c>
      <c r="O39" s="48" t="str">
        <f t="shared" si="11"/>
        <v/>
      </c>
      <c r="P39" t="str">
        <f t="shared" si="12"/>
        <v/>
      </c>
      <c r="Q39" t="str">
        <f t="shared" si="13"/>
        <v/>
      </c>
      <c r="R39" t="str">
        <f t="shared" si="14"/>
        <v/>
      </c>
      <c r="S39" t="str">
        <f t="shared" si="15"/>
        <v/>
      </c>
      <c r="T39" t="str">
        <f t="shared" si="16"/>
        <v/>
      </c>
      <c r="U39" t="str">
        <f t="shared" si="17"/>
        <v/>
      </c>
      <c r="V39" s="43">
        <f>MATCH(G39,options!$D$1:$D$20,0)</f>
        <v>14</v>
      </c>
    </row>
    <row r="40" spans="1:22"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Suizo</v>
      </c>
      <c r="I40" s="44"/>
      <c r="J40" s="45"/>
      <c r="K40" s="36"/>
      <c r="L40" s="46"/>
      <c r="M40" s="47" t="str">
        <f t="shared" si="9"/>
        <v/>
      </c>
      <c r="N40" s="47" t="str">
        <f t="shared" si="10"/>
        <v/>
      </c>
      <c r="O40" s="48" t="str">
        <f t="shared" si="11"/>
        <v/>
      </c>
      <c r="P40" t="str">
        <f t="shared" si="12"/>
        <v/>
      </c>
      <c r="Q40" t="str">
        <f t="shared" si="13"/>
        <v/>
      </c>
      <c r="R40" t="str">
        <f t="shared" si="14"/>
        <v/>
      </c>
      <c r="S40" t="str">
        <f t="shared" si="15"/>
        <v/>
      </c>
      <c r="T40" t="str">
        <f t="shared" si="16"/>
        <v/>
      </c>
      <c r="U40" t="str">
        <f t="shared" si="17"/>
        <v/>
      </c>
      <c r="V40" s="43">
        <f>MATCH(G40,options!$D$1:$D$20,0)</f>
        <v>15</v>
      </c>
    </row>
    <row r="41" spans="1:22"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internacional</v>
      </c>
      <c r="I41" s="44"/>
      <c r="J41" s="45"/>
      <c r="K41" s="36"/>
      <c r="L41" s="46"/>
      <c r="M41" s="47" t="str">
        <f t="shared" si="9"/>
        <v/>
      </c>
      <c r="N41" s="47" t="str">
        <f t="shared" si="10"/>
        <v/>
      </c>
      <c r="O41" s="48" t="str">
        <f t="shared" si="11"/>
        <v/>
      </c>
      <c r="P41" t="str">
        <f t="shared" si="12"/>
        <v/>
      </c>
      <c r="Q41" t="str">
        <f t="shared" si="13"/>
        <v/>
      </c>
      <c r="R41" t="str">
        <f t="shared" si="14"/>
        <v/>
      </c>
      <c r="S41" t="str">
        <f t="shared" si="15"/>
        <v/>
      </c>
      <c r="T41" t="str">
        <f t="shared" si="16"/>
        <v/>
      </c>
      <c r="U41" t="str">
        <f t="shared" si="17"/>
        <v/>
      </c>
      <c r="V41" s="43">
        <f>MATCH(G41,options!$D$1:$D$20,0)</f>
        <v>16</v>
      </c>
    </row>
    <row r="42" spans="1:22"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Ruso</v>
      </c>
      <c r="I42" s="44"/>
      <c r="J42" s="45"/>
      <c r="K42" s="36"/>
      <c r="L42" s="46"/>
      <c r="M42" s="47" t="str">
        <f t="shared" si="9"/>
        <v/>
      </c>
      <c r="N42" s="47" t="str">
        <f t="shared" si="10"/>
        <v/>
      </c>
      <c r="O42" s="48" t="str">
        <f t="shared" si="11"/>
        <v/>
      </c>
      <c r="P42" t="str">
        <f t="shared" si="12"/>
        <v/>
      </c>
      <c r="Q42" t="str">
        <f t="shared" si="13"/>
        <v/>
      </c>
      <c r="R42" t="str">
        <f t="shared" si="14"/>
        <v/>
      </c>
      <c r="S42" t="str">
        <f t="shared" si="15"/>
        <v/>
      </c>
      <c r="T42" t="str">
        <f t="shared" si="16"/>
        <v/>
      </c>
      <c r="U42" t="str">
        <f t="shared" si="17"/>
        <v/>
      </c>
      <c r="V42" s="43">
        <f>MATCH(G42,options!$D$1:$D$20,0)</f>
        <v>17</v>
      </c>
    </row>
    <row r="43" spans="1:22"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9"/>
        <v/>
      </c>
      <c r="N43" s="47" t="str">
        <f t="shared" si="10"/>
        <v/>
      </c>
      <c r="O43" s="48" t="str">
        <f t="shared" si="11"/>
        <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9"/>
        <v/>
      </c>
      <c r="N44" s="47" t="str">
        <f t="shared" si="10"/>
        <v/>
      </c>
      <c r="O44" s="48"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9"/>
        <v/>
      </c>
      <c r="N63" s="47" t="str">
        <f t="shared" si="10"/>
        <v/>
      </c>
      <c r="O63" s="48"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9"/>
        <v/>
      </c>
      <c r="N64" s="47" t="str">
        <f t="shared" si="10"/>
        <v/>
      </c>
      <c r="O64" s="48"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9"/>
        <v/>
      </c>
      <c r="N65" s="47" t="str">
        <f t="shared" si="10"/>
        <v/>
      </c>
      <c r="O65" s="48"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9"/>
        <v/>
      </c>
      <c r="N66" s="47" t="str">
        <f t="shared" si="10"/>
        <v/>
      </c>
      <c r="O66" s="48"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9"/>
        <v/>
      </c>
      <c r="N67" s="47" t="str">
        <f t="shared" si="10"/>
        <v/>
      </c>
      <c r="O67" s="48"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18">IF(ISBLANK(K68),"",IF(L68, "https://raw.githubusercontent.com/PatrickVibild/TellusAmazonPictures/master/pictures/"&amp;K68&amp;"/1.jpg","https://download.lenovo.com/Images/Parts/"&amp;K68&amp;"/"&amp;K68&amp;"_A.jpg"))</f>
        <v/>
      </c>
      <c r="N68" s="47" t="str">
        <f t="shared" ref="N68:N103" si="19">IF(ISBLANK(K68),"",IF(L68, "https://raw.githubusercontent.com/PatrickVibild/TellusAmazonPictures/master/pictures/"&amp;K68&amp;"/2.jpg","https://download.lenovo.com/Images/Parts/"&amp;K68&amp;"/"&amp;K68&amp;"_B.jpg"))</f>
        <v/>
      </c>
      <c r="O68" s="48"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18"/>
        <v/>
      </c>
      <c r="N69" s="47" t="str">
        <f t="shared" si="19"/>
        <v/>
      </c>
      <c r="O69" s="48"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18"/>
        <v/>
      </c>
      <c r="N70" s="47" t="str">
        <f t="shared" si="19"/>
        <v/>
      </c>
      <c r="O70" s="48"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18"/>
        <v/>
      </c>
      <c r="N71" s="47" t="str">
        <f t="shared" si="19"/>
        <v/>
      </c>
      <c r="O71" s="48"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18"/>
        <v/>
      </c>
      <c r="N72" s="47" t="str">
        <f t="shared" si="19"/>
        <v/>
      </c>
      <c r="O72" s="48"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18"/>
        <v/>
      </c>
      <c r="N73" s="47" t="str">
        <f t="shared" si="19"/>
        <v/>
      </c>
      <c r="O73" s="48"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18"/>
        <v/>
      </c>
      <c r="N74" s="47" t="str">
        <f t="shared" si="19"/>
        <v/>
      </c>
      <c r="O74" s="48"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18"/>
        <v/>
      </c>
      <c r="N76" s="47" t="str">
        <f t="shared" si="19"/>
        <v/>
      </c>
      <c r="O76" s="48"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18"/>
        <v/>
      </c>
      <c r="N78" s="47" t="str">
        <f t="shared" si="19"/>
        <v/>
      </c>
      <c r="O78" s="48"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18"/>
        <v/>
      </c>
      <c r="N79" s="47" t="str">
        <f t="shared" si="19"/>
        <v/>
      </c>
      <c r="O79" s="48"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18"/>
        <v/>
      </c>
      <c r="N80" s="47" t="str">
        <f t="shared" si="19"/>
        <v/>
      </c>
      <c r="O80" s="48"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18"/>
        <v/>
      </c>
      <c r="N81" s="47" t="str">
        <f t="shared" si="19"/>
        <v/>
      </c>
      <c r="O81" s="48"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18"/>
        <v/>
      </c>
      <c r="N82" s="47" t="str">
        <f t="shared" si="19"/>
        <v/>
      </c>
      <c r="O82" s="48"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18"/>
        <v/>
      </c>
      <c r="N83" s="47" t="str">
        <f t="shared" si="19"/>
        <v/>
      </c>
      <c r="O83" s="48"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566</v>
      </c>
    </row>
    <row r="9" spans="1:7" x14ac:dyDescent="0.15">
      <c r="D9" s="43" t="s">
        <v>388</v>
      </c>
      <c r="E9" t="s">
        <v>426</v>
      </c>
      <c r="F9" t="s">
        <v>567</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640</v>
      </c>
    </row>
    <row r="4" spans="1:2" x14ac:dyDescent="0.15">
      <c r="B4" s="40" t="s">
        <v>438</v>
      </c>
    </row>
    <row r="5" spans="1:2" x14ac:dyDescent="0.15">
      <c r="B5" s="40" t="s">
        <v>439</v>
      </c>
    </row>
    <row r="6" spans="1:2" x14ac:dyDescent="0.15">
      <c r="A6" t="s">
        <v>440</v>
      </c>
      <c r="B6" s="40" t="s">
        <v>441</v>
      </c>
    </row>
    <row r="7" spans="1:2" x14ac:dyDescent="0.15">
      <c r="B7" s="40" t="s">
        <v>641</v>
      </c>
    </row>
    <row r="8" spans="1:2" x14ac:dyDescent="0.15">
      <c r="A8" t="s">
        <v>40</v>
      </c>
      <c r="B8" s="40" t="s">
        <v>442</v>
      </c>
    </row>
    <row r="9" spans="1:2" x14ac:dyDescent="0.15">
      <c r="A9" t="s">
        <v>443</v>
      </c>
      <c r="B9" s="40" t="s">
        <v>444</v>
      </c>
    </row>
    <row r="10" spans="1:2" x14ac:dyDescent="0.15">
      <c r="B10" t="s">
        <v>642</v>
      </c>
    </row>
    <row r="11" spans="1:2" x14ac:dyDescent="0.15">
      <c r="B11" t="s">
        <v>643</v>
      </c>
    </row>
    <row r="14" spans="1:2" x14ac:dyDescent="0.15">
      <c r="B14" s="40" t="s">
        <v>445</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644</v>
      </c>
    </row>
    <row r="4" spans="1:2" ht="16" x14ac:dyDescent="0.2">
      <c r="B4" s="58" t="s">
        <v>446</v>
      </c>
    </row>
    <row r="5" spans="1:2" ht="16" x14ac:dyDescent="0.2">
      <c r="B5" s="58" t="s">
        <v>447</v>
      </c>
    </row>
    <row r="6" spans="1:2" ht="16" x14ac:dyDescent="0.2">
      <c r="B6" s="58" t="s">
        <v>448</v>
      </c>
    </row>
    <row r="7" spans="1:2" ht="16" x14ac:dyDescent="0.2">
      <c r="B7" s="58"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648</v>
      </c>
    </row>
    <row r="4" spans="1:2" x14ac:dyDescent="0.15">
      <c r="B4" s="40" t="s">
        <v>472</v>
      </c>
    </row>
    <row r="5" spans="1:2" x14ac:dyDescent="0.15">
      <c r="B5" s="40" t="s">
        <v>473</v>
      </c>
    </row>
    <row r="6" spans="1:2" x14ac:dyDescent="0.15">
      <c r="B6" s="40" t="s">
        <v>474</v>
      </c>
    </row>
    <row r="7" spans="1:2" x14ac:dyDescent="0.15">
      <c r="B7" s="40" t="s">
        <v>649</v>
      </c>
    </row>
    <row r="8" spans="1:2" x14ac:dyDescent="0.15">
      <c r="A8" t="s">
        <v>449</v>
      </c>
      <c r="B8" s="40" t="s">
        <v>475</v>
      </c>
    </row>
    <row r="9" spans="1:2" x14ac:dyDescent="0.15">
      <c r="A9" t="s">
        <v>451</v>
      </c>
      <c r="B9" s="40" t="s">
        <v>476</v>
      </c>
    </row>
    <row r="10" spans="1:2" x14ac:dyDescent="0.15">
      <c r="B10" s="40" t="s">
        <v>650</v>
      </c>
    </row>
    <row r="11" spans="1:2" x14ac:dyDescent="0.15">
      <c r="B11" s="40" t="s">
        <v>651</v>
      </c>
    </row>
    <row r="12" spans="1:2" x14ac:dyDescent="0.15">
      <c r="B12" s="40"/>
    </row>
    <row r="13" spans="1:2" x14ac:dyDescent="0.15">
      <c r="B13" s="40"/>
    </row>
    <row r="14" spans="1:2" x14ac:dyDescent="0.15">
      <c r="B14" s="40" t="s">
        <v>477</v>
      </c>
    </row>
    <row r="15" spans="1:2" x14ac:dyDescent="0.15">
      <c r="B15" s="40"/>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58" t="s">
        <v>500</v>
      </c>
    </row>
    <row r="9" spans="2:2" x14ac:dyDescent="0.15">
      <c r="B9" t="s">
        <v>501</v>
      </c>
    </row>
    <row r="10" spans="2:2" x14ac:dyDescent="0.15">
      <c r="B10" s="40" t="s">
        <v>654</v>
      </c>
    </row>
    <row r="11" spans="2:2" x14ac:dyDescent="0.15">
      <c r="B11" s="40"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58" t="s">
        <v>656</v>
      </c>
    </row>
    <row r="4" spans="2:2" ht="16" x14ac:dyDescent="0.2">
      <c r="B4" s="58" t="s">
        <v>521</v>
      </c>
    </row>
    <row r="5" spans="2:2" x14ac:dyDescent="0.15">
      <c r="B5" t="s">
        <v>522</v>
      </c>
    </row>
    <row r="6" spans="2:2" ht="16" x14ac:dyDescent="0.2">
      <c r="B6" s="58" t="s">
        <v>523</v>
      </c>
    </row>
    <row r="7" spans="2:2" ht="16" x14ac:dyDescent="0.2">
      <c r="B7" s="58" t="s">
        <v>657</v>
      </c>
    </row>
    <row r="8" spans="2:2" x14ac:dyDescent="0.15">
      <c r="B8" t="s">
        <v>524</v>
      </c>
    </row>
    <row r="9" spans="2:2" x14ac:dyDescent="0.15">
      <c r="B9" t="s">
        <v>525</v>
      </c>
    </row>
    <row r="10" spans="2:2" x14ac:dyDescent="0.15">
      <c r="B10" t="s">
        <v>658</v>
      </c>
    </row>
    <row r="11" spans="2:2" x14ac:dyDescent="0.15">
      <c r="B11" t="s">
        <v>659</v>
      </c>
    </row>
    <row r="14" spans="2:2" ht="16" x14ac:dyDescent="0.2">
      <c r="B14" s="58"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664</v>
      </c>
    </row>
    <row r="4" spans="1:2" x14ac:dyDescent="0.15">
      <c r="B4" s="40" t="s">
        <v>568</v>
      </c>
    </row>
    <row r="5" spans="1:2" x14ac:dyDescent="0.15">
      <c r="B5" s="40" t="s">
        <v>569</v>
      </c>
    </row>
    <row r="6" spans="1:2" x14ac:dyDescent="0.15">
      <c r="A6" t="s">
        <v>440</v>
      </c>
      <c r="B6" s="40" t="s">
        <v>570</v>
      </c>
    </row>
    <row r="7" spans="1:2" x14ac:dyDescent="0.15">
      <c r="B7" s="40" t="s">
        <v>665</v>
      </c>
    </row>
    <row r="8" spans="1:2" x14ac:dyDescent="0.15">
      <c r="A8" t="s">
        <v>40</v>
      </c>
      <c r="B8" s="40" t="s">
        <v>571</v>
      </c>
    </row>
    <row r="9" spans="1:2" x14ac:dyDescent="0.15">
      <c r="A9" t="s">
        <v>443</v>
      </c>
      <c r="B9" s="40" t="s">
        <v>572</v>
      </c>
    </row>
    <row r="10" spans="1:2" x14ac:dyDescent="0.15">
      <c r="B10" t="s">
        <v>666</v>
      </c>
    </row>
    <row r="11" spans="1:2" x14ac:dyDescent="0.15">
      <c r="B11" t="s">
        <v>667</v>
      </c>
    </row>
    <row r="14" spans="1:2" x14ac:dyDescent="0.15">
      <c r="B14" s="40" t="s">
        <v>573</v>
      </c>
    </row>
    <row r="20" spans="2:2" x14ac:dyDescent="0.15">
      <c r="B20" s="43" t="s">
        <v>574</v>
      </c>
    </row>
    <row r="21" spans="2:2" x14ac:dyDescent="0.15">
      <c r="B21" s="43" t="s">
        <v>575</v>
      </c>
    </row>
    <row r="22" spans="2:2" x14ac:dyDescent="0.15">
      <c r="B22" s="43" t="s">
        <v>576</v>
      </c>
    </row>
    <row r="23" spans="2:2" x14ac:dyDescent="0.15">
      <c r="B23" s="43" t="s">
        <v>581</v>
      </c>
    </row>
    <row r="24" spans="2:2" x14ac:dyDescent="0.15">
      <c r="B24" s="43" t="s">
        <v>577</v>
      </c>
    </row>
    <row r="25" spans="2:2" x14ac:dyDescent="0.15">
      <c r="B25" s="43" t="s">
        <v>582</v>
      </c>
    </row>
    <row r="26" spans="2:2" x14ac:dyDescent="0.15">
      <c r="B26" s="43" t="s">
        <v>583</v>
      </c>
    </row>
    <row r="27" spans="2:2" x14ac:dyDescent="0.15">
      <c r="B27" s="43" t="s">
        <v>584</v>
      </c>
    </row>
    <row r="28" spans="2:2" x14ac:dyDescent="0.15">
      <c r="B28" s="43" t="s">
        <v>585</v>
      </c>
    </row>
    <row r="29" spans="2:2" x14ac:dyDescent="0.15">
      <c r="B29" s="43" t="s">
        <v>578</v>
      </c>
    </row>
    <row r="30" spans="2:2" x14ac:dyDescent="0.15">
      <c r="B30" s="43" t="s">
        <v>586</v>
      </c>
    </row>
    <row r="31" spans="2:2" x14ac:dyDescent="0.15">
      <c r="B31" s="43" t="s">
        <v>579</v>
      </c>
    </row>
    <row r="32" spans="2:2" x14ac:dyDescent="0.15">
      <c r="B32" s="43" t="s">
        <v>587</v>
      </c>
    </row>
    <row r="33" spans="2:4" x14ac:dyDescent="0.15">
      <c r="B33" s="43" t="s">
        <v>588</v>
      </c>
    </row>
    <row r="34" spans="2:4" x14ac:dyDescent="0.15">
      <c r="B34" s="43" t="s">
        <v>589</v>
      </c>
      <c r="D34" s="40"/>
    </row>
    <row r="35" spans="2:4" x14ac:dyDescent="0.15">
      <c r="B35" s="43" t="s">
        <v>517</v>
      </c>
      <c r="D35" s="40"/>
    </row>
    <row r="36" spans="2:4" x14ac:dyDescent="0.15">
      <c r="B36" s="43" t="s">
        <v>580</v>
      </c>
      <c r="D36" s="40"/>
    </row>
    <row r="37" spans="2:4" x14ac:dyDescent="0.15">
      <c r="B37" s="43" t="s">
        <v>404</v>
      </c>
      <c r="D37" s="40"/>
    </row>
    <row r="38" spans="2:4" x14ac:dyDescent="0.15">
      <c r="B38" s="43" t="s">
        <v>590</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0" t="s">
        <v>668</v>
      </c>
    </row>
    <row r="4" spans="1:2" x14ac:dyDescent="0.15">
      <c r="B4" s="40" t="s">
        <v>610</v>
      </c>
    </row>
    <row r="5" spans="1:2" x14ac:dyDescent="0.15">
      <c r="B5" s="40" t="s">
        <v>611</v>
      </c>
    </row>
    <row r="6" spans="1:2" x14ac:dyDescent="0.15">
      <c r="A6" t="s">
        <v>440</v>
      </c>
      <c r="B6" s="40" t="s">
        <v>612</v>
      </c>
    </row>
    <row r="7" spans="1:2" x14ac:dyDescent="0.15">
      <c r="B7" s="40" t="s">
        <v>669</v>
      </c>
    </row>
    <row r="8" spans="1:2" x14ac:dyDescent="0.15">
      <c r="A8" t="s">
        <v>40</v>
      </c>
      <c r="B8" s="40" t="s">
        <v>613</v>
      </c>
    </row>
    <row r="9" spans="1:2" x14ac:dyDescent="0.15">
      <c r="A9" t="s">
        <v>443</v>
      </c>
      <c r="B9" s="40" t="s">
        <v>614</v>
      </c>
    </row>
    <row r="10" spans="1:2" x14ac:dyDescent="0.15">
      <c r="B10" t="s">
        <v>670</v>
      </c>
    </row>
    <row r="11" spans="1:2" x14ac:dyDescent="0.15">
      <c r="B11" t="s">
        <v>671</v>
      </c>
    </row>
    <row r="14" spans="1:2" x14ac:dyDescent="0.15">
      <c r="B14" s="40" t="s">
        <v>615</v>
      </c>
    </row>
    <row r="20" spans="2:2" x14ac:dyDescent="0.15">
      <c r="B20" s="59" t="s">
        <v>595</v>
      </c>
    </row>
    <row r="21" spans="2:2" x14ac:dyDescent="0.15">
      <c r="B21" s="59" t="s">
        <v>596</v>
      </c>
    </row>
    <row r="22" spans="2:2" x14ac:dyDescent="0.15">
      <c r="B22" s="59" t="s">
        <v>597</v>
      </c>
    </row>
    <row r="23" spans="2:2" x14ac:dyDescent="0.15">
      <c r="B23" s="59" t="s">
        <v>598</v>
      </c>
    </row>
    <row r="24" spans="2:2" x14ac:dyDescent="0.15">
      <c r="B24" s="59" t="s">
        <v>591</v>
      </c>
    </row>
    <row r="25" spans="2:2" x14ac:dyDescent="0.15">
      <c r="B25" s="59" t="s">
        <v>592</v>
      </c>
    </row>
    <row r="26" spans="2:2" x14ac:dyDescent="0.15">
      <c r="B26" s="59" t="s">
        <v>599</v>
      </c>
    </row>
    <row r="27" spans="2:2" x14ac:dyDescent="0.15">
      <c r="B27" s="59" t="s">
        <v>600</v>
      </c>
    </row>
    <row r="28" spans="2:2" x14ac:dyDescent="0.15">
      <c r="B28" s="59" t="s">
        <v>601</v>
      </c>
    </row>
    <row r="29" spans="2:2" x14ac:dyDescent="0.15">
      <c r="B29" s="59" t="s">
        <v>602</v>
      </c>
    </row>
    <row r="30" spans="2:2" x14ac:dyDescent="0.15">
      <c r="B30" s="59" t="s">
        <v>603</v>
      </c>
    </row>
    <row r="31" spans="2:2" x14ac:dyDescent="0.15">
      <c r="B31" s="59" t="s">
        <v>604</v>
      </c>
    </row>
    <row r="32" spans="2:2" x14ac:dyDescent="0.15">
      <c r="B32" s="59" t="s">
        <v>605</v>
      </c>
    </row>
    <row r="33" spans="2:4" x14ac:dyDescent="0.15">
      <c r="B33" s="59" t="s">
        <v>593</v>
      </c>
    </row>
    <row r="34" spans="2:4" x14ac:dyDescent="0.15">
      <c r="B34" s="59" t="s">
        <v>606</v>
      </c>
      <c r="D34" s="40"/>
    </row>
    <row r="35" spans="2:4" x14ac:dyDescent="0.15">
      <c r="B35" s="59" t="s">
        <v>401</v>
      </c>
      <c r="D35" s="40"/>
    </row>
    <row r="36" spans="2:4" x14ac:dyDescent="0.15">
      <c r="B36" s="59" t="s">
        <v>607</v>
      </c>
      <c r="D36" s="40"/>
    </row>
    <row r="37" spans="2:4" x14ac:dyDescent="0.15">
      <c r="B37" s="59" t="s">
        <v>594</v>
      </c>
      <c r="D37" s="40"/>
    </row>
    <row r="38" spans="2:4" x14ac:dyDescent="0.15">
      <c r="B38" s="59" t="s">
        <v>608</v>
      </c>
      <c r="D38" s="40"/>
    </row>
    <row r="39" spans="2:4" x14ac:dyDescent="0.15">
      <c r="B39" s="59" t="s">
        <v>609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0" t="s">
        <v>672</v>
      </c>
    </row>
    <row r="4" spans="1:2" x14ac:dyDescent="0.15">
      <c r="B4" s="40" t="s">
        <v>634</v>
      </c>
    </row>
    <row r="5" spans="1:2" x14ac:dyDescent="0.15">
      <c r="B5" s="40" t="s">
        <v>635</v>
      </c>
    </row>
    <row r="6" spans="1:2" x14ac:dyDescent="0.15">
      <c r="A6" t="s">
        <v>440</v>
      </c>
      <c r="B6" s="40" t="s">
        <v>636</v>
      </c>
    </row>
    <row r="7" spans="1:2" x14ac:dyDescent="0.15">
      <c r="B7" s="40" t="s">
        <v>673</v>
      </c>
    </row>
    <row r="8" spans="1:2" x14ac:dyDescent="0.15">
      <c r="A8" t="s">
        <v>40</v>
      </c>
      <c r="B8" s="40" t="s">
        <v>637</v>
      </c>
    </row>
    <row r="9" spans="1:2" x14ac:dyDescent="0.15">
      <c r="A9" t="s">
        <v>443</v>
      </c>
      <c r="B9" s="40" t="s">
        <v>638</v>
      </c>
    </row>
    <row r="10" spans="1:2" x14ac:dyDescent="0.15">
      <c r="B10" t="s">
        <v>674</v>
      </c>
    </row>
    <row r="11" spans="1:2" x14ac:dyDescent="0.15">
      <c r="B11" t="s">
        <v>675</v>
      </c>
    </row>
    <row r="14" spans="1:2" x14ac:dyDescent="0.15">
      <c r="B14" s="40" t="s">
        <v>639</v>
      </c>
    </row>
    <row r="20" spans="2:2" x14ac:dyDescent="0.15">
      <c r="B20" s="43" t="s">
        <v>616</v>
      </c>
    </row>
    <row r="21" spans="2:2" x14ac:dyDescent="0.15">
      <c r="B21" s="43" t="s">
        <v>617</v>
      </c>
    </row>
    <row r="22" spans="2:2" x14ac:dyDescent="0.15">
      <c r="B22" s="43" t="s">
        <v>618</v>
      </c>
    </row>
    <row r="23" spans="2:2" x14ac:dyDescent="0.15">
      <c r="B23" s="43" t="s">
        <v>619</v>
      </c>
    </row>
    <row r="24" spans="2:2" x14ac:dyDescent="0.15">
      <c r="B24" s="43" t="s">
        <v>620</v>
      </c>
    </row>
    <row r="25" spans="2:2" x14ac:dyDescent="0.15">
      <c r="B25" s="43" t="s">
        <v>621</v>
      </c>
    </row>
    <row r="26" spans="2:2" x14ac:dyDescent="0.15">
      <c r="B26" s="43" t="s">
        <v>622</v>
      </c>
    </row>
    <row r="27" spans="2:2" x14ac:dyDescent="0.15">
      <c r="B27" s="43" t="s">
        <v>623</v>
      </c>
    </row>
    <row r="28" spans="2:2" x14ac:dyDescent="0.15">
      <c r="B28" s="43" t="s">
        <v>624</v>
      </c>
    </row>
    <row r="29" spans="2:2" x14ac:dyDescent="0.15">
      <c r="B29" s="43" t="s">
        <v>625</v>
      </c>
    </row>
    <row r="30" spans="2:2" x14ac:dyDescent="0.15">
      <c r="B30" s="43" t="s">
        <v>626</v>
      </c>
    </row>
    <row r="31" spans="2:2" x14ac:dyDescent="0.15">
      <c r="B31" s="43" t="s">
        <v>627</v>
      </c>
    </row>
    <row r="32" spans="2:2" x14ac:dyDescent="0.15">
      <c r="B32" s="43" t="s">
        <v>628</v>
      </c>
    </row>
    <row r="33" spans="2:4" x14ac:dyDescent="0.15">
      <c r="B33" s="43" t="s">
        <v>629</v>
      </c>
    </row>
    <row r="34" spans="2:4" x14ac:dyDescent="0.15">
      <c r="B34" s="43" t="s">
        <v>630</v>
      </c>
      <c r="D34" s="40"/>
    </row>
    <row r="35" spans="2:4" x14ac:dyDescent="0.15">
      <c r="B35" s="43" t="s">
        <v>517</v>
      </c>
      <c r="D35" s="40"/>
    </row>
    <row r="36" spans="2:4" x14ac:dyDescent="0.15">
      <c r="B36" s="43" t="s">
        <v>631</v>
      </c>
      <c r="D36" s="40"/>
    </row>
    <row r="37" spans="2:4" x14ac:dyDescent="0.15">
      <c r="B37" s="43" t="s">
        <v>404</v>
      </c>
      <c r="D37" s="40"/>
    </row>
    <row r="38" spans="2:4" x14ac:dyDescent="0.15">
      <c r="B38" s="43" t="s">
        <v>632</v>
      </c>
      <c r="D38" s="40"/>
    </row>
    <row r="39" spans="2:4" x14ac:dyDescent="0.15">
      <c r="B39" s="43" t="s">
        <v>633</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2024-07-25T00:04:48Z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