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P/820 G3/"/>
    </mc:Choice>
  </mc:AlternateContent>
  <xr:revisionPtr revIDLastSave="0" documentId="13_ncr:1_{FEDCC881-2382-4C48-A077-2D560A39B67A}"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3"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V22" i="2"/>
  <c r="T22" i="2"/>
  <c r="S22" i="2"/>
  <c r="R22" i="2"/>
  <c r="Q22" i="2"/>
  <c r="O22" i="2"/>
  <c r="N22" i="2"/>
  <c r="N23" i="1" s="1"/>
  <c r="M22" i="2"/>
  <c r="M23" i="1" s="1"/>
  <c r="J22" i="2"/>
  <c r="I22" i="2"/>
  <c r="V21" i="2"/>
  <c r="U21" i="2"/>
  <c r="T21" i="2"/>
  <c r="T22" i="1" s="1"/>
  <c r="S21" i="2"/>
  <c r="R21" i="2"/>
  <c r="Q21" i="2"/>
  <c r="P21" i="2"/>
  <c r="O21" i="2"/>
  <c r="N21" i="2"/>
  <c r="M21" i="2"/>
  <c r="J21" i="2"/>
  <c r="I21" i="2"/>
  <c r="V20" i="2"/>
  <c r="U20" i="2"/>
  <c r="T20" i="2"/>
  <c r="S20" i="2"/>
  <c r="R20" i="2"/>
  <c r="P20" i="2"/>
  <c r="O20" i="2"/>
  <c r="O21" i="1" s="1"/>
  <c r="N20" i="2"/>
  <c r="N21" i="1" s="1"/>
  <c r="J20" i="2"/>
  <c r="I20" i="2"/>
  <c r="V19" i="2"/>
  <c r="U19" i="2"/>
  <c r="U20" i="1" s="1"/>
  <c r="T19" i="2"/>
  <c r="T20" i="1" s="1"/>
  <c r="J19" i="2"/>
  <c r="FO20" i="1" s="1"/>
  <c r="I19" i="2"/>
  <c r="V18" i="2"/>
  <c r="R18" i="2"/>
  <c r="Q18" i="2"/>
  <c r="M18" i="2"/>
  <c r="P18" i="2"/>
  <c r="P19" i="1" s="1"/>
  <c r="J18" i="2"/>
  <c r="I18" i="2"/>
  <c r="CO19" i="1"/>
  <c r="V17" i="2"/>
  <c r="T17" i="2"/>
  <c r="S17" i="2"/>
  <c r="R17" i="2"/>
  <c r="Q17" i="2"/>
  <c r="P17" i="2"/>
  <c r="N17" i="2"/>
  <c r="M17" i="2"/>
  <c r="U17" i="2"/>
  <c r="U18" i="1" s="1"/>
  <c r="J17" i="2"/>
  <c r="I17" i="2"/>
  <c r="V16" i="2"/>
  <c r="U16" i="2"/>
  <c r="T16" i="2"/>
  <c r="S16" i="2"/>
  <c r="S17" i="1" s="1"/>
  <c r="R16" i="2"/>
  <c r="Q16" i="2"/>
  <c r="P16" i="2"/>
  <c r="O16" i="2"/>
  <c r="N16" i="2"/>
  <c r="M16" i="2"/>
  <c r="J16" i="2"/>
  <c r="I16" i="2"/>
  <c r="AT17" i="1"/>
  <c r="CO17" i="1"/>
  <c r="V15" i="2"/>
  <c r="U15" i="2"/>
  <c r="T15" i="2"/>
  <c r="S15" i="2"/>
  <c r="R15" i="2"/>
  <c r="Q15" i="2"/>
  <c r="P15" i="2"/>
  <c r="O15" i="2"/>
  <c r="N15" i="2"/>
  <c r="N16" i="1" s="1"/>
  <c r="M15" i="2"/>
  <c r="J15" i="2"/>
  <c r="I15" i="2"/>
  <c r="V14" i="2"/>
  <c r="U14" i="2"/>
  <c r="T14" i="2"/>
  <c r="T15" i="1" s="1"/>
  <c r="P14" i="2"/>
  <c r="O14" i="2"/>
  <c r="N14" i="2"/>
  <c r="M14" i="2"/>
  <c r="S14" i="2"/>
  <c r="S15" i="1" s="1"/>
  <c r="J14" i="2"/>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P7" i="1" s="1"/>
  <c r="O6" i="2"/>
  <c r="O7" i="1" s="1"/>
  <c r="N6" i="2"/>
  <c r="N7" i="1" s="1"/>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V14" i="1"/>
  <c r="CU14" i="1"/>
  <c r="CT14" i="1"/>
  <c r="CS14" i="1"/>
  <c r="CR14" i="1"/>
  <c r="CO14" i="1"/>
  <c r="L14" i="1" s="1"/>
  <c r="CL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L7" i="1"/>
  <c r="CK7" i="1"/>
  <c r="CH7" i="1"/>
  <c r="CG7" i="1"/>
  <c r="BH7" i="1"/>
  <c r="BG7" i="1"/>
  <c r="BF7" i="1"/>
  <c r="BE7" i="1"/>
  <c r="AV7" i="1"/>
  <c r="AT7" i="1"/>
  <c r="AA7" i="1"/>
  <c r="Z7" i="1"/>
  <c r="Y7" i="1"/>
  <c r="X7" i="1"/>
  <c r="W7" i="1"/>
  <c r="Q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0" i="1" l="1"/>
  <c r="EI8" i="1"/>
  <c r="DP10" i="1"/>
  <c r="EI7" i="1"/>
  <c r="AB8" i="1"/>
  <c r="EI5" i="1"/>
  <c r="EI10" i="1"/>
  <c r="DP13" i="1"/>
  <c r="DP5" i="1"/>
  <c r="DP6" i="1"/>
  <c r="DP9" i="1"/>
  <c r="EI6" i="1"/>
  <c r="DP7" i="1"/>
  <c r="DP8" i="1"/>
  <c r="EI9" i="1"/>
  <c r="DP14" i="1"/>
  <c r="AB5" i="1"/>
  <c r="AB6" i="1"/>
  <c r="AB7" i="1"/>
  <c r="AB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<sst xmlns="http://schemas.openxmlformats.org/spreadsheetml/2006/main" count="863" uniqueCount="694">
  <si>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</si>
  <si>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</si>
  <si>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</si>
  <si>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</si>
  <si>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</si>
  <si>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</si>
  <si>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</si>
  <si>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</si>
  <si>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</si>
  <si>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</si>
  <si>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</si>
  <si>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</si>
  <si>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</si>
  <si>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</si>
  <si>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</si>
  <si>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</si>
  <si>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</si>
  <si>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</si>
  <si>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</si>
  <si>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</si>
  <si>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</si>
  <si>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</si>
  <si>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</si>
  <si>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</si>
  <si>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</si>
  <si>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</si>
  <si>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</si>
  <si>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</si>
  <si>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</si>
  <si>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</si>
  <si>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</si>
  <si>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</si>
  <si>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</si>
  <si>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</si>
  <si>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</si>
  <si>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</si>
  <si>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</si>
  <si>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</si>
  <si>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</si>
  <si>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</si>
  <si>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</si>
  <si>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</si>
  <si>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</si>
  <si>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</si>
  <si>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</si>
  <si>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</si>
  <si>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</si>
  <si>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</si>
  <si>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</si>
  <si>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</si>
  <si>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</si>
  <si>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</si>
  <si>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</si>
  <si>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</si>
  <si>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</si>
  <si>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</si>
  <si>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</si>
  <si>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</si>
  <si>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</si>
  <si>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</si>
  <si>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</si>
  <si>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</si>
  <si>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</si>
  <si>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</si>
  <si>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</si>
  <si>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</si>
  <si>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</si>
  <si>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</si>
  <si>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</si>
  <si>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</si>
  <si>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</si>
  <si>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</si>
  <si>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</si>
  <si>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</si>
  <si>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</si>
  <si>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</si>
  <si>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</si>
  <si>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</si>
  <si>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</si>
  <si>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</si>
  <si>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</si>
  <si>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</si>
  <si>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</si>
  <si>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</si>
  <si>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</si>
  <si>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</si>
  <si>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</si>
  <si>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</si>
  <si>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</si>
  <si>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</si>
  <si>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</si>
  <si>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</si>
  <si>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</si>
  <si>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</si>
  <si>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</si>
  <si>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</si>
  <si>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</si>
  <si>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</si>
  <si>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</si>
  <si>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</si>
  <si>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</si>
  <si>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</si>
  <si>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</si>
  <si>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</si>
  <si>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</si>
  <si>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</si>
  <si>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</si>
  <si>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</si>
  <si>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</si>
  <si>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</si>
  <si>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</si>
  <si>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</si>
  <si>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</si>
  <si>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</si>
  <si>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</si>
  <si>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</si>
  <si>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</si>
  <si>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</si>
  <si>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</si>
  <si>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</si>
  <si>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</si>
  <si>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</si>
  <si>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</si>
  <si>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</si>
  <si>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</si>
  <si>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</si>
  <si>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</si>
  <si>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</si>
  <si>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</si>
  <si>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</si>
  <si>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</si>
  <si>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</si>
  <si>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</si>
  <si>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</si>
  <si>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</si>
  <si>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</si>
  <si>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</si>
  <si>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</si>
  <si>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</si>
  <si>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</si>
  <si>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</si>
  <si>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</si>
  <si>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</si>
  <si>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</si>
  <si>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</si>
  <si>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</si>
  <si>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</si>
  <si>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</si>
  <si>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</si>
  <si>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</si>
  <si>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</si>
  <si>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</si>
  <si>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</si>
  <si>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</si>
  <si>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</si>
  <si>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</si>
  <si>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</si>
  <si>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</si>
  <si>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</si>
  <si>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</si>
  <si>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</si>
  <si>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</si>
  <si>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</si>
  <si>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</si>
  <si>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</si>
  <si>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</si>
  <si>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</si>
  <si>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</si>
  <si>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</si>
  <si>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</si>
  <si>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</si>
  <si>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</si>
  <si>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</si>
  <si>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</si>
  <si>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</si>
  <si>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</si>
  <si>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</si>
  <si>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</si>
  <si>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</si>
  <si>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</si>
  <si>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</si>
  <si>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</si>
  <si>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</si>
  <si>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</si>
  <si>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</si>
  <si>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</si>
  <si>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</si>
  <si>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</si>
  <si>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</si>
  <si>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</si>
  <si>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</si>
  <si>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</si>
  <si>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</si>
  <si>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</si>
  <si>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</si>
  <si>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</si>
  <si>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</si>
  <si>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</si>
  <si>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</si>
  <si>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</si>
  <si>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</si>
  <si>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</si>
  <si>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</si>
  <si>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</si>
  <si>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</si>
  <si>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</si>
  <si>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</si>
  <si>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</si>
  <si>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</si>
  <si>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</si>
  <si>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</si>
  <si>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</si>
  <si>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</si>
  <si>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</si>
  <si>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</si>
  <si>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</si>
  <si>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</si>
  <si>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</si>
  <si>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</si>
  <si>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</si>
  <si>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</si>
  <si>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</si>
  <si>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</si>
  <si>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</si>
  <si>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</si>
  <si>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</si>
  <si>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</si>
  <si>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</si>
  <si>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</si>
  <si>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</si>
  <si>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</si>
  <si>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</si>
  <si>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</si>
  <si>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</si>
  <si>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</si>
  <si>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</si>
  <si>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</si>
  <si>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</si>
  <si>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</si>
  <si>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</si>
  <si>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</si>
  <si>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</si>
  <si>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</si>
  <si>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</si>
  <si>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</si>
  <si>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</si>
  <si>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</si>
  <si>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</si>
  <si>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</si>
  <si>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</si>
  <si>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</si>
  <si>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</si>
  <si>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</si>
  <si>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</si>
  <si>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</si>
  <si>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</si>
  <si>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</si>
  <si>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</si>
  <si>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</si>
  <si>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</si>
  <si>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</si>
  <si>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</si>
  <si>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</si>
  <si>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</si>
  <si>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</si>
  <si>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</si>
  <si>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</si>
  <si>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</si>
  <si>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</si>
  <si>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</si>
  <si>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</si>
  <si>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</si>
  <si>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</si>
  <si>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</si>
  <si>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</si>
  <si>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</si>
  <si>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</si>
  <si>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</si>
  <si>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</si>
  <si>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</si>
  <si>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</si>
  <si>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</si>
  <si>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</si>
  <si>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</si>
  <si>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</si>
  <si>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</si>
  <si>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</si>
  <si>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</si>
  <si>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</si>
  <si>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</si>
  <si>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</si>
  <si>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</si>
  <si>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</si>
  <si>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</si>
  <si>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</si>
  <si>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</si>
  <si>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</si>
  <si>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</si>
  <si>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</si>
  <si>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</si>
  <si>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</si>
  <si>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</si>
  <si>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</si>
  <si>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</si>
  <si>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</si>
  <si>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</si>
  <si>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</si>
  <si>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</si>
  <si>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</si>
  <si>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</si>
  <si>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</si>
  <si>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</si>
  <si>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</si>
  <si>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</si>
  <si>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</si>
  <si>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</si>
  <si>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</si>
  <si>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</si>
  <si>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</si>
  <si>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</si>
  <si>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</si>
  <si>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</si>
  <si>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</si>
  <si>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</si>
  <si>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</si>
  <si>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</si>
  <si>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</si>
  <si>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</si>
  <si>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</si>
  <si>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</si>
  <si>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</si>
  <si>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</si>
  <si>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</si>
  <si>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</si>
  <si>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</si>
  <si>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</si>
  <si>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</si>
  <si>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</si>
  <si>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</si>
  <si>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</si>
  <si>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</si>
  <si>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</si>
  <si>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</si>
  <si>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</si>
  <si>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</si>
  <si>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</si>
  <si>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</si>
  <si>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</si>
  <si>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</si>
  <si>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</si>
  <si>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</si>
  <si>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</si>
  <si>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</si>
  <si>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</si>
  <si>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</si>
  <si>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</si>
  <si>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</si>
  <si>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</si>
  <si>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</si>
  <si>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</si>
  <si>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</si>
  <si>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</si>
  <si>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</si>
  <si>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</si>
  <si>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</si>
  <si>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</si>
  <si>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</si>
  <si>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</si>
  <si>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</si>
  <si>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</si>
  <si>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</si>
  <si>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</si>
  <si>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</si>
  <si>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</si>
  <si>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</si>
  <si>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</si>
  <si>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</si>
  <si>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</si>
  <si>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</si>
  <si>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</si>
  <si>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</si>
  <si>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</si>
  <si>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</si>
  <si>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</si>
  <si>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</si>
  <si>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</si>
  <si>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</si>
  <si>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</si>
  <si>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</si>
  <si>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</si>
  <si>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</si>
  <si>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</si>
  <si>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</si>
  <si>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</si>
  <si>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</si>
  <si>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</si>
  <si>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</si>
  <si>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</si>
  <si>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</si>
  <si>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</si>
  <si>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</si>
  <si>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</si>
  <si>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</si>
  <si>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</si>
  <si>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</si>
  <si>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</si>
  <si>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</si>
  <si>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</si>
  <si>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</si>
  <si>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</si>
  <si>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</si>
  <si>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</si>
  <si>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</si>
  <si>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</si>
  <si>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</si>
  <si>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</si>
  <si>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</si>
  <si>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</si>
  <si>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</si>
  <si>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</si>
  <si>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</si>
  <si>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</si>
  <si>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</si>
  <si>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</si>
  <si>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</si>
  <si>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</si>
  <si>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</si>
  <si>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</si>
  <si>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</si>
  <si>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</si>
  <si>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</si>
  <si>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</si>
  <si>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</si>
  <si>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</si>
  <si>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</si>
  <si>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</si>
  <si>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</si>
  <si>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</si>
  <si>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</si>
  <si>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</si>
  <si>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</si>
  <si>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</si>
  <si>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</si>
  <si>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</si>
  <si>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</si>
  <si>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</si>
  <si>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</si>
  <si>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</si>
  <si>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</si>
  <si>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</si>
  <si>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</si>
  <si>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</si>
  <si>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</si>
  <si>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</si>
  <si>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</si>
  <si>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</si>
  <si>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</si>
  <si>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</si>
  <si>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</si>
  <si>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</si>
  <si>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</si>
  <si>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</si>
  <si>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</si>
  <si>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</si>
  <si>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</si>
  <si>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</si>
  <si>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</si>
  <si>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</si>
  <si>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</si>
  <si>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</si>
  <si>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</si>
  <si>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</si>
  <si>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</si>
  <si>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</si>
  <si>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</si>
  <si>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</si>
  <si>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</si>
  <si>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</si>
  <si>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</si>
  <si>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</si>
  <si>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</si>
  <si>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</si>
  <si>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</si>
  <si>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</si>
  <si>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</si>
  <si>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</si>
  <si>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</si>
  <si>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</si>
  <si>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</si>
  <si>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</si>
  <si>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</si>
  <si>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</si>
  <si>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</si>
  <si>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</si>
  <si>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</si>
  <si>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</si>
  <si>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</si>
  <si>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</si>
  <si>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</si>
  <si>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</si>
  <si>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</si>
  <si>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</si>
  <si>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</si>
  <si>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</si>
  <si>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</si>
  <si>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</si>
  <si>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</si>
  <si>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</si>
  <si>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</si>
  <si>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</si>
  <si>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</si>
  <si>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</si>
  <si>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</si>
  <si>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</si>
  <si>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</si>
  <si>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</si>
  <si>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</si>
  <si>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</si>
  <si>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</si>
  <si>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</si>
  <si>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</si>
  <si>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</si>
  <si>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</si>
  <si>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</si>
  <si>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</si>
  <si>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</si>
  <si>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</si>
  <si>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</si>
  <si>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</si>
  <si>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</si>
  <si>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</si>
  <si>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</si>
  <si>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</si>
  <si>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</si>
  <si>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</si>
  <si>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</si>
  <si>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</si>
  <si>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</si>
  <si>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</si>
  <si>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</si>
  <si>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</si>
  <si>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</si>
  <si>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</si>
  <si>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</si>
  <si>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</si>
  <si>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</si>
  <si>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</si>
  <si>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</si>
  <si>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</si>
  <si>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</si>
  <si>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</si>
  <si>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</si>
  <si>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</si>
  <si>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</si>
  <si>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</si>
  <si>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</si>
  <si>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</si>
  <si>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</si>
  <si>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</si>
  <si>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</si>
  <si>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</si>
  <si>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</si>
  <si>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</si>
  <si>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</si>
  <si>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</si>
  <si>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</si>
  <si>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</si>
  <si>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</si>
  <si>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</si>
  <si>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</si>
  <si>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</si>
  <si>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</si>
  <si>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</si>
  <si>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</si>
  <si>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</si>
  <si>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</si>
  <si>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</si>
  <si>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</si>
  <si>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</si>
  <si>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</si>
  <si>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</si>
  <si>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</si>
  <si>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</si>
  <si>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</si>
  <si>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</si>
  <si>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</si>
  <si>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</si>
  <si>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</si>
  <si>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</si>
  <si>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</si>
  <si>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</si>
  <si>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</si>
  <si>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</si>
  <si>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</si>
  <si>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</si>
  <si>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</si>
  <si>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</si>
  <si>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</si>
  <si>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</si>
  <si>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</si>
  <si>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</si>
  <si>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</si>
  <si>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</si>
  <si>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</si>
  <si>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</si>
  <si>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</si>
  <si>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</si>
  <si>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</si>
  <si>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</si>
  <si>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</si>
  <si>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</si>
  <si>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</si>
  <si>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</si>
  <si>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</si>
  <si>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</si>
  <si>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</si>
  <si>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</si>
  <si>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</si>
  <si>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</si>
  <si>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</si>
  <si>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</si>
  <si>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</si>
  <si>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</si>
  <si>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</si>
  <si>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</si>
  <si>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</si>
  <si>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</si>
  <si>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</si>
  <si>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</si>
  <si>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</si>
  <si>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</si>
  <si>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</si>
  <si>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</si>
  <si>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</si>
  <si>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</si>
  <si>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</si>
  <si>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</si>
  <si>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</si>
  <si>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</si>
  <si>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</si>
  <si>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</si>
  <si>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</si>
  <si>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</si>
  <si>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</si>
  <si>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</si>
  <si>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</si>
  <si>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</si>
  <si>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</si>
  <si>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</si>
  <si>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</si>
  <si>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</si>
  <si>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</si>
  <si>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</si>
  <si>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</si>
  <si>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</si>
  <si>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</si>
  <si>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</si>
  <si>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</si>
  <si>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</si>
  <si>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</si>
  <si>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</si>
  <si>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</si>
  <si>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</si>
  <si>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</si>
  <si>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</si>
  <si>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</si>
  <si>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</si>
  <si>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</si>
  <si>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</si>
  <si>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</si>
  <si>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</si>
  <si>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</si>
  <si>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</si>
  <si>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</si>
  <si>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</si>
  <si>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</si>
  <si>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820 G3 BL - DE</t>
  </si>
  <si>
    <t>HP 820 G3 BL - FR</t>
  </si>
  <si>
    <t>HP 820 G3 BL - IT</t>
  </si>
  <si>
    <t>HP 820 G3 BL - ES</t>
  </si>
  <si>
    <t>HP 820 G3 BL - UK</t>
  </si>
  <si>
    <t>HP 820 G3 BL - NORDIC</t>
  </si>
  <si>
    <t>HP 820 G3 BL - US int</t>
  </si>
  <si>
    <t>HP 820 G3 BL - US</t>
  </si>
  <si>
    <t>HP 840 G3 BL</t>
  </si>
  <si>
    <t>HP/W. PS/820 G3/BL/DE</t>
  </si>
  <si>
    <t>HP/W. PS/820 G3/BL/FR</t>
  </si>
  <si>
    <t>HP/W. PS/820 G3/BL/IT</t>
  </si>
  <si>
    <t>HP/W. PS/820 G3/BL/ES</t>
  </si>
  <si>
    <t>HP/W. PS/820 G3/BL/UK</t>
  </si>
  <si>
    <t>HP/W. PS/820 G3/BL/NOR</t>
  </si>
  <si>
    <t>820 G3, 820 G4, 725 G3, 725 G4</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</si>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</sst>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692</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693</v>
      </c>
    </row>
    <row r="4" spans="1:193" ht="17" x14ac:dyDescent="0.2">
      <c r="A4" s="1" t="str">
        <f>IF(ISBLANK(Values!E3),"",IF(Values!$B$37="EU","computercomponent","computer"))</f>
        <v>computercomponent</v>
      </c>
      <c r="B4" s="27" t="str">
        <f>Values!B13</f>
        <v>HP 840 G3 BL</v>
      </c>
      <c r="C4" s="27" t="s">
        <v>345</v>
      </c>
      <c r="D4" s="28">
        <f>Values!B14</f>
        <v>5714401821991</v>
      </c>
      <c r="E4" s="1" t="s">
        <v>346</v>
      </c>
      <c r="F4" s="27" t="str">
        <f>SUBSTITUTE(Values!B1, "{language}", "") &amp; " " &amp; Values!B3</f>
        <v>ersättningsbakgrundsbelyst  tangentbord för HP   820 G3, 820 G4, 725 G3, 725 G4</v>
      </c>
      <c r="G4" s="27" t="s">
        <v>345</v>
      </c>
      <c r="H4" s="1" t="str">
        <f>Values!B16</f>
        <v>computer-keyboards</v>
      </c>
      <c r="I4" s="1" t="str">
        <f>IF(ISBLANK(Values!E3),"","4730574031")</f>
        <v>4730574031</v>
      </c>
      <c r="J4" s="29" t="str">
        <f>Values!B13</f>
        <v>HP 840 G3 BL</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HP 820 G3 BL - DE</v>
      </c>
      <c r="C5" s="29" t="str">
        <f>IF(ISBLANK(Values!E4),"","TellusRem")</f>
        <v>TellusRem</v>
      </c>
      <c r="D5" s="28">
        <f>IF(ISBLANK(Values!E4),"",Values!E4)</f>
        <v>5714401821007</v>
      </c>
      <c r="E5" s="1" t="str">
        <f>IF(ISBLANK(Values!E4),"","EAN")</f>
        <v>EAN</v>
      </c>
      <c r="F5" s="27" t="str">
        <f>IF(ISBLANK(Values!E4),"",IF(Values!J4, SUBSTITUTE(Values!$B$1, "{language}", Values!H4) &amp; " " &amp;Values!$B$3, SUBSTITUTE(Values!$B$2, "{language}", Values!$H4) &amp; " " &amp;Values!$B$3))</f>
        <v>ersättningsbakgrundsbelyst Tysk tangentbord för HP   820 G3, 820 G4, 725 G3, 725 G4</v>
      </c>
      <c r="G5" s="29" t="str">
        <f>IF(ISBLANK(Values!E4),"","TellusRem")</f>
        <v>TellusRem</v>
      </c>
      <c r="H5" s="1" t="str">
        <f>IF(ISBLANK(Values!E4),"",Values!$B$16)</f>
        <v>computer-keyboards</v>
      </c>
      <c r="I5" s="1" t="str">
        <f>IF(ISBLANK(Values!E4),"","4730574031")</f>
        <v>4730574031</v>
      </c>
      <c r="J5" s="31" t="str">
        <f>IF(ISBLANK(Values!E4),"",Values!F4 )</f>
        <v>HP 820 G3 BL - DE</v>
      </c>
      <c r="K5" s="27">
        <f>IF(ISBLANK(Values!E4),"",IF(Values!J4, Values!$B$4, Values!$B$5))</f>
        <v>52.99</v>
      </c>
      <c r="L5" s="27" t="str">
        <f>IF(ISBLANK(Values!E4),"",IF($CO5="DEFAULT", Values!$B$18, ""))</f>
        <v/>
      </c>
      <c r="M5" s="27" t="str">
        <f>IF(ISBLANK(Values!E4),"",Values!$M4)</f>
        <v>https://raw.githubusercontent.com/PatrickVibild/TellusAmazonPictures/master/pictures/HP/W. PS/820 G3/BL/DE/1.jpg</v>
      </c>
      <c r="N5" s="27" t="str">
        <f>IF(ISBLANK(Values!$F4),"",Values!N4)</f>
        <v>https://raw.githubusercontent.com/PatrickVibild/TellusAmazonPictures/master/pictures/HP/W. PS/820 G3/BL/DE/2.jpg</v>
      </c>
      <c r="O5" s="27" t="str">
        <f>IF(ISBLANK(Values!$F4),"",Values!O4)</f>
        <v>https://raw.githubusercontent.com/PatrickVibild/TellusAmazonPictures/master/pictures/HP/W. PS/820 G3/BL/DE/3.jpg</v>
      </c>
      <c r="P5" s="27" t="str">
        <f>IF(ISBLANK(Values!$F4),"",Values!P4)</f>
        <v>https://raw.githubusercontent.com/PatrickVibild/TellusAmazonPictures/master/pictures/HP/W. PS/820 G3/BL/DE/4.jpg</v>
      </c>
      <c r="Q5" s="27" t="str">
        <f>IF(ISBLANK(Values!$F4),"",Values!Q4)</f>
        <v>https://raw.githubusercontent.com/PatrickVibild/TellusAmazonPictures/master/pictures/HP/W. PS/820 G3/BL/DE/5.jpg</v>
      </c>
      <c r="R5" s="27" t="str">
        <f>IF(ISBLANK(Values!$F4),"",Values!R4)</f>
        <v>https://raw.githubusercontent.com/PatrickVibild/TellusAmazonPictures/master/pictures/HP/W. PS/820 G3/BL/DE/6.jpg</v>
      </c>
      <c r="S5" s="27" t="str">
        <f>IF(ISBLANK(Values!$F4),"",Values!S4)</f>
        <v>https://raw.githubusercontent.com/PatrickVibild/TellusAmazonPictures/master/pictures/HP/W. PS/820 G3/BL/DE/7.jpg</v>
      </c>
      <c r="T5" s="27" t="str">
        <f>IF(ISBLANK(Values!$F4),"",Values!T4)</f>
        <v>https://raw.githubusercontent.com/PatrickVibild/TellusAmazonPictures/master/pictures/HP/W. PS/820 G3/BL/DE/8.jpg</v>
      </c>
      <c r="U5" s="27" t="str">
        <f>IF(ISBLANK(Values!$F4),"",Values!U4)</f>
        <v>https://raw.githubusercontent.com/PatrickVibild/TellusAmazonPictures/master/pictures/HP/W. PS/820 G3/BL/DE/9.jpg</v>
      </c>
      <c r="W5" s="29" t="str">
        <f>IF(ISBLANK(Values!E4),"","Child")</f>
        <v>Child</v>
      </c>
      <c r="X5" s="29" t="str">
        <f>IF(ISBLANK(Values!E4),"",Values!$B$13)</f>
        <v>HP 840 G3 BL</v>
      </c>
      <c r="Y5" s="31" t="str">
        <f>IF(ISBLANK(Values!E4),"","Size-Color")</f>
        <v>Size-Color</v>
      </c>
      <c r="Z5" s="29" t="str">
        <f>IF(ISBLANK(Values!E4),"","variation")</f>
        <v>variation</v>
      </c>
      <c r="AA5" s="1" t="str">
        <f>IF(ISBLANK(Values!E4),"",Values!$B$20)</f>
        <v>Update</v>
      </c>
      <c r="AB5" s="1" t="str">
        <f>IF(ISBLANK(Values!E4),"",Values!$B$29)</f>
        <v>Tangentbord distribueras av Tellus Remarketing, ledande europeiskt företag för bärbara tangentbord. Tangentbord har rengjorts, packats och testats i vår produktionslinje i Danmark. För eventuella kompatibilitetsfrågor kontakta oss via Amazons webbplats.</v>
      </c>
      <c r="AI5" s="34" t="str">
        <f>IF(ISBLANK(Values!E4),"",IF(Values!I4,Values!$B$23,Values!$B$33))</f>
        <v>👉 RENOVERAT: SPARA PENGAR - Ersättande HP-tangentbord för laptop, samma kvalitet som OEM-tangentbord. TellusRem är den ledande tangentbordsdistributören i världen sedan 2011. Perfekt ersättningstangentbord, lätt att byta ut och installera.</v>
      </c>
      <c r="AJ5" s="32" t="str">
        <f>IF(ISBLANK(Values!E4),"",Values!$B$24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820 G3, 820 G4, 725 G3, 725 G4</v>
      </c>
      <c r="AK5" s="1" t="str">
        <f>IF(ISBLANK(Values!E4),"",Values!$B$25)</f>
        <v>♻️ MILJÖVÄNLIG PRODUKT - Köp renoverad, KÖP GRÖNT! Minska mer än 80 % koldioxid genom att köpa våra renoverade tangentbord, jämfört med att skaffa ett nytt tangentbord! Perfekt OEM-ersättningsdel för ditt tangentbord.</v>
      </c>
      <c r="AL5" s="1" t="str">
        <f>IF(ISBLANK(Values!E4),"",SUBSTITUTE(SUBSTITUTE(IF(Values!$J4, Values!$B$26, Values!$B$33), "{language}", Values!$H4), "{flag}", INDEX(options!$E$1:$E$20, Values!$V4)))</f>
        <v>👉 LAYOUT – 🇩🇪 Tysk bakgrundsbelyst.</v>
      </c>
      <c r="AM5" s="1" t="str">
        <f>SUBSTITUTE(IF(ISBLANK(Values!E4),"",Values!$B$27), "{model}", Values!$B$3)</f>
        <v>👉 KOMPATIBEL MED - HP 820 G3, 820 G4, 725 G3, 725 G4. Vänligen kontrollera bilden och beskrivningen noggrant innan du köper något tangentbord. Detta säkerställer att du får rätt laptoptangentbord för din dator. Superenkel installation.</v>
      </c>
      <c r="AT5" s="27" t="str">
        <f>IF(ISBLANK(Values!E4),"",Values!H4)</f>
        <v>Tysk</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
      </c>
      <c r="CZ5" s="1" t="str">
        <f>IF(ISBLANK(Values!E4),"","No")</f>
        <v>No</v>
      </c>
      <c r="DA5" s="1" t="str">
        <f>IF(ISBLANK(Values!E4),"","No")</f>
        <v>No</v>
      </c>
      <c r="DO5" s="1" t="str">
        <f>IF(ISBLANK(Values!E4),"","Parts")</f>
        <v>Parts</v>
      </c>
      <c r="DP5" s="1" t="str">
        <f>IF(ISBLANK(Values!E4),"",Values!$B$31)</f>
        <v>6 månaders garanti efter leveransdatum. I händelse av fel på tangentbordet kommer en ny enhet eller en reservdel till produktens tangentbord att skickas. Vid brist på lager ges full återbetalning.</v>
      </c>
      <c r="DY5" t="str">
        <f>IF(ISBLANK(Values!$E4), "", "not_applicable")</f>
        <v>not_applicable</v>
      </c>
      <c r="EI5" s="1" t="str">
        <f>IF(ISBLANK(Values!E4),"",Values!$B$31)</f>
        <v>6 månaders garanti efter leveransdatum. I händelse av fel på tangentbordet kommer en ny enhet eller en reservdel till produktens tangentbord att skickas. Vid brist på lager ges full återbetalning.</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52.99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3">
        <f>K5</f>
        <v>52.99</v>
      </c>
    </row>
    <row r="6" spans="1:193" ht="48" x14ac:dyDescent="0.2">
      <c r="A6" s="1" t="str">
        <f>IF(ISBLANK(Values!E5),"",IF(Values!$B$37="EU","computercomponent","computer"))</f>
        <v>computercomponent</v>
      </c>
      <c r="B6" s="33" t="str">
        <f>IF(ISBLANK(Values!E5),"",Values!F5)</f>
        <v>HP 820 G3 BL - FR</v>
      </c>
      <c r="C6" s="29" t="str">
        <f>IF(ISBLANK(Values!E5),"","TellusRem")</f>
        <v>TellusRem</v>
      </c>
      <c r="D6" s="28">
        <f>IF(ISBLANK(Values!E5),"",Values!E5)</f>
        <v>5714401821014</v>
      </c>
      <c r="E6" s="1" t="str">
        <f>IF(ISBLANK(Values!E5),"","EAN")</f>
        <v>EAN</v>
      </c>
      <c r="F6" s="27" t="str">
        <f>IF(ISBLANK(Values!E5),"",IF(Values!J5, SUBSTITUTE(Values!$B$1, "{language}", Values!H5) &amp; " " &amp;Values!$B$3, SUBSTITUTE(Values!$B$2, "{language}", Values!$H5) &amp; " " &amp;Values!$B$3))</f>
        <v>ersättningsbakgrundsbelyst Franska tangentbord för HP   820 G3, 820 G4, 725 G3, 725 G4</v>
      </c>
      <c r="G6" s="29" t="str">
        <f>IF(ISBLANK(Values!E5),"","TellusRem")</f>
        <v>TellusRem</v>
      </c>
      <c r="H6" s="1" t="str">
        <f>IF(ISBLANK(Values!E5),"",Values!$B$16)</f>
        <v>computer-keyboards</v>
      </c>
      <c r="I6" s="1" t="str">
        <f>IF(ISBLANK(Values!E5),"","4730574031")</f>
        <v>4730574031</v>
      </c>
      <c r="J6" s="31" t="str">
        <f>IF(ISBLANK(Values!E5),"",Values!F5 )</f>
        <v>HP 820 G3 BL - FR</v>
      </c>
      <c r="K6" s="27">
        <f>IF(ISBLANK(Values!E5),"",IF(Values!J5, Values!$B$4, Values!$B$5))</f>
        <v>52.99</v>
      </c>
      <c r="L6" s="27" t="str">
        <f>IF(ISBLANK(Values!E5),"",IF($CO6="DEFAULT", Values!$B$18, ""))</f>
        <v/>
      </c>
      <c r="M6" s="27" t="str">
        <f>IF(ISBLANK(Values!E5),"",Values!$M5)</f>
        <v>https://raw.githubusercontent.com/PatrickVibild/TellusAmazonPictures/master/pictures/HP/W. PS/820 G3/BL/FR/1.jpg</v>
      </c>
      <c r="N6" s="27" t="str">
        <f>IF(ISBLANK(Values!$F5),"",Values!N5)</f>
        <v>https://raw.githubusercontent.com/PatrickVibild/TellusAmazonPictures/master/pictures/HP/W. PS/820 G3/BL/FR/2.jpg</v>
      </c>
      <c r="O6" s="27" t="str">
        <f>IF(ISBLANK(Values!$F5),"",Values!O5)</f>
        <v>https://raw.githubusercontent.com/PatrickVibild/TellusAmazonPictures/master/pictures/HP/W. PS/820 G3/BL/FR/3.jpg</v>
      </c>
      <c r="P6" s="27" t="str">
        <f>IF(ISBLANK(Values!$F5),"",Values!P5)</f>
        <v>https://raw.githubusercontent.com/PatrickVibild/TellusAmazonPictures/master/pictures/HP/W. PS/820 G3/BL/FR/4.jpg</v>
      </c>
      <c r="Q6" s="27" t="str">
        <f>IF(ISBLANK(Values!$F5),"",Values!Q5)</f>
        <v>https://raw.githubusercontent.com/PatrickVibild/TellusAmazonPictures/master/pictures/HP/W. PS/820 G3/BL/FR/5.jpg</v>
      </c>
      <c r="R6" s="27" t="str">
        <f>IF(ISBLANK(Values!$F5),"",Values!R5)</f>
        <v>https://raw.githubusercontent.com/PatrickVibild/TellusAmazonPictures/master/pictures/HP/W. PS/820 G3/BL/FR/6.jpg</v>
      </c>
      <c r="S6" s="27" t="str">
        <f>IF(ISBLANK(Values!$F5),"",Values!S5)</f>
        <v>https://raw.githubusercontent.com/PatrickVibild/TellusAmazonPictures/master/pictures/HP/W. PS/820 G3/BL/FR/7.jpg</v>
      </c>
      <c r="T6" s="27" t="str">
        <f>IF(ISBLANK(Values!$F5),"",Values!T5)</f>
        <v>https://raw.githubusercontent.com/PatrickVibild/TellusAmazonPictures/master/pictures/HP/W. PS/820 G3/BL/FR/8.jpg</v>
      </c>
      <c r="U6" s="27" t="str">
        <f>IF(ISBLANK(Values!$F5),"",Values!U5)</f>
        <v>https://raw.githubusercontent.com/PatrickVibild/TellusAmazonPictures/master/pictures/HP/W. PS/820 G3/BL/FR/9.jpg</v>
      </c>
      <c r="W6" s="29" t="str">
        <f>IF(ISBLANK(Values!E5),"","Child")</f>
        <v>Child</v>
      </c>
      <c r="X6" s="29" t="str">
        <f>IF(ISBLANK(Values!E5),"",Values!$B$13)</f>
        <v>HP 840 G3 BL</v>
      </c>
      <c r="Y6" s="31" t="str">
        <f>IF(ISBLANK(Values!E5),"","Size-Color")</f>
        <v>Size-Color</v>
      </c>
      <c r="Z6" s="29" t="str">
        <f>IF(ISBLANK(Values!E5),"","variation")</f>
        <v>variation</v>
      </c>
      <c r="AA6" s="1" t="str">
        <f>IF(ISBLANK(Values!E5),"",Values!$B$20)</f>
        <v>Update</v>
      </c>
      <c r="AB6" s="1" t="str">
        <f>IF(ISBLANK(Values!E5),"",Values!$B$29)</f>
        <v>Tangentbord distribueras av Tellus Remarketing, ledande europeiskt företag för bärbara tangentbord. Tangentbord har rengjorts, packats och testats i vår produktionslinje i Danmark. För eventuella kompatibilitetsfrågor kontakta oss via Amazons webbplats.</v>
      </c>
      <c r="AI6" s="34" t="str">
        <f>IF(ISBLANK(Values!E5),"",IF(Values!I5,Values!$B$23,Values!$B$33))</f>
        <v>👉 RENOVERAT: SPARA PENGAR - Ersättande HP-tangentbord för laptop, samma kvalitet som OEM-tangentbord. TellusRem är den ledande tangentbordsdistributören i världen sedan 2011. Perfekt ersättningstangentbord, lätt att byta ut och installera.</v>
      </c>
      <c r="AJ6" s="32" t="str">
        <f>IF(ISBLANK(Values!E5),"",Values!$B$24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820 G3, 820 G4, 725 G3, 725 G4</v>
      </c>
      <c r="AK6" s="1" t="str">
        <f>IF(ISBLANK(Values!E5),"",Values!$B$25)</f>
        <v>♻️ MILJÖVÄNLIG PRODUKT - Köp renoverad, KÖP GRÖNT! Minska mer än 80 % koldioxid genom att köpa våra renoverade tangentbord, jämfört med att skaffa ett nytt tangentbord! Perfekt OEM-ersättningsdel för ditt tangentbord.</v>
      </c>
      <c r="AL6" s="1" t="str">
        <f>IF(ISBLANK(Values!E5),"",SUBSTITUTE(SUBSTITUTE(IF(Values!$J5, Values!$B$26, Values!$B$33), "{language}", Values!$H5), "{flag}", INDEX(options!$E$1:$E$20, Values!$V5)))</f>
        <v>👉 LAYOUT – 🇫🇷 Franska bakgrundsbelyst.</v>
      </c>
      <c r="AM6" s="1" t="str">
        <f>SUBSTITUTE(IF(ISBLANK(Values!E5),"",Values!$B$27), "{model}", Values!$B$3)</f>
        <v>👉 KOMPATIBEL MED - HP 820 G3, 820 G4, 725 G3, 725 G4. Vänligen kontrollera bilden och beskrivningen noggrant innan du köper något tangentbord. Detta säkerställer att du får rätt laptoptangentbord för din dator. Superenkel installation.</v>
      </c>
      <c r="AT6" s="27" t="str">
        <f>IF(ISBLANK(Values!E5),"",Values!H5)</f>
        <v>Franska</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
      </c>
      <c r="CZ6" s="1" t="str">
        <f>IF(ISBLANK(Values!E5),"","No")</f>
        <v>No</v>
      </c>
      <c r="DA6" s="1" t="str">
        <f>IF(ISBLANK(Values!E5),"","No")</f>
        <v>No</v>
      </c>
      <c r="DO6" s="1" t="str">
        <f>IF(ISBLANK(Values!E5),"","Parts")</f>
        <v>Parts</v>
      </c>
      <c r="DP6" s="1" t="str">
        <f>IF(ISBLANK(Values!E5),"",Values!$B$31)</f>
        <v>6 månaders garanti efter leveransdatum. I händelse av fel på tangentbordet kommer en ny enhet eller en reservdel till produktens tangentbord att skickas. Vid brist på lager ges full återbetalning.</v>
      </c>
      <c r="DY6" t="str">
        <f>IF(ISBLANK(Values!$E5), "", "not_applicable")</f>
        <v>not_applicable</v>
      </c>
      <c r="EI6" s="1" t="str">
        <f>IF(ISBLANK(Values!E5),"",Values!$B$31)</f>
        <v>6 månaders garanti efter leveransdatum. I händelse av fel på tangentbordet kommer en ny enhet eller en reservdel till produktens tangentbord att skickas. Vid brist på lager ges full återbetalning.</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52.99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3">
        <f>K6</f>
        <v>52.99</v>
      </c>
    </row>
    <row r="7" spans="1:193" ht="48" x14ac:dyDescent="0.2">
      <c r="A7" s="1" t="str">
        <f>IF(ISBLANK(Values!E6),"",IF(Values!$B$37="EU","computercomponent","computer"))</f>
        <v>computercomponent</v>
      </c>
      <c r="B7" s="33" t="str">
        <f>IF(ISBLANK(Values!E6),"",Values!F6)</f>
        <v>HP 820 G3 BL - IT</v>
      </c>
      <c r="C7" s="29" t="str">
        <f>IF(ISBLANK(Values!E6),"","TellusRem")</f>
        <v>TellusRem</v>
      </c>
      <c r="D7" s="28">
        <f>IF(ISBLANK(Values!E6),"",Values!E6)</f>
        <v>5714401821021</v>
      </c>
      <c r="E7" s="1" t="str">
        <f>IF(ISBLANK(Values!E6),"","EAN")</f>
        <v>EAN</v>
      </c>
      <c r="F7" s="27" t="str">
        <f>IF(ISBLANK(Values!E6),"",IF(Values!J6, SUBSTITUTE(Values!$B$1, "{language}", Values!H6) &amp; " " &amp;Values!$B$3, SUBSTITUTE(Values!$B$2, "{language}", Values!$H6) &amp; " " &amp;Values!$B$3))</f>
        <v>ersättningsbakgrundsbelyst Italienska tangentbord för HP   820 G3, 820 G4, 725 G3, 725 G4</v>
      </c>
      <c r="G7" s="29" t="str">
        <f>IF(ISBLANK(Values!E6),"","TellusRem")</f>
        <v>TellusRem</v>
      </c>
      <c r="H7" s="1" t="str">
        <f>IF(ISBLANK(Values!E6),"",Values!$B$16)</f>
        <v>computer-keyboards</v>
      </c>
      <c r="I7" s="1" t="str">
        <f>IF(ISBLANK(Values!E6),"","4730574031")</f>
        <v>4730574031</v>
      </c>
      <c r="J7" s="31" t="str">
        <f>IF(ISBLANK(Values!E6),"",Values!F6 )</f>
        <v>HP 820 G3 BL - IT</v>
      </c>
      <c r="K7" s="27">
        <f>IF(ISBLANK(Values!E6),"",IF(Values!J6, Values!$B$4, Values!$B$5))</f>
        <v>52.99</v>
      </c>
      <c r="L7" s="27" t="str">
        <f>IF(ISBLANK(Values!E6),"",IF($CO7="DEFAULT", Values!$B$18, ""))</f>
        <v/>
      </c>
      <c r="M7" s="27" t="str">
        <f>IF(ISBLANK(Values!E6),"",Values!$M6)</f>
        <v>https://raw.githubusercontent.com/PatrickVibild/TellusAmazonPictures/master/pictures/HP/W. PS/820 G3/BL/IT/1.jpg</v>
      </c>
      <c r="N7" s="27" t="str">
        <f>IF(ISBLANK(Values!$F6),"",Values!N6)</f>
        <v>https://raw.githubusercontent.com/PatrickVibild/TellusAmazonPictures/master/pictures/HP/W. PS/820 G3/BL/IT/2.jpg</v>
      </c>
      <c r="O7" s="27" t="str">
        <f>IF(ISBLANK(Values!$F6),"",Values!O6)</f>
        <v>https://raw.githubusercontent.com/PatrickVibild/TellusAmazonPictures/master/pictures/HP/W. PS/820 G3/BL/IT/3.jpg</v>
      </c>
      <c r="P7" s="27" t="str">
        <f>IF(ISBLANK(Values!$F6),"",Values!P6)</f>
        <v>https://raw.githubusercontent.com/PatrickVibild/TellusAmazonPictures/master/pictures/HP/W. PS/820 G3/BL/IT/4.jpg</v>
      </c>
      <c r="Q7" s="27" t="str">
        <f>IF(ISBLANK(Values!$F6),"",Values!Q6)</f>
        <v>https://raw.githubusercontent.com/PatrickVibild/TellusAmazonPictures/master/pictures/HP/W. PS/820 G3/BL/IT/5.jpg</v>
      </c>
      <c r="R7" s="27" t="str">
        <f>IF(ISBLANK(Values!$F6),"",Values!R6)</f>
        <v>https://raw.githubusercontent.com/PatrickVibild/TellusAmazonPictures/master/pictures/HP/W. PS/820 G3/BL/IT/6.jpg</v>
      </c>
      <c r="S7" s="27" t="str">
        <f>IF(ISBLANK(Values!$F6),"",Values!S6)</f>
        <v>https://raw.githubusercontent.com/PatrickVibild/TellusAmazonPictures/master/pictures/HP/W. PS/820 G3/BL/IT/7.jpg</v>
      </c>
      <c r="T7" s="27" t="str">
        <f>IF(ISBLANK(Values!$F6),"",Values!T6)</f>
        <v>https://raw.githubusercontent.com/PatrickVibild/TellusAmazonPictures/master/pictures/HP/W. PS/820 G3/BL/IT/8.jpg</v>
      </c>
      <c r="U7" s="27" t="str">
        <f>IF(ISBLANK(Values!$F6),"",Values!U6)</f>
        <v>https://raw.githubusercontent.com/PatrickVibild/TellusAmazonPictures/master/pictures/HP/W. PS/820 G3/BL/IT/9.jpg</v>
      </c>
      <c r="W7" s="29" t="str">
        <f>IF(ISBLANK(Values!E6),"","Child")</f>
        <v>Child</v>
      </c>
      <c r="X7" s="29" t="str">
        <f>IF(ISBLANK(Values!E6),"",Values!$B$13)</f>
        <v>HP 840 G3 BL</v>
      </c>
      <c r="Y7" s="31" t="str">
        <f>IF(ISBLANK(Values!E6),"","Size-Color")</f>
        <v>Size-Color</v>
      </c>
      <c r="Z7" s="29" t="str">
        <f>IF(ISBLANK(Values!E6),"","variation")</f>
        <v>variation</v>
      </c>
      <c r="AA7" s="1" t="str">
        <f>IF(ISBLANK(Values!E6),"",Values!$B$20)</f>
        <v>Update</v>
      </c>
      <c r="AB7" s="1" t="str">
        <f>IF(ISBLANK(Values!E6),"",Values!$B$29)</f>
        <v>Tangentbord distribueras av Tellus Remarketing, ledande europeiskt företag för bärbara tangentbord. Tangentbord har rengjorts, packats och testats i vår produktionslinje i Danmark. För eventuella kompatibilitetsfrågor kontakta oss via Amazons webbplats.</v>
      </c>
      <c r="AI7" s="34" t="str">
        <f>IF(ISBLANK(Values!E6),"",IF(Values!I6,Values!$B$23,Values!$B$33))</f>
        <v>👉 RENOVERAT: SPARA PENGAR - Ersättande HP-tangentbord för laptop, samma kvalitet som OEM-tangentbord. TellusRem är den ledande tangentbordsdistributören i världen sedan 2011. Perfekt ersättningstangentbord, lätt att byta ut och installera.</v>
      </c>
      <c r="AJ7" s="32" t="str">
        <f>IF(ISBLANK(Values!E6),"",Values!$B$24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820 G3, 820 G4, 725 G3, 725 G4</v>
      </c>
      <c r="AK7" s="1" t="str">
        <f>IF(ISBLANK(Values!E6),"",Values!$B$25)</f>
        <v>♻️ MILJÖVÄNLIG PRODUKT - Köp renoverad, KÖP GRÖNT! Minska mer än 80 % koldioxid genom att köpa våra renoverade tangentbord, jämfört med att skaffa ett nytt tangentbord! Perfekt OEM-ersättningsdel för ditt tangentbord.</v>
      </c>
      <c r="AL7" s="1" t="str">
        <f>IF(ISBLANK(Values!E6),"",SUBSTITUTE(SUBSTITUTE(IF(Values!$J6, Values!$B$26, Values!$B$33), "{language}", Values!$H6), "{flag}", INDEX(options!$E$1:$E$20, Values!$V6)))</f>
        <v>👉 LAYOUT – 🇮🇹 Italienska bakgrundsbelyst.</v>
      </c>
      <c r="AM7" s="1" t="str">
        <f>SUBSTITUTE(IF(ISBLANK(Values!E6),"",Values!$B$27), "{model}", Values!$B$3)</f>
        <v>👉 KOMPATIBEL MED - HP 820 G3, 820 G4, 725 G3, 725 G4. Vänligen kontrollera bilden och beskrivningen noggrant innan du köper något tangentbord. Detta säkerställer att du får rätt laptoptangentbord för din dator. Superenkel installation.</v>
      </c>
      <c r="AT7" s="27" t="str">
        <f>IF(ISBLANK(Values!E6),"",Values!H6)</f>
        <v>Italienska</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
      </c>
      <c r="CZ7" s="1" t="str">
        <f>IF(ISBLANK(Values!E6),"","No")</f>
        <v>No</v>
      </c>
      <c r="DA7" s="1" t="str">
        <f>IF(ISBLANK(Values!E6),"","No")</f>
        <v>No</v>
      </c>
      <c r="DO7" s="1" t="str">
        <f>IF(ISBLANK(Values!E6),"","Parts")</f>
        <v>Parts</v>
      </c>
      <c r="DP7" s="1" t="str">
        <f>IF(ISBLANK(Values!E6),"",Values!$B$31)</f>
        <v>6 månaders garanti efter leveransdatum. I händelse av fel på tangentbordet kommer en ny enhet eller en reservdel till produktens tangentbord att skickas. Vid brist på lager ges full återbetalning.</v>
      </c>
      <c r="DY7" t="str">
        <f>IF(ISBLANK(Values!$E6), "", "not_applicable")</f>
        <v>not_applicable</v>
      </c>
      <c r="EI7" s="1" t="str">
        <f>IF(ISBLANK(Values!E6),"",Values!$B$31)</f>
        <v>6 månaders garanti efter leveransdatum. I händelse av fel på tangentbordet kommer en ny enhet eller en reservdel till produktens tangentbord att skickas. Vid brist på lager ges full återbetalning.</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52.99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3">
        <f>K7</f>
        <v>52.99</v>
      </c>
    </row>
    <row r="8" spans="1:193" ht="48" x14ac:dyDescent="0.2">
      <c r="A8" s="1" t="str">
        <f>IF(ISBLANK(Values!E7),"",IF(Values!$B$37="EU","computercomponent","computer"))</f>
        <v>computercomponent</v>
      </c>
      <c r="B8" s="33" t="str">
        <f>IF(ISBLANK(Values!E7),"",Values!F7)</f>
        <v>HP 820 G3 BL - ES</v>
      </c>
      <c r="C8" s="29" t="str">
        <f>IF(ISBLANK(Values!E7),"","TellusRem")</f>
        <v>TellusRem</v>
      </c>
      <c r="D8" s="28">
        <f>IF(ISBLANK(Values!E7),"",Values!E7)</f>
        <v>5714401821038</v>
      </c>
      <c r="E8" s="1" t="str">
        <f>IF(ISBLANK(Values!E7),"","EAN")</f>
        <v>EAN</v>
      </c>
      <c r="F8" s="27" t="str">
        <f>IF(ISBLANK(Values!E7),"",IF(Values!J7, SUBSTITUTE(Values!$B$1, "{language}", Values!H7) &amp; " " &amp;Values!$B$3, SUBSTITUTE(Values!$B$2, "{language}", Values!$H7) &amp; " " &amp;Values!$B$3))</f>
        <v>ersättningsbakgrundsbelyst Spanska tangentbord för HP   820 G3, 820 G4, 725 G3, 725 G4</v>
      </c>
      <c r="G8" s="29" t="str">
        <f>IF(ISBLANK(Values!E7),"","TellusRem")</f>
        <v>TellusRem</v>
      </c>
      <c r="H8" s="1" t="str">
        <f>IF(ISBLANK(Values!E7),"",Values!$B$16)</f>
        <v>computer-keyboards</v>
      </c>
      <c r="I8" s="1" t="str">
        <f>IF(ISBLANK(Values!E7),"","4730574031")</f>
        <v>4730574031</v>
      </c>
      <c r="J8" s="31" t="str">
        <f>IF(ISBLANK(Values!E7),"",Values!F7 )</f>
        <v>HP 820 G3 BL - ES</v>
      </c>
      <c r="K8" s="27">
        <f>IF(ISBLANK(Values!E7),"",IF(Values!J7, Values!$B$4, Values!$B$5))</f>
        <v>52.99</v>
      </c>
      <c r="L8" s="27" t="str">
        <f>IF(ISBLANK(Values!E7),"",IF($CO8="DEFAULT", Values!$B$18, ""))</f>
        <v/>
      </c>
      <c r="M8" s="27" t="str">
        <f>IF(ISBLANK(Values!E7),"",Values!$M7)</f>
        <v>https://raw.githubusercontent.com/PatrickVibild/TellusAmazonPictures/master/pictures/HP/W. PS/820 G3/BL/ES/1.jpg</v>
      </c>
      <c r="N8" s="27" t="str">
        <f>IF(ISBLANK(Values!$F7),"",Values!N7)</f>
        <v>https://raw.githubusercontent.com/PatrickVibild/TellusAmazonPictures/master/pictures/HP/W. PS/820 G3/BL/ES/2.jpg</v>
      </c>
      <c r="O8" s="27" t="str">
        <f>IF(ISBLANK(Values!$F7),"",Values!O7)</f>
        <v>https://raw.githubusercontent.com/PatrickVibild/TellusAmazonPictures/master/pictures/HP/W. PS/820 G3/BL/ES/3.jpg</v>
      </c>
      <c r="P8" s="27" t="str">
        <f>IF(ISBLANK(Values!$F7),"",Values!P7)</f>
        <v>https://raw.githubusercontent.com/PatrickVibild/TellusAmazonPictures/master/pictures/HP/W. PS/820 G3/BL/ES/4.jpg</v>
      </c>
      <c r="Q8" s="27" t="str">
        <f>IF(ISBLANK(Values!$F7),"",Values!Q7)</f>
        <v>https://raw.githubusercontent.com/PatrickVibild/TellusAmazonPictures/master/pictures/HP/W. PS/820 G3/BL/ES/5.jpg</v>
      </c>
      <c r="R8" s="27" t="str">
        <f>IF(ISBLANK(Values!$F7),"",Values!R7)</f>
        <v>https://raw.githubusercontent.com/PatrickVibild/TellusAmazonPictures/master/pictures/HP/W. PS/820 G3/BL/ES/6.jpg</v>
      </c>
      <c r="S8" s="27" t="str">
        <f>IF(ISBLANK(Values!$F7),"",Values!S7)</f>
        <v>https://raw.githubusercontent.com/PatrickVibild/TellusAmazonPictures/master/pictures/HP/W. PS/820 G3/BL/ES/7.jpg</v>
      </c>
      <c r="T8" s="27" t="str">
        <f>IF(ISBLANK(Values!$F7),"",Values!T7)</f>
        <v>https://raw.githubusercontent.com/PatrickVibild/TellusAmazonPictures/master/pictures/HP/W. PS/820 G3/BL/ES/8.jpg</v>
      </c>
      <c r="U8" s="27" t="str">
        <f>IF(ISBLANK(Values!$F7),"",Values!U7)</f>
        <v>https://raw.githubusercontent.com/PatrickVibild/TellusAmazonPictures/master/pictures/HP/W. PS/820 G3/BL/ES/9.jpg</v>
      </c>
      <c r="W8" s="29" t="str">
        <f>IF(ISBLANK(Values!E7),"","Child")</f>
        <v>Child</v>
      </c>
      <c r="X8" s="29" t="str">
        <f>IF(ISBLANK(Values!E7),"",Values!$B$13)</f>
        <v>HP 840 G3 BL</v>
      </c>
      <c r="Y8" s="31" t="str">
        <f>IF(ISBLANK(Values!E7),"","Size-Color")</f>
        <v>Size-Color</v>
      </c>
      <c r="Z8" s="29" t="str">
        <f>IF(ISBLANK(Values!E7),"","variation")</f>
        <v>variation</v>
      </c>
      <c r="AA8" s="1" t="str">
        <f>IF(ISBLANK(Values!E7),"",Values!$B$20)</f>
        <v>Update</v>
      </c>
      <c r="AB8" s="1" t="str">
        <f>IF(ISBLANK(Values!E7),"",Values!$B$29)</f>
        <v>Tangentbord distribueras av Tellus Remarketing, ledande europeiskt företag för bärbara tangentbord. Tangentbord har rengjorts, packats och testats i vår produktionslinje i Danmark. För eventuella kompatibilitetsfrågor kontakta oss via Amazons webbplats.</v>
      </c>
      <c r="AI8" s="34" t="str">
        <f>IF(ISBLANK(Values!E7),"",IF(Values!I7,Values!$B$23,Values!$B$33))</f>
        <v>👉 RENOVERAT: SPARA PENGAR - Ersättande HP-tangentbord för laptop, samma kvalitet som OEM-tangentbord. TellusRem är den ledande tangentbordsdistributören i världen sedan 2011. Perfekt ersättningstangentbord, lätt att byta ut och installera.</v>
      </c>
      <c r="AJ8" s="32" t="str">
        <f>IF(ISBLANK(Values!E7),"",Values!$B$24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820 G3, 820 G4, 725 G3, 725 G4</v>
      </c>
      <c r="AK8" s="1" t="str">
        <f>IF(ISBLANK(Values!E7),"",Values!$B$25)</f>
        <v>♻️ MILJÖVÄNLIG PRODUKT - Köp renoverad, KÖP GRÖNT! Minska mer än 80 % koldioxid genom att köpa våra renoverade tangentbord, jämfört med att skaffa ett nytt tangentbord! Perfekt OEM-ersättningsdel för ditt tangentbord.</v>
      </c>
      <c r="AL8" s="1" t="str">
        <f>IF(ISBLANK(Values!E7),"",SUBSTITUTE(SUBSTITUTE(IF(Values!$J7, Values!$B$26, Values!$B$33), "{language}", Values!$H7), "{flag}", INDEX(options!$E$1:$E$20, Values!$V7)))</f>
        <v>👉 LAYOUT – 🇪🇸 Spanska bakgrundsbelyst.</v>
      </c>
      <c r="AM8" s="1" t="str">
        <f>SUBSTITUTE(IF(ISBLANK(Values!E7),"",Values!$B$27), "{model}", Values!$B$3)</f>
        <v>👉 KOMPATIBEL MED - HP 820 G3, 820 G4, 725 G3, 725 G4. Vänligen kontrollera bilden och beskrivningen noggrant innan du köper något tangentbord. Detta säkerställer att du får rätt laptoptangentbord för din dator. Superenkel installation.</v>
      </c>
      <c r="AT8" s="27" t="str">
        <f>IF(ISBLANK(Values!E7),"",Values!H7)</f>
        <v>Spanska</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
      </c>
      <c r="CZ8" s="1" t="str">
        <f>IF(ISBLANK(Values!E7),"","No")</f>
        <v>No</v>
      </c>
      <c r="DA8" s="1" t="str">
        <f>IF(ISBLANK(Values!E7),"","No")</f>
        <v>No</v>
      </c>
      <c r="DO8" s="1" t="str">
        <f>IF(ISBLANK(Values!E7),"","Parts")</f>
        <v>Parts</v>
      </c>
      <c r="DP8" s="1" t="str">
        <f>IF(ISBLANK(Values!E7),"",Values!$B$31)</f>
        <v>6 månaders garanti efter leveransdatum. I händelse av fel på tangentbordet kommer en ny enhet eller en reservdel till produktens tangentbord att skickas. Vid brist på lager ges full återbetalning.</v>
      </c>
      <c r="DY8" t="str">
        <f>IF(ISBLANK(Values!$E7), "", "not_applicable")</f>
        <v>not_applicable</v>
      </c>
      <c r="EI8" s="1" t="str">
        <f>IF(ISBLANK(Values!E7),"",Values!$B$31)</f>
        <v>6 månaders garanti efter leveransdatum. I händelse av fel på tangentbordet kommer en ny enhet eller en reservdel till produktens tangentbord att skickas. Vid brist på lager ges full återbetalning.</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52.99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3">
        <f>K8</f>
        <v>52.99</v>
      </c>
    </row>
    <row r="9" spans="1:193" ht="48" x14ac:dyDescent="0.2">
      <c r="A9" s="1" t="str">
        <f>IF(ISBLANK(Values!E8),"",IF(Values!$B$37="EU","computercomponent","computer"))</f>
        <v>computercomponent</v>
      </c>
      <c r="B9" s="33" t="str">
        <f>IF(ISBLANK(Values!E8),"",Values!F8)</f>
        <v>HP 820 G3 BL - UK</v>
      </c>
      <c r="C9" s="29" t="str">
        <f>IF(ISBLANK(Values!E8),"","TellusRem")</f>
        <v>TellusRem</v>
      </c>
      <c r="D9" s="28">
        <f>IF(ISBLANK(Values!E8),"",Values!E8)</f>
        <v>5714401821045</v>
      </c>
      <c r="E9" s="1" t="str">
        <f>IF(ISBLANK(Values!E8),"","EAN")</f>
        <v>EAN</v>
      </c>
      <c r="F9" s="27" t="str">
        <f>IF(ISBLANK(Values!E8),"",IF(Values!J8, SUBSTITUTE(Values!$B$1, "{language}", Values!H8) &amp; " " &amp;Values!$B$3, SUBSTITUTE(Values!$B$2, "{language}", Values!$H8) &amp; " " &amp;Values!$B$3))</f>
        <v>ersättningsbakgrundsbelyst Storbritannien tangentbord för HP   820 G3, 820 G4, 725 G3, 725 G4</v>
      </c>
      <c r="G9" s="29" t="str">
        <f>IF(ISBLANK(Values!E8),"","TellusRem")</f>
        <v>TellusRem</v>
      </c>
      <c r="H9" s="1" t="str">
        <f>IF(ISBLANK(Values!E8),"",Values!$B$16)</f>
        <v>computer-keyboards</v>
      </c>
      <c r="I9" s="1" t="str">
        <f>IF(ISBLANK(Values!E8),"","4730574031")</f>
        <v>4730574031</v>
      </c>
      <c r="J9" s="31" t="str">
        <f>IF(ISBLANK(Values!E8),"",Values!F8 )</f>
        <v>HP 820 G3 BL - UK</v>
      </c>
      <c r="K9" s="27">
        <f>IF(ISBLANK(Values!E8),"",IF(Values!J8, Values!$B$4, Values!$B$5))</f>
        <v>52.99</v>
      </c>
      <c r="L9" s="27" t="str">
        <f>IF(ISBLANK(Values!E8),"",IF($CO9="DEFAULT", Values!$B$18, ""))</f>
        <v/>
      </c>
      <c r="M9" s="27" t="str">
        <f>IF(ISBLANK(Values!E8),"",Values!$M8)</f>
        <v>https://raw.githubusercontent.com/PatrickVibild/TellusAmazonPictures/master/pictures/HP/W. PS/820 G3/BL/UK/1.jpg</v>
      </c>
      <c r="N9" s="27" t="str">
        <f>IF(ISBLANK(Values!$F8),"",Values!N8)</f>
        <v>https://raw.githubusercontent.com/PatrickVibild/TellusAmazonPictures/master/pictures/HP/W. PS/820 G3/BL/UK/2.jpg</v>
      </c>
      <c r="O9" s="27" t="str">
        <f>IF(ISBLANK(Values!$F8),"",Values!O8)</f>
        <v>https://raw.githubusercontent.com/PatrickVibild/TellusAmazonPictures/master/pictures/HP/W. PS/820 G3/BL/UK/3.jpg</v>
      </c>
      <c r="P9" s="27" t="str">
        <f>IF(ISBLANK(Values!$F8),"",Values!P8)</f>
        <v>https://raw.githubusercontent.com/PatrickVibild/TellusAmazonPictures/master/pictures/HP/W. PS/820 G3/BL/UK/4.jpg</v>
      </c>
      <c r="Q9" s="27" t="str">
        <f>IF(ISBLANK(Values!$F8),"",Values!Q8)</f>
        <v>https://raw.githubusercontent.com/PatrickVibild/TellusAmazonPictures/master/pictures/HP/W. PS/820 G3/BL/UK/5.jpg</v>
      </c>
      <c r="R9" s="27" t="str">
        <f>IF(ISBLANK(Values!$F8),"",Values!R8)</f>
        <v>https://raw.githubusercontent.com/PatrickVibild/TellusAmazonPictures/master/pictures/HP/W. PS/820 G3/BL/UK/6.jpg</v>
      </c>
      <c r="S9" s="27" t="str">
        <f>IF(ISBLANK(Values!$F8),"",Values!S8)</f>
        <v>https://raw.githubusercontent.com/PatrickVibild/TellusAmazonPictures/master/pictures/HP/W. PS/820 G3/BL/UK/7.jpg</v>
      </c>
      <c r="T9" s="27" t="str">
        <f>IF(ISBLANK(Values!$F8),"",Values!T8)</f>
        <v>https://raw.githubusercontent.com/PatrickVibild/TellusAmazonPictures/master/pictures/HP/W. PS/820 G3/BL/UK/8.jpg</v>
      </c>
      <c r="U9" s="27" t="str">
        <f>IF(ISBLANK(Values!$F8),"",Values!U8)</f>
        <v>https://raw.githubusercontent.com/PatrickVibild/TellusAmazonPictures/master/pictures/HP/W. PS/820 G3/BL/UK/9.jpg</v>
      </c>
      <c r="W9" s="29" t="str">
        <f>IF(ISBLANK(Values!E8),"","Child")</f>
        <v>Child</v>
      </c>
      <c r="X9" s="29" t="str">
        <f>IF(ISBLANK(Values!E8),"",Values!$B$13)</f>
        <v>HP 840 G3 BL</v>
      </c>
      <c r="Y9" s="31" t="str">
        <f>IF(ISBLANK(Values!E8),"","Size-Color")</f>
        <v>Size-Color</v>
      </c>
      <c r="Z9" s="29" t="str">
        <f>IF(ISBLANK(Values!E8),"","variation")</f>
        <v>variation</v>
      </c>
      <c r="AA9" s="1" t="str">
        <f>IF(ISBLANK(Values!E8),"",Values!$B$20)</f>
        <v>Update</v>
      </c>
      <c r="AB9" s="1" t="str">
        <f>IF(ISBLANK(Values!E8),"",Values!$B$29)</f>
        <v>Tangentbord distribueras av Tellus Remarketing, ledande europeiskt företag för bärbara tangentbord. Tangentbord har rengjorts, packats och testats i vår produktionslinje i Danmark. För eventuella kompatibilitetsfrågor kontakta oss via Amazons webbplats.</v>
      </c>
      <c r="AI9" s="34" t="str">
        <f>IF(ISBLANK(Values!E8),"",IF(Values!I8,Values!$B$23,Values!$B$33))</f>
        <v>👉 RENOVERAT: SPARA PENGAR - Ersättande HP-tangentbord för laptop, samma kvalitet som OEM-tangentbord. TellusRem är den ledande tangentbordsdistributören i världen sedan 2011. Perfekt ersättningstangentbord, lätt att byta ut och installera.</v>
      </c>
      <c r="AJ9" s="32" t="str">
        <f>IF(ISBLANK(Values!E8),"",Values!$B$24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820 G3, 820 G4, 725 G3, 725 G4</v>
      </c>
      <c r="AK9" s="1" t="str">
        <f>IF(ISBLANK(Values!E8),"",Values!$B$25)</f>
        <v>♻️ MILJÖVÄNLIG PRODUKT - Köp renoverad, KÖP GRÖNT! Minska mer än 80 % koldioxid genom att köpa våra renoverade tangentbord, jämfört med att skaffa ett nytt tangentbord! Perfekt OEM-ersättningsdel för ditt tangentbord.</v>
      </c>
      <c r="AL9" s="1" t="str">
        <f>IF(ISBLANK(Values!E8),"",SUBSTITUTE(SUBSTITUTE(IF(Values!$J8, Values!$B$26, Values!$B$33), "{language}", Values!$H8), "{flag}", INDEX(options!$E$1:$E$20, Values!$V8)))</f>
        <v>👉 LAYOUT – 🇬🇧 Storbritannien bakgrundsbelyst.</v>
      </c>
      <c r="AM9" s="1" t="str">
        <f>SUBSTITUTE(IF(ISBLANK(Values!E8),"",Values!$B$27), "{model}", Values!$B$3)</f>
        <v>👉 KOMPATIBEL MED - HP 820 G3, 820 G4, 725 G3, 725 G4. Vänligen kontrollera bilden och beskrivningen noggrant innan du köper något tangentbord. Detta säkerställer att du får rätt laptoptangentbord för din dator. Superenkel installation.</v>
      </c>
      <c r="AT9" s="27" t="str">
        <f>IF(ISBLANK(Values!E8),"",Values!H8)</f>
        <v>Storbritannien</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
      </c>
      <c r="CZ9" s="1" t="str">
        <f>IF(ISBLANK(Values!E8),"","No")</f>
        <v>No</v>
      </c>
      <c r="DA9" s="1" t="str">
        <f>IF(ISBLANK(Values!E8),"","No")</f>
        <v>No</v>
      </c>
      <c r="DO9" s="1" t="str">
        <f>IF(ISBLANK(Values!E8),"","Parts")</f>
        <v>Parts</v>
      </c>
      <c r="DP9" s="1" t="str">
        <f>IF(ISBLANK(Values!E8),"",Values!$B$31)</f>
        <v>6 månaders garanti efter leveransdatum. I händelse av fel på tangentbordet kommer en ny enhet eller en reservdel till produktens tangentbord att skickas. Vid brist på lager ges full återbetalning.</v>
      </c>
      <c r="DY9" t="str">
        <f>IF(ISBLANK(Values!$E8), "", "not_applicable")</f>
        <v>not_applicable</v>
      </c>
      <c r="EI9" s="1" t="str">
        <f>IF(ISBLANK(Values!E8),"",Values!$B$31)</f>
        <v>6 månaders garanti efter leveransdatum. I händelse av fel på tangentbordet kommer en ny enhet eller en reservdel till produktens tangentbord att skickas. Vid brist på lager ges full återbetalning.</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52.99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3">
        <f>K9</f>
        <v>52.99</v>
      </c>
    </row>
    <row r="10" spans="1:193" ht="48" x14ac:dyDescent="0.2">
      <c r="A10" s="1" t="str">
        <f>IF(ISBLANK(Values!E9),"",IF(Values!$B$37="EU","computercomponent","computer"))</f>
        <v>computercomponent</v>
      </c>
      <c r="B10" s="33" t="str">
        <f>IF(ISBLANK(Values!E9),"",Values!F9)</f>
        <v>HP 820 G3 BL - NORDIC</v>
      </c>
      <c r="C10" s="29" t="str">
        <f>IF(ISBLANK(Values!E9),"","TellusRem")</f>
        <v>TellusRem</v>
      </c>
      <c r="D10" s="28">
        <f>IF(ISBLANK(Values!E9),"",Values!E9)</f>
        <v>5714401821052</v>
      </c>
      <c r="E10" s="1" t="str">
        <f>IF(ISBLANK(Values!E9),"","EAN")</f>
        <v>EAN</v>
      </c>
      <c r="F10" s="27" t="str">
        <f>IF(ISBLANK(Values!E9),"",IF(Values!J9, SUBSTITUTE(Values!$B$1, "{language}", Values!H9) &amp; " " &amp;Values!$B$3, SUBSTITUTE(Values!$B$2, "{language}", Values!$H9) &amp; " " &amp;Values!$B$3))</f>
        <v>ersättningsbakgrundsbelyst Skandinavisk – nordisk tangentbord för HP   820 G3, 820 G4, 725 G3, 725 G4</v>
      </c>
      <c r="G10" s="29" t="str">
        <f>IF(ISBLANK(Values!E9),"","TellusRem")</f>
        <v>TellusRem</v>
      </c>
      <c r="H10" s="1" t="str">
        <f>IF(ISBLANK(Values!E9),"",Values!$B$16)</f>
        <v>computer-keyboards</v>
      </c>
      <c r="I10" s="1" t="str">
        <f>IF(ISBLANK(Values!E9),"","4730574031")</f>
        <v>4730574031</v>
      </c>
      <c r="J10" s="31" t="str">
        <f>IF(ISBLANK(Values!E9),"",Values!F9 )</f>
        <v>HP 820 G3 BL - NORDIC</v>
      </c>
      <c r="K10" s="27">
        <f>IF(ISBLANK(Values!E9),"",IF(Values!J9, Values!$B$4, Values!$B$5))</f>
        <v>52.99</v>
      </c>
      <c r="L10" s="27" t="str">
        <f>IF(ISBLANK(Values!E9),"",IF($CO10="DEFAULT", Values!$B$18, ""))</f>
        <v/>
      </c>
      <c r="M10" s="27" t="str">
        <f>IF(ISBLANK(Values!E9),"",Values!$M9)</f>
        <v>https://raw.githubusercontent.com/PatrickVibild/TellusAmazonPictures/master/pictures/HP/W. PS/820 G3/BL/NOR/1.jpg</v>
      </c>
      <c r="N10" s="27" t="str">
        <f>IF(ISBLANK(Values!$F9),"",Values!N9)</f>
        <v>https://raw.githubusercontent.com/PatrickVibild/TellusAmazonPictures/master/pictures/HP/W. PS/820 G3/BL/NOR/2.jpg</v>
      </c>
      <c r="O10" s="27" t="str">
        <f>IF(ISBLANK(Values!$F9),"",Values!O9)</f>
        <v>https://raw.githubusercontent.com/PatrickVibild/TellusAmazonPictures/master/pictures/HP/W. PS/820 G3/BL/NOR/3.jpg</v>
      </c>
      <c r="P10" s="27" t="str">
        <f>IF(ISBLANK(Values!$F9),"",Values!P9)</f>
        <v>https://raw.githubusercontent.com/PatrickVibild/TellusAmazonPictures/master/pictures/HP/W. PS/820 G3/BL/NOR/4.jpg</v>
      </c>
      <c r="Q10" s="27" t="str">
        <f>IF(ISBLANK(Values!$F9),"",Values!Q9)</f>
        <v>https://raw.githubusercontent.com/PatrickVibild/TellusAmazonPictures/master/pictures/HP/W. PS/820 G3/BL/NOR/5.jpg</v>
      </c>
      <c r="R10" s="27" t="str">
        <f>IF(ISBLANK(Values!$F9),"",Values!R9)</f>
        <v>https://raw.githubusercontent.com/PatrickVibild/TellusAmazonPictures/master/pictures/HP/W. PS/820 G3/BL/NOR/6.jpg</v>
      </c>
      <c r="S10" s="27" t="str">
        <f>IF(ISBLANK(Values!$F9),"",Values!S9)</f>
        <v>https://raw.githubusercontent.com/PatrickVibild/TellusAmazonPictures/master/pictures/HP/W. PS/820 G3/BL/NOR/7.jpg</v>
      </c>
      <c r="T10" s="27" t="str">
        <f>IF(ISBLANK(Values!$F9),"",Values!T9)</f>
        <v>https://raw.githubusercontent.com/PatrickVibild/TellusAmazonPictures/master/pictures/HP/W. PS/820 G3/BL/NOR/8.jpg</v>
      </c>
      <c r="U10" s="27" t="str">
        <f>IF(ISBLANK(Values!$F9),"",Values!U9)</f>
        <v>https://raw.githubusercontent.com/PatrickVibild/TellusAmazonPictures/master/pictures/HP/W. PS/820 G3/BL/NOR/9.jpg</v>
      </c>
      <c r="W10" s="29" t="str">
        <f>IF(ISBLANK(Values!E9),"","Child")</f>
        <v>Child</v>
      </c>
      <c r="X10" s="29" t="str">
        <f>IF(ISBLANK(Values!E9),"",Values!$B$13)</f>
        <v>HP 840 G3 BL</v>
      </c>
      <c r="Y10" s="31" t="str">
        <f>IF(ISBLANK(Values!E9),"","Size-Color")</f>
        <v>Size-Color</v>
      </c>
      <c r="Z10" s="29" t="str">
        <f>IF(ISBLANK(Values!E9),"","variation")</f>
        <v>variation</v>
      </c>
      <c r="AA10" s="1" t="str">
        <f>IF(ISBLANK(Values!E9),"",Values!$B$20)</f>
        <v>Update</v>
      </c>
      <c r="AB10" s="1" t="str">
        <f>IF(ISBLANK(Values!E9),"",Values!$B$29)</f>
        <v>Tangentbord distribueras av Tellus Remarketing, ledande europeiskt företag för bärbara tangentbord. Tangentbord har rengjorts, packats och testats i vår produktionslinje i Danmark. För eventuella kompatibilitetsfrågor kontakta oss via Amazons webbplats.</v>
      </c>
      <c r="AI10" s="34" t="str">
        <f>IF(ISBLANK(Values!E9),"",IF(Values!I9,Values!$B$23,Values!$B$33))</f>
        <v>👉 RENOVERAT: SPARA PENGAR - Ersättande HP-tangentbord för laptop, samma kvalitet som OEM-tangentbord. TellusRem är den ledande tangentbordsdistributören i världen sedan 2011. Perfekt ersättningstangentbord, lätt att byta ut och installera.</v>
      </c>
      <c r="AJ10" s="32" t="str">
        <f>IF(ISBLANK(Values!E9),"",Values!$B$24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820 G3, 820 G4, 725 G3, 725 G4</v>
      </c>
      <c r="AK10" s="1" t="str">
        <f>IF(ISBLANK(Values!E9),"",Values!$B$25)</f>
        <v>♻️ MILJÖVÄNLIG PRODUKT - Köp renoverad, KÖP GRÖNT! Minska mer än 80 % koldioxid genom att köpa våra renoverade tangentbord, jämfört med att skaffa ett nytt tangentbord! Perfekt OEM-ersättningsdel för ditt tangentbord.</v>
      </c>
      <c r="AL10" s="1" t="str">
        <f>IF(ISBLANK(Values!E9),"",SUBSTITUTE(SUBSTITUTE(IF(Values!$J9, Values!$B$26, Values!$B$33), "{language}", Values!$H9), "{flag}", INDEX(options!$E$1:$E$20, Values!$V9)))</f>
        <v>👉 LAYOUT – 🇸🇪 🇫🇮 🇳🇴 🇩🇰 Skandinavisk – nordisk bakgrundsbelyst.</v>
      </c>
      <c r="AM10" s="1" t="str">
        <f>SUBSTITUTE(IF(ISBLANK(Values!E9),"",Values!$B$27), "{model}", Values!$B$3)</f>
        <v>👉 KOMPATIBEL MED - HP 820 G3, 820 G4, 725 G3, 725 G4. Vänligen kontrollera bilden och beskrivningen noggrant innan du köper något tangentbord. Detta säkerställer att du får rätt laptoptangentbord för din dator. Superenkel installation.</v>
      </c>
      <c r="AT10" s="27" t="str">
        <f>IF(ISBLANK(Values!E9),"",Values!H9)</f>
        <v>Skandinavisk – nordisk</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
      </c>
      <c r="CZ10" s="1" t="str">
        <f>IF(ISBLANK(Values!E9),"","No")</f>
        <v>No</v>
      </c>
      <c r="DA10" s="1" t="str">
        <f>IF(ISBLANK(Values!E9),"","No")</f>
        <v>No</v>
      </c>
      <c r="DO10" s="1" t="str">
        <f>IF(ISBLANK(Values!E9),"","Parts")</f>
        <v>Parts</v>
      </c>
      <c r="DP10" s="1" t="str">
        <f>IF(ISBLANK(Values!E9),"",Values!$B$31)</f>
        <v>6 månaders garanti efter leveransdatum. I händelse av fel på tangentbordet kommer en ny enhet eller en reservdel till produktens tangentbord att skickas. Vid brist på lager ges full återbetalning.</v>
      </c>
      <c r="DY10" t="str">
        <f>IF(ISBLANK(Values!$E9), "", "not_applicable")</f>
        <v>not_applicable</v>
      </c>
      <c r="EI10" s="1" t="str">
        <f>IF(ISBLANK(Values!E9),"",Values!$B$31)</f>
        <v>6 månaders garanti efter leveransdatum. I händelse av fel på tangentbordet kommer en ny enhet eller en reservdel till produktens tangentbord att skickas. Vid brist på lager ges full återbetalning.</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52.99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3">
        <f>K10</f>
        <v>52.99</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c r="GK11" s="63"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c r="GK12" s="63" t="str">
        <f>K12</f>
        <v/>
      </c>
    </row>
    <row r="13" spans="1:193" ht="48" x14ac:dyDescent="0.2">
      <c r="A13" s="1" t="str">
        <f>IF(ISBLANK(Values!E12),"",IF(Values!$B$37="EU","computercomponent","computer"))</f>
        <v>computercomponent</v>
      </c>
      <c r="B13" s="33" t="str">
        <f>IF(ISBLANK(Values!E12),"",Values!F12)</f>
        <v>HP 820 G3 BL - US int</v>
      </c>
      <c r="C13" s="29" t="str">
        <f>IF(ISBLANK(Values!E12),"","TellusRem")</f>
        <v>TellusRem</v>
      </c>
      <c r="D13" s="28">
        <f>IF(ISBLANK(Values!E12),"",Values!E12)</f>
        <v>5714401821083</v>
      </c>
      <c r="E13" s="1" t="str">
        <f>IF(ISBLANK(Values!E12),"","EAN")</f>
        <v>EAN</v>
      </c>
      <c r="F13" s="27" t="str">
        <f>IF(ISBLANK(Values!E12),"",IF(Values!J12, SUBSTITUTE(Values!$B$1, "{language}", Values!H12) &amp; " " &amp;Values!$B$3, SUBSTITUTE(Values!$B$2, "{language}", Values!$H12) &amp; " " &amp;Values!$B$3))</f>
        <v>ersättningsbakgrundsbelyst US International tangentbord för HP   820 G3, 820 G4, 725 G3, 725 G4</v>
      </c>
      <c r="G13" s="29" t="str">
        <f>IF(ISBLANK(Values!E12),"","TellusRem")</f>
        <v>TellusRem</v>
      </c>
      <c r="H13" s="1" t="str">
        <f>IF(ISBLANK(Values!E12),"",Values!$B$16)</f>
        <v>computer-keyboards</v>
      </c>
      <c r="I13" s="1" t="str">
        <f>IF(ISBLANK(Values!E12),"","4730574031")</f>
        <v>4730574031</v>
      </c>
      <c r="J13" s="31" t="str">
        <f>IF(ISBLANK(Values!E12),"",Values!F12 )</f>
        <v>HP 820 G3 BL - US int</v>
      </c>
      <c r="K13" s="27">
        <f>IF(ISBLANK(Values!E12),"",IF(Values!J12, Values!$B$4, Values!$B$5))</f>
        <v>52.99</v>
      </c>
      <c r="L13" s="27">
        <f>IF(ISBLANK(Values!E12),"",IF($CO13="DEFAULT", Values!$B$18, ""))</f>
        <v>5</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HP 840 G3 BL</v>
      </c>
      <c r="Y13" s="31" t="str">
        <f>IF(ISBLANK(Values!E12),"","Size-Color")</f>
        <v>Size-Color</v>
      </c>
      <c r="Z13" s="29" t="str">
        <f>IF(ISBLANK(Values!E12),"","variation")</f>
        <v>variation</v>
      </c>
      <c r="AA13" s="1" t="str">
        <f>IF(ISBLANK(Values!E12),"",Values!$B$20)</f>
        <v>Update</v>
      </c>
      <c r="AB13" s="1" t="str">
        <f>IF(ISBLANK(Values!E12),"",Values!$B$29)</f>
        <v>Tangentbord distribueras av Tellus Remarketing, ledande europeiskt företag för bärbara tangentbord. Tangentbord har rengjorts, packats och testats i vår produktionslinje i Danmark. För eventuella kompatibilitetsfrågor kontakta oss via Amazons webbplats.</v>
      </c>
      <c r="AI13" s="34" t="str">
        <f>IF(ISBLANK(Values!E12),"",IF(Values!I12,Values!$B$23,Values!$B$33))</f>
        <v>👉 RENOVERAT: SPARA PENGAR - Ersättande HP-tangentbord för laptop, samma kvalitet som OEM-tangentbord. TellusRem är den ledande tangentbordsdistributören i världen sedan 2011. Perfekt ersättningstangentbord, lätt att byta ut och installera.</v>
      </c>
      <c r="AJ13" s="32" t="str">
        <f>IF(ISBLANK(Values!E12),"",Values!$B$24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820 G3, 820 G4, 725 G3, 725 G4</v>
      </c>
      <c r="AK13" s="1" t="str">
        <f>IF(ISBLANK(Values!E12),"",Values!$B$25)</f>
        <v>♻️ MILJÖVÄNLIG PRODUKT - Köp renoverad, KÖP GRÖNT! Minska mer än 80 % koldioxid genom att köpa våra renoverade tangentbord, jämfört med att skaffa ett nytt tangentbord! Perfekt OEM-ersättningsdel för ditt tangentbord.</v>
      </c>
      <c r="AL13" s="1" t="str">
        <f>IF(ISBLANK(Values!E12),"",SUBSTITUTE(SUBSTITUTE(IF(Values!$J12, Values!$B$26, Values!$B$33), "{language}", Values!$H12), "{flag}", INDEX(options!$E$1:$E$20, Values!$V12)))</f>
        <v>👉 LAYOUT – 🇺🇸 with € symbol US International bakgrundsbelyst.</v>
      </c>
      <c r="AM13" s="1" t="str">
        <f>SUBSTITUTE(IF(ISBLANK(Values!E12),"",Values!$B$27), "{model}", Values!$B$3)</f>
        <v>👉 KOMPATIBEL MED - HP 820 G3, 820 G4, 725 G3, 725 G4. Vänligen kontrollera bilden och beskrivningen noggrant innan du köper något tangentbord. Detta säkerställer att du får rätt laptoptangentbord för din dator. Superenkel installation.</v>
      </c>
      <c r="AT13" s="27" t="str">
        <f>IF(ISBLANK(Values!E12),"",Values!H12)</f>
        <v>US International</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
      </c>
      <c r="CZ13" s="1" t="str">
        <f>IF(ISBLANK(Values!E12),"","No")</f>
        <v>No</v>
      </c>
      <c r="DA13" s="1" t="str">
        <f>IF(ISBLANK(Values!E12),"","No")</f>
        <v>No</v>
      </c>
      <c r="DO13" s="1" t="str">
        <f>IF(ISBLANK(Values!E12),"","Parts")</f>
        <v>Parts</v>
      </c>
      <c r="DP13" s="1" t="str">
        <f>IF(ISBLANK(Values!E12),"",Values!$B$31)</f>
        <v>6 månaders garanti efter leveransdatum. I händelse av fel på tangentbordet kommer en ny enhet eller en reservdel till produktens tangentbord att skickas. Vid brist på lager ges full återbetalning.</v>
      </c>
      <c r="DY13" t="str">
        <f>IF(ISBLANK(Values!$E12), "", "not_applicable")</f>
        <v>not_applicable</v>
      </c>
      <c r="EI13" s="1" t="str">
        <f>IF(ISBLANK(Values!E12),"",Values!$B$31)</f>
        <v>6 månaders garanti efter leveransdatum. I händelse av fel på tangentbordet kommer en ny enhet eller en reservdel till produktens tangentbord att skickas. Vid brist på lager ges full återbetalning.</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52.99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3">
        <f>K13</f>
        <v>52.99</v>
      </c>
    </row>
    <row r="14" spans="1:193" ht="48" x14ac:dyDescent="0.2">
      <c r="A14" s="1" t="str">
        <f>IF(ISBLANK(Values!E13),"",IF(Values!$B$37="EU","computercomponent","computer"))</f>
        <v>computercomponent</v>
      </c>
      <c r="B14" s="33" t="str">
        <f>IF(ISBLANK(Values!E13),"",Values!F13)</f>
        <v>HP 820 G3 BL - US</v>
      </c>
      <c r="C14" s="29" t="str">
        <f>IF(ISBLANK(Values!E13),"","TellusRem")</f>
        <v>TellusRem</v>
      </c>
      <c r="D14" s="28">
        <f>IF(ISBLANK(Values!E13),"",Values!E13)</f>
        <v>5714401821090</v>
      </c>
      <c r="E14" s="1" t="str">
        <f>IF(ISBLANK(Values!E13),"","EAN")</f>
        <v>EAN</v>
      </c>
      <c r="F14" s="27" t="str">
        <f>IF(ISBLANK(Values!E13),"",IF(Values!J13, SUBSTITUTE(Values!$B$1, "{language}", Values!H13) &amp; " " &amp;Values!$B$3, SUBSTITUTE(Values!$B$2, "{language}", Values!$H13) &amp; " " &amp;Values!$B$3))</f>
        <v>ersättningsbakgrundsbelyst USA tangentbord för HP   820 G3, 820 G4, 725 G3, 725 G4</v>
      </c>
      <c r="G14" s="29" t="str">
        <f>IF(ISBLANK(Values!E13),"","TellusRem")</f>
        <v>TellusRem</v>
      </c>
      <c r="H14" s="1" t="str">
        <f>IF(ISBLANK(Values!E13),"",Values!$B$16)</f>
        <v>computer-keyboards</v>
      </c>
      <c r="I14" s="1" t="str">
        <f>IF(ISBLANK(Values!E13),"","4730574031")</f>
        <v>4730574031</v>
      </c>
      <c r="J14" s="31" t="str">
        <f>IF(ISBLANK(Values!E13),"",Values!F13 )</f>
        <v>HP 820 G3 BL - US</v>
      </c>
      <c r="K14" s="27">
        <f>IF(ISBLANK(Values!E13),"",IF(Values!J13, Values!$B$4, Values!$B$5))</f>
        <v>52.99</v>
      </c>
      <c r="L14" s="27">
        <f>IF(ISBLANK(Values!E13),"",IF($CO14="DEFAULT", Values!$B$18, ""))</f>
        <v>5</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HP 840 G3 BL</v>
      </c>
      <c r="Y14" s="31" t="str">
        <f>IF(ISBLANK(Values!E13),"","Size-Color")</f>
        <v>Size-Color</v>
      </c>
      <c r="Z14" s="29" t="str">
        <f>IF(ISBLANK(Values!E13),"","variation")</f>
        <v>variation</v>
      </c>
      <c r="AA14" s="1" t="str">
        <f>IF(ISBLANK(Values!E13),"",Values!$B$20)</f>
        <v>Update</v>
      </c>
      <c r="AB14" s="1" t="str">
        <f>IF(ISBLANK(Values!E13),"",Values!$B$29)</f>
        <v>Tangentbord distribueras av Tellus Remarketing, ledande europeiskt företag för bärbara tangentbord. Tangentbord har rengjorts, packats och testats i vår produktionslinje i Danmark. För eventuella kompatibilitetsfrågor kontakta oss via Amazons webbplats.</v>
      </c>
      <c r="AI14" s="34" t="str">
        <f>IF(ISBLANK(Values!E13),"",IF(Values!I13,Values!$B$23,Values!$B$33))</f>
        <v>👉 RENOVERAT: SPARA PENGAR - Ersättande HP-tangentbord för laptop, samma kvalitet som OEM-tangentbord. TellusRem är den ledande tangentbordsdistributören i världen sedan 2011. Perfekt ersättningstangentbord, lätt att byta ut och installera.</v>
      </c>
      <c r="AJ14" s="32" t="str">
        <f>IF(ISBLANK(Values!E13),"",Values!$B$24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820 G3, 820 G4, 725 G3, 725 G4</v>
      </c>
      <c r="AK14" s="1" t="str">
        <f>IF(ISBLANK(Values!E13),"",Values!$B$25)</f>
        <v>♻️ MILJÖVÄNLIG PRODUKT - Köp renoverad, KÖP GRÖNT! Minska mer än 80 % koldioxid genom att köpa våra renoverade tangentbord, jämfört med att skaffa ett nytt tangentbord! Perfekt OEM-ersättningsdel för ditt tangentbord.</v>
      </c>
      <c r="AL14" s="1" t="str">
        <f>IF(ISBLANK(Values!E13),"",SUBSTITUTE(SUBSTITUTE(IF(Values!$J13, Values!$B$26, Values!$B$33), "{language}", Values!$H13), "{flag}", INDEX(options!$E$1:$E$20, Values!$V13)))</f>
        <v>👉 LAYOUT – 🇺🇸 USA bakgrundsbelyst.</v>
      </c>
      <c r="AM14" s="1" t="str">
        <f>SUBSTITUTE(IF(ISBLANK(Values!E13),"",Values!$B$27), "{model}", Values!$B$3)</f>
        <v>👉 KOMPATIBEL MED - HP 820 G3, 820 G4, 725 G3, 725 G4. Vänligen kontrollera bilden och beskrivningen noggrant innan du köper något tangentbord. Detta säkerställer att du får rätt laptoptangentbord för din dator. Superenkel installation.</v>
      </c>
      <c r="AT14" s="27" t="str">
        <f>IF(ISBLANK(Values!E13),"",Values!H13)</f>
        <v>USA</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
      </c>
      <c r="CZ14" s="1" t="str">
        <f>IF(ISBLANK(Values!E13),"","No")</f>
        <v>No</v>
      </c>
      <c r="DA14" s="1" t="str">
        <f>IF(ISBLANK(Values!E13),"","No")</f>
        <v>No</v>
      </c>
      <c r="DO14" s="1" t="str">
        <f>IF(ISBLANK(Values!E13),"","Parts")</f>
        <v>Parts</v>
      </c>
      <c r="DP14" s="1" t="str">
        <f>IF(ISBLANK(Values!E13),"",Values!$B$31)</f>
        <v>6 månaders garanti efter leveransdatum. I händelse av fel på tangentbordet kommer en ny enhet eller en reservdel till produktens tangentbord att skickas. Vid brist på lager ges full återbetalning.</v>
      </c>
      <c r="DY14" t="str">
        <f>IF(ISBLANK(Values!$E13), "", "not_applicable")</f>
        <v>not_applicable</v>
      </c>
      <c r="EI14" s="1" t="str">
        <f>IF(ISBLANK(Values!E13),"",Values!$B$31)</f>
        <v>6 månaders garanti efter leveransdatum. I händelse av fel på tangentbordet kommer en ny enhet eller en reservdel till produktens tangentbord att skickas. Vid brist på lager ges full återbetalning.</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52.99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3">
        <f>K14</f>
        <v>52.99</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3"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3"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3"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3"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3"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3"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3"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3"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4"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4"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4"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4"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4"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4"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4"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4"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4"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4"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4"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4"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4"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4"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4"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4"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4"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4"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4"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3"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3"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3"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3"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3"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3"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3"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3"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9">
      <formula>IF(VLOOKUP($C$3,#NAME?,MATCH($A5,#NAME?,0)+1,0)&gt;0,1,0)</formula>
    </cfRule>
    <cfRule type="expression" dxfId="520" priority="18">
      <formula>IF(LEN(C5)&gt;0,1,0)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5">
      <formula>IF(LEN(G4)&gt;0,1,0)</formula>
    </cfRule>
    <cfRule type="expression" dxfId="507" priority="1019">
      <formula>AND(IF(IFERROR(VLOOKUP($G$3,#NAME?,MATCH($A4,#NAME?,0)+1,0),0)&gt;0,0,1),IF(IFERROR(VLOOKUP($G$3,#NAME?,MATCH($A4,#NAME?,0)+1,0),0)&gt;0,0,1),IF(IFERROR(VLOOKUP($G$3,#NAME?,MATCH($A4,#NAME?,0)+1,0),0)&gt;0,0,1),IF(IFERROR(MATCH($A4,#NAME?,0),0)&gt;0,1,0))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3">
      <formula>IF(LEN(M5)&gt;0,1,0)</formula>
    </cfRule>
    <cfRule type="expression" dxfId="487" priority="64">
      <formula>IF(VLOOKUP($M$3,#NAME?,MATCH($A5,#NAME?,0)+1,0)&gt;0,1,0)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0">
      <formula>IF(LEN(Z4)&gt;0,1,0)</formula>
    </cfRule>
    <cfRule type="expression" dxfId="448" priority="1061">
      <formula>IF(VLOOKUP($Q$3,#NAME?,MATCH($A4,#NAME?,0)+1,0)&gt;0,1,0)</formula>
    </cfRule>
    <cfRule type="expression" dxfId="447"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3">
      <formula>IF(LEN(#REF!)&gt;0,1,0)</formula>
    </cfRule>
    <cfRule type="expression" dxfId="437" priority="144">
      <formula>IF(VLOOKUP($AC$3,#NAME?,MATCH(#REF!,#NAME?,0)+1,0)&gt;0,1,0)</formula>
    </cfRule>
    <cfRule type="expression" dxfId="436" priority="145">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49">
      <formula>IF(VLOOKUP($AX$3,#NAME?,MATCH($A4,#NAME?,0)+1,0)&gt;0,1,0)</formula>
    </cfRule>
    <cfRule type="expression" dxfId="386"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79">
      <formula>IF(VLOOKUP($BD$3,#NAME?,MATCH($A4,#NAME?,0)+1,0)&gt;0,1,0)</formula>
    </cfRule>
    <cfRule type="expression" dxfId="373"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6">
      <formula>IF(VLOOKUP($DJ$3,#NAME?,MATCH($A4,#NAME?,0)+1,0)&gt;0,1,0)</formula>
    </cfRule>
    <cfRule type="expression" dxfId="228" priority="579">
      <formula>AND(IF(IFERROR(VLOOKUP($DJ$3,#NAME?,MATCH($A4,#NAME?,0)+1,0),0)&gt;0,0,1),IF(IFERROR(VLOOKUP($DJ$3,#NAME?,MATCH($A4,#NAME?,0)+1,0),0)&gt;0,0,1),IF(IFERROR(VLOOKUP($DJ$3,#NAME?,MATCH($A4,#NAME?,0)+1,0),0)&gt;0,0,1),IF(IFERROR(MATCH($A4,#NAME?,0),0)&gt;0,1,0))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3">
      <formula>IF(LEN(DQ4)&gt;0,1,0)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4">
      <formula>IF(VLOOKUP($DQ$3,#NAME?,MATCH($A4,#NAME?,0)+1,0)&gt;0,1,0)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20">
      <formula>IF(VLOOKUP($DR$3,#NAME?,MATCH($A4,#NAME?,0)+1,0)&gt;0,1,0)</formula>
    </cfRule>
    <cfRule type="expression" dxfId="203" priority="623">
      <formula>AND(IF(IFERROR(VLOOKUP($DR$3,#NAME?,MATCH($A4,#NAME?,0)+1,0),0)&gt;0,0,1),IF(IFERROR(VLOOKUP($DR$3,#NAME?,MATCH($A4,#NAME?,0)+1,0),0)&gt;0,0,1),IF(IFERROR(VLOOKUP($DR$3,#NAME?,MATCH($A4,#NAME?,0)+1,0),0)&gt;0,0,1),IF(IFERROR(MATCH($A4,#NAME?,0),0)&gt;0,1,0))</formula>
    </cfRule>
    <cfRule type="expression" dxfId="202" priority="619">
      <formula>IF(LEN(DR4)&gt;0,1,0)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8">
      <formula>IF(VLOOKUP($DW$3,#NAME?,MATCH($A4,#NAME?,0)+1,0)&gt;0,1,0)</formula>
    </cfRule>
    <cfRule type="expression" dxfId="186" priority="647">
      <formula>IF(LEN(DW4)&gt;0,1,0)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76">
      <formula>AND(AND(OR(AND(OR(OR(NOT(CO4&lt;&gt;"DEFAULT"),CO4="")))),A4&lt;&gt;""))</formula>
    </cfRule>
    <cfRule type="expression" dxfId="166" priority="677">
      <formula>IF(LEN(EB4)&gt;0,1,0)</formula>
    </cfRule>
    <cfRule type="expression" dxfId="165" priority="678">
      <formula>IF(VLOOKUP($EB$3,#NAME?,MATCH($A4,#NAME?,0)+1,0)&gt;0,1,0)</formula>
    </cfRule>
    <cfRule type="expression" dxfId="164"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7">
      <formula>AND(IF(IFERROR(VLOOKUP($EC$3,#NAME?,MATCH($A4,#NAME?,0)+1,0),0)&gt;0,0,1),IF(IFERROR(VLOOKUP($EC$3,#NAME?,MATCH($A4,#NAME?,0)+1,0),0)&gt;0,0,1),IF(IFERROR(VLOOKUP($EC$3,#NAME?,MATCH($A4,#NAME?,0)+1,0),0)&gt;0,0,1),IF(IFERROR(MATCH($A4,#NAME?,0),0)&gt;0,1,0))</formula>
    </cfRule>
    <cfRule type="expression" dxfId="160" priority="684">
      <formula>IF(VLOOKUP($EC$3,#NAME?,MATCH($A4,#NAME?,0)+1,0)&gt;0,1,0)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30">
      <formula>IF(VLOOKUP($EK$3,#NAME?,MATCH($A4,#NAME?,0)+1,0)&gt;0,1,0)</formula>
    </cfRule>
    <cfRule type="expression" dxfId="134" priority="728">
      <formula>AND(AND(OR(AND(AND(OR(NOT(DY4="GHS"),DY4=""))),AND(AND(OR(NOT(DZ4="GHS"),DZ4=""))),AND(AND(OR(NOT(EA4="GHS"),EA4=""))),AND(AND(OR(NOT(EB4="GHS"),EB4=""))),AND(AND(OR(NOT(EC4="GHS"),EC4="")))),A4&lt;&gt;""))</formula>
    </cfRule>
    <cfRule type="expression" dxfId="133" priority="729">
      <formula>IF(LEN(EK4)&gt;0,1,0)</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9">
      <formula>AND(IF(IFERROR(VLOOKUP($EN$3,#NAME?,MATCH($A4,#NAME?,0)+1,0),0)&gt;0,0,1),IF(IFERROR(VLOOKUP($EN$3,#NAME?,MATCH($A4,#NAME?,0)+1,0),0)&gt;0,0,1),IF(IFERROR(VLOOKUP($EN$3,#NAME?,MATCH($A4,#NAME?,0)+1,0),0)&gt;0,0,1),IF(IFERROR(MATCH($A4,#NAME?,0),0)&gt;0,1,0))</formula>
    </cfRule>
    <cfRule type="expression" dxfId="124" priority="746">
      <formula>IF(VLOOKUP($EN$3,#NAME?,MATCH($A4,#NAME?,0)+1,0)&gt;0,1,0)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4">
      <formula>IF(VLOOKUP($K$3,#NAME?,MATCH($A5,#NAME?,0)+1,0)&gt;0,1,0)</formula>
    </cfRule>
    <cfRule type="expression" dxfId="63"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7" zoomScale="130" zoomScaleNormal="13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ersättningsbakgrundsbelyst {language} tangentbord för HP  </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ersätter {language} icke-bakgrundsbelyst tangentbord för HP  </v>
      </c>
    </row>
    <row r="3" spans="1:22" x14ac:dyDescent="0.15">
      <c r="A3" s="37" t="s">
        <v>354</v>
      </c>
      <c r="B3" s="60" t="s">
        <v>691</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v>52.99</v>
      </c>
      <c r="C4" s="42" t="b">
        <f>FALSE()</f>
        <v>0</v>
      </c>
      <c r="D4" s="42" t="b">
        <f>TRUE()</f>
        <v>1</v>
      </c>
      <c r="E4" s="61">
        <v>5714401821007</v>
      </c>
      <c r="F4" s="60"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Tysk</v>
      </c>
      <c r="I4" s="44" t="b">
        <f>TRUE()</f>
        <v>1</v>
      </c>
      <c r="J4" s="45" t="b">
        <v>1</v>
      </c>
      <c r="K4" s="36" t="s">
        <v>685</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 PS/820 G3/BL/DE/1.jpg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 PS/820 G3/BL/DE/2.jpg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 PS/820 G3/BL/DE/3.jpg</v>
      </c>
      <c r="P4" t="str">
        <f t="shared" ref="P4:P35" si="3">IF(ISBLANK(K4),"",IF(L4, "https://raw.githubusercontent.com/PatrickVibild/TellusAmazonPictures/master/pictures/"&amp;K4&amp;"/4.jpg", ""))</f>
        <v>https://raw.githubusercontent.com/PatrickVibild/TellusAmazonPictures/master/pictures/HP/W. PS/820 G3/BL/DE/4.jpg</v>
      </c>
      <c r="Q4" t="str">
        <f t="shared" ref="Q4:Q35" si="4">IF(ISBLANK(K4),"",IF(L4, "https://raw.githubusercontent.com/PatrickVibild/TellusAmazonPictures/master/pictures/"&amp;K4&amp;"/5.jpg", ""))</f>
        <v>https://raw.githubusercontent.com/PatrickVibild/TellusAmazonPictures/master/pictures/HP/W. PS/820 G3/BL/DE/5.jpg</v>
      </c>
      <c r="R4" t="str">
        <f t="shared" ref="R4:R35" si="5">IF(ISBLANK(K4),"",IF(L4, "https://raw.githubusercontent.com/PatrickVibild/TellusAmazonPictures/master/pictures/"&amp;K4&amp;"/6.jpg", ""))</f>
        <v>https://raw.githubusercontent.com/PatrickVibild/TellusAmazonPictures/master/pictures/HP/W. PS/820 G3/BL/DE/6.jpg</v>
      </c>
      <c r="S4" t="str">
        <f t="shared" ref="S4:S35" si="6">IF(ISBLANK(K4),"",IF(L4, "https://raw.githubusercontent.com/PatrickVibild/TellusAmazonPictures/master/pictures/"&amp;K4&amp;"/7.jpg", ""))</f>
        <v>https://raw.githubusercontent.com/PatrickVibild/TellusAmazonPictures/master/pictures/HP/W. PS/820 G3/BL/DE/7.jpg</v>
      </c>
      <c r="T4" t="str">
        <f t="shared" ref="T4:T35" si="7">IF(ISBLANK(K4),"",IF(L4, "https://raw.githubusercontent.com/PatrickVibild/TellusAmazonPictures/master/pictures/"&amp;K4&amp;"/8.jpg",""))</f>
        <v>https://raw.githubusercontent.com/PatrickVibild/TellusAmazonPictures/master/pictures/HP/W. PS/820 G3/BL/DE/8.jpg</v>
      </c>
      <c r="U4" t="str">
        <f t="shared" ref="U4:U35" si="8">IF(ISBLANK(K4),"",IF(L4, "https://raw.githubusercontent.com/PatrickVibild/TellusAmazonPictures/master/pictures/"&amp;K4&amp;"/9.jpg", ""))</f>
        <v>https://raw.githubusercontent.com/PatrickVibild/TellusAmazonPictures/master/pictures/HP/W. PS/820 G3/BL/DE/9.jpg</v>
      </c>
      <c r="V4" s="43">
        <f>MATCH(G4,options!$D$1:$D$20,0)</f>
        <v>1</v>
      </c>
    </row>
    <row r="5" spans="1:22" ht="42" x14ac:dyDescent="0.15">
      <c r="A5" s="37" t="s">
        <v>371</v>
      </c>
      <c r="B5" s="41">
        <v>46.99</v>
      </c>
      <c r="C5" s="42" t="b">
        <f>FALSE()</f>
        <v>0</v>
      </c>
      <c r="D5" s="42" t="b">
        <f>TRUE()</f>
        <v>1</v>
      </c>
      <c r="E5" s="61">
        <v>5714401821014</v>
      </c>
      <c r="F5" s="60" t="s">
        <v>677</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Franska</v>
      </c>
      <c r="I5" s="44" t="b">
        <f>TRUE()</f>
        <v>1</v>
      </c>
      <c r="J5" s="45" t="b">
        <v>1</v>
      </c>
      <c r="K5" s="36" t="s">
        <v>686</v>
      </c>
      <c r="L5" s="46" t="b">
        <v>1</v>
      </c>
      <c r="M5" s="47" t="str">
        <f t="shared" si="0"/>
        <v>https://raw.githubusercontent.com/PatrickVibild/TellusAmazonPictures/master/pictures/HP/W. PS/820 G3/BL/FR/1.jpg</v>
      </c>
      <c r="N5" s="47" t="str">
        <f t="shared" si="1"/>
        <v>https://raw.githubusercontent.com/PatrickVibild/TellusAmazonPictures/master/pictures/HP/W. PS/820 G3/BL/FR/2.jpg</v>
      </c>
      <c r="O5" s="48" t="str">
        <f t="shared" si="2"/>
        <v>https://raw.githubusercontent.com/PatrickVibild/TellusAmazonPictures/master/pictures/HP/W. PS/820 G3/BL/FR/3.jpg</v>
      </c>
      <c r="P5" t="str">
        <f t="shared" si="3"/>
        <v>https://raw.githubusercontent.com/PatrickVibild/TellusAmazonPictures/master/pictures/HP/W. PS/820 G3/BL/FR/4.jpg</v>
      </c>
      <c r="Q5" t="str">
        <f t="shared" si="4"/>
        <v>https://raw.githubusercontent.com/PatrickVibild/TellusAmazonPictures/master/pictures/HP/W. PS/820 G3/BL/FR/5.jpg</v>
      </c>
      <c r="R5" t="str">
        <f t="shared" si="5"/>
        <v>https://raw.githubusercontent.com/PatrickVibild/TellusAmazonPictures/master/pictures/HP/W. PS/820 G3/BL/FR/6.jpg</v>
      </c>
      <c r="S5" t="str">
        <f t="shared" si="6"/>
        <v>https://raw.githubusercontent.com/PatrickVibild/TellusAmazonPictures/master/pictures/HP/W. PS/820 G3/BL/FR/7.jpg</v>
      </c>
      <c r="T5" t="str">
        <f t="shared" si="7"/>
        <v>https://raw.githubusercontent.com/PatrickVibild/TellusAmazonPictures/master/pictures/HP/W. PS/820 G3/BL/FR/8.jpg</v>
      </c>
      <c r="U5" t="str">
        <f t="shared" si="8"/>
        <v>https://raw.githubusercontent.com/PatrickVibild/TellusAmazonPictures/master/pictures/HP/W. PS/820 G3/BL/FR/9.jpg</v>
      </c>
      <c r="V5" s="43">
        <f>MATCH(G5,options!$D$1:$D$20,0)</f>
        <v>2</v>
      </c>
    </row>
    <row r="6" spans="1:22" ht="42" x14ac:dyDescent="0.15">
      <c r="A6" s="37" t="s">
        <v>373</v>
      </c>
      <c r="B6" s="49" t="s">
        <v>414</v>
      </c>
      <c r="C6" s="42" t="b">
        <f>FALSE()</f>
        <v>0</v>
      </c>
      <c r="D6" s="42" t="b">
        <f>TRUE()</f>
        <v>1</v>
      </c>
      <c r="E6" s="61">
        <v>5714401821021</v>
      </c>
      <c r="F6" s="60" t="s">
        <v>678</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Italienska</v>
      </c>
      <c r="I6" s="44" t="b">
        <f>TRUE()</f>
        <v>1</v>
      </c>
      <c r="J6" s="45" t="b">
        <v>1</v>
      </c>
      <c r="K6" s="36" t="s">
        <v>687</v>
      </c>
      <c r="L6" s="46" t="b">
        <v>1</v>
      </c>
      <c r="M6" s="47" t="str">
        <f t="shared" si="0"/>
        <v>https://raw.githubusercontent.com/PatrickVibild/TellusAmazonPictures/master/pictures/HP/W. PS/820 G3/BL/IT/1.jpg</v>
      </c>
      <c r="N6" s="47" t="str">
        <f t="shared" si="1"/>
        <v>https://raw.githubusercontent.com/PatrickVibild/TellusAmazonPictures/master/pictures/HP/W. PS/820 G3/BL/IT/2.jpg</v>
      </c>
      <c r="O6" s="48" t="str">
        <f t="shared" si="2"/>
        <v>https://raw.githubusercontent.com/PatrickVibild/TellusAmazonPictures/master/pictures/HP/W. PS/820 G3/BL/IT/3.jpg</v>
      </c>
      <c r="P6" t="str">
        <f t="shared" si="3"/>
        <v>https://raw.githubusercontent.com/PatrickVibild/TellusAmazonPictures/master/pictures/HP/W. PS/820 G3/BL/IT/4.jpg</v>
      </c>
      <c r="Q6" t="str">
        <f t="shared" si="4"/>
        <v>https://raw.githubusercontent.com/PatrickVibild/TellusAmazonPictures/master/pictures/HP/W. PS/820 G3/BL/IT/5.jpg</v>
      </c>
      <c r="R6" t="str">
        <f t="shared" si="5"/>
        <v>https://raw.githubusercontent.com/PatrickVibild/TellusAmazonPictures/master/pictures/HP/W. PS/820 G3/BL/IT/6.jpg</v>
      </c>
      <c r="S6" t="str">
        <f t="shared" si="6"/>
        <v>https://raw.githubusercontent.com/PatrickVibild/TellusAmazonPictures/master/pictures/HP/W. PS/820 G3/BL/IT/7.jpg</v>
      </c>
      <c r="T6" t="str">
        <f t="shared" si="7"/>
        <v>https://raw.githubusercontent.com/PatrickVibild/TellusAmazonPictures/master/pictures/HP/W. PS/820 G3/BL/IT/8.jpg</v>
      </c>
      <c r="U6" t="str">
        <f t="shared" si="8"/>
        <v>https://raw.githubusercontent.com/PatrickVibild/TellusAmazonPictures/master/pictures/HP/W. PS/820 G3/BL/IT/9.jpg</v>
      </c>
      <c r="V6" s="43">
        <f>MATCH(G6,options!$D$1:$D$20,0)</f>
        <v>3</v>
      </c>
    </row>
    <row r="7" spans="1:22" ht="42" x14ac:dyDescent="0.15">
      <c r="A7" s="37" t="s">
        <v>376</v>
      </c>
      <c r="B7" s="50" t="str">
        <f>IF(B6=options!C1,"32","41")</f>
        <v>32</v>
      </c>
      <c r="C7" s="42" t="b">
        <f>FALSE()</f>
        <v>0</v>
      </c>
      <c r="D7" s="42" t="b">
        <f>TRUE()</f>
        <v>1</v>
      </c>
      <c r="E7" s="61">
        <v>5714401821038</v>
      </c>
      <c r="F7" s="60" t="s">
        <v>679</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Spanska</v>
      </c>
      <c r="I7" s="44" t="b">
        <f>TRUE()</f>
        <v>1</v>
      </c>
      <c r="J7" s="45" t="b">
        <v>1</v>
      </c>
      <c r="K7" s="36" t="s">
        <v>688</v>
      </c>
      <c r="L7" s="46" t="b">
        <v>1</v>
      </c>
      <c r="M7" s="47" t="str">
        <f t="shared" si="0"/>
        <v>https://raw.githubusercontent.com/PatrickVibild/TellusAmazonPictures/master/pictures/HP/W. PS/820 G3/BL/ES/1.jpg</v>
      </c>
      <c r="N7" s="47" t="str">
        <f t="shared" si="1"/>
        <v>https://raw.githubusercontent.com/PatrickVibild/TellusAmazonPictures/master/pictures/HP/W. PS/820 G3/BL/ES/2.jpg</v>
      </c>
      <c r="O7" s="48" t="str">
        <f t="shared" si="2"/>
        <v>https://raw.githubusercontent.com/PatrickVibild/TellusAmazonPictures/master/pictures/HP/W. PS/820 G3/BL/ES/3.jpg</v>
      </c>
      <c r="P7" t="str">
        <f t="shared" si="3"/>
        <v>https://raw.githubusercontent.com/PatrickVibild/TellusAmazonPictures/master/pictures/HP/W. PS/820 G3/BL/ES/4.jpg</v>
      </c>
      <c r="Q7" t="str">
        <f t="shared" si="4"/>
        <v>https://raw.githubusercontent.com/PatrickVibild/TellusAmazonPictures/master/pictures/HP/W. PS/820 G3/BL/ES/5.jpg</v>
      </c>
      <c r="R7" t="str">
        <f t="shared" si="5"/>
        <v>https://raw.githubusercontent.com/PatrickVibild/TellusAmazonPictures/master/pictures/HP/W. PS/820 G3/BL/ES/6.jpg</v>
      </c>
      <c r="S7" t="str">
        <f t="shared" si="6"/>
        <v>https://raw.githubusercontent.com/PatrickVibild/TellusAmazonPictures/master/pictures/HP/W. PS/820 G3/BL/ES/7.jpg</v>
      </c>
      <c r="T7" t="str">
        <f t="shared" si="7"/>
        <v>https://raw.githubusercontent.com/PatrickVibild/TellusAmazonPictures/master/pictures/HP/W. PS/820 G3/BL/ES/8.jpg</v>
      </c>
      <c r="U7" t="str">
        <f t="shared" si="8"/>
        <v>https://raw.githubusercontent.com/PatrickVibild/TellusAmazonPictures/master/pictures/HP/W. PS/820 G3/BL/ES/9.jpg</v>
      </c>
      <c r="V7" s="43">
        <f>MATCH(G7,options!$D$1:$D$20,0)</f>
        <v>4</v>
      </c>
    </row>
    <row r="8" spans="1:22" ht="42" x14ac:dyDescent="0.15">
      <c r="A8" s="37" t="s">
        <v>378</v>
      </c>
      <c r="B8" s="50" t="str">
        <f>IF(B6=options!C1,"18","17")</f>
        <v>18</v>
      </c>
      <c r="C8" s="42" t="b">
        <f>FALSE()</f>
        <v>0</v>
      </c>
      <c r="D8" s="42" t="b">
        <f>TRUE()</f>
        <v>1</v>
      </c>
      <c r="E8" s="61">
        <v>5714401821045</v>
      </c>
      <c r="F8" s="60" t="s">
        <v>680</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Storbritannien</v>
      </c>
      <c r="I8" s="44" t="b">
        <f>TRUE()</f>
        <v>1</v>
      </c>
      <c r="J8" s="45" t="b">
        <v>1</v>
      </c>
      <c r="K8" s="36" t="s">
        <v>689</v>
      </c>
      <c r="L8" s="46" t="b">
        <v>1</v>
      </c>
      <c r="M8" s="47" t="str">
        <f t="shared" si="0"/>
        <v>https://raw.githubusercontent.com/PatrickVibild/TellusAmazonPictures/master/pictures/HP/W. PS/820 G3/BL/UK/1.jpg</v>
      </c>
      <c r="N8" s="47" t="str">
        <f t="shared" si="1"/>
        <v>https://raw.githubusercontent.com/PatrickVibild/TellusAmazonPictures/master/pictures/HP/W. PS/820 G3/BL/UK/2.jpg</v>
      </c>
      <c r="O8" s="48" t="str">
        <f t="shared" si="2"/>
        <v>https://raw.githubusercontent.com/PatrickVibild/TellusAmazonPictures/master/pictures/HP/W. PS/820 G3/BL/UK/3.jpg</v>
      </c>
      <c r="P8" t="str">
        <f t="shared" si="3"/>
        <v>https://raw.githubusercontent.com/PatrickVibild/TellusAmazonPictures/master/pictures/HP/W. PS/820 G3/BL/UK/4.jpg</v>
      </c>
      <c r="Q8" t="str">
        <f t="shared" si="4"/>
        <v>https://raw.githubusercontent.com/PatrickVibild/TellusAmazonPictures/master/pictures/HP/W. PS/820 G3/BL/UK/5.jpg</v>
      </c>
      <c r="R8" t="str">
        <f t="shared" si="5"/>
        <v>https://raw.githubusercontent.com/PatrickVibild/TellusAmazonPictures/master/pictures/HP/W. PS/820 G3/BL/UK/6.jpg</v>
      </c>
      <c r="S8" t="str">
        <f t="shared" si="6"/>
        <v>https://raw.githubusercontent.com/PatrickVibild/TellusAmazonPictures/master/pictures/HP/W. PS/820 G3/BL/UK/7.jpg</v>
      </c>
      <c r="T8" t="str">
        <f t="shared" si="7"/>
        <v>https://raw.githubusercontent.com/PatrickVibild/TellusAmazonPictures/master/pictures/HP/W. PS/820 G3/BL/UK/8.jpg</v>
      </c>
      <c r="U8" t="str">
        <f t="shared" si="8"/>
        <v>https://raw.githubusercontent.com/PatrickVibild/TellusAmazonPictures/master/pictures/HP/W. PS/820 G3/BL/UK/9.jpg</v>
      </c>
      <c r="V8" s="43">
        <f>MATCH(G8,options!$D$1:$D$20,0)</f>
        <v>5</v>
      </c>
    </row>
    <row r="9" spans="1:22" ht="42" x14ac:dyDescent="0.15">
      <c r="A9" s="37" t="s">
        <v>380</v>
      </c>
      <c r="B9" s="50" t="str">
        <f>IF(B6=options!C1,"2","5")</f>
        <v>2</v>
      </c>
      <c r="C9" s="42" t="b">
        <f>FALSE()</f>
        <v>0</v>
      </c>
      <c r="D9" s="42" t="b">
        <f>TRUE()</f>
        <v>1</v>
      </c>
      <c r="E9" s="61">
        <v>5714401821052</v>
      </c>
      <c r="F9" s="60" t="s">
        <v>681</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Skandinavisk – nordisk</v>
      </c>
      <c r="I9" s="44" t="b">
        <f>TRUE()</f>
        <v>1</v>
      </c>
      <c r="J9" s="45" t="b">
        <v>1</v>
      </c>
      <c r="K9" s="36" t="s">
        <v>690</v>
      </c>
      <c r="L9" s="46" t="b">
        <v>1</v>
      </c>
      <c r="M9" s="47" t="str">
        <f t="shared" si="0"/>
        <v>https://raw.githubusercontent.com/PatrickVibild/TellusAmazonPictures/master/pictures/HP/W. PS/820 G3/BL/NOR/1.jpg</v>
      </c>
      <c r="N9" s="47" t="str">
        <f t="shared" si="1"/>
        <v>https://raw.githubusercontent.com/PatrickVibild/TellusAmazonPictures/master/pictures/HP/W. PS/820 G3/BL/NOR/2.jpg</v>
      </c>
      <c r="O9" s="48" t="str">
        <f t="shared" si="2"/>
        <v>https://raw.githubusercontent.com/PatrickVibild/TellusAmazonPictures/master/pictures/HP/W. PS/820 G3/BL/NOR/3.jpg</v>
      </c>
      <c r="P9" t="str">
        <f t="shared" si="3"/>
        <v>https://raw.githubusercontent.com/PatrickVibild/TellusAmazonPictures/master/pictures/HP/W. PS/820 G3/BL/NOR/4.jpg</v>
      </c>
      <c r="Q9" t="str">
        <f t="shared" si="4"/>
        <v>https://raw.githubusercontent.com/PatrickVibild/TellusAmazonPictures/master/pictures/HP/W. PS/820 G3/BL/NOR/5.jpg</v>
      </c>
      <c r="R9" t="str">
        <f t="shared" si="5"/>
        <v>https://raw.githubusercontent.com/PatrickVibild/TellusAmazonPictures/master/pictures/HP/W. PS/820 G3/BL/NOR/6.jpg</v>
      </c>
      <c r="S9" t="str">
        <f t="shared" si="6"/>
        <v>https://raw.githubusercontent.com/PatrickVibild/TellusAmazonPictures/master/pictures/HP/W. PS/820 G3/BL/NOR/7.jpg</v>
      </c>
      <c r="T9" t="str">
        <f t="shared" si="7"/>
        <v>https://raw.githubusercontent.com/PatrickVibild/TellusAmazonPictures/master/pictures/HP/W. PS/820 G3/BL/NOR/8.jpg</v>
      </c>
      <c r="U9" t="str">
        <f t="shared" si="8"/>
        <v>https://raw.githubusercontent.com/PatrickVibild/TellusAmazonPictures/master/pictures/HP/W. PS/820 G3/BL/NOR/9.jpg</v>
      </c>
      <c r="V9" s="43">
        <f>MATCH(G9,options!$D$1:$D$20,0)</f>
        <v>6</v>
      </c>
    </row>
    <row r="10" spans="1:22" ht="14" x14ac:dyDescent="0.15">
      <c r="A10" t="s">
        <v>382</v>
      </c>
      <c r="B10" s="51"/>
      <c r="C10" s="42"/>
      <c r="D10" s="42"/>
      <c r="E10" s="61"/>
      <c r="F10" s="60"/>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Belgiska</v>
      </c>
      <c r="I10" s="44" t="b">
        <f>TRUE()</f>
        <v>1</v>
      </c>
      <c r="J10" s="45" t="b">
        <v>1</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61"/>
      <c r="F11" s="60"/>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Schweiziska</v>
      </c>
      <c r="I11" s="44" t="b">
        <f>TRUE()</f>
        <v>1</v>
      </c>
      <c r="J11" s="45" t="b">
        <v>1</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14" x14ac:dyDescent="0.15">
      <c r="B12" s="51"/>
      <c r="C12" s="42" t="b">
        <f>FALSE()</f>
        <v>0</v>
      </c>
      <c r="D12" s="42" t="b">
        <f>FALSE()</f>
        <v>0</v>
      </c>
      <c r="E12" s="61">
        <v>5714401821083</v>
      </c>
      <c r="F12" s="60" t="s">
        <v>682</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1</v>
      </c>
      <c r="K12" s="36"/>
      <c r="L12" s="46"/>
      <c r="M12" s="47" t="str">
        <f t="shared" si="0"/>
        <v/>
      </c>
      <c r="N12" s="47" t="str">
        <f t="shared" si="1"/>
        <v/>
      </c>
      <c r="O12" s="48" t="str">
        <f t="shared" si="2"/>
        <v/>
      </c>
      <c r="P12" t="str">
        <f t="shared" si="3"/>
        <v/>
      </c>
      <c r="Q12" t="str">
        <f t="shared" si="4"/>
        <v/>
      </c>
      <c r="R12" t="str">
        <f t="shared" si="5"/>
        <v/>
      </c>
      <c r="S12" t="str">
        <f t="shared" si="6"/>
        <v/>
      </c>
      <c r="T12" t="str">
        <f t="shared" si="7"/>
        <v/>
      </c>
      <c r="U12" t="str">
        <f t="shared" si="8"/>
        <v/>
      </c>
      <c r="V12" s="43">
        <f>MATCH(G12,options!$D$1:$D$20,0)</f>
        <v>16</v>
      </c>
    </row>
    <row r="13" spans="1:22" ht="14" x14ac:dyDescent="0.15">
      <c r="A13" s="37" t="s">
        <v>387</v>
      </c>
      <c r="B13" s="60" t="s">
        <v>684</v>
      </c>
      <c r="C13" s="42" t="b">
        <v>1</v>
      </c>
      <c r="D13" s="42" t="b">
        <f>FALSE()</f>
        <v>0</v>
      </c>
      <c r="E13" s="61">
        <v>5714401821090</v>
      </c>
      <c r="F13" s="60" t="s">
        <v>683</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USA</v>
      </c>
      <c r="I13" s="44" t="b">
        <f>TRUE()</f>
        <v>1</v>
      </c>
      <c r="J13" s="45" t="b">
        <v>1</v>
      </c>
      <c r="K13" s="36"/>
      <c r="L13" s="46"/>
      <c r="M13" s="47" t="str">
        <f t="shared" si="0"/>
        <v/>
      </c>
      <c r="N13" s="47" t="str">
        <f t="shared" si="1"/>
        <v/>
      </c>
      <c r="O13" s="48" t="str">
        <f t="shared" si="2"/>
        <v/>
      </c>
      <c r="P13" t="str">
        <f t="shared" si="3"/>
        <v/>
      </c>
      <c r="Q13" t="str">
        <f t="shared" si="4"/>
        <v/>
      </c>
      <c r="R13" t="str">
        <f t="shared" si="5"/>
        <v/>
      </c>
      <c r="S13" t="str">
        <f t="shared" si="6"/>
        <v/>
      </c>
      <c r="T13" t="str">
        <f t="shared" si="7"/>
        <v/>
      </c>
      <c r="U13" t="str">
        <f t="shared" si="8"/>
        <v/>
      </c>
      <c r="V13" s="43">
        <f>MATCH(G13,options!$D$1:$D$20,0)</f>
        <v>18</v>
      </c>
    </row>
    <row r="14" spans="1:22" x14ac:dyDescent="0.15">
      <c r="A14" s="37" t="s">
        <v>389</v>
      </c>
      <c r="B14" s="60">
        <v>5714401821991</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Ungerska</v>
      </c>
      <c r="I14" s="44" t="b">
        <f>TRUE()</f>
        <v>1</v>
      </c>
      <c r="J14" s="45" t="b">
        <f>FALSE()</f>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Holländska</v>
      </c>
      <c r="I15" s="44" t="b">
        <f>TRUE()</f>
        <v>1</v>
      </c>
      <c r="J15" s="45" t="b">
        <f>FALSE()</f>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Norska</v>
      </c>
      <c r="I16" s="44" t="b">
        <f>TRUE()</f>
        <v>1</v>
      </c>
      <c r="J16" s="45" t="b">
        <f>FALSE()</f>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Putsa</v>
      </c>
      <c r="I17" s="44" t="b">
        <f>TRUE()</f>
        <v>1</v>
      </c>
      <c r="J17" s="45" t="b">
        <f>FALSE()</f>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Portugisiska</v>
      </c>
      <c r="I18" s="44" t="b">
        <f>TRUE()</f>
        <v>1</v>
      </c>
      <c r="J18" s="45" t="b">
        <f>FALSE()</f>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Svenska – finska</v>
      </c>
      <c r="I19" s="44" t="b">
        <f>TRUE()</f>
        <v>1</v>
      </c>
      <c r="J19" s="45" t="b">
        <f>FALSE()</f>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Schweiziska</v>
      </c>
      <c r="I20" s="44" t="b">
        <f>TRUE()</f>
        <v>1</v>
      </c>
      <c r="J20" s="45" t="b">
        <f>FALSE()</f>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Ryska</v>
      </c>
      <c r="I22" s="44" t="b">
        <f>TRUE()</f>
        <v>1</v>
      </c>
      <c r="J22" s="45" t="b">
        <f>FALSE()</f>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RENOVERAT: SPARA PENGAR - Ersättande HP-tangentbord för laptop, samma kvalitet som OEM-tangentbord. TellusRem är den ledande tangentbordsdistributören i världen sedan 2011. Perfekt ersättningstangentbord, lätt att byta ut och installera.</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USA</v>
      </c>
      <c r="I23" s="44" t="b">
        <f>TRUE()</f>
        <v>1</v>
      </c>
      <c r="J23" s="45" t="b">
        <f>FALSE()</f>
        <v>0</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Tysk</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MILJÖVÄNLIG PRODUKT - Köp renoverad, KÖP GRÖNT! Minska mer än 80 % koldioxid genom att köpa våra renoverade tangentbord, jämfört med att skaffa ett nytt tangentbord! Perfekt OEM-ersättningsdel för ditt tangentbord.</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Franska</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bakgrundsbelyst.</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Italienska</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KOMPATIBEL MED - HP {model}. Vänligen kontrollera bilden och beskrivningen noggrant innan du köper något tangentbord. Detta säkerställer att du får rätt laptoptangentbord för din dator. Superenkel installation.</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Spanska</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Storbritannien</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Tangentbord distribueras av Tellus Remarketing, ledande europeiskt företag för bärbara tangentbord. Tangentbord har rengjorts, packats och testats i vår produktionslinje i Danmark. För eventuella kompatibilitetsfrågor kontakta oss via Amazons webbplats.</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Skandinavisk – nordisk</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Belgiska</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månaders garanti efter leveransdatum. I händelse av fel på tangentbordet kommer en ny enhet eller en reservdel till produktens tangentbord att skickas. Vid brist på lager ges full återbetalning.</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Bulgariska</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Tjeckiska</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INGEN bakgrundsbelysning.</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Danska</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Ungerska</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Holländska</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566</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Norska</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Putsa</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Portugisiska</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Svenska – finska</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Schweiziska</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Ryska</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USA</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2024-07-24T23:35:00Z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