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P/840 G1 blakc/"/>
    </mc:Choice>
  </mc:AlternateContent>
  <xr:revisionPtr revIDLastSave="0" documentId="13_ncr:1_{0D8CDB30-A4DD-3242-96CE-623FC5ACAFEA}"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5"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B29" i="2"/>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Q14" i="1" s="1"/>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M7" i="2"/>
  <c r="M8" i="1" s="1"/>
  <c r="U7" i="2"/>
  <c r="U8" i="1" s="1"/>
  <c r="I7" i="2"/>
  <c r="D7" i="2"/>
  <c r="C7" i="2"/>
  <c r="V6" i="2"/>
  <c r="U6" i="2"/>
  <c r="U7" i="1" s="1"/>
  <c r="T6" i="2"/>
  <c r="T7" i="1" s="1"/>
  <c r="Q6" i="2"/>
  <c r="P6" i="2"/>
  <c r="O6" i="2"/>
  <c r="N6" i="2"/>
  <c r="N7" i="1" s="1"/>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U14" i="1"/>
  <c r="CT14" i="1"/>
  <c r="CS14" i="1"/>
  <c r="CR14" i="1"/>
  <c r="CO14" i="1"/>
  <c r="L14" i="1" s="1"/>
  <c r="CL14" i="1"/>
  <c r="CH14" i="1"/>
  <c r="CG14" i="1"/>
  <c r="BH14" i="1"/>
  <c r="BG14" i="1"/>
  <c r="BF14" i="1"/>
  <c r="BE14" i="1"/>
  <c r="AV14" i="1"/>
  <c r="AB14" i="1"/>
  <c r="AA14" i="1"/>
  <c r="Z14" i="1"/>
  <c r="Y14" i="1"/>
  <c r="X14" i="1"/>
  <c r="W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U13" i="1"/>
  <c r="CT13" i="1"/>
  <c r="CS13" i="1"/>
  <c r="CO13" i="1"/>
  <c r="L13" i="1" s="1"/>
  <c r="CL13" i="1"/>
  <c r="CK13" i="1"/>
  <c r="CI13" i="1"/>
  <c r="CH13" i="1"/>
  <c r="CG13" i="1"/>
  <c r="BH13" i="1"/>
  <c r="BG13" i="1"/>
  <c r="BF13" i="1"/>
  <c r="BE13" i="1"/>
  <c r="AV13" i="1"/>
  <c r="AB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U10" i="1"/>
  <c r="CT10" i="1"/>
  <c r="CS10" i="1"/>
  <c r="CR10" i="1"/>
  <c r="CQ10" i="1"/>
  <c r="CP10" i="1"/>
  <c r="CO10" i="1"/>
  <c r="FE10" i="1" s="1"/>
  <c r="CL10" i="1"/>
  <c r="CH10" i="1"/>
  <c r="CG10" i="1"/>
  <c r="BH10" i="1"/>
  <c r="BG10" i="1"/>
  <c r="BF10" i="1"/>
  <c r="BE10" i="1"/>
  <c r="AV10" i="1"/>
  <c r="AJ10" i="1"/>
  <c r="AB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EI9" i="1"/>
  <c r="DY9" i="1"/>
  <c r="DP9" i="1"/>
  <c r="DO9" i="1"/>
  <c r="DA9" i="1"/>
  <c r="CZ9" i="1"/>
  <c r="CU9" i="1"/>
  <c r="CT9" i="1"/>
  <c r="CS9" i="1"/>
  <c r="CO9" i="1"/>
  <c r="L9" i="1" s="1"/>
  <c r="CL9" i="1"/>
  <c r="CH9" i="1"/>
  <c r="CG9" i="1"/>
  <c r="BH9" i="1"/>
  <c r="BG9" i="1"/>
  <c r="BF9" i="1"/>
  <c r="BE9" i="1"/>
  <c r="AV9" i="1"/>
  <c r="AB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U8" i="1"/>
  <c r="CT8" i="1"/>
  <c r="CS8" i="1"/>
  <c r="CO8" i="1"/>
  <c r="FE8" i="1" s="1"/>
  <c r="CL8" i="1"/>
  <c r="CH8" i="1"/>
  <c r="CG8" i="1"/>
  <c r="BH8" i="1"/>
  <c r="BG8" i="1"/>
  <c r="BF8" i="1"/>
  <c r="BE8" i="1"/>
  <c r="AV8" i="1"/>
  <c r="AB8" i="1"/>
  <c r="AA8" i="1"/>
  <c r="Z8" i="1"/>
  <c r="Y8" i="1"/>
  <c r="X8" i="1"/>
  <c r="W8" i="1"/>
  <c r="N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U7" i="1"/>
  <c r="CT7" i="1"/>
  <c r="CS7" i="1"/>
  <c r="CL7" i="1"/>
  <c r="CK7" i="1"/>
  <c r="CH7" i="1"/>
  <c r="CG7" i="1"/>
  <c r="BH7" i="1"/>
  <c r="BG7" i="1"/>
  <c r="BF7" i="1"/>
  <c r="BE7" i="1"/>
  <c r="AV7" i="1"/>
  <c r="AT7" i="1"/>
  <c r="AB7" i="1"/>
  <c r="AA7" i="1"/>
  <c r="Z7" i="1"/>
  <c r="Y7" i="1"/>
  <c r="X7" i="1"/>
  <c r="W7" i="1"/>
  <c r="Q7" i="1"/>
  <c r="P7" i="1"/>
  <c r="O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U6" i="1"/>
  <c r="CT6" i="1"/>
  <c r="CS6" i="1"/>
  <c r="CO6" i="1"/>
  <c r="FE6" i="1" s="1"/>
  <c r="CL6" i="1"/>
  <c r="CK6" i="1"/>
  <c r="CI6" i="1"/>
  <c r="CH6" i="1"/>
  <c r="CG6" i="1"/>
  <c r="BH6" i="1"/>
  <c r="BG6" i="1"/>
  <c r="BF6" i="1"/>
  <c r="BE6" i="1"/>
  <c r="AV6" i="1"/>
  <c r="AI6" i="1"/>
  <c r="AB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U5" i="1"/>
  <c r="CT5" i="1"/>
  <c r="CS5" i="1"/>
  <c r="CO5" i="1"/>
  <c r="FE5" i="1" s="1"/>
  <c r="CL5" i="1"/>
  <c r="CH5" i="1"/>
  <c r="CG5" i="1"/>
  <c r="BH5" i="1"/>
  <c r="BG5" i="1"/>
  <c r="BF5" i="1"/>
  <c r="BE5" i="1"/>
  <c r="AV5" i="1"/>
  <c r="AB5" i="1"/>
  <c r="AA5" i="1"/>
  <c r="Z5" i="1"/>
  <c r="Y5" i="1"/>
  <c r="X5" i="1"/>
  <c r="W5" i="1"/>
  <c r="K5" i="1"/>
  <c r="J5" i="1"/>
  <c r="I5" i="1"/>
  <c r="H5" i="1"/>
  <c r="G5" i="1"/>
  <c r="E5" i="1"/>
  <c r="D5" i="1"/>
  <c r="C5" i="1"/>
  <c r="B5" i="1"/>
  <c r="A5" i="1"/>
  <c r="AA4" i="1"/>
  <c r="J4" i="1"/>
  <c r="I4" i="1"/>
  <c r="H4" i="1"/>
  <c r="D4" i="1"/>
  <c r="B4" i="1"/>
  <c r="A4" i="1"/>
  <c r="CI10" i="1" l="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<sst xmlns="http://schemas.openxmlformats.org/spreadsheetml/2006/main" count="865" uniqueCount="696">
  <si>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</si>
  <si>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</si>
  <si>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</si>
  <si>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</si>
  <si>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</si>
  <si>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</si>
  <si>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</si>
  <si>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</si>
  <si>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</si>
  <si>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</si>
  <si>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</si>
  <si>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</si>
  <si>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</si>
  <si>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</si>
  <si>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</si>
  <si>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</si>
  <si>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</si>
  <si>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</si>
  <si>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</si>
  <si>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</si>
  <si>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</si>
  <si>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</si>
  <si>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</si>
  <si>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</si>
  <si>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</si>
  <si>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</si>
  <si>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</si>
  <si>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</si>
  <si>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</si>
  <si>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</si>
  <si>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</si>
  <si>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</si>
  <si>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</si>
  <si>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</si>
  <si>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</si>
  <si>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</si>
  <si>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</si>
  <si>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</si>
  <si>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</si>
  <si>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</si>
  <si>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</si>
  <si>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</si>
  <si>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</si>
  <si>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</si>
  <si>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</si>
  <si>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</si>
  <si>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</si>
  <si>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</si>
  <si>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</si>
  <si>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</si>
  <si>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</si>
  <si>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</si>
  <si>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</si>
  <si>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</si>
  <si>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</si>
  <si>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</si>
  <si>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</si>
  <si>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</si>
  <si>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</si>
  <si>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</si>
  <si>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</si>
  <si>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</si>
  <si>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</si>
  <si>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</si>
  <si>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</si>
  <si>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</si>
  <si>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</si>
  <si>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</si>
  <si>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</si>
  <si>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</si>
  <si>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</si>
  <si>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</si>
  <si>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</si>
  <si>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</si>
  <si>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</si>
  <si>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</si>
  <si>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</si>
  <si>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</si>
  <si>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</si>
  <si>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</si>
  <si>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</si>
  <si>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</si>
  <si>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</si>
  <si>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</si>
  <si>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</si>
  <si>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</si>
  <si>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</si>
  <si>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</si>
  <si>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</si>
  <si>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</si>
  <si>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</si>
  <si>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</si>
  <si>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</si>
  <si>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</si>
  <si>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</si>
  <si>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</si>
  <si>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</si>
  <si>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</si>
  <si>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</si>
  <si>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</si>
  <si>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</si>
  <si>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</si>
  <si>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</si>
  <si>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</si>
  <si>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</si>
  <si>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</si>
  <si>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</si>
  <si>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</si>
  <si>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</si>
  <si>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</si>
  <si>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</si>
  <si>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</si>
  <si>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</si>
  <si>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</si>
  <si>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</si>
  <si>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</si>
  <si>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</si>
  <si>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</si>
  <si>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</si>
  <si>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</si>
  <si>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</si>
  <si>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</si>
  <si>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</si>
  <si>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</si>
  <si>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</si>
  <si>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</si>
  <si>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</si>
  <si>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</si>
  <si>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</si>
  <si>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</si>
  <si>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</si>
  <si>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</si>
  <si>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</si>
  <si>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</si>
  <si>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</si>
  <si>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</si>
  <si>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</si>
  <si>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</si>
  <si>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</si>
  <si>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</si>
  <si>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</si>
  <si>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</si>
  <si>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</si>
  <si>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</si>
  <si>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</si>
  <si>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</si>
  <si>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</si>
  <si>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</si>
  <si>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</si>
  <si>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</si>
  <si>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</si>
  <si>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</si>
  <si>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</si>
  <si>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</si>
  <si>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</si>
  <si>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</si>
  <si>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</si>
  <si>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</si>
  <si>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</si>
  <si>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</si>
  <si>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</si>
  <si>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</si>
  <si>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</si>
  <si>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</si>
  <si>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</si>
  <si>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</si>
  <si>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</si>
  <si>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</si>
  <si>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</si>
  <si>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</si>
  <si>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</si>
  <si>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</si>
  <si>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</si>
  <si>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</si>
  <si>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</si>
  <si>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</si>
  <si>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</si>
  <si>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</si>
  <si>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</si>
  <si>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</si>
  <si>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</si>
  <si>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</si>
  <si>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</si>
  <si>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</si>
  <si>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</si>
  <si>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</si>
  <si>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</si>
  <si>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</si>
  <si>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</si>
  <si>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</si>
  <si>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</si>
  <si>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</si>
  <si>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</si>
  <si>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</si>
  <si>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</si>
  <si>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</si>
  <si>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</si>
  <si>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</si>
  <si>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</si>
  <si>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</si>
  <si>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</si>
  <si>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</si>
  <si>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</si>
  <si>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</si>
  <si>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</si>
  <si>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</si>
  <si>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</si>
  <si>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</si>
  <si>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</si>
  <si>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</si>
  <si>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</si>
  <si>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</si>
  <si>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</si>
  <si>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</si>
  <si>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</si>
  <si>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</si>
  <si>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</si>
  <si>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</si>
  <si>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</si>
  <si>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</si>
  <si>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</si>
  <si>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</si>
  <si>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</si>
  <si>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</si>
  <si>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</si>
  <si>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</si>
  <si>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</si>
  <si>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</si>
  <si>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</si>
  <si>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</si>
  <si>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</si>
  <si>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</si>
  <si>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</si>
  <si>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</si>
  <si>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</si>
  <si>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</si>
  <si>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</si>
  <si>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</si>
  <si>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</si>
  <si>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</si>
  <si>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</si>
  <si>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</si>
  <si>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</si>
  <si>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</si>
  <si>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</si>
  <si>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</si>
  <si>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</si>
  <si>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</si>
  <si>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</si>
  <si>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</si>
  <si>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</si>
  <si>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</si>
  <si>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</si>
  <si>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</si>
  <si>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</si>
  <si>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</si>
  <si>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</si>
  <si>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</si>
  <si>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</si>
  <si>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</si>
  <si>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</si>
  <si>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</si>
  <si>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</si>
  <si>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</si>
  <si>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</si>
  <si>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</si>
  <si>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</si>
  <si>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</si>
  <si>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</si>
  <si>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</si>
  <si>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</si>
  <si>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</si>
  <si>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</si>
  <si>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</si>
  <si>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</si>
  <si>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</si>
  <si>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</si>
  <si>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</si>
  <si>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</si>
  <si>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</si>
  <si>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</si>
  <si>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</si>
  <si>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</si>
  <si>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</si>
  <si>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</si>
  <si>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</si>
  <si>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</si>
  <si>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</si>
  <si>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</si>
  <si>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</si>
  <si>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</si>
  <si>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</si>
  <si>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</si>
  <si>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</si>
  <si>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</si>
  <si>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</si>
  <si>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</si>
  <si>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</si>
  <si>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</si>
  <si>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</si>
  <si>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</si>
  <si>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</si>
  <si>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</si>
  <si>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</si>
  <si>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</si>
  <si>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</si>
  <si>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</si>
  <si>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</si>
  <si>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</si>
  <si>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</si>
  <si>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</si>
  <si>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</si>
  <si>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</si>
  <si>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</si>
  <si>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</si>
  <si>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</si>
  <si>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</si>
  <si>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</si>
  <si>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</si>
  <si>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</si>
  <si>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</si>
  <si>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</si>
  <si>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</si>
  <si>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</si>
  <si>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</si>
  <si>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</si>
  <si>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</si>
  <si>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</si>
  <si>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</si>
  <si>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</si>
  <si>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</si>
  <si>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</si>
  <si>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</si>
  <si>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</si>
  <si>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</si>
  <si>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</si>
  <si>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</si>
  <si>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</si>
  <si>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</si>
  <si>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</si>
  <si>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</si>
  <si>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</si>
  <si>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</si>
  <si>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</si>
  <si>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</si>
  <si>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</si>
  <si>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</si>
  <si>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</si>
  <si>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</si>
  <si>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</si>
  <si>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</si>
  <si>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</si>
  <si>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</si>
  <si>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</si>
  <si>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</si>
  <si>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</si>
  <si>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</si>
  <si>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</si>
  <si>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</si>
  <si>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</si>
  <si>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</si>
  <si>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</si>
  <si>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</si>
  <si>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</si>
  <si>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</si>
  <si>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</si>
  <si>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</si>
  <si>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</si>
  <si>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</si>
  <si>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</si>
  <si>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</si>
  <si>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</si>
  <si>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</si>
  <si>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</si>
  <si>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</si>
  <si>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</si>
  <si>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</si>
  <si>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</si>
  <si>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</si>
  <si>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</si>
  <si>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</si>
  <si>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</si>
  <si>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</si>
  <si>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</si>
  <si>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</si>
  <si>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</si>
  <si>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</si>
  <si>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</si>
  <si>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</si>
  <si>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</si>
  <si>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</si>
  <si>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</si>
  <si>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</si>
  <si>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</si>
  <si>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</si>
  <si>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</si>
  <si>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</si>
  <si>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</si>
  <si>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</si>
  <si>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</si>
  <si>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</si>
  <si>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</si>
  <si>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</si>
  <si>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</si>
  <si>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</si>
  <si>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</si>
  <si>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</si>
  <si>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</si>
  <si>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</si>
  <si>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</si>
  <si>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</si>
  <si>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</si>
  <si>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</si>
  <si>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</si>
  <si>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</si>
  <si>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</si>
  <si>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</si>
  <si>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</si>
  <si>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</si>
  <si>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</si>
  <si>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</si>
  <si>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</si>
  <si>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</si>
  <si>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</si>
  <si>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</si>
  <si>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</si>
  <si>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</si>
  <si>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</si>
  <si>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</si>
  <si>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</si>
  <si>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</si>
  <si>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</si>
  <si>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</si>
  <si>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</si>
  <si>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</si>
  <si>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</si>
  <si>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</si>
  <si>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</si>
  <si>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</si>
  <si>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</si>
  <si>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</si>
  <si>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</si>
  <si>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</si>
  <si>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</si>
  <si>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</si>
  <si>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</si>
  <si>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</si>
  <si>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</si>
  <si>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</si>
  <si>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</si>
  <si>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</si>
  <si>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</si>
  <si>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</si>
  <si>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</si>
  <si>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</si>
  <si>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</si>
  <si>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</si>
  <si>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</si>
  <si>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</si>
  <si>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</si>
  <si>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</si>
  <si>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</si>
  <si>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</si>
  <si>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</si>
  <si>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</si>
  <si>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</si>
  <si>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</si>
  <si>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</si>
  <si>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</si>
  <si>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</si>
  <si>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</si>
  <si>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</si>
  <si>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</si>
  <si>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</si>
  <si>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</si>
  <si>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</si>
  <si>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</si>
  <si>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</si>
  <si>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</si>
  <si>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</si>
  <si>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</si>
  <si>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</si>
  <si>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</si>
  <si>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</si>
  <si>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</si>
  <si>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</si>
  <si>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</si>
  <si>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</si>
  <si>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</si>
  <si>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</si>
  <si>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</si>
  <si>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</si>
  <si>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</si>
  <si>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</si>
  <si>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</si>
  <si>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</si>
  <si>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</si>
  <si>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</si>
  <si>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</si>
  <si>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</si>
  <si>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</si>
  <si>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</si>
  <si>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</si>
  <si>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</si>
  <si>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</si>
  <si>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</si>
  <si>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</si>
  <si>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</si>
  <si>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</si>
  <si>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</si>
  <si>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</si>
  <si>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</si>
  <si>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</si>
  <si>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</si>
  <si>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</si>
  <si>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</si>
  <si>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</si>
  <si>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</si>
  <si>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</si>
  <si>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</si>
  <si>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</si>
  <si>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</si>
  <si>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</si>
  <si>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</si>
  <si>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</si>
  <si>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</si>
  <si>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</si>
  <si>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</si>
  <si>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</si>
  <si>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</si>
  <si>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</si>
  <si>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</si>
  <si>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</si>
  <si>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</si>
  <si>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</si>
  <si>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</si>
  <si>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</si>
  <si>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</si>
  <si>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</si>
  <si>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</si>
  <si>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</si>
  <si>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</si>
  <si>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</si>
  <si>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</si>
  <si>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</si>
  <si>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</si>
  <si>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</si>
  <si>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</si>
  <si>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</si>
  <si>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</si>
  <si>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</si>
  <si>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</si>
  <si>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</si>
  <si>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</si>
  <si>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</si>
  <si>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</si>
  <si>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</si>
  <si>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</si>
  <si>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</si>
  <si>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</si>
  <si>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</si>
  <si>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</si>
  <si>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</si>
  <si>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</si>
  <si>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</si>
  <si>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</si>
  <si>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</si>
  <si>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</si>
  <si>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</si>
  <si>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</si>
  <si>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</si>
  <si>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</si>
  <si>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</si>
  <si>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</si>
  <si>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</si>
  <si>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</si>
  <si>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</si>
  <si>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</si>
  <si>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</si>
  <si>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</si>
  <si>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</si>
  <si>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</si>
  <si>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</si>
  <si>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</si>
  <si>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</si>
  <si>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</si>
  <si>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</si>
  <si>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</si>
  <si>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</si>
  <si>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</si>
  <si>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</si>
  <si>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</si>
  <si>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</si>
  <si>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</si>
  <si>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</si>
  <si>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</si>
  <si>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</si>
  <si>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</si>
  <si>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</si>
  <si>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</si>
  <si>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</si>
  <si>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</si>
  <si>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</si>
  <si>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</si>
  <si>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</si>
  <si>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</si>
  <si>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</si>
  <si>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</si>
  <si>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</si>
  <si>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</si>
  <si>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</si>
  <si>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</si>
  <si>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</si>
  <si>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</si>
  <si>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</si>
  <si>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</si>
  <si>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</si>
  <si>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</si>
  <si>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</si>
  <si>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</si>
  <si>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</si>
  <si>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</si>
  <si>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</si>
  <si>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</si>
  <si>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</si>
  <si>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</si>
  <si>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</si>
  <si>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</si>
  <si>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</si>
  <si>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</si>
  <si>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</si>
  <si>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</si>
  <si>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</si>
  <si>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</si>
  <si>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</si>
  <si>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</si>
  <si>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</si>
  <si>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</si>
  <si>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</si>
  <si>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</si>
  <si>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</si>
  <si>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</si>
  <si>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</si>
  <si>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</si>
  <si>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</si>
  <si>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</si>
  <si>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</si>
  <si>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</si>
  <si>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</si>
  <si>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</si>
  <si>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</si>
  <si>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</si>
  <si>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</si>
  <si>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</si>
  <si>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</si>
  <si>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</si>
  <si>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</si>
  <si>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</si>
  <si>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</si>
  <si>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</si>
  <si>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</si>
  <si>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</si>
  <si>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</si>
  <si>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</si>
  <si>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</si>
  <si>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</si>
  <si>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</si>
  <si>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</si>
  <si>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</si>
  <si>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</si>
  <si>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</si>
  <si>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</si>
  <si>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</si>
  <si>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</si>
  <si>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</si>
  <si>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</si>
  <si>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840 G1 black parent</t>
  </si>
  <si>
    <t>840 G1, 840 G2, 850 G1, 850 G2</t>
  </si>
  <si>
    <t>HP 840 BL black - DE</t>
  </si>
  <si>
    <t>HP 840 BL black - FR</t>
  </si>
  <si>
    <t>HP 840 BL black - IT</t>
  </si>
  <si>
    <t>HP 840 BL black - ES</t>
  </si>
  <si>
    <t>HP 840 BL black - UK</t>
  </si>
  <si>
    <t>HP 840 BL black - NORDIC</t>
  </si>
  <si>
    <t>HP 840 BL black - US int</t>
  </si>
  <si>
    <t>HP 840 BL black - US</t>
  </si>
  <si>
    <t>HP/W. PS/840 G1 black/BL/DE</t>
  </si>
  <si>
    <t>HP/W. PS/840 G1 black/BL/FR</t>
  </si>
  <si>
    <t>HP/W. PS/840 G1 black/BL/IT</t>
  </si>
  <si>
    <t>HP/W. PS/840 G1 black/BL/ES</t>
  </si>
  <si>
    <t>HP/W. PS/840 G1 black/BL/UK</t>
  </si>
  <si>
    <t>HP/W. PS/840 G1 black/BL/NOR</t>
  </si>
  <si>
    <t>HP/W. PS/840 G1 black/BL/USI</t>
  </si>
  <si>
    <t>HP/W. PS/840 G1 black/BL/US</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</si>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</sst>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5">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CQ115" zoomScaleNormal="100" workbookViewId="0">
      <selection activeCell="CV5" sqref="CV5:CV14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694</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695</v>
      </c>
    </row>
    <row r="4" spans="1:193" ht="17" x14ac:dyDescent="0.2">
      <c r="A4" s="1" t="str">
        <f>IF(ISBLANK(Values!E3),"",IF(Values!$B$37="EU","computercomponent","computer"))</f>
        <v>computer</v>
      </c>
      <c r="B4" s="27" t="str">
        <f>Values!B13</f>
        <v>HP 840 G1 black parent</v>
      </c>
      <c r="C4" s="27" t="s">
        <v>345</v>
      </c>
      <c r="D4" s="28">
        <f>Values!B14</f>
        <v>5714401844990</v>
      </c>
      <c r="E4" s="1" t="s">
        <v>346</v>
      </c>
      <c r="F4" s="27" t="str">
        <f>SUBSTITUTE(Values!B1, "{language}", "") &amp; " " &amp; Values!B3</f>
        <v>replacement  backlit keyboard for HP    840 G1, 840 G2, 850 G1, 850 G2</v>
      </c>
      <c r="G4" s="27" t="s">
        <v>345</v>
      </c>
      <c r="H4" s="1" t="str">
        <f>Values!B16</f>
        <v>computer-keyboards</v>
      </c>
      <c r="I4" s="1" t="str">
        <f>IF(ISBLANK(Values!E3),"","4730574031")</f>
        <v>4730574031</v>
      </c>
      <c r="J4" s="29" t="str">
        <f>Values!B13</f>
        <v>HP 840 G1 black parent</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48" x14ac:dyDescent="0.2">
      <c r="A5" s="1" t="str">
        <f>IF(ISBLANK(Values!E4),"",IF(Values!$B$37="EU","computercomponent","computer"))</f>
        <v>computer</v>
      </c>
      <c r="B5" s="33" t="str">
        <f>IF(ISBLANK(Values!E4),"",Values!F4)</f>
        <v>HP 840 BL black - DE</v>
      </c>
      <c r="C5" s="29" t="str">
        <f>IF(ISBLANK(Values!E4),"","TellusRem")</f>
        <v>TellusRem</v>
      </c>
      <c r="D5" s="28">
        <f>IF(ISBLANK(Values!E4),"",Values!E4)</f>
        <v>5714401844013</v>
      </c>
      <c r="E5" s="1" t="str">
        <f>IF(ISBLANK(Values!E4),"","EAN")</f>
        <v>EAN</v>
      </c>
      <c r="F5" s="27" t="str">
        <f>IF(ISBLANK(Values!E4),"",IF(Values!J4, SUBSTITUTE(Values!$B$1, "{language}", Values!H4) &amp; " " &amp;Values!$B$3, SUBSTITUTE(Values!$B$2, "{language}", Values!$H4) &amp; " " &amp;Values!$B$3))</f>
        <v>replacement German backlit keyboard for HP    840 G1, 840 G2, 850 G1, 850 G2</v>
      </c>
      <c r="G5" s="29" t="str">
        <f>IF(ISBLANK(Values!E4),"","TellusRem")</f>
        <v>TellusRem</v>
      </c>
      <c r="H5" s="1" t="str">
        <f>IF(ISBLANK(Values!E4),"",Values!$B$16)</f>
        <v>computer-keyboards</v>
      </c>
      <c r="I5" s="1" t="str">
        <f>IF(ISBLANK(Values!E4),"","4730574031")</f>
        <v>4730574031</v>
      </c>
      <c r="J5" s="31" t="str">
        <f>IF(ISBLANK(Values!E4),"",Values!F4 )</f>
        <v>HP 840 BL black - DE</v>
      </c>
      <c r="K5" s="27">
        <f>IF(ISBLANK(Values!E4),"",IF(Values!J4, Values!$B$4, Values!$B$5))</f>
        <v>42.99</v>
      </c>
      <c r="L5" s="27">
        <f>IF(ISBLANK(Values!E4),"",IF($CO5="DEFAULT", Values!$B$18, ""))</f>
        <v>5</v>
      </c>
      <c r="M5" s="27" t="str">
        <f>IF(ISBLANK(Values!E4),"",Values!$M4)</f>
        <v>https://raw.githubusercontent.com/PatrickVibild/TellusAmazonPictures/master/pictures/HP/W. PS/840 G1 black/BL/DE/1.jpg</v>
      </c>
      <c r="N5" s="27" t="str">
        <f>IF(ISBLANK(Values!$F4),"",Values!N4)</f>
        <v>https://raw.githubusercontent.com/PatrickVibild/TellusAmazonPictures/master/pictures/HP/W. PS/840 G1 black/BL/DE/2.jpg</v>
      </c>
      <c r="O5" s="27" t="str">
        <f>IF(ISBLANK(Values!$F4),"",Values!O4)</f>
        <v>https://raw.githubusercontent.com/PatrickVibild/TellusAmazonPictures/master/pictures/HP/W. PS/840 G1 black/BL/DE/3.jpg</v>
      </c>
      <c r="P5" s="27" t="str">
        <f>IF(ISBLANK(Values!$F4),"",Values!P4)</f>
        <v>https://raw.githubusercontent.com/PatrickVibild/TellusAmazonPictures/master/pictures/HP/W. PS/840 G1 black/BL/DE/4.jpg</v>
      </c>
      <c r="Q5" s="27" t="str">
        <f>IF(ISBLANK(Values!$F4),"",Values!Q4)</f>
        <v>https://raw.githubusercontent.com/PatrickVibild/TellusAmazonPictures/master/pictures/HP/W. PS/840 G1 black/BL/DE/5.jpg</v>
      </c>
      <c r="R5" s="27" t="str">
        <f>IF(ISBLANK(Values!$F4),"",Values!R4)</f>
        <v>https://raw.githubusercontent.com/PatrickVibild/TellusAmazonPictures/master/pictures/HP/W. PS/840 G1 black/BL/DE/6.jpg</v>
      </c>
      <c r="S5" s="27" t="str">
        <f>IF(ISBLANK(Values!$F4),"",Values!S4)</f>
        <v>https://raw.githubusercontent.com/PatrickVibild/TellusAmazonPictures/master/pictures/HP/W. PS/840 G1 black/BL/DE/7.jpg</v>
      </c>
      <c r="T5" s="27" t="str">
        <f>IF(ISBLANK(Values!$F4),"",Values!T4)</f>
        <v>https://raw.githubusercontent.com/PatrickVibild/TellusAmazonPictures/master/pictures/HP/W. PS/840 G1 black/BL/DE/8.jpg</v>
      </c>
      <c r="U5" s="27" t="str">
        <f>IF(ISBLANK(Values!$F4),"",Values!U4)</f>
        <v>https://raw.githubusercontent.com/PatrickVibild/TellusAmazonPictures/master/pictures/HP/W. PS/840 G1 black/BL/DE/9.jpg</v>
      </c>
      <c r="W5" s="29" t="str">
        <f>IF(ISBLANK(Values!E4),"","Child")</f>
        <v>Child</v>
      </c>
      <c r="X5" s="29" t="str">
        <f>IF(ISBLANK(Values!E4),"",Values!$B$13)</f>
        <v>HP 840 G1 black parent</v>
      </c>
      <c r="Y5" s="31" t="str">
        <f>IF(ISBLANK(Values!E4),"","Size-Color")</f>
        <v>Size-Color</v>
      </c>
      <c r="Z5" s="29" t="str">
        <f>IF(ISBLANK(Values!E4),"","variation")</f>
        <v>variation</v>
      </c>
      <c r="AA5" s="1"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3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840 G1, 840 G2, 850 G1, 850 G2</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backlit.</v>
      </c>
      <c r="AM5" s="1" t="str">
        <f>SUBSTITUTE(IF(ISBLANK(Values!E4),"",Values!$B$27), "{model}", Values!$B$3)</f>
        <v>👉 COMPATIBLE WITH - HP 840 G1, 840 G2, 850 G1, 850 G2. Please check the picture and description carefully before purchasing any keyboard. This ensures that you get the correct laptop keyboard for your computer. Super easy installation.</v>
      </c>
      <c r="AT5" s="27" t="str">
        <f>IF(ISBLANK(Values!E4),"",Values!H4)</f>
        <v>German</v>
      </c>
      <c r="AV5" s="1" t="str">
        <f>IF(ISBLANK(Values!E4),"",IF(Values!J4,"Backlit", "Non-Backlit"))</f>
        <v>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DEFAULT</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1" t="str">
        <f>IF(ISBLANK(Values!E4),"","Parts")</f>
        <v>Parts</v>
      </c>
      <c r="DP5" s="1"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1" t="str">
        <f>IF(ISBLANK(Values!E4),"","New")</f>
        <v>New</v>
      </c>
      <c r="FE5" s="1">
        <f>IF(ISBLANK(Values!E4),"",IF(CO5&lt;&gt;"DEFAULT", "", 3))</f>
        <v>3</v>
      </c>
      <c r="FH5" s="1" t="str">
        <f>IF(ISBLANK(Values!E4),"","FALSE")</f>
        <v>FALSE</v>
      </c>
      <c r="FI5" s="1" t="str">
        <f>IF(ISBLANK(Values!E4),"","FALSE")</f>
        <v>FALSE</v>
      </c>
      <c r="FJ5" s="1" t="str">
        <f>IF(ISBLANK(Values!E4),"","FALSE")</f>
        <v>FALSE</v>
      </c>
      <c r="FM5" s="1" t="str">
        <f>IF(ISBLANK(Values!E4),"","1")</f>
        <v>1</v>
      </c>
      <c r="FO5" s="27">
        <f>IF(ISBLANK(Values!E4),"",IF(Values!J4, Values!$B$4, Values!$B$5))</f>
        <v>42.99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3">
        <f>K5</f>
        <v>42.99</v>
      </c>
    </row>
    <row r="6" spans="1:193" ht="48" x14ac:dyDescent="0.2">
      <c r="A6" s="1" t="str">
        <f>IF(ISBLANK(Values!E5),"",IF(Values!$B$37="EU","computercomponent","computer"))</f>
        <v>computer</v>
      </c>
      <c r="B6" s="33" t="str">
        <f>IF(ISBLANK(Values!E5),"",Values!F5)</f>
        <v>HP 840 BL black - FR</v>
      </c>
      <c r="C6" s="29" t="str">
        <f>IF(ISBLANK(Values!E5),"","TellusRem")</f>
        <v>TellusRem</v>
      </c>
      <c r="D6" s="28">
        <f>IF(ISBLANK(Values!E5),"",Values!E5)</f>
        <v>5714401844020</v>
      </c>
      <c r="E6" s="1" t="str">
        <f>IF(ISBLANK(Values!E5),"","EAN")</f>
        <v>EAN</v>
      </c>
      <c r="F6" s="27" t="str">
        <f>IF(ISBLANK(Values!E5),"",IF(Values!J5, SUBSTITUTE(Values!$B$1, "{language}", Values!H5) &amp; " " &amp;Values!$B$3, SUBSTITUTE(Values!$B$2, "{language}", Values!$H5) &amp; " " &amp;Values!$B$3))</f>
        <v>replacement French backlit keyboard for HP    840 G1, 840 G2, 850 G1, 850 G2</v>
      </c>
      <c r="G6" s="29" t="str">
        <f>IF(ISBLANK(Values!E5),"","TellusRem")</f>
        <v>TellusRem</v>
      </c>
      <c r="H6" s="1" t="str">
        <f>IF(ISBLANK(Values!E5),"",Values!$B$16)</f>
        <v>computer-keyboards</v>
      </c>
      <c r="I6" s="1" t="str">
        <f>IF(ISBLANK(Values!E5),"","4730574031")</f>
        <v>4730574031</v>
      </c>
      <c r="J6" s="31" t="str">
        <f>IF(ISBLANK(Values!E5),"",Values!F5 )</f>
        <v>HP 840 BL black - FR</v>
      </c>
      <c r="K6" s="27">
        <f>IF(ISBLANK(Values!E5),"",IF(Values!J5, Values!$B$4, Values!$B$5))</f>
        <v>42.99</v>
      </c>
      <c r="L6" s="27">
        <f>IF(ISBLANK(Values!E5),"",IF($CO6="DEFAULT", Values!$B$18, ""))</f>
        <v>5</v>
      </c>
      <c r="M6" s="27" t="str">
        <f>IF(ISBLANK(Values!E5),"",Values!$M5)</f>
        <v>https://raw.githubusercontent.com/PatrickVibild/TellusAmazonPictures/master/pictures/HP/W. PS/840 G1 black/BL/FR/1.jpg</v>
      </c>
      <c r="N6" s="27" t="str">
        <f>IF(ISBLANK(Values!$F5),"",Values!N5)</f>
        <v>https://raw.githubusercontent.com/PatrickVibild/TellusAmazonPictures/master/pictures/HP/W. PS/840 G1 black/BL/FR/2.jpg</v>
      </c>
      <c r="O6" s="27" t="str">
        <f>IF(ISBLANK(Values!$F5),"",Values!O5)</f>
        <v>https://raw.githubusercontent.com/PatrickVibild/TellusAmazonPictures/master/pictures/HP/W. PS/840 G1 black/BL/FR/3.jpg</v>
      </c>
      <c r="P6" s="27" t="str">
        <f>IF(ISBLANK(Values!$F5),"",Values!P5)</f>
        <v>https://raw.githubusercontent.com/PatrickVibild/TellusAmazonPictures/master/pictures/HP/W. PS/840 G1 black/BL/FR/4.jpg</v>
      </c>
      <c r="Q6" s="27" t="str">
        <f>IF(ISBLANK(Values!$F5),"",Values!Q5)</f>
        <v>https://raw.githubusercontent.com/PatrickVibild/TellusAmazonPictures/master/pictures/HP/W. PS/840 G1 black/BL/FR/5.jpg</v>
      </c>
      <c r="R6" s="27" t="str">
        <f>IF(ISBLANK(Values!$F5),"",Values!R5)</f>
        <v>https://raw.githubusercontent.com/PatrickVibild/TellusAmazonPictures/master/pictures/HP/W. PS/840 G1 black/BL/FR/6.jpg</v>
      </c>
      <c r="S6" s="27" t="str">
        <f>IF(ISBLANK(Values!$F5),"",Values!S5)</f>
        <v>https://raw.githubusercontent.com/PatrickVibild/TellusAmazonPictures/master/pictures/HP/W. PS/840 G1 black/BL/FR/7.jpg</v>
      </c>
      <c r="T6" s="27" t="str">
        <f>IF(ISBLANK(Values!$F5),"",Values!T5)</f>
        <v>https://raw.githubusercontent.com/PatrickVibild/TellusAmazonPictures/master/pictures/HP/W. PS/840 G1 black/BL/FR/8.jpg</v>
      </c>
      <c r="U6" s="27" t="str">
        <f>IF(ISBLANK(Values!$F5),"",Values!U5)</f>
        <v>https://raw.githubusercontent.com/PatrickVibild/TellusAmazonPictures/master/pictures/HP/W. PS/840 G1 black/BL/FR/9.jpg</v>
      </c>
      <c r="W6" s="29" t="str">
        <f>IF(ISBLANK(Values!E5),"","Child")</f>
        <v>Child</v>
      </c>
      <c r="X6" s="29" t="str">
        <f>IF(ISBLANK(Values!E5),"",Values!$B$13)</f>
        <v>HP 840 G1 black parent</v>
      </c>
      <c r="Y6" s="31" t="str">
        <f>IF(ISBLANK(Values!E5),"","Size-Color")</f>
        <v>Size-Color</v>
      </c>
      <c r="Z6" s="29" t="str">
        <f>IF(ISBLANK(Values!E5),"","variation")</f>
        <v>variation</v>
      </c>
      <c r="AA6" s="1"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3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840 G1, 840 G2, 850 G1, 850 G2</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backlit.</v>
      </c>
      <c r="AM6" s="1" t="str">
        <f>SUBSTITUTE(IF(ISBLANK(Values!E5),"",Values!$B$27), "{model}", Values!$B$3)</f>
        <v>👉 COMPATIBLE WITH - HP 840 G1, 840 G2, 850 G1, 850 G2. Please check the picture and description carefully before purchasing any keyboard. This ensures that you get the correct laptop keyboard for your computer. Super easy installation.</v>
      </c>
      <c r="AT6" s="27" t="str">
        <f>IF(ISBLANK(Values!E5),"",Values!H5)</f>
        <v>French</v>
      </c>
      <c r="AV6" s="1" t="str">
        <f>IF(ISBLANK(Values!E5),"",IF(Values!J5,"Backlit", "Non-Backlit"))</f>
        <v>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DEFAULT</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1" t="str">
        <f>IF(ISBLANK(Values!E5),"","Parts")</f>
        <v>Parts</v>
      </c>
      <c r="DP6" s="1"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1" t="str">
        <f>IF(ISBLANK(Values!E5),"","New")</f>
        <v>New</v>
      </c>
      <c r="FE6" s="1">
        <f>IF(ISBLANK(Values!E5),"",IF(CO6&lt;&gt;"DEFAULT", "", 3))</f>
        <v>3</v>
      </c>
      <c r="FH6" s="1" t="str">
        <f>IF(ISBLANK(Values!E5),"","FALSE")</f>
        <v>FALSE</v>
      </c>
      <c r="FI6" s="1" t="str">
        <f>IF(ISBLANK(Values!E5),"","FALSE")</f>
        <v>FALSE</v>
      </c>
      <c r="FJ6" s="1" t="str">
        <f>IF(ISBLANK(Values!E5),"","FALSE")</f>
        <v>FALSE</v>
      </c>
      <c r="FM6" s="1" t="str">
        <f>IF(ISBLANK(Values!E5),"","1")</f>
        <v>1</v>
      </c>
      <c r="FO6" s="27">
        <f>IF(ISBLANK(Values!E5),"",IF(Values!J5, Values!$B$4, Values!$B$5))</f>
        <v>42.99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3">
        <f>K6</f>
        <v>42.99</v>
      </c>
    </row>
    <row r="7" spans="1:193" ht="48" x14ac:dyDescent="0.2">
      <c r="A7" s="1" t="str">
        <f>IF(ISBLANK(Values!E6),"",IF(Values!$B$37="EU","computercomponent","computer"))</f>
        <v>computer</v>
      </c>
      <c r="B7" s="33" t="str">
        <f>IF(ISBLANK(Values!E6),"",Values!F6)</f>
        <v>HP 840 BL black - IT</v>
      </c>
      <c r="C7" s="29" t="str">
        <f>IF(ISBLANK(Values!E6),"","TellusRem")</f>
        <v>TellusRem</v>
      </c>
      <c r="D7" s="28">
        <f>IF(ISBLANK(Values!E6),"",Values!E6)</f>
        <v>5714401844037</v>
      </c>
      <c r="E7" s="1" t="str">
        <f>IF(ISBLANK(Values!E6),"","EAN")</f>
        <v>EAN</v>
      </c>
      <c r="F7" s="27" t="str">
        <f>IF(ISBLANK(Values!E6),"",IF(Values!J6, SUBSTITUTE(Values!$B$1, "{language}", Values!H6) &amp; " " &amp;Values!$B$3, SUBSTITUTE(Values!$B$2, "{language}", Values!$H6) &amp; " " &amp;Values!$B$3))</f>
        <v>replacement Italian backlit keyboard for HP    840 G1, 840 G2, 850 G1, 850 G2</v>
      </c>
      <c r="G7" s="29" t="str">
        <f>IF(ISBLANK(Values!E6),"","TellusRem")</f>
        <v>TellusRem</v>
      </c>
      <c r="H7" s="1" t="str">
        <f>IF(ISBLANK(Values!E6),"",Values!$B$16)</f>
        <v>computer-keyboards</v>
      </c>
      <c r="I7" s="1" t="str">
        <f>IF(ISBLANK(Values!E6),"","4730574031")</f>
        <v>4730574031</v>
      </c>
      <c r="J7" s="31" t="str">
        <f>IF(ISBLANK(Values!E6),"",Values!F6 )</f>
        <v>HP 840 BL black - IT</v>
      </c>
      <c r="K7" s="27">
        <f>IF(ISBLANK(Values!E6),"",IF(Values!J6, Values!$B$4, Values!$B$5))</f>
        <v>42.99</v>
      </c>
      <c r="L7" s="27">
        <f>IF(ISBLANK(Values!E6),"",IF($CO7="DEFAULT", Values!$B$18, ""))</f>
        <v>5</v>
      </c>
      <c r="M7" s="27" t="str">
        <f>IF(ISBLANK(Values!E6),"",Values!$M6)</f>
        <v>https://raw.githubusercontent.com/PatrickVibild/TellusAmazonPictures/master/pictures/HP/W. PS/840 G1 black/BL/IT/1.jpg</v>
      </c>
      <c r="N7" s="27" t="str">
        <f>IF(ISBLANK(Values!$F6),"",Values!N6)</f>
        <v>https://raw.githubusercontent.com/PatrickVibild/TellusAmazonPictures/master/pictures/HP/W. PS/840 G1 black/BL/IT/2.jpg</v>
      </c>
      <c r="O7" s="27" t="str">
        <f>IF(ISBLANK(Values!$F6),"",Values!O6)</f>
        <v>https://raw.githubusercontent.com/PatrickVibild/TellusAmazonPictures/master/pictures/HP/W. PS/840 G1 black/BL/IT/3.jpg</v>
      </c>
      <c r="P7" s="27" t="str">
        <f>IF(ISBLANK(Values!$F6),"",Values!P6)</f>
        <v>https://raw.githubusercontent.com/PatrickVibild/TellusAmazonPictures/master/pictures/HP/W. PS/840 G1 black/BL/IT/4.jpg</v>
      </c>
      <c r="Q7" s="27" t="str">
        <f>IF(ISBLANK(Values!$F6),"",Values!Q6)</f>
        <v>https://raw.githubusercontent.com/PatrickVibild/TellusAmazonPictures/master/pictures/HP/W. PS/840 G1 black/BL/IT/5.jpg</v>
      </c>
      <c r="R7" s="27" t="str">
        <f>IF(ISBLANK(Values!$F6),"",Values!R6)</f>
        <v>https://raw.githubusercontent.com/PatrickVibild/TellusAmazonPictures/master/pictures/HP/W. PS/840 G1 black/BL/IT/6.jpg</v>
      </c>
      <c r="S7" s="27" t="str">
        <f>IF(ISBLANK(Values!$F6),"",Values!S6)</f>
        <v>https://raw.githubusercontent.com/PatrickVibild/TellusAmazonPictures/master/pictures/HP/W. PS/840 G1 black/BL/IT/7.jpg</v>
      </c>
      <c r="T7" s="27" t="str">
        <f>IF(ISBLANK(Values!$F6),"",Values!T6)</f>
        <v>https://raw.githubusercontent.com/PatrickVibild/TellusAmazonPictures/master/pictures/HP/W. PS/840 G1 black/BL/IT/8.jpg</v>
      </c>
      <c r="U7" s="27" t="str">
        <f>IF(ISBLANK(Values!$F6),"",Values!U6)</f>
        <v>https://raw.githubusercontent.com/PatrickVibild/TellusAmazonPictures/master/pictures/HP/W. PS/840 G1 black/BL/IT/9.jpg</v>
      </c>
      <c r="W7" s="29" t="str">
        <f>IF(ISBLANK(Values!E6),"","Child")</f>
        <v>Child</v>
      </c>
      <c r="X7" s="29" t="str">
        <f>IF(ISBLANK(Values!E6),"",Values!$B$13)</f>
        <v>HP 840 G1 black parent</v>
      </c>
      <c r="Y7" s="31" t="str">
        <f>IF(ISBLANK(Values!E6),"","Size-Color")</f>
        <v>Size-Color</v>
      </c>
      <c r="Z7" s="29" t="str">
        <f>IF(ISBLANK(Values!E6),"","variation")</f>
        <v>variation</v>
      </c>
      <c r="AA7" s="1"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3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840 G1, 840 G2, 850 G1, 850 G2</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backlit.</v>
      </c>
      <c r="AM7" s="1" t="str">
        <f>SUBSTITUTE(IF(ISBLANK(Values!E6),"",Values!$B$27), "{model}", Values!$B$3)</f>
        <v>👉 COMPATIBLE WITH - HP 840 G1, 840 G2, 850 G1, 850 G2. Please check the picture and description carefully before purchasing any keyboard. This ensures that you get the correct laptop keyboard for your computer. Super easy installation.</v>
      </c>
      <c r="AT7" s="27" t="str">
        <f>IF(ISBLANK(Values!E6),"",Values!H6)</f>
        <v>Italian</v>
      </c>
      <c r="AV7" s="1" t="str">
        <f>IF(ISBLANK(Values!E6),"",IF(Values!J6,"Backlit", "Non-Backlit"))</f>
        <v>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DEFAULT</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1" t="str">
        <f>IF(ISBLANK(Values!E6),"","Parts")</f>
        <v>Parts</v>
      </c>
      <c r="DP7" s="1"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1" t="str">
        <f>IF(ISBLANK(Values!E6),"","New")</f>
        <v>New</v>
      </c>
      <c r="FE7" s="1">
        <f>IF(ISBLANK(Values!E6),"",IF(CO7&lt;&gt;"DEFAULT", "", 3))</f>
        <v>3</v>
      </c>
      <c r="FH7" s="1" t="str">
        <f>IF(ISBLANK(Values!E6),"","FALSE")</f>
        <v>FALSE</v>
      </c>
      <c r="FI7" s="1" t="str">
        <f>IF(ISBLANK(Values!E6),"","FALSE")</f>
        <v>FALSE</v>
      </c>
      <c r="FJ7" s="1" t="str">
        <f>IF(ISBLANK(Values!E6),"","FALSE")</f>
        <v>FALSE</v>
      </c>
      <c r="FM7" s="1" t="str">
        <f>IF(ISBLANK(Values!E6),"","1")</f>
        <v>1</v>
      </c>
      <c r="FO7" s="27">
        <f>IF(ISBLANK(Values!E6),"",IF(Values!J6, Values!$B$4, Values!$B$5))</f>
        <v>42.99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3">
        <f>K7</f>
        <v>42.99</v>
      </c>
    </row>
    <row r="8" spans="1:193" ht="48" x14ac:dyDescent="0.2">
      <c r="A8" s="1" t="str">
        <f>IF(ISBLANK(Values!E7),"",IF(Values!$B$37="EU","computercomponent","computer"))</f>
        <v>computer</v>
      </c>
      <c r="B8" s="33" t="str">
        <f>IF(ISBLANK(Values!E7),"",Values!F7)</f>
        <v>HP 840 BL black - ES</v>
      </c>
      <c r="C8" s="29" t="str">
        <f>IF(ISBLANK(Values!E7),"","TellusRem")</f>
        <v>TellusRem</v>
      </c>
      <c r="D8" s="28">
        <f>IF(ISBLANK(Values!E7),"",Values!E7)</f>
        <v>5714401844044</v>
      </c>
      <c r="E8" s="1" t="str">
        <f>IF(ISBLANK(Values!E7),"","EAN")</f>
        <v>EAN</v>
      </c>
      <c r="F8" s="27" t="str">
        <f>IF(ISBLANK(Values!E7),"",IF(Values!J7, SUBSTITUTE(Values!$B$1, "{language}", Values!H7) &amp; " " &amp;Values!$B$3, SUBSTITUTE(Values!$B$2, "{language}", Values!$H7) &amp; " " &amp;Values!$B$3))</f>
        <v>replacement Spanish backlit keyboard for HP    840 G1, 840 G2, 850 G1, 850 G2</v>
      </c>
      <c r="G8" s="29" t="str">
        <f>IF(ISBLANK(Values!E7),"","TellusRem")</f>
        <v>TellusRem</v>
      </c>
      <c r="H8" s="1" t="str">
        <f>IF(ISBLANK(Values!E7),"",Values!$B$16)</f>
        <v>computer-keyboards</v>
      </c>
      <c r="I8" s="1" t="str">
        <f>IF(ISBLANK(Values!E7),"","4730574031")</f>
        <v>4730574031</v>
      </c>
      <c r="J8" s="31" t="str">
        <f>IF(ISBLANK(Values!E7),"",Values!F7 )</f>
        <v>HP 840 BL black - ES</v>
      </c>
      <c r="K8" s="27">
        <f>IF(ISBLANK(Values!E7),"",IF(Values!J7, Values!$B$4, Values!$B$5))</f>
        <v>42.99</v>
      </c>
      <c r="L8" s="27">
        <f>IF(ISBLANK(Values!E7),"",IF($CO8="DEFAULT", Values!$B$18, ""))</f>
        <v>5</v>
      </c>
      <c r="M8" s="27" t="str">
        <f>IF(ISBLANK(Values!E7),"",Values!$M7)</f>
        <v>https://raw.githubusercontent.com/PatrickVibild/TellusAmazonPictures/master/pictures/HP/W. PS/840 G1 black/BL/ES/1.jpg</v>
      </c>
      <c r="N8" s="27" t="str">
        <f>IF(ISBLANK(Values!$F7),"",Values!N7)</f>
        <v>https://raw.githubusercontent.com/PatrickVibild/TellusAmazonPictures/master/pictures/HP/W. PS/840 G1 black/BL/ES/2.jpg</v>
      </c>
      <c r="O8" s="27" t="str">
        <f>IF(ISBLANK(Values!$F7),"",Values!O7)</f>
        <v>https://raw.githubusercontent.com/PatrickVibild/TellusAmazonPictures/master/pictures/HP/W. PS/840 G1 black/BL/ES/3.jpg</v>
      </c>
      <c r="P8" s="27" t="str">
        <f>IF(ISBLANK(Values!$F7),"",Values!P7)</f>
        <v>https://raw.githubusercontent.com/PatrickVibild/TellusAmazonPictures/master/pictures/HP/W. PS/840 G1 black/BL/ES/4.jpg</v>
      </c>
      <c r="Q8" s="27" t="str">
        <f>IF(ISBLANK(Values!$F7),"",Values!Q7)</f>
        <v>https://raw.githubusercontent.com/PatrickVibild/TellusAmazonPictures/master/pictures/HP/W. PS/840 G1 black/BL/ES/5.jpg</v>
      </c>
      <c r="R8" s="27" t="str">
        <f>IF(ISBLANK(Values!$F7),"",Values!R7)</f>
        <v>https://raw.githubusercontent.com/PatrickVibild/TellusAmazonPictures/master/pictures/HP/W. PS/840 G1 black/BL/ES/6.jpg</v>
      </c>
      <c r="S8" s="27" t="str">
        <f>IF(ISBLANK(Values!$F7),"",Values!S7)</f>
        <v>https://raw.githubusercontent.com/PatrickVibild/TellusAmazonPictures/master/pictures/HP/W. PS/840 G1 black/BL/ES/7.jpg</v>
      </c>
      <c r="T8" s="27" t="str">
        <f>IF(ISBLANK(Values!$F7),"",Values!T7)</f>
        <v>https://raw.githubusercontent.com/PatrickVibild/TellusAmazonPictures/master/pictures/HP/W. PS/840 G1 black/BL/ES/8.jpg</v>
      </c>
      <c r="U8" s="27" t="str">
        <f>IF(ISBLANK(Values!$F7),"",Values!U7)</f>
        <v>https://raw.githubusercontent.com/PatrickVibild/TellusAmazonPictures/master/pictures/HP/W. PS/840 G1 black/BL/ES/9.jpg</v>
      </c>
      <c r="W8" s="29" t="str">
        <f>IF(ISBLANK(Values!E7),"","Child")</f>
        <v>Child</v>
      </c>
      <c r="X8" s="29" t="str">
        <f>IF(ISBLANK(Values!E7),"",Values!$B$13)</f>
        <v>HP 840 G1 black parent</v>
      </c>
      <c r="Y8" s="31" t="str">
        <f>IF(ISBLANK(Values!E7),"","Size-Color")</f>
        <v>Size-Color</v>
      </c>
      <c r="Z8" s="29" t="str">
        <f>IF(ISBLANK(Values!E7),"","variation")</f>
        <v>variation</v>
      </c>
      <c r="AA8" s="1"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3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840 G1, 840 G2, 850 G1, 850 G2</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backlit.</v>
      </c>
      <c r="AM8" s="1" t="str">
        <f>SUBSTITUTE(IF(ISBLANK(Values!E7),"",Values!$B$27), "{model}", Values!$B$3)</f>
        <v>👉 COMPATIBLE WITH - HP 840 G1, 840 G2, 850 G1, 850 G2. Please check the picture and description carefully before purchasing any keyboard. This ensures that you get the correct laptop keyboard for your computer. Super easy installation.</v>
      </c>
      <c r="AT8" s="27" t="str">
        <f>IF(ISBLANK(Values!E7),"",Values!H7)</f>
        <v>Spanish</v>
      </c>
      <c r="AV8" s="1" t="str">
        <f>IF(ISBLANK(Values!E7),"",IF(Values!J7,"Backlit", "Non-Backlit"))</f>
        <v>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DEFAULT</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1" t="str">
        <f>IF(ISBLANK(Values!E7),"","Parts")</f>
        <v>Parts</v>
      </c>
      <c r="DP8" s="1"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1" t="str">
        <f>IF(ISBLANK(Values!E7),"","New")</f>
        <v>New</v>
      </c>
      <c r="FE8" s="1">
        <f>IF(ISBLANK(Values!E7),"",IF(CO8&lt;&gt;"DEFAULT", "", 3))</f>
        <v>3</v>
      </c>
      <c r="FH8" s="1" t="str">
        <f>IF(ISBLANK(Values!E7),"","FALSE")</f>
        <v>FALSE</v>
      </c>
      <c r="FI8" s="1" t="str">
        <f>IF(ISBLANK(Values!E7),"","FALSE")</f>
        <v>FALSE</v>
      </c>
      <c r="FJ8" s="1" t="str">
        <f>IF(ISBLANK(Values!E7),"","FALSE")</f>
        <v>FALSE</v>
      </c>
      <c r="FM8" s="1" t="str">
        <f>IF(ISBLANK(Values!E7),"","1")</f>
        <v>1</v>
      </c>
      <c r="FO8" s="27">
        <f>IF(ISBLANK(Values!E7),"",IF(Values!J7, Values!$B$4, Values!$B$5))</f>
        <v>42.99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3">
        <f>K8</f>
        <v>42.99</v>
      </c>
    </row>
    <row r="9" spans="1:193" ht="48" x14ac:dyDescent="0.2">
      <c r="A9" s="1" t="str">
        <f>IF(ISBLANK(Values!E8),"",IF(Values!$B$37="EU","computercomponent","computer"))</f>
        <v>computer</v>
      </c>
      <c r="B9" s="33" t="str">
        <f>IF(ISBLANK(Values!E8),"",Values!F8)</f>
        <v>HP 840 BL black - UK</v>
      </c>
      <c r="C9" s="29" t="str">
        <f>IF(ISBLANK(Values!E8),"","TellusRem")</f>
        <v>TellusRem</v>
      </c>
      <c r="D9" s="28">
        <f>IF(ISBLANK(Values!E8),"",Values!E8)</f>
        <v>5714401844051</v>
      </c>
      <c r="E9" s="1" t="str">
        <f>IF(ISBLANK(Values!E8),"","EAN")</f>
        <v>EAN</v>
      </c>
      <c r="F9" s="27" t="str">
        <f>IF(ISBLANK(Values!E8),"",IF(Values!J8, SUBSTITUTE(Values!$B$1, "{language}", Values!H8) &amp; " " &amp;Values!$B$3, SUBSTITUTE(Values!$B$2, "{language}", Values!$H8) &amp; " " &amp;Values!$B$3))</f>
        <v>replacement UK backlit keyboard for HP    840 G1, 840 G2, 850 G1, 850 G2</v>
      </c>
      <c r="G9" s="29" t="str">
        <f>IF(ISBLANK(Values!E8),"","TellusRem")</f>
        <v>TellusRem</v>
      </c>
      <c r="H9" s="1" t="str">
        <f>IF(ISBLANK(Values!E8),"",Values!$B$16)</f>
        <v>computer-keyboards</v>
      </c>
      <c r="I9" s="1" t="str">
        <f>IF(ISBLANK(Values!E8),"","4730574031")</f>
        <v>4730574031</v>
      </c>
      <c r="J9" s="31" t="str">
        <f>IF(ISBLANK(Values!E8),"",Values!F8 )</f>
        <v>HP 840 BL black - UK</v>
      </c>
      <c r="K9" s="27">
        <f>IF(ISBLANK(Values!E8),"",IF(Values!J8, Values!$B$4, Values!$B$5))</f>
        <v>42.99</v>
      </c>
      <c r="L9" s="27">
        <f>IF(ISBLANK(Values!E8),"",IF($CO9="DEFAULT", Values!$B$18, ""))</f>
        <v>5</v>
      </c>
      <c r="M9" s="27" t="str">
        <f>IF(ISBLANK(Values!E8),"",Values!$M8)</f>
        <v>https://raw.githubusercontent.com/PatrickVibild/TellusAmazonPictures/master/pictures/HP/W. PS/840 G1 black/BL/UK/1.jpg</v>
      </c>
      <c r="N9" s="27" t="str">
        <f>IF(ISBLANK(Values!$F8),"",Values!N8)</f>
        <v>https://raw.githubusercontent.com/PatrickVibild/TellusAmazonPictures/master/pictures/HP/W. PS/840 G1 black/BL/UK/2.jpg</v>
      </c>
      <c r="O9" s="27" t="str">
        <f>IF(ISBLANK(Values!$F8),"",Values!O8)</f>
        <v>https://raw.githubusercontent.com/PatrickVibild/TellusAmazonPictures/master/pictures/HP/W. PS/840 G1 black/BL/UK/3.jpg</v>
      </c>
      <c r="P9" s="27" t="str">
        <f>IF(ISBLANK(Values!$F8),"",Values!P8)</f>
        <v>https://raw.githubusercontent.com/PatrickVibild/TellusAmazonPictures/master/pictures/HP/W. PS/840 G1 black/BL/UK/4.jpg</v>
      </c>
      <c r="Q9" s="27" t="str">
        <f>IF(ISBLANK(Values!$F8),"",Values!Q8)</f>
        <v>https://raw.githubusercontent.com/PatrickVibild/TellusAmazonPictures/master/pictures/HP/W. PS/840 G1 black/BL/UK/5.jpg</v>
      </c>
      <c r="R9" s="27" t="str">
        <f>IF(ISBLANK(Values!$F8),"",Values!R8)</f>
        <v>https://raw.githubusercontent.com/PatrickVibild/TellusAmazonPictures/master/pictures/HP/W. PS/840 G1 black/BL/UK/6.jpg</v>
      </c>
      <c r="S9" s="27" t="str">
        <f>IF(ISBLANK(Values!$F8),"",Values!S8)</f>
        <v>https://raw.githubusercontent.com/PatrickVibild/TellusAmazonPictures/master/pictures/HP/W. PS/840 G1 black/BL/UK/7.jpg</v>
      </c>
      <c r="T9" s="27" t="str">
        <f>IF(ISBLANK(Values!$F8),"",Values!T8)</f>
        <v>https://raw.githubusercontent.com/PatrickVibild/TellusAmazonPictures/master/pictures/HP/W. PS/840 G1 black/BL/UK/8.jpg</v>
      </c>
      <c r="U9" s="27" t="str">
        <f>IF(ISBLANK(Values!$F8),"",Values!U8)</f>
        <v>https://raw.githubusercontent.com/PatrickVibild/TellusAmazonPictures/master/pictures/HP/W. PS/840 G1 black/BL/UK/9.jpg</v>
      </c>
      <c r="W9" s="29" t="str">
        <f>IF(ISBLANK(Values!E8),"","Child")</f>
        <v>Child</v>
      </c>
      <c r="X9" s="29" t="str">
        <f>IF(ISBLANK(Values!E8),"",Values!$B$13)</f>
        <v>HP 840 G1 black parent</v>
      </c>
      <c r="Y9" s="31" t="str">
        <f>IF(ISBLANK(Values!E8),"","Size-Color")</f>
        <v>Size-Color</v>
      </c>
      <c r="Z9" s="29" t="str">
        <f>IF(ISBLANK(Values!E8),"","variation")</f>
        <v>variation</v>
      </c>
      <c r="AA9" s="1"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3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840 G1, 840 G2, 850 G1, 850 G2</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backlit.</v>
      </c>
      <c r="AM9" s="1" t="str">
        <f>SUBSTITUTE(IF(ISBLANK(Values!E8),"",Values!$B$27), "{model}", Values!$B$3)</f>
        <v>👉 COMPATIBLE WITH - HP 840 G1, 840 G2, 850 G1, 850 G2. Please check the picture and description carefully before purchasing any keyboard. This ensures that you get the correct laptop keyboard for your computer. Super easy installation.</v>
      </c>
      <c r="AT9" s="27" t="str">
        <f>IF(ISBLANK(Values!E8),"",Values!H8)</f>
        <v>UK</v>
      </c>
      <c r="AV9" s="1" t="str">
        <f>IF(ISBLANK(Values!E8),"",IF(Values!J8,"Backlit", "Non-Backlit"))</f>
        <v>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DEFAULT</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1" t="str">
        <f>IF(ISBLANK(Values!E8),"","Parts")</f>
        <v>Parts</v>
      </c>
      <c r="DP9" s="1"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1" t="str">
        <f>IF(ISBLANK(Values!E8),"","New")</f>
        <v>New</v>
      </c>
      <c r="FE9" s="1">
        <f>IF(ISBLANK(Values!E8),"",IF(CO9&lt;&gt;"DEFAULT", "", 3))</f>
        <v>3</v>
      </c>
      <c r="FH9" s="1" t="str">
        <f>IF(ISBLANK(Values!E8),"","FALSE")</f>
        <v>FALSE</v>
      </c>
      <c r="FI9" s="1" t="str">
        <f>IF(ISBLANK(Values!E8),"","FALSE")</f>
        <v>FALSE</v>
      </c>
      <c r="FJ9" s="1" t="str">
        <f>IF(ISBLANK(Values!E8),"","FALSE")</f>
        <v>FALSE</v>
      </c>
      <c r="FM9" s="1" t="str">
        <f>IF(ISBLANK(Values!E8),"","1")</f>
        <v>1</v>
      </c>
      <c r="FO9" s="27">
        <f>IF(ISBLANK(Values!E8),"",IF(Values!J8, Values!$B$4, Values!$B$5))</f>
        <v>42.99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3">
        <f>K9</f>
        <v>42.99</v>
      </c>
    </row>
    <row r="10" spans="1:193" ht="48" x14ac:dyDescent="0.2">
      <c r="A10" s="1" t="str">
        <f>IF(ISBLANK(Values!E9),"",IF(Values!$B$37="EU","computercomponent","computer"))</f>
        <v>computer</v>
      </c>
      <c r="B10" s="33" t="str">
        <f>IF(ISBLANK(Values!E9),"",Values!F9)</f>
        <v>HP 840 BL black - NORDIC</v>
      </c>
      <c r="C10" s="29" t="str">
        <f>IF(ISBLANK(Values!E9),"","TellusRem")</f>
        <v>TellusRem</v>
      </c>
      <c r="D10" s="28">
        <f>IF(ISBLANK(Values!E9),"",Values!E9)</f>
        <v>5714401844068</v>
      </c>
      <c r="E10" s="1" t="str">
        <f>IF(ISBLANK(Values!E9),"","EAN")</f>
        <v>EAN</v>
      </c>
      <c r="F10" s="27" t="str">
        <f>IF(ISBLANK(Values!E9),"",IF(Values!J9, SUBSTITUTE(Values!$B$1, "{language}", Values!H9) &amp; " " &amp;Values!$B$3, SUBSTITUTE(Values!$B$2, "{language}", Values!$H9) &amp; " " &amp;Values!$B$3))</f>
        <v>replacement Scandinavian – Nordic backlit keyboard for HP    840 G1, 840 G2, 850 G1, 850 G2</v>
      </c>
      <c r="G10" s="29" t="str">
        <f>IF(ISBLANK(Values!E9),"","TellusRem")</f>
        <v>TellusRem</v>
      </c>
      <c r="H10" s="1" t="str">
        <f>IF(ISBLANK(Values!E9),"",Values!$B$16)</f>
        <v>computer-keyboards</v>
      </c>
      <c r="I10" s="1" t="str">
        <f>IF(ISBLANK(Values!E9),"","4730574031")</f>
        <v>4730574031</v>
      </c>
      <c r="J10" s="31" t="str">
        <f>IF(ISBLANK(Values!E9),"",Values!F9 )</f>
        <v>HP 840 BL black - NORDIC</v>
      </c>
      <c r="K10" s="27">
        <f>IF(ISBLANK(Values!E9),"",IF(Values!J9, Values!$B$4, Values!$B$5))</f>
        <v>42.99</v>
      </c>
      <c r="L10" s="27">
        <f>IF(ISBLANK(Values!E9),"",IF($CO10="DEFAULT", Values!$B$18, ""))</f>
        <v>5</v>
      </c>
      <c r="M10" s="27" t="str">
        <f>IF(ISBLANK(Values!E9),"",Values!$M9)</f>
        <v>https://raw.githubusercontent.com/PatrickVibild/TellusAmazonPictures/master/pictures/HP/W. PS/840 G1 black/BL/NOR/1.jpg</v>
      </c>
      <c r="N10" s="27" t="str">
        <f>IF(ISBLANK(Values!$F9),"",Values!N9)</f>
        <v>https://raw.githubusercontent.com/PatrickVibild/TellusAmazonPictures/master/pictures/HP/W. PS/840 G1 black/BL/NOR/2.jpg</v>
      </c>
      <c r="O10" s="27" t="str">
        <f>IF(ISBLANK(Values!$F9),"",Values!O9)</f>
        <v>https://raw.githubusercontent.com/PatrickVibild/TellusAmazonPictures/master/pictures/HP/W. PS/840 G1 black/BL/NOR/3.jpg</v>
      </c>
      <c r="P10" s="27" t="str">
        <f>IF(ISBLANK(Values!$F9),"",Values!P9)</f>
        <v>https://raw.githubusercontent.com/PatrickVibild/TellusAmazonPictures/master/pictures/HP/W. PS/840 G1 black/BL/NOR/4.jpg</v>
      </c>
      <c r="Q10" s="27" t="str">
        <f>IF(ISBLANK(Values!$F9),"",Values!Q9)</f>
        <v>https://raw.githubusercontent.com/PatrickVibild/TellusAmazonPictures/master/pictures/HP/W. PS/840 G1 black/BL/NOR/5.jpg</v>
      </c>
      <c r="R10" s="27" t="str">
        <f>IF(ISBLANK(Values!$F9),"",Values!R9)</f>
        <v>https://raw.githubusercontent.com/PatrickVibild/TellusAmazonPictures/master/pictures/HP/W. PS/840 G1 black/BL/NOR/6.jpg</v>
      </c>
      <c r="S10" s="27" t="str">
        <f>IF(ISBLANK(Values!$F9),"",Values!S9)</f>
        <v>https://raw.githubusercontent.com/PatrickVibild/TellusAmazonPictures/master/pictures/HP/W. PS/840 G1 black/BL/NOR/7.jpg</v>
      </c>
      <c r="T10" s="27" t="str">
        <f>IF(ISBLANK(Values!$F9),"",Values!T9)</f>
        <v>https://raw.githubusercontent.com/PatrickVibild/TellusAmazonPictures/master/pictures/HP/W. PS/840 G1 black/BL/NOR/8.jpg</v>
      </c>
      <c r="U10" s="27" t="str">
        <f>IF(ISBLANK(Values!$F9),"",Values!U9)</f>
        <v>https://raw.githubusercontent.com/PatrickVibild/TellusAmazonPictures/master/pictures/HP/W. PS/840 G1 black/BL/NOR/9.jpg</v>
      </c>
      <c r="W10" s="29" t="str">
        <f>IF(ISBLANK(Values!E9),"","Child")</f>
        <v>Child</v>
      </c>
      <c r="X10" s="29" t="str">
        <f>IF(ISBLANK(Values!E9),"",Values!$B$13)</f>
        <v>HP 840 G1 black parent</v>
      </c>
      <c r="Y10" s="31" t="str">
        <f>IF(ISBLANK(Values!E9),"","Size-Color")</f>
        <v>Size-Color</v>
      </c>
      <c r="Z10" s="29" t="str">
        <f>IF(ISBLANK(Values!E9),"","variation")</f>
        <v>variation</v>
      </c>
      <c r="AA10" s="1"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3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840 G1, 840 G2, 850 G1, 850 G2</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backlit.</v>
      </c>
      <c r="AM10" s="1" t="str">
        <f>SUBSTITUTE(IF(ISBLANK(Values!E9),"",Values!$B$27), "{model}", Values!$B$3)</f>
        <v>👉 COMPATIBLE WITH - HP 840 G1, 840 G2, 850 G1, 850 G2. Please check the picture and description carefully before purchasing any keyboard. This ensures that you get the correct laptop keyboard for your computer. Super easy installation.</v>
      </c>
      <c r="AT10" s="27" t="str">
        <f>IF(ISBLANK(Values!E9),"",Values!H9)</f>
        <v>Scandinavian – Nordic</v>
      </c>
      <c r="AV10" s="1" t="str">
        <f>IF(ISBLANK(Values!E9),"",IF(Values!J9,"Backlit", "Non-Backlit"))</f>
        <v>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1" t="str">
        <f>IF(ISBLANK(Values!E9),"","Parts")</f>
        <v>Parts</v>
      </c>
      <c r="DP10" s="1"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7">
        <f>IF(ISBLANK(Values!E9),"",IF(Values!J9, Values!$B$4, Values!$B$5))</f>
        <v>42.99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3">
        <f>K10</f>
        <v>42.99</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c r="GK11" s="63"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c r="GK12" s="63" t="str">
        <f>K12</f>
        <v/>
      </c>
    </row>
    <row r="13" spans="1:193" ht="48" x14ac:dyDescent="0.2">
      <c r="A13" s="1" t="str">
        <f>IF(ISBLANK(Values!E12),"",IF(Values!$B$37="EU","computercomponent","computer"))</f>
        <v>computer</v>
      </c>
      <c r="B13" s="33" t="str">
        <f>IF(ISBLANK(Values!E12),"",Values!F12)</f>
        <v>HP 840 BL black - US int</v>
      </c>
      <c r="C13" s="29" t="str">
        <f>IF(ISBLANK(Values!E12),"","TellusRem")</f>
        <v>TellusRem</v>
      </c>
      <c r="D13" s="28">
        <f>IF(ISBLANK(Values!E12),"",Values!E12)</f>
        <v>5714401844099</v>
      </c>
      <c r="E13" s="1" t="str">
        <f>IF(ISBLANK(Values!E12),"","EAN")</f>
        <v>EAN</v>
      </c>
      <c r="F13" s="27" t="str">
        <f>IF(ISBLANK(Values!E12),"",IF(Values!J12, SUBSTITUTE(Values!$B$1, "{language}", Values!H12) &amp; " " &amp;Values!$B$3, SUBSTITUTE(Values!$B$2, "{language}", Values!$H12) &amp; " " &amp;Values!$B$3))</f>
        <v>replacement US International backlit keyboard for HP    840 G1, 840 G2, 850 G1, 850 G2</v>
      </c>
      <c r="G13" s="29" t="str">
        <f>IF(ISBLANK(Values!E12),"","TellusRem")</f>
        <v>TellusRem</v>
      </c>
      <c r="H13" s="1" t="str">
        <f>IF(ISBLANK(Values!E12),"",Values!$B$16)</f>
        <v>computer-keyboards</v>
      </c>
      <c r="I13" s="1" t="str">
        <f>IF(ISBLANK(Values!E12),"","4730574031")</f>
        <v>4730574031</v>
      </c>
      <c r="J13" s="31" t="str">
        <f>IF(ISBLANK(Values!E12),"",Values!F12 )</f>
        <v>HP 840 BL black - US int</v>
      </c>
      <c r="K13" s="27">
        <f>IF(ISBLANK(Values!E12),"",IF(Values!J12, Values!$B$4, Values!$B$5))</f>
        <v>42.99</v>
      </c>
      <c r="L13" s="27">
        <f>IF(ISBLANK(Values!E12),"",IF($CO13="DEFAULT", Values!$B$18, ""))</f>
        <v>5</v>
      </c>
      <c r="M13" s="27" t="str">
        <f>IF(ISBLANK(Values!E12),"",Values!$M12)</f>
        <v>https://raw.githubusercontent.com/PatrickVibild/TellusAmazonPictures/master/pictures/HP/W. PS/840 G1 black/BL/USI/1.jpg</v>
      </c>
      <c r="N13" s="27" t="str">
        <f>IF(ISBLANK(Values!$F12),"",Values!N12)</f>
        <v>https://raw.githubusercontent.com/PatrickVibild/TellusAmazonPictures/master/pictures/HP/W. PS/840 G1 black/BL/USI/2.jpg</v>
      </c>
      <c r="O13" s="27" t="str">
        <f>IF(ISBLANK(Values!$F12),"",Values!O12)</f>
        <v>https://raw.githubusercontent.com/PatrickVibild/TellusAmazonPictures/master/pictures/HP/W. PS/840 G1 black/BL/USI/3.jpg</v>
      </c>
      <c r="P13" s="27" t="str">
        <f>IF(ISBLANK(Values!$F12),"",Values!P12)</f>
        <v>https://raw.githubusercontent.com/PatrickVibild/TellusAmazonPictures/master/pictures/HP/W. PS/840 G1 black/BL/USI/4.jpg</v>
      </c>
      <c r="Q13" s="27" t="str">
        <f>IF(ISBLANK(Values!$F12),"",Values!Q12)</f>
        <v>https://raw.githubusercontent.com/PatrickVibild/TellusAmazonPictures/master/pictures/HP/W. PS/840 G1 black/BL/USI/5.jpg</v>
      </c>
      <c r="R13" s="27" t="str">
        <f>IF(ISBLANK(Values!$F12),"",Values!R12)</f>
        <v>https://raw.githubusercontent.com/PatrickVibild/TellusAmazonPictures/master/pictures/HP/W. PS/840 G1 black/BL/USI/6.jpg</v>
      </c>
      <c r="S13" s="27" t="str">
        <f>IF(ISBLANK(Values!$F12),"",Values!S12)</f>
        <v>https://raw.githubusercontent.com/PatrickVibild/TellusAmazonPictures/master/pictures/HP/W. PS/840 G1 black/BL/USI/7.jpg</v>
      </c>
      <c r="T13" s="27" t="str">
        <f>IF(ISBLANK(Values!$F12),"",Values!T12)</f>
        <v>https://raw.githubusercontent.com/PatrickVibild/TellusAmazonPictures/master/pictures/HP/W. PS/840 G1 black/BL/USI/8.jpg</v>
      </c>
      <c r="U13" s="27" t="str">
        <f>IF(ISBLANK(Values!$F12),"",Values!U12)</f>
        <v>https://raw.githubusercontent.com/PatrickVibild/TellusAmazonPictures/master/pictures/HP/W. PS/840 G1 black/BL/USI/9.jpg</v>
      </c>
      <c r="W13" s="29" t="str">
        <f>IF(ISBLANK(Values!E12),"","Child")</f>
        <v>Child</v>
      </c>
      <c r="X13" s="29" t="str">
        <f>IF(ISBLANK(Values!E12),"",Values!$B$13)</f>
        <v>HP 840 G1 black parent</v>
      </c>
      <c r="Y13" s="31" t="str">
        <f>IF(ISBLANK(Values!E12),"","Size-Color")</f>
        <v>Size-Color</v>
      </c>
      <c r="Z13" s="29" t="str">
        <f>IF(ISBLANK(Values!E12),"","variation")</f>
        <v>variation</v>
      </c>
      <c r="AA13" s="1" t="str">
        <f>IF(ISBLANK(Values!E12),"",Values!$B$20)</f>
        <v>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34" t="str">
        <f>IF(ISBLANK(Values!E12),"",IF(Values!I12,Values!$B$23,Values!$B$33))</f>
        <v>👉 REFURBISHED:  SAVE MONEY -  Replacement HP laptop keyboard, same quality as OEM keyboards. TellusRem is the Leading keyboards distributor in the world since 2011. Perfect replacement keyboard, easy to replace and install.</v>
      </c>
      <c r="AJ13" s="3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840 G1, 840 G2, 850 G1, 850 G2</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with € symbol US International backlit.</v>
      </c>
      <c r="AM13" s="1" t="str">
        <f>SUBSTITUTE(IF(ISBLANK(Values!E12),"",Values!$B$27), "{model}", Values!$B$3)</f>
        <v>👉 COMPATIBLE WITH - HP 840 G1, 840 G2, 850 G1, 850 G2. Please check the picture and description carefully before purchasing any keyboard. This ensures that you get the correct laptop keyboard for your computer. Super easy installation.</v>
      </c>
      <c r="AT13" s="27" t="str">
        <f>IF(ISBLANK(Values!E12),"",Values!H12)</f>
        <v>US International</v>
      </c>
      <c r="AV13" s="1" t="str">
        <f>IF(ISBLANK(Values!E12),"",IF(Values!J12,"Backlit", "Non-Backlit"))</f>
        <v>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3" s="1" t="str">
        <f>IF(ISBLANK(Values!E12),"","No")</f>
        <v>No</v>
      </c>
      <c r="DA13" s="1" t="str">
        <f>IF(ISBLANK(Values!E12),"","No")</f>
        <v>No</v>
      </c>
      <c r="DO13" s="1" t="str">
        <f>IF(ISBLANK(Values!E12),"","Parts")</f>
        <v>Parts</v>
      </c>
      <c r="DP13" s="1" t="str">
        <f>IF(ISBLANK(Values!E12),"",Values!$B$31)</f>
        <v>6 month warranty after the delivery date. In case of any malfunction of the keyboard a new unit or a spare part for the keyboard of the product will be sent. In case of shortage of stock a full refund is issued.</v>
      </c>
      <c r="DY13" t="str">
        <f>IF(ISBLANK(Values!$E12), "", "not_applicable")</f>
        <v>not_applicable</v>
      </c>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f>IF(ISBLANK(Values!E12),"",IF(Values!J12, Values!$B$4, Values!$B$5))</f>
        <v>42.99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3">
        <f>K13</f>
        <v>42.99</v>
      </c>
    </row>
    <row r="14" spans="1:193" ht="48" x14ac:dyDescent="0.2">
      <c r="A14" s="1" t="str">
        <f>IF(ISBLANK(Values!E13),"",IF(Values!$B$37="EU","computercomponent","computer"))</f>
        <v>computer</v>
      </c>
      <c r="B14" s="33" t="str">
        <f>IF(ISBLANK(Values!E13),"",Values!F13)</f>
        <v>HP 840 BL black - US</v>
      </c>
      <c r="C14" s="29" t="str">
        <f>IF(ISBLANK(Values!E13),"","TellusRem")</f>
        <v>TellusRem</v>
      </c>
      <c r="D14" s="28">
        <f>IF(ISBLANK(Values!E13),"",Values!E13)</f>
        <v>5714401844105</v>
      </c>
      <c r="E14" s="1" t="str">
        <f>IF(ISBLANK(Values!E13),"","EAN")</f>
        <v>EAN</v>
      </c>
      <c r="F14" s="27" t="str">
        <f>IF(ISBLANK(Values!E13),"",IF(Values!J13, SUBSTITUTE(Values!$B$1, "{language}", Values!H13) &amp; " " &amp;Values!$B$3, SUBSTITUTE(Values!$B$2, "{language}", Values!$H13) &amp; " " &amp;Values!$B$3))</f>
        <v>replacement US backlit keyboard for HP    840 G1, 840 G2, 850 G1, 850 G2</v>
      </c>
      <c r="G14" s="29" t="str">
        <f>IF(ISBLANK(Values!E13),"","TellusRem")</f>
        <v>TellusRem</v>
      </c>
      <c r="H14" s="1" t="str">
        <f>IF(ISBLANK(Values!E13),"",Values!$B$16)</f>
        <v>computer-keyboards</v>
      </c>
      <c r="I14" s="1" t="str">
        <f>IF(ISBLANK(Values!E13),"","4730574031")</f>
        <v>4730574031</v>
      </c>
      <c r="J14" s="31" t="str">
        <f>IF(ISBLANK(Values!E13),"",Values!F13 )</f>
        <v>HP 840 BL black - US</v>
      </c>
      <c r="K14" s="27">
        <f>IF(ISBLANK(Values!E13),"",IF(Values!J13, Values!$B$4, Values!$B$5))</f>
        <v>42.99</v>
      </c>
      <c r="L14" s="27" t="str">
        <f>IF(ISBLANK(Values!E13),"",IF($CO14="DEFAULT", Values!$B$18, ""))</f>
        <v/>
      </c>
      <c r="M14" s="27" t="str">
        <f>IF(ISBLANK(Values!E13),"",Values!$M13)</f>
        <v>https://raw.githubusercontent.com/PatrickVibild/TellusAmazonPictures/master/pictures/HP/W. PS/840 G1 black/BL/US/1.jpg</v>
      </c>
      <c r="N14" s="27" t="str">
        <f>IF(ISBLANK(Values!$F13),"",Values!N13)</f>
        <v>https://raw.githubusercontent.com/PatrickVibild/TellusAmazonPictures/master/pictures/HP/W. PS/840 G1 black/BL/US/2.jpg</v>
      </c>
      <c r="O14" s="27" t="str">
        <f>IF(ISBLANK(Values!$F13),"",Values!O13)</f>
        <v>https://raw.githubusercontent.com/PatrickVibild/TellusAmazonPictures/master/pictures/HP/W. PS/840 G1 black/BL/US/3.jpg</v>
      </c>
      <c r="P14" s="27" t="str">
        <f>IF(ISBLANK(Values!$F13),"",Values!P13)</f>
        <v>https://raw.githubusercontent.com/PatrickVibild/TellusAmazonPictures/master/pictures/HP/W. PS/840 G1 black/BL/US/4.jpg</v>
      </c>
      <c r="Q14" s="27" t="str">
        <f>IF(ISBLANK(Values!$F13),"",Values!Q13)</f>
        <v>https://raw.githubusercontent.com/PatrickVibild/TellusAmazonPictures/master/pictures/HP/W. PS/840 G1 black/BL/US/5.jpg</v>
      </c>
      <c r="R14" s="27" t="str">
        <f>IF(ISBLANK(Values!$F13),"",Values!R13)</f>
        <v>https://raw.githubusercontent.com/PatrickVibild/TellusAmazonPictures/master/pictures/HP/W. PS/840 G1 black/BL/US/6.jpg</v>
      </c>
      <c r="S14" s="27" t="str">
        <f>IF(ISBLANK(Values!$F13),"",Values!S13)</f>
        <v>https://raw.githubusercontent.com/PatrickVibild/TellusAmazonPictures/master/pictures/HP/W. PS/840 G1 black/BL/US/7.jpg</v>
      </c>
      <c r="T14" s="27" t="str">
        <f>IF(ISBLANK(Values!$F13),"",Values!T13)</f>
        <v>https://raw.githubusercontent.com/PatrickVibild/TellusAmazonPictures/master/pictures/HP/W. PS/840 G1 black/BL/US/8.jpg</v>
      </c>
      <c r="U14" s="27" t="str">
        <f>IF(ISBLANK(Values!$F13),"",Values!U13)</f>
        <v>https://raw.githubusercontent.com/PatrickVibild/TellusAmazonPictures/master/pictures/HP/W. PS/840 G1 black/BL/US/9.jpg</v>
      </c>
      <c r="W14" s="29" t="str">
        <f>IF(ISBLANK(Values!E13),"","Child")</f>
        <v>Child</v>
      </c>
      <c r="X14" s="29" t="str">
        <f>IF(ISBLANK(Values!E13),"",Values!$B$13)</f>
        <v>HP 840 G1 black parent</v>
      </c>
      <c r="Y14" s="31" t="str">
        <f>IF(ISBLANK(Values!E13),"","Size-Color")</f>
        <v>Size-Color</v>
      </c>
      <c r="Z14" s="29" t="str">
        <f>IF(ISBLANK(Values!E13),"","variation")</f>
        <v>variation</v>
      </c>
      <c r="AA14" s="1" t="str">
        <f>IF(ISBLANK(Values!E13),"",Values!$B$20)</f>
        <v>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34" t="str">
        <f>IF(ISBLANK(Values!E13),"",IF(Values!I13,Values!$B$23,Values!$B$33))</f>
        <v>👉 REFURBISHED:  SAVE MONEY -  Replacement HP laptop keyboard, same quality as OEM keyboards. TellusRem is the Leading keyboards distributor in the world since 2011. Perfect replacement keyboard, easy to replace and install.</v>
      </c>
      <c r="AJ14" s="3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840 G1, 840 G2, 850 G1, 850 G2</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US backlit.</v>
      </c>
      <c r="AM14" s="1" t="str">
        <f>SUBSTITUTE(IF(ISBLANK(Values!E13),"",Values!$B$27), "{model}", Values!$B$3)</f>
        <v>👉 COMPATIBLE WITH - HP 840 G1, 840 G2, 850 G1, 850 G2. Please check the picture and description carefully before purchasing any keyboard. This ensures that you get the correct laptop keyboard for your computer. Super easy installation.</v>
      </c>
      <c r="AT14" s="27" t="str">
        <f>IF(ISBLANK(Values!E13),"",Values!H13)</f>
        <v>US</v>
      </c>
      <c r="AV14" s="1" t="str">
        <f>IF(ISBLANK(Values!E13),"",IF(Values!J13,"Backlit", "Non-Backlit"))</f>
        <v>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AMAZON_NA</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4" s="1" t="str">
        <f>IF(ISBLANK(Values!E13),"","No")</f>
        <v>No</v>
      </c>
      <c r="DA14" s="1" t="str">
        <f>IF(ISBLANK(Values!E13),"","No")</f>
        <v>No</v>
      </c>
      <c r="DO14" s="1" t="str">
        <f>IF(ISBLANK(Values!E13),"","Parts")</f>
        <v>Parts</v>
      </c>
      <c r="DP14" s="1" t="str">
        <f>IF(ISBLANK(Values!E13),"",Values!$B$31)</f>
        <v>6 month warranty after the delivery date. In case of any malfunction of the keyboard a new unit or a spare part for the keyboard of the product will be sent. In case of shortage of stock a full refund is issued.</v>
      </c>
      <c r="DY14" t="str">
        <f>IF(ISBLANK(Values!$E13), "", "not_applicable")</f>
        <v>not_applicable</v>
      </c>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1" t="str">
        <f>IF(ISBLANK(Values!E13),"","New")</f>
        <v>New</v>
      </c>
      <c r="FE14" s="1" t="str">
        <f>IF(ISBLANK(Values!E13),"",IF(CO14&lt;&gt;"DEFAULT", "", 3))</f>
        <v/>
      </c>
      <c r="FH14" s="1" t="str">
        <f>IF(ISBLANK(Values!E13),"","FALSE")</f>
        <v>FALSE</v>
      </c>
      <c r="FI14" s="1" t="str">
        <f>IF(ISBLANK(Values!E13),"","FALSE")</f>
        <v>FALSE</v>
      </c>
      <c r="FJ14" s="1" t="str">
        <f>IF(ISBLANK(Values!E13),"","FALSE")</f>
        <v>FALSE</v>
      </c>
      <c r="FM14" s="1" t="str">
        <f>IF(ISBLANK(Values!E13),"","1")</f>
        <v>1</v>
      </c>
      <c r="FO14" s="27">
        <f>IF(ISBLANK(Values!E13),"",IF(Values!J13, Values!$B$4, Values!$B$5))</f>
        <v>42.99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3">
        <f>K14</f>
        <v>42.99</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3"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3"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3"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3"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3"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3"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3"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3"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4"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4" t="str">
        <f>K24</f>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4"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4"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4"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4"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4"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4"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4"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4"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4"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4"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4"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4"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4"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4"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4"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4"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4"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3"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3"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3"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3"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3"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3"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3"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3"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5">
      <formula>IF(LEN(C4)&gt;0,1,0)</formula>
    </cfRule>
    <cfRule type="expression" dxfId="524" priority="996">
      <formula>IF(VLOOKUP($C$3,#NAME?,MATCH($A4,#NAME?,0)+1,0)&gt;0,1,0)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22">
      <formula>AND(IF(IFERROR(VLOOKUP($C$3,#NAME?,MATCH($A5,#NAME?,0)+1,0),0)&gt;0,0,1),IF(IFERROR(VLOOKUP($C$3,#NAME?,MATCH($A5,#NAME?,0)+1,0),0)&gt;0,0,1),IF(IFERROR(VLOOKUP($C$3,#NAME?,MATCH($A5,#NAME?,0)+1,0),0)&gt;0,0,1),IF(IFERROR(MATCH($A5,#NAME?,0),0)&gt;0,1,0))</formula>
    </cfRule>
    <cfRule type="expression" dxfId="521" priority="19">
      <formula>IF(VLOOKUP($C$3,#NAME?,MATCH($A5,#NAME?,0)+1,0)&gt;0,1,0)</formula>
    </cfRule>
    <cfRule type="expression" dxfId="520" priority="18">
      <formula>IF(LEN(C5)&gt;0,1,0)</formula>
    </cfRule>
  </conditionalFormatting>
  <conditionalFormatting sqref="D4:D1048576">
    <cfRule type="expression" dxfId="519" priority="27">
      <formula>AND(IF(IFERROR(VLOOKUP($D$3,#NAME?,MATCH($A4,#NAME?,0)+1,0),0)&gt;0,0,1),IF(IFERROR(VLOOKUP($D$3,#NAME?,MATCH($A4,#NAME?,0)+1,0),0)&gt;0,0,1),IF(IFERROR(VLOOKUP($D$3,#NAME?,MATCH($A4,#NAME?,0)+1,0),0)&gt;0,0,1),IF(IFERROR(MATCH($A4,#NAME?,0),0)&gt;0,1,0))</formula>
    </cfRule>
    <cfRule type="expression" dxfId="518" priority="24">
      <formula>IF(VLOOKUP($D$3,#NAME?,MATCH($A4,#NAME?,0)+1,0)&gt;0,1,0)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5">
      <formula>IF(LEN(G4)&gt;0,1,0)</formula>
    </cfRule>
    <cfRule type="expression" dxfId="507" priority="1019">
      <formula>AND(IF(IFERROR(VLOOKUP($G$3,#NAME?,MATCH($A4,#NAME?,0)+1,0),0)&gt;0,0,1),IF(IFERROR(VLOOKUP($G$3,#NAME?,MATCH($A4,#NAME?,0)+1,0),0)&gt;0,0,1),IF(IFERROR(VLOOKUP($G$3,#NAME?,MATCH($A4,#NAME?,0)+1,0),0)&gt;0,0,1),IF(IFERROR(MATCH($A4,#NAME?,0),0)&gt;0,1,0))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9">
      <formula>AND(IF(IFERROR(VLOOKUP($L$3,#NAME?,MATCH($A4,#NAME?,0)+1,0),0)&gt;0,0,1),IF(IFERROR(VLOOKUP($L$3,#NAME?,MATCH($A4,#NAME?,0)+1,0),0)&gt;0,0,1),IF(IFERROR(VLOOKUP($L$3,#NAME?,MATCH($A4,#NAME?,0)+1,0),0)&gt;0,0,1),IF(IFERROR(MATCH($A4,#NAME?,0),0)&gt;0,1,0))</formula>
    </cfRule>
    <cfRule type="expression" dxfId="494" priority="1036">
      <formula>IF(VLOOKUP($L$3,#NAME?,MATCH($A4,#NAME?,0)+1,0)&gt;0,1,0)</formula>
    </cfRule>
  </conditionalFormatting>
  <conditionalFormatting sqref="L5:L1048576">
    <cfRule type="expression" dxfId="493" priority="58">
      <formula>IF(LEN(L6)&gt;0,1,0)</formula>
    </cfRule>
    <cfRule type="expression" dxfId="492" priority="59">
      <formula>IF(VLOOKUP($L$3,#NAME?,MATCH($A5,#NAME?,0)+1,0)&gt;0,1,0)</formula>
    </cfRule>
    <cfRule type="expression" dxfId="491"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3">
      <formula>IF(LEN(M5)&gt;0,1,0)</formula>
    </cfRule>
    <cfRule type="expression" dxfId="487" priority="64">
      <formula>IF(VLOOKUP($M$3,#NAME?,MATCH($A5,#NAME?,0)+1,0)&gt;0,1,0)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19">
      <formula>IF(VLOOKUP($X$3,#NAME?,MATCH($A5,#NAME?,0)+1,0)&gt;0,1,0)</formula>
    </cfRule>
    <cfRule type="expression" dxfId="452" priority="122">
      <formula>AND(IF(IFERROR(VLOOKUP($X$3,#NAME?,MATCH($A5,#NAME?,0)+1,0),0)&gt;0,0,1),IF(IFERROR(VLOOKUP($X$3,#NAME?,MATCH($A5,#NAME?,0)+1,0),0)&gt;0,0,1),IF(IFERROR(VLOOKUP($X$3,#NAME?,MATCH($A5,#NAME?,0)+1,0),0)&gt;0,0,1),IF(IFERROR(MATCH($A5,#NAME?,0),0)&gt;0,1,0))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0">
      <formula>IF(LEN(Z4)&gt;0,1,0)</formula>
    </cfRule>
    <cfRule type="expression" dxfId="448" priority="1061">
      <formula>IF(VLOOKUP($Q$3,#NAME?,MATCH($A4,#NAME?,0)+1,0)&gt;0,1,0)</formula>
    </cfRule>
    <cfRule type="expression" dxfId="447"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46" priority="129">
      <formula>IF(VLOOKUP($Z$3,#NAME?,MATCH($A5,#NAME?,0)+1,0)&gt;0,1,0)</formula>
    </cfRule>
    <cfRule type="expression" dxfId="445"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4" priority="134">
      <formula>IF(VLOOKUP($AA$3,#NAME?,MATCH($A4,#NAME?,0)+1,0)&gt;0,1,0)</formula>
    </cfRule>
    <cfRule type="expression" dxfId="443" priority="133">
      <formula>IF(LEN(AA4)&gt;0,1,0)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4">
      <formula>IF(VLOOKUP($AO$3,#NAME?,MATCH($A4,#NAME?,0)+1,0)&gt;0,1,0)</formula>
    </cfRule>
    <cfRule type="expression" dxfId="40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8">
      <formula>IF(LEN(AT4)&gt;0,1,0)</formula>
    </cfRule>
    <cfRule type="expression" dxfId="397" priority="229">
      <formula>IF(VLOOKUP($AT$3,#NAME?,MATCH($A4,#NAME?,0)+1,0)&gt;0,1,0)</formula>
    </cfRule>
    <cfRule type="expression" dxfId="396"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49">
      <formula>IF(VLOOKUP($AX$3,#NAME?,MATCH($A4,#NAME?,0)+1,0)&gt;0,1,0)</formula>
    </cfRule>
    <cfRule type="expression" dxfId="386"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59">
      <formula>IF(VLOOKUP($AZ$3,#NAME?,MATCH($A4,#NAME?,0)+1,0)&gt;0,1,0)</formula>
    </cfRule>
    <cfRule type="expression" dxfId="381"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69">
      <formula>IF(VLOOKUP($BB$3,#NAME?,MATCH($A4,#NAME?,0)+1,0)&gt;0,1,0)</formula>
    </cfRule>
    <cfRule type="expression" dxfId="37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6" priority="274">
      <formula>IF(VLOOKUP($BC$3,#NAME?,MATCH($A4,#NAME?,0)+1,0)&gt;0,1,0)</formula>
    </cfRule>
    <cfRule type="expression" dxfId="375"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74" priority="279">
      <formula>IF(VLOOKUP($BD$3,#NAME?,MATCH($A4,#NAME?,0)+1,0)&gt;0,1,0)</formula>
    </cfRule>
    <cfRule type="expression" dxfId="373"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299">
      <formula>IF(VLOOKUP($BH$3,#NAME?,MATCH($A5,#NAME?,0)+1,0)&gt;0,1,0)</formula>
    </cfRule>
    <cfRule type="expression" dxfId="364"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3" priority="304">
      <formula>IF(VLOOKUP($BI$3,#NAME?,MATCH($A4,#NAME?,0)+1,0)&gt;0,1,0)</formula>
    </cfRule>
    <cfRule type="expression" dxfId="362"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4">
      <formula>IF(VLOOKUP($CG$3,#NAME?,MATCH($A4,#NAME?,0)+1,0)&gt;0,1,0)</formula>
    </cfRule>
    <cfRule type="expression" dxfId="313"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12" priority="429">
      <formula>IF(VLOOKUP($CH$3,#NAME?,MATCH($A4,#NAME?,0)+1,0)&gt;0,1,0)</formula>
    </cfRule>
    <cfRule type="expression" dxfId="311"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10" priority="434">
      <formula>IF(VLOOKUP($CI$3,#NAME?,MATCH($A4,#NAME?,0)+1,0)&gt;0,1,0)</formula>
    </cfRule>
    <cfRule type="expression" dxfId="309"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4">
      <formula>IF(VLOOKUP($CK$3,#NAME?,MATCH($A4,#NAME?,0)+1,0)&gt;0,1,0)</formula>
    </cfRule>
    <cfRule type="expression" dxfId="305"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4">
      <formula>IF(VLOOKUP($CO$3,#NAME?,MATCH($A4,#NAME?,0)+1,0)&gt;0,1,0)</formula>
    </cfRule>
    <cfRule type="expression" dxfId="297" priority="7">
      <formula>AND(IF(IFERROR(VLOOKUP($CO$3,#NAME?,MATCH($A4,#NAME?,0)+1,0),0)&gt;0,0,1),IF(IFERROR(VLOOKUP($CO$3,#NAME?,MATCH($A4,#NAME?,0)+1,0),0)&gt;0,0,1),IF(IFERROR(VLOOKUP($CO$3,#NAME?,MATCH($A4,#NAME?,0)+1,0),0)&gt;0,0,1),IF(IFERROR(MATCH($A4,#NAME?,0),0)&gt;0,1,0))</formula>
    </cfRule>
    <cfRule type="expression" dxfId="296" priority="2">
      <formula>IF($W4&lt;&gt;"Parent",0,1)</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4">
      <formula>IF(VLOOKUP($CT$3,#NAME?,MATCH($A4,#NAME?,0)+1,0)&gt;0,1,0)</formula>
    </cfRule>
    <cfRule type="expression" dxfId="283"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4">
      <formula>IF(VLOOKUP($CV$3,#NAME?,MATCH($A4,#NAME?,0)+1,0)&gt;0,1,0)</formula>
    </cfRule>
    <cfRule type="expression" dxfId="279"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3">
      <formula>AND(IF(IFERROR(VLOOKUP($CY$3,#NAME?,MATCH($A4,#NAME?,0)+1,0),0)&gt;0,0,1),IF(IFERROR(VLOOKUP($CY$3,#NAME?,MATCH($A4,#NAME?,0)+1,0),0)&gt;0,0,1),IF(IFERROR(VLOOKUP($CY$3,#NAME?,MATCH($A4,#NAME?,0)+1,0),0)&gt;0,0,1),IF(IFERROR(MATCH($A4,#NAME?,0),0)&gt;0,1,0))</formula>
    </cfRule>
    <cfRule type="expression" dxfId="273" priority="510">
      <formula>IF(VLOOKUP($CY$3,#NAME?,MATCH($A4,#NAME?,0)+1,0)&gt;0,1,0)</formula>
    </cfRule>
    <cfRule type="expression" dxfId="272" priority="509">
      <formula>IF(LEN(CY4)&gt;0,1,0)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7" priority="533">
      <formula>IF(LEN(DC4)&gt;0,1,0)</formula>
    </cfRule>
    <cfRule type="expression" dxfId="256" priority="534">
      <formula>IF(VLOOKUP($DC$3,#NAME?,MATCH($A4,#NAME?,0)+1,0)&gt;0,1,0)</formula>
    </cfRule>
    <cfRule type="expression" dxfId="255"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54" priority="540">
      <formula>IF(VLOOKUP($DD$3,#NAME?,MATCH($A4,#NAME?,0)+1,0)&gt;0,1,0)</formula>
    </cfRule>
    <cfRule type="expression" dxfId="253" priority="539">
      <formula>IF(LEN(DD4)&gt;0,1,0)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5">
      <formula>IF(LEN(DE4)&gt;0,1,0)</formula>
    </cfRule>
    <cfRule type="expression" dxfId="249" priority="546">
      <formula>IF(VLOOKUP($DE$3,#NAME?,MATCH($A4,#NAME?,0)+1,0)&gt;0,1,0)</formula>
    </cfRule>
    <cfRule type="expression" dxfId="248" priority="549">
      <formula>AND(IF(IFERROR(VLOOKUP($DE$3,#NAME?,MATCH($A4,#NAME?,0)+1,0),0)&gt;0,0,1),IF(IFERROR(VLOOKUP($DE$3,#NAME?,MATCH($A4,#NAME?,0)+1,0),0)&gt;0,0,1),IF(IFERROR(VLOOKUP($DE$3,#NAME?,MATCH($A4,#NAME?,0)+1,0),0)&gt;0,0,1),IF(IFERROR(MATCH($A4,#NAME?,0),0)&gt;0,1,0))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7" priority="563">
      <formula>IF(LEN(DH4)&gt;0,1,0)</formula>
    </cfRule>
    <cfRule type="expression" dxfId="236" priority="564">
      <formula>IF(VLOOKUP($DH$3,#NAME?,MATCH($A4,#NAME?,0)+1,0)&gt;0,1,0)</formula>
    </cfRule>
    <cfRule type="expression" dxfId="235"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6">
      <formula>IF(VLOOKUP($DJ$3,#NAME?,MATCH($A4,#NAME?,0)+1,0)&gt;0,1,0)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5">
      <formula>IF(LEN(DJ4)&gt;0,1,0)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1">
      <formula>IF(LEN(DK4)&gt;0,1,0)</formula>
    </cfRule>
    <cfRule type="expression" dxfId="224" priority="582">
      <formula>IF(VLOOKUP($DK$3,#NAME?,MATCH($A4,#NAME?,0)+1,0)&gt;0,1,0)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3">
      <formula>IF(LEN(DQ4)&gt;0,1,0)</formula>
    </cfRule>
    <cfRule type="expression" dxfId="207" priority="612">
      <formula>AND(AND(OR(AND(OR(OR(NOT(DY4&lt;&gt;"Not Applicable"),DY4=""))),AND(OR(OR(NOT(DZ4&lt;&gt;"Not Applicable"),DZ4=""))),AND(OR(OR(NOT(EA4&lt;&gt;"Not Applicable"),EA4=""))),AND(OR(OR(NOT(EB4&lt;&gt;"Not Applicable"),EB4=""))),AND(OR(OR(NOT(EC4&lt;&gt;"Not Applicable"),EC4="")))),A4&lt;&gt;""))</formula>
    </cfRule>
    <cfRule type="expression" dxfId="206" priority="614">
      <formula>IF(VLOOKUP($DQ$3,#NAME?,MATCH($A4,#NAME?,0)+1,0)&gt;0,1,0)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20">
      <formula>IF(VLOOKUP($DR$3,#NAME?,MATCH($A4,#NAME?,0)+1,0)&gt;0,1,0)</formula>
    </cfRule>
    <cfRule type="expression" dxfId="203" priority="623">
      <formula>AND(IF(IFERROR(VLOOKUP($DR$3,#NAME?,MATCH($A4,#NAME?,0)+1,0),0)&gt;0,0,1),IF(IFERROR(VLOOKUP($DR$3,#NAME?,MATCH($A4,#NAME?,0)+1,0),0)&gt;0,0,1),IF(IFERROR(VLOOKUP($DR$3,#NAME?,MATCH($A4,#NAME?,0)+1,0),0)&gt;0,0,1),IF(IFERROR(MATCH($A4,#NAME?,0),0)&gt;0,1,0))</formula>
    </cfRule>
    <cfRule type="expression" dxfId="202" priority="619">
      <formula>IF(LEN(DR4)&gt;0,1,0)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0" priority="641">
      <formula>IF(LEN(DV4)&gt;0,1,0)</formula>
    </cfRule>
    <cfRule type="expression" dxfId="189" priority="642">
      <formula>IF(VLOOKUP($DV$3,#NAME?,MATCH($A4,#NAME?,0)+1,0)&gt;0,1,0)</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48">
      <formula>IF(VLOOKUP($DW$3,#NAME?,MATCH($A4,#NAME?,0)+1,0)&gt;0,1,0)</formula>
    </cfRule>
    <cfRule type="expression" dxfId="186" priority="647">
      <formula>IF(LEN(DW4)&gt;0,1,0)</formula>
    </cfRule>
    <cfRule type="expression" dxfId="185" priority="651">
      <formula>AND(IF(IFERROR(VLOOKUP($DW$3,#NAME?,MATCH($A4,#NAME?,0)+1,0),0)&gt;0,0,1),IF(IFERROR(VLOOKUP($DW$3,#NAME?,MATCH($A4,#NAME?,0)+1,0),0)&gt;0,0,1),IF(IFERROR(VLOOKUP($DW$3,#NAME?,MATCH($A4,#NAME?,0)+1,0),0)&gt;0,0,1),IF(IFERROR(MATCH($A4,#NAME?,0),0)&gt;0,1,0))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3">
      <formula>IF(LEN(DX4)&gt;0,1,0)</formula>
    </cfRule>
    <cfRule type="expression" dxfId="182" priority="654">
      <formula>IF(VLOOKUP($DX$3,#NAME?,MATCH($A4,#NAME?,0)+1,0)&gt;0,1,0)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58">
      <formula>AND(AND(OR(AND(OR(OR(NOT(CO4&lt;&gt;"DEFAULT"),CO4="")))),A4&lt;&gt;""))</formula>
    </cfRule>
    <cfRule type="expression" dxfId="178" priority="659">
      <formula>IF(LEN(DY4)&gt;0,1,0)</formula>
    </cfRule>
    <cfRule type="expression" dxfId="177" priority="660">
      <formula>IF(VLOOKUP($DY$3,#NAME?,MATCH($A4,#NAME?,0)+1,0)&gt;0,1,0)</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4">
      <formula>AND(AND(OR(AND(OR(OR(NOT(CO4&lt;&gt;"DEFAULT"),CO4="")))),A4&lt;&gt;""))</formula>
    </cfRule>
    <cfRule type="expression" dxfId="174" priority="665">
      <formula>IF(LEN(DZ4)&gt;0,1,0)</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0">
      <formula>AND(AND(OR(AND(OR(OR(NOT(CO4&lt;&gt;"DEFAULT"),CO4="")))),A4&lt;&gt;""))</formula>
    </cfRule>
    <cfRule type="expression" dxfId="170" priority="671">
      <formula>IF(LEN(EA4)&gt;0,1,0)</formula>
    </cfRule>
    <cfRule type="expression" dxfId="169" priority="672">
      <formula>IF(VLOOKUP($EA$3,#NAME?,MATCH($A4,#NAME?,0)+1,0)&gt;0,1,0)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76">
      <formula>AND(AND(OR(AND(OR(OR(NOT(CO4&lt;&gt;"DEFAULT"),CO4="")))),A4&lt;&gt;""))</formula>
    </cfRule>
    <cfRule type="expression" dxfId="166" priority="677">
      <formula>IF(LEN(EB4)&gt;0,1,0)</formula>
    </cfRule>
    <cfRule type="expression" dxfId="165" priority="678">
      <formula>IF(VLOOKUP($EB$3,#NAME?,MATCH($A4,#NAME?,0)+1,0)&gt;0,1,0)</formula>
    </cfRule>
    <cfRule type="expression" dxfId="164"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7">
      <formula>AND(IF(IFERROR(VLOOKUP($EC$3,#NAME?,MATCH($A4,#NAME?,0)+1,0),0)&gt;0,0,1),IF(IFERROR(VLOOKUP($EC$3,#NAME?,MATCH($A4,#NAME?,0)+1,0),0)&gt;0,0,1),IF(IFERROR(VLOOKUP($EC$3,#NAME?,MATCH($A4,#NAME?,0)+1,0),0)&gt;0,0,1),IF(IFERROR(MATCH($A4,#NAME?,0),0)&gt;0,1,0))</formula>
    </cfRule>
    <cfRule type="expression" dxfId="160" priority="684">
      <formula>IF(VLOOKUP($EC$3,#NAME?,MATCH($A4,#NAME?,0)+1,0)&gt;0,1,0)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2">
      <formula>AND(AND(OR(AND(AND(OR(NOT(DY4="GHS"),DY4=""))),AND(AND(OR(NOT(DZ4="GHS"),DZ4=""))),AND(AND(OR(NOT(EA4="GHS"),EA4=""))),AND(AND(OR(NOT(EB4="GHS"),EB4=""))),AND(AND(OR(NOT(EC4="GHS"),EC4="")))),A4&lt;&gt;""))</formula>
    </cfRule>
    <cfRule type="expression" dxfId="137" priority="723">
      <formula>IF(LEN(EJ4)&gt;0,1,0)</formula>
    </cfRule>
    <cfRule type="expression" dxfId="136" priority="724">
      <formula>IF(VLOOKUP($EJ$3,#NAME?,MATCH($A4,#NAME?,0)+1,0)&gt;0,1,0)</formula>
    </cfRule>
  </conditionalFormatting>
  <conditionalFormatting sqref="EK4:EK1048576">
    <cfRule type="expression" dxfId="135" priority="730">
      <formula>IF(VLOOKUP($EK$3,#NAME?,MATCH($A4,#NAME?,0)+1,0)&gt;0,1,0)</formula>
    </cfRule>
    <cfRule type="expression" dxfId="134" priority="728">
      <formula>AND(AND(OR(AND(AND(OR(NOT(DY4="GHS"),DY4=""))),AND(AND(OR(NOT(DZ4="GHS"),DZ4=""))),AND(AND(OR(NOT(EA4="GHS"),EA4=""))),AND(AND(OR(NOT(EB4="GHS"),EB4=""))),AND(AND(OR(NOT(EC4="GHS"),EC4="")))),A4&lt;&gt;""))</formula>
    </cfRule>
    <cfRule type="expression" dxfId="133" priority="729">
      <formula>IF(LEN(EK4)&gt;0,1,0)</formula>
    </cfRule>
    <cfRule type="expression" dxfId="132"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31" priority="734">
      <formula>AND(AND(OR(AND(AND(OR(NOT(DY4="GHS"),DY4=""))),AND(AND(OR(NOT(DZ4="GHS"),DZ4=""))),AND(AND(OR(NOT(EA4="GHS"),EA4=""))),AND(AND(OR(NOT(EB4="GHS"),EB4=""))),AND(AND(OR(NOT(EC4="GHS"),EC4="")))),A4&lt;&gt;""))</formula>
    </cfRule>
    <cfRule type="expression" dxfId="130" priority="736">
      <formula>IF(VLOOKUP($EL$3,#NAME?,MATCH($A4,#NAME?,0)+1,0)&gt;0,1,0)</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9">
      <formula>AND(IF(IFERROR(VLOOKUP($EN$3,#NAME?,MATCH($A4,#NAME?,0)+1,0),0)&gt;0,0,1),IF(IFERROR(VLOOKUP($EN$3,#NAME?,MATCH($A4,#NAME?,0)+1,0),0)&gt;0,0,1),IF(IFERROR(VLOOKUP($EN$3,#NAME?,MATCH($A4,#NAME?,0)+1,0),0)&gt;0,0,1),IF(IFERROR(MATCH($A4,#NAME?,0),0)&gt;0,1,0))</formula>
    </cfRule>
    <cfRule type="expression" dxfId="124" priority="746">
      <formula>IF(VLOOKUP($EN$3,#NAME?,MATCH($A4,#NAME?,0)+1,0)&gt;0,1,0)</formula>
    </cfRule>
  </conditionalFormatting>
  <conditionalFormatting sqref="EO4:EO1048576">
    <cfRule type="expression" dxfId="123" priority="754">
      <formula>AND(IF(IFERROR(VLOOKUP($EO$3,#NAME?,MATCH($A4,#NAME?,0)+1,0),0)&gt;0,0,1),IF(IFERROR(VLOOKUP($EO$3,#NAME?,MATCH($A4,#NAME?,0)+1,0),0)&gt;0,0,1),IF(IFERROR(VLOOKUP($EO$3,#NAME?,MATCH($A4,#NAME?,0)+1,0),0)&gt;0,0,1),IF(IFERROR(MATCH($A4,#NAME?,0),0)&gt;0,1,0))</formula>
    </cfRule>
    <cfRule type="expression" dxfId="122" priority="751">
      <formula>IF(VLOOKUP($EO$3,#NAME?,MATCH($A4,#NAME?,0)+1,0)&gt;0,1,0)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6">
      <formula>IF(VLOOKUP($FD$3,#NAME?,MATCH($A4,#NAME?,0)+1,0)&gt;0,1,0)</formula>
    </cfRule>
    <cfRule type="expression" dxfId="92"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6">
      <formula>IF(VLOOKUP($FF$3,#NAME?,MATCH($A4,#NAME?,0)+1,0)&gt;0,1,0)</formula>
    </cfRule>
    <cfRule type="expression" dxfId="88"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87" priority="841">
      <formula>IF(VLOOKUP($FG$3,#NAME?,MATCH($A4,#NAME?,0)+1,0)&gt;0,1,0)</formula>
    </cfRule>
    <cfRule type="expression" dxfId="86"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4">
      <formula>IF(VLOOKUP($K$3,#NAME?,MATCH($A5,#NAME?,0)+1,0)&gt;0,1,0)</formula>
    </cfRule>
    <cfRule type="expression" dxfId="63"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6">
      <formula>IF(VLOOKUP($FT$3,#NAME?,MATCH($A4,#NAME?,0)+1,0)&gt;0,1,0)</formula>
    </cfRule>
    <cfRule type="expression" dxfId="49"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6">
      <formula>IF(VLOOKUP($FV$3,#NAME?,MATCH($A4,#NAME?,0)+1,0)&gt;0,1,0)</formula>
    </cfRule>
    <cfRule type="expression" dxfId="4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1">
      <formula>IF(VLOOKUP($GC$3,#NAME?,MATCH($A4,#NAME?,0)+1,0)&gt;0,1,0)</formula>
    </cfRule>
    <cfRule type="expression" dxfId="31"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30" priority="956">
      <formula>IF(VLOOKUP($GD$3,#NAME?,MATCH($A4,#NAME?,0)+1,0)&gt;0,1,0)</formula>
    </cfRule>
    <cfRule type="expression" dxfId="29"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K14" sqref="K14"/>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62" t="s">
        <v>352</v>
      </c>
      <c r="F1" s="62"/>
      <c r="G1" s="62"/>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row>
    <row r="3" spans="1:22" x14ac:dyDescent="0.15">
      <c r="A3" s="37" t="s">
        <v>354</v>
      </c>
      <c r="B3" s="60" t="s">
        <v>677</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2" x14ac:dyDescent="0.15">
      <c r="A4" s="37" t="s">
        <v>369</v>
      </c>
      <c r="B4" s="41">
        <v>42.99</v>
      </c>
      <c r="C4" s="42" t="b">
        <f>FALSE()</f>
        <v>0</v>
      </c>
      <c r="D4" s="42" t="b">
        <f>TRUE()</f>
        <v>1</v>
      </c>
      <c r="E4" s="61">
        <v>5714401844013</v>
      </c>
      <c r="F4" s="60" t="s">
        <v>678</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v>1</v>
      </c>
      <c r="K4" s="36" t="s">
        <v>686</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 PS/840 G1 black/BL/DE/1.jpg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 PS/840 G1 black/BL/DE/2.jpg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 PS/840 G1 black/BL/DE/3.jpg</v>
      </c>
      <c r="P4" t="str">
        <f t="shared" ref="P4:P35" si="3">IF(ISBLANK(K4),"",IF(L4, "https://raw.githubusercontent.com/PatrickVibild/TellusAmazonPictures/master/pictures/"&amp;K4&amp;"/4.jpg", ""))</f>
        <v>https://raw.githubusercontent.com/PatrickVibild/TellusAmazonPictures/master/pictures/HP/W. PS/840 G1 black/BL/DE/4.jpg</v>
      </c>
      <c r="Q4" t="str">
        <f t="shared" ref="Q4:Q35" si="4">IF(ISBLANK(K4),"",IF(L4, "https://raw.githubusercontent.com/PatrickVibild/TellusAmazonPictures/master/pictures/"&amp;K4&amp;"/5.jpg", ""))</f>
        <v>https://raw.githubusercontent.com/PatrickVibild/TellusAmazonPictures/master/pictures/HP/W. PS/840 G1 black/BL/DE/5.jpg</v>
      </c>
      <c r="R4" t="str">
        <f t="shared" ref="R4:R35" si="5">IF(ISBLANK(K4),"",IF(L4, "https://raw.githubusercontent.com/PatrickVibild/TellusAmazonPictures/master/pictures/"&amp;K4&amp;"/6.jpg", ""))</f>
        <v>https://raw.githubusercontent.com/PatrickVibild/TellusAmazonPictures/master/pictures/HP/W. PS/840 G1 black/BL/DE/6.jpg</v>
      </c>
      <c r="S4" t="str">
        <f t="shared" ref="S4:S35" si="6">IF(ISBLANK(K4),"",IF(L4, "https://raw.githubusercontent.com/PatrickVibild/TellusAmazonPictures/master/pictures/"&amp;K4&amp;"/7.jpg", ""))</f>
        <v>https://raw.githubusercontent.com/PatrickVibild/TellusAmazonPictures/master/pictures/HP/W. PS/840 G1 black/BL/DE/7.jpg</v>
      </c>
      <c r="T4" t="str">
        <f t="shared" ref="T4:T35" si="7">IF(ISBLANK(K4),"",IF(L4, "https://raw.githubusercontent.com/PatrickVibild/TellusAmazonPictures/master/pictures/"&amp;K4&amp;"/8.jpg",""))</f>
        <v>https://raw.githubusercontent.com/PatrickVibild/TellusAmazonPictures/master/pictures/HP/W. PS/840 G1 black/BL/DE/8.jpg</v>
      </c>
      <c r="U4" t="str">
        <f t="shared" ref="U4:U35" si="8">IF(ISBLANK(K4),"",IF(L4, "https://raw.githubusercontent.com/PatrickVibild/TellusAmazonPictures/master/pictures/"&amp;K4&amp;"/9.jpg", ""))</f>
        <v>https://raw.githubusercontent.com/PatrickVibild/TellusAmazonPictures/master/pictures/HP/W. PS/840 G1 black/BL/DE/9.jpg</v>
      </c>
      <c r="V4" s="43">
        <f>MATCH(G4,options!$D$1:$D$20,0)</f>
        <v>1</v>
      </c>
    </row>
    <row r="5" spans="1:22" ht="42" x14ac:dyDescent="0.15">
      <c r="A5" s="37" t="s">
        <v>371</v>
      </c>
      <c r="B5" s="41">
        <v>34.99</v>
      </c>
      <c r="C5" s="42" t="b">
        <f>FALSE()</f>
        <v>0</v>
      </c>
      <c r="D5" s="42" t="b">
        <f>TRUE()</f>
        <v>1</v>
      </c>
      <c r="E5" s="61">
        <v>5714401844020</v>
      </c>
      <c r="F5" s="60" t="s">
        <v>679</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v>1</v>
      </c>
      <c r="K5" s="36" t="s">
        <v>687</v>
      </c>
      <c r="L5" s="46" t="b">
        <v>1</v>
      </c>
      <c r="M5" s="47" t="str">
        <f t="shared" si="0"/>
        <v>https://raw.githubusercontent.com/PatrickVibild/TellusAmazonPictures/master/pictures/HP/W. PS/840 G1 black/BL/FR/1.jpg</v>
      </c>
      <c r="N5" s="47" t="str">
        <f t="shared" si="1"/>
        <v>https://raw.githubusercontent.com/PatrickVibild/TellusAmazonPictures/master/pictures/HP/W. PS/840 G1 black/BL/FR/2.jpg</v>
      </c>
      <c r="O5" s="48" t="str">
        <f t="shared" si="2"/>
        <v>https://raw.githubusercontent.com/PatrickVibild/TellusAmazonPictures/master/pictures/HP/W. PS/840 G1 black/BL/FR/3.jpg</v>
      </c>
      <c r="P5" t="str">
        <f t="shared" si="3"/>
        <v>https://raw.githubusercontent.com/PatrickVibild/TellusAmazonPictures/master/pictures/HP/W. PS/840 G1 black/BL/FR/4.jpg</v>
      </c>
      <c r="Q5" t="str">
        <f t="shared" si="4"/>
        <v>https://raw.githubusercontent.com/PatrickVibild/TellusAmazonPictures/master/pictures/HP/W. PS/840 G1 black/BL/FR/5.jpg</v>
      </c>
      <c r="R5" t="str">
        <f t="shared" si="5"/>
        <v>https://raw.githubusercontent.com/PatrickVibild/TellusAmazonPictures/master/pictures/HP/W. PS/840 G1 black/BL/FR/6.jpg</v>
      </c>
      <c r="S5" t="str">
        <f t="shared" si="6"/>
        <v>https://raw.githubusercontent.com/PatrickVibild/TellusAmazonPictures/master/pictures/HP/W. PS/840 G1 black/BL/FR/7.jpg</v>
      </c>
      <c r="T5" t="str">
        <f t="shared" si="7"/>
        <v>https://raw.githubusercontent.com/PatrickVibild/TellusAmazonPictures/master/pictures/HP/W. PS/840 G1 black/BL/FR/8.jpg</v>
      </c>
      <c r="U5" t="str">
        <f t="shared" si="8"/>
        <v>https://raw.githubusercontent.com/PatrickVibild/TellusAmazonPictures/master/pictures/HP/W. PS/840 G1 black/BL/FR/9.jpg</v>
      </c>
      <c r="V5" s="43">
        <f>MATCH(G5,options!$D$1:$D$20,0)</f>
        <v>2</v>
      </c>
    </row>
    <row r="6" spans="1:22" ht="42" x14ac:dyDescent="0.15">
      <c r="A6" s="37" t="s">
        <v>373</v>
      </c>
      <c r="B6" s="49" t="s">
        <v>414</v>
      </c>
      <c r="C6" s="42" t="b">
        <f>FALSE()</f>
        <v>0</v>
      </c>
      <c r="D6" s="42" t="b">
        <f>TRUE()</f>
        <v>1</v>
      </c>
      <c r="E6" s="61">
        <v>5714401844037</v>
      </c>
      <c r="F6" s="60" t="s">
        <v>680</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v>1</v>
      </c>
      <c r="K6" s="36" t="s">
        <v>688</v>
      </c>
      <c r="L6" s="46" t="b">
        <v>1</v>
      </c>
      <c r="M6" s="47" t="str">
        <f t="shared" si="0"/>
        <v>https://raw.githubusercontent.com/PatrickVibild/TellusAmazonPictures/master/pictures/HP/W. PS/840 G1 black/BL/IT/1.jpg</v>
      </c>
      <c r="N6" s="47" t="str">
        <f t="shared" si="1"/>
        <v>https://raw.githubusercontent.com/PatrickVibild/TellusAmazonPictures/master/pictures/HP/W. PS/840 G1 black/BL/IT/2.jpg</v>
      </c>
      <c r="O6" s="48" t="str">
        <f t="shared" si="2"/>
        <v>https://raw.githubusercontent.com/PatrickVibild/TellusAmazonPictures/master/pictures/HP/W. PS/840 G1 black/BL/IT/3.jpg</v>
      </c>
      <c r="P6" t="str">
        <f t="shared" si="3"/>
        <v>https://raw.githubusercontent.com/PatrickVibild/TellusAmazonPictures/master/pictures/HP/W. PS/840 G1 black/BL/IT/4.jpg</v>
      </c>
      <c r="Q6" t="str">
        <f t="shared" si="4"/>
        <v>https://raw.githubusercontent.com/PatrickVibild/TellusAmazonPictures/master/pictures/HP/W. PS/840 G1 black/BL/IT/5.jpg</v>
      </c>
      <c r="R6" t="str">
        <f t="shared" si="5"/>
        <v>https://raw.githubusercontent.com/PatrickVibild/TellusAmazonPictures/master/pictures/HP/W. PS/840 G1 black/BL/IT/6.jpg</v>
      </c>
      <c r="S6" t="str">
        <f t="shared" si="6"/>
        <v>https://raw.githubusercontent.com/PatrickVibild/TellusAmazonPictures/master/pictures/HP/W. PS/840 G1 black/BL/IT/7.jpg</v>
      </c>
      <c r="T6" t="str">
        <f t="shared" si="7"/>
        <v>https://raw.githubusercontent.com/PatrickVibild/TellusAmazonPictures/master/pictures/HP/W. PS/840 G1 black/BL/IT/8.jpg</v>
      </c>
      <c r="U6" t="str">
        <f t="shared" si="8"/>
        <v>https://raw.githubusercontent.com/PatrickVibild/TellusAmazonPictures/master/pictures/HP/W. PS/840 G1 black/BL/IT/9.jpg</v>
      </c>
      <c r="V6" s="43">
        <f>MATCH(G6,options!$D$1:$D$20,0)</f>
        <v>3</v>
      </c>
    </row>
    <row r="7" spans="1:22" ht="42" x14ac:dyDescent="0.15">
      <c r="A7" s="37" t="s">
        <v>376</v>
      </c>
      <c r="B7" s="50" t="str">
        <f>IF(B6=options!C1,"32","41")</f>
        <v>32</v>
      </c>
      <c r="C7" s="42" t="b">
        <f>FALSE()</f>
        <v>0</v>
      </c>
      <c r="D7" s="42" t="b">
        <f>TRUE()</f>
        <v>1</v>
      </c>
      <c r="E7" s="61">
        <v>5714401844044</v>
      </c>
      <c r="F7" s="60" t="s">
        <v>681</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v>1</v>
      </c>
      <c r="K7" s="36" t="s">
        <v>689</v>
      </c>
      <c r="L7" s="46" t="b">
        <v>1</v>
      </c>
      <c r="M7" s="47" t="str">
        <f t="shared" si="0"/>
        <v>https://raw.githubusercontent.com/PatrickVibild/TellusAmazonPictures/master/pictures/HP/W. PS/840 G1 black/BL/ES/1.jpg</v>
      </c>
      <c r="N7" s="47" t="str">
        <f t="shared" si="1"/>
        <v>https://raw.githubusercontent.com/PatrickVibild/TellusAmazonPictures/master/pictures/HP/W. PS/840 G1 black/BL/ES/2.jpg</v>
      </c>
      <c r="O7" s="48" t="str">
        <f t="shared" si="2"/>
        <v>https://raw.githubusercontent.com/PatrickVibild/TellusAmazonPictures/master/pictures/HP/W. PS/840 G1 black/BL/ES/3.jpg</v>
      </c>
      <c r="P7" t="str">
        <f t="shared" si="3"/>
        <v>https://raw.githubusercontent.com/PatrickVibild/TellusAmazonPictures/master/pictures/HP/W. PS/840 G1 black/BL/ES/4.jpg</v>
      </c>
      <c r="Q7" t="str">
        <f t="shared" si="4"/>
        <v>https://raw.githubusercontent.com/PatrickVibild/TellusAmazonPictures/master/pictures/HP/W. PS/840 G1 black/BL/ES/5.jpg</v>
      </c>
      <c r="R7" t="str">
        <f t="shared" si="5"/>
        <v>https://raw.githubusercontent.com/PatrickVibild/TellusAmazonPictures/master/pictures/HP/W. PS/840 G1 black/BL/ES/6.jpg</v>
      </c>
      <c r="S7" t="str">
        <f t="shared" si="6"/>
        <v>https://raw.githubusercontent.com/PatrickVibild/TellusAmazonPictures/master/pictures/HP/W. PS/840 G1 black/BL/ES/7.jpg</v>
      </c>
      <c r="T7" t="str">
        <f t="shared" si="7"/>
        <v>https://raw.githubusercontent.com/PatrickVibild/TellusAmazonPictures/master/pictures/HP/W. PS/840 G1 black/BL/ES/8.jpg</v>
      </c>
      <c r="U7" t="str">
        <f t="shared" si="8"/>
        <v>https://raw.githubusercontent.com/PatrickVibild/TellusAmazonPictures/master/pictures/HP/W. PS/840 G1 black/BL/ES/9.jpg</v>
      </c>
      <c r="V7" s="43">
        <f>MATCH(G7,options!$D$1:$D$20,0)</f>
        <v>4</v>
      </c>
    </row>
    <row r="8" spans="1:22" ht="42" x14ac:dyDescent="0.15">
      <c r="A8" s="37" t="s">
        <v>378</v>
      </c>
      <c r="B8" s="50" t="str">
        <f>IF(B6=options!C1,"18","17")</f>
        <v>18</v>
      </c>
      <c r="C8" s="42" t="b">
        <f>FALSE()</f>
        <v>0</v>
      </c>
      <c r="D8" s="42" t="b">
        <f>TRUE()</f>
        <v>1</v>
      </c>
      <c r="E8" s="61">
        <v>5714401844051</v>
      </c>
      <c r="F8" s="60" t="s">
        <v>682</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1</v>
      </c>
      <c r="K8" s="36" t="s">
        <v>690</v>
      </c>
      <c r="L8" s="46" t="b">
        <v>1</v>
      </c>
      <c r="M8" s="47" t="str">
        <f t="shared" si="0"/>
        <v>https://raw.githubusercontent.com/PatrickVibild/TellusAmazonPictures/master/pictures/HP/W. PS/840 G1 black/BL/UK/1.jpg</v>
      </c>
      <c r="N8" s="47" t="str">
        <f t="shared" si="1"/>
        <v>https://raw.githubusercontent.com/PatrickVibild/TellusAmazonPictures/master/pictures/HP/W. PS/840 G1 black/BL/UK/2.jpg</v>
      </c>
      <c r="O8" s="48" t="str">
        <f t="shared" si="2"/>
        <v>https://raw.githubusercontent.com/PatrickVibild/TellusAmazonPictures/master/pictures/HP/W. PS/840 G1 black/BL/UK/3.jpg</v>
      </c>
      <c r="P8" t="str">
        <f t="shared" si="3"/>
        <v>https://raw.githubusercontent.com/PatrickVibild/TellusAmazonPictures/master/pictures/HP/W. PS/840 G1 black/BL/UK/4.jpg</v>
      </c>
      <c r="Q8" t="str">
        <f t="shared" si="4"/>
        <v>https://raw.githubusercontent.com/PatrickVibild/TellusAmazonPictures/master/pictures/HP/W. PS/840 G1 black/BL/UK/5.jpg</v>
      </c>
      <c r="R8" t="str">
        <f t="shared" si="5"/>
        <v>https://raw.githubusercontent.com/PatrickVibild/TellusAmazonPictures/master/pictures/HP/W. PS/840 G1 black/BL/UK/6.jpg</v>
      </c>
      <c r="S8" t="str">
        <f t="shared" si="6"/>
        <v>https://raw.githubusercontent.com/PatrickVibild/TellusAmazonPictures/master/pictures/HP/W. PS/840 G1 black/BL/UK/7.jpg</v>
      </c>
      <c r="T8" t="str">
        <f t="shared" si="7"/>
        <v>https://raw.githubusercontent.com/PatrickVibild/TellusAmazonPictures/master/pictures/HP/W. PS/840 G1 black/BL/UK/8.jpg</v>
      </c>
      <c r="U8" t="str">
        <f t="shared" si="8"/>
        <v>https://raw.githubusercontent.com/PatrickVibild/TellusAmazonPictures/master/pictures/HP/W. PS/840 G1 black/BL/UK/9.jpg</v>
      </c>
      <c r="V8" s="43">
        <f>MATCH(G8,options!$D$1:$D$20,0)</f>
        <v>5</v>
      </c>
    </row>
    <row r="9" spans="1:22" ht="42" x14ac:dyDescent="0.15">
      <c r="A9" s="37" t="s">
        <v>380</v>
      </c>
      <c r="B9" s="50" t="str">
        <f>IF(B6=options!C1,"2","5")</f>
        <v>2</v>
      </c>
      <c r="C9" s="42" t="b">
        <f>FALSE()</f>
        <v>0</v>
      </c>
      <c r="D9" s="42" t="b">
        <f>TRUE()</f>
        <v>1</v>
      </c>
      <c r="E9" s="61">
        <v>5714401844068</v>
      </c>
      <c r="F9" s="60" t="s">
        <v>683</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v>1</v>
      </c>
      <c r="K9" s="36" t="s">
        <v>691</v>
      </c>
      <c r="L9" s="46" t="b">
        <v>1</v>
      </c>
      <c r="M9" s="47" t="str">
        <f t="shared" si="0"/>
        <v>https://raw.githubusercontent.com/PatrickVibild/TellusAmazonPictures/master/pictures/HP/W. PS/840 G1 black/BL/NOR/1.jpg</v>
      </c>
      <c r="N9" s="47" t="str">
        <f t="shared" si="1"/>
        <v>https://raw.githubusercontent.com/PatrickVibild/TellusAmazonPictures/master/pictures/HP/W. PS/840 G1 black/BL/NOR/2.jpg</v>
      </c>
      <c r="O9" s="48" t="str">
        <f t="shared" si="2"/>
        <v>https://raw.githubusercontent.com/PatrickVibild/TellusAmazonPictures/master/pictures/HP/W. PS/840 G1 black/BL/NOR/3.jpg</v>
      </c>
      <c r="P9" t="str">
        <f t="shared" si="3"/>
        <v>https://raw.githubusercontent.com/PatrickVibild/TellusAmazonPictures/master/pictures/HP/W. PS/840 G1 black/BL/NOR/4.jpg</v>
      </c>
      <c r="Q9" t="str">
        <f t="shared" si="4"/>
        <v>https://raw.githubusercontent.com/PatrickVibild/TellusAmazonPictures/master/pictures/HP/W. PS/840 G1 black/BL/NOR/5.jpg</v>
      </c>
      <c r="R9" t="str">
        <f t="shared" si="5"/>
        <v>https://raw.githubusercontent.com/PatrickVibild/TellusAmazonPictures/master/pictures/HP/W. PS/840 G1 black/BL/NOR/6.jpg</v>
      </c>
      <c r="S9" t="str">
        <f t="shared" si="6"/>
        <v>https://raw.githubusercontent.com/PatrickVibild/TellusAmazonPictures/master/pictures/HP/W. PS/840 G1 black/BL/NOR/7.jpg</v>
      </c>
      <c r="T9" t="str">
        <f t="shared" si="7"/>
        <v>https://raw.githubusercontent.com/PatrickVibild/TellusAmazonPictures/master/pictures/HP/W. PS/840 G1 black/BL/NOR/8.jpg</v>
      </c>
      <c r="U9" t="str">
        <f t="shared" si="8"/>
        <v>https://raw.githubusercontent.com/PatrickVibild/TellusAmazonPictures/master/pictures/HP/W. PS/840 G1 black/BL/NOR/9.jpg</v>
      </c>
      <c r="V9" s="43">
        <f>MATCH(G9,options!$D$1:$D$20,0)</f>
        <v>6</v>
      </c>
    </row>
    <row r="10" spans="1:22" ht="14" x14ac:dyDescent="0.15">
      <c r="A10" t="s">
        <v>382</v>
      </c>
      <c r="B10" s="51"/>
      <c r="C10" s="42"/>
      <c r="D10" s="42"/>
      <c r="E10" s="61"/>
      <c r="F10" s="60"/>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44" t="b">
        <f>TRUE()</f>
        <v>1</v>
      </c>
      <c r="J10" s="45" t="b">
        <v>1</v>
      </c>
      <c r="K10" s="36"/>
      <c r="L10" s="46" t="b">
        <v>1</v>
      </c>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c r="D11" s="42"/>
      <c r="E11" s="61"/>
      <c r="F11" s="60"/>
      <c r="G11" s="43"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Swiss</v>
      </c>
      <c r="I11" s="44" t="b">
        <f>TRUE()</f>
        <v>1</v>
      </c>
      <c r="J11" s="45" t="b">
        <v>1</v>
      </c>
      <c r="K11" s="36"/>
      <c r="L11" s="46" t="b">
        <v>1</v>
      </c>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row>
    <row r="12" spans="1:22" ht="42" x14ac:dyDescent="0.15">
      <c r="B12" s="51"/>
      <c r="C12" s="42" t="b">
        <f>FALSE()</f>
        <v>0</v>
      </c>
      <c r="D12" s="42" t="b">
        <f>FALSE()</f>
        <v>0</v>
      </c>
      <c r="E12" s="61">
        <v>5714401844099</v>
      </c>
      <c r="F12" s="60" t="s">
        <v>684</v>
      </c>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1</v>
      </c>
      <c r="K12" s="36" t="s">
        <v>692</v>
      </c>
      <c r="L12" s="46" t="b">
        <v>1</v>
      </c>
      <c r="M12" s="47" t="str">
        <f t="shared" si="0"/>
        <v>https://raw.githubusercontent.com/PatrickVibild/TellusAmazonPictures/master/pictures/HP/W. PS/840 G1 black/BL/USI/1.jpg</v>
      </c>
      <c r="N12" s="47" t="str">
        <f t="shared" si="1"/>
        <v>https://raw.githubusercontent.com/PatrickVibild/TellusAmazonPictures/master/pictures/HP/W. PS/840 G1 black/BL/USI/2.jpg</v>
      </c>
      <c r="O12" s="48" t="str">
        <f t="shared" si="2"/>
        <v>https://raw.githubusercontent.com/PatrickVibild/TellusAmazonPictures/master/pictures/HP/W. PS/840 G1 black/BL/USI/3.jpg</v>
      </c>
      <c r="P12" t="str">
        <f t="shared" si="3"/>
        <v>https://raw.githubusercontent.com/PatrickVibild/TellusAmazonPictures/master/pictures/HP/W. PS/840 G1 black/BL/USI/4.jpg</v>
      </c>
      <c r="Q12" t="str">
        <f t="shared" si="4"/>
        <v>https://raw.githubusercontent.com/PatrickVibild/TellusAmazonPictures/master/pictures/HP/W. PS/840 G1 black/BL/USI/5.jpg</v>
      </c>
      <c r="R12" t="str">
        <f t="shared" si="5"/>
        <v>https://raw.githubusercontent.com/PatrickVibild/TellusAmazonPictures/master/pictures/HP/W. PS/840 G1 black/BL/USI/6.jpg</v>
      </c>
      <c r="S12" t="str">
        <f t="shared" si="6"/>
        <v>https://raw.githubusercontent.com/PatrickVibild/TellusAmazonPictures/master/pictures/HP/W. PS/840 G1 black/BL/USI/7.jpg</v>
      </c>
      <c r="T12" t="str">
        <f t="shared" si="7"/>
        <v>https://raw.githubusercontent.com/PatrickVibild/TellusAmazonPictures/master/pictures/HP/W. PS/840 G1 black/BL/USI/8.jpg</v>
      </c>
      <c r="U12" t="str">
        <f t="shared" si="8"/>
        <v>https://raw.githubusercontent.com/PatrickVibild/TellusAmazonPictures/master/pictures/HP/W. PS/840 G1 black/BL/USI/9.jpg</v>
      </c>
      <c r="V12" s="43">
        <f>MATCH(G12,options!$D$1:$D$20,0)</f>
        <v>16</v>
      </c>
    </row>
    <row r="13" spans="1:22" ht="42" x14ac:dyDescent="0.15">
      <c r="A13" s="37" t="s">
        <v>387</v>
      </c>
      <c r="B13" s="60" t="s">
        <v>676</v>
      </c>
      <c r="C13" s="42" t="b">
        <v>1</v>
      </c>
      <c r="D13" s="42" t="b">
        <f>FALSE()</f>
        <v>0</v>
      </c>
      <c r="E13" s="61">
        <v>5714401844105</v>
      </c>
      <c r="F13" s="60" t="s">
        <v>685</v>
      </c>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1</v>
      </c>
      <c r="K13" s="36" t="s">
        <v>693</v>
      </c>
      <c r="L13" s="46" t="b">
        <v>1</v>
      </c>
      <c r="M13" s="47" t="str">
        <f t="shared" si="0"/>
        <v>https://raw.githubusercontent.com/PatrickVibild/TellusAmazonPictures/master/pictures/HP/W. PS/840 G1 black/BL/US/1.jpg</v>
      </c>
      <c r="N13" s="47" t="str">
        <f t="shared" si="1"/>
        <v>https://raw.githubusercontent.com/PatrickVibild/TellusAmazonPictures/master/pictures/HP/W. PS/840 G1 black/BL/US/2.jpg</v>
      </c>
      <c r="O13" s="48" t="str">
        <f t="shared" si="2"/>
        <v>https://raw.githubusercontent.com/PatrickVibild/TellusAmazonPictures/master/pictures/HP/W. PS/840 G1 black/BL/US/3.jpg</v>
      </c>
      <c r="P13" t="str">
        <f t="shared" si="3"/>
        <v>https://raw.githubusercontent.com/PatrickVibild/TellusAmazonPictures/master/pictures/HP/W. PS/840 G1 black/BL/US/4.jpg</v>
      </c>
      <c r="Q13" t="str">
        <f t="shared" si="4"/>
        <v>https://raw.githubusercontent.com/PatrickVibild/TellusAmazonPictures/master/pictures/HP/W. PS/840 G1 black/BL/US/5.jpg</v>
      </c>
      <c r="R13" t="str">
        <f t="shared" si="5"/>
        <v>https://raw.githubusercontent.com/PatrickVibild/TellusAmazonPictures/master/pictures/HP/W. PS/840 G1 black/BL/US/6.jpg</v>
      </c>
      <c r="S13" t="str">
        <f t="shared" si="6"/>
        <v>https://raw.githubusercontent.com/PatrickVibild/TellusAmazonPictures/master/pictures/HP/W. PS/840 G1 black/BL/US/7.jpg</v>
      </c>
      <c r="T13" t="str">
        <f t="shared" si="7"/>
        <v>https://raw.githubusercontent.com/PatrickVibild/TellusAmazonPictures/master/pictures/HP/W. PS/840 G1 black/BL/US/8.jpg</v>
      </c>
      <c r="U13" t="str">
        <f t="shared" si="8"/>
        <v>https://raw.githubusercontent.com/PatrickVibild/TellusAmazonPictures/master/pictures/HP/W. PS/840 G1 black/BL/US/9.jpg</v>
      </c>
      <c r="V13" s="43">
        <f>MATCH(G13,options!$D$1:$D$20,0)</f>
        <v>18</v>
      </c>
    </row>
    <row r="14" spans="1:22" x14ac:dyDescent="0.15">
      <c r="A14" s="37" t="s">
        <v>389</v>
      </c>
      <c r="B14" s="60">
        <v>5714401844990</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v>1</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v>1</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v>1</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v>1</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v>1</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v>1</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v>1</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v>1</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v>1</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42"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412</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c r="K36" s="36"/>
      <c r="L36" s="46"/>
      <c r="M36" s="47" t="str">
        <f t="shared" ref="M36:M67" si="9">IF(ISBLANK(K36),"",IF(L36, "https://raw.githubusercontent.com/PatrickVibild/TellusAmazonPictures/master/pictures/"&amp;K36&amp;"/1.jpg","https://download.lenovo.com/Images/Parts/"&amp;K36&amp;"/"&amp;K36&amp;"_A.jpg"))</f>
        <v/>
      </c>
      <c r="N36" s="47" t="str">
        <f t="shared" ref="N36:N67" si="10">IF(ISBLANK(K36),"",IF(L36, "https://raw.githubusercontent.com/PatrickVibild/TellusAmazonPictures/master/pictures/"&amp;K36&amp;"/2.jpg","https://download.lenovo.com/Images/Parts/"&amp;K36&amp;"/"&amp;K36&amp;"_B.jpg"))</f>
        <v/>
      </c>
      <c r="O36" s="48"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3" t="s">
        <v>404</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c r="K37" s="36"/>
      <c r="L37" s="46"/>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c r="K38" s="36"/>
      <c r="L38" s="46"/>
      <c r="M38" s="47" t="str">
        <f t="shared" si="9"/>
        <v/>
      </c>
      <c r="N38" s="47" t="str">
        <f t="shared" si="10"/>
        <v/>
      </c>
      <c r="O38" s="48" t="str">
        <f t="shared" si="11"/>
        <v/>
      </c>
      <c r="P38" t="str">
        <f t="shared" si="12"/>
        <v/>
      </c>
      <c r="Q38" t="str">
        <f t="shared" si="13"/>
        <v/>
      </c>
      <c r="R38" t="str">
        <f t="shared" si="14"/>
        <v/>
      </c>
      <c r="S38" t="str">
        <f t="shared" si="15"/>
        <v/>
      </c>
      <c r="T38" t="str">
        <f t="shared" si="16"/>
        <v/>
      </c>
      <c r="U38" t="str">
        <f t="shared" si="17"/>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c r="K39" s="36"/>
      <c r="L39" s="46"/>
      <c r="M39" s="47" t="str">
        <f t="shared" si="9"/>
        <v/>
      </c>
      <c r="N39" s="47" t="str">
        <f t="shared" si="10"/>
        <v/>
      </c>
      <c r="O39" s="48" t="str">
        <f t="shared" si="11"/>
        <v/>
      </c>
      <c r="P39" t="str">
        <f t="shared" si="12"/>
        <v/>
      </c>
      <c r="Q39" t="str">
        <f t="shared" si="13"/>
        <v/>
      </c>
      <c r="R39" t="str">
        <f t="shared" si="14"/>
        <v/>
      </c>
      <c r="S39" t="str">
        <f t="shared" si="15"/>
        <v/>
      </c>
      <c r="T39" t="str">
        <f t="shared" si="16"/>
        <v/>
      </c>
      <c r="U39" t="str">
        <f t="shared" si="17"/>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c r="K40" s="36"/>
      <c r="L40" s="46"/>
      <c r="M40" s="47" t="str">
        <f t="shared" si="9"/>
        <v/>
      </c>
      <c r="N40" s="47" t="str">
        <f t="shared" si="10"/>
        <v/>
      </c>
      <c r="O40" s="48" t="str">
        <f t="shared" si="11"/>
        <v/>
      </c>
      <c r="P40" t="str">
        <f t="shared" si="12"/>
        <v/>
      </c>
      <c r="Q40" t="str">
        <f t="shared" si="13"/>
        <v/>
      </c>
      <c r="R40" t="str">
        <f t="shared" si="14"/>
        <v/>
      </c>
      <c r="S40" t="str">
        <f t="shared" si="15"/>
        <v/>
      </c>
      <c r="T40" t="str">
        <f t="shared" si="16"/>
        <v/>
      </c>
      <c r="U40" t="str">
        <f t="shared" si="17"/>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9"/>
        <v/>
      </c>
      <c r="N41" s="47" t="str">
        <f t="shared" si="10"/>
        <v/>
      </c>
      <c r="O41" s="48" t="str">
        <f t="shared" si="11"/>
        <v/>
      </c>
      <c r="P41" t="str">
        <f t="shared" si="12"/>
        <v/>
      </c>
      <c r="Q41" t="str">
        <f t="shared" si="13"/>
        <v/>
      </c>
      <c r="R41" t="str">
        <f t="shared" si="14"/>
        <v/>
      </c>
      <c r="S41" t="str">
        <f t="shared" si="15"/>
        <v/>
      </c>
      <c r="T41" t="str">
        <f t="shared" si="16"/>
        <v/>
      </c>
      <c r="U41" t="str">
        <f t="shared" si="17"/>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c r="K42" s="36"/>
      <c r="L42" s="46"/>
      <c r="M42" s="47" t="str">
        <f t="shared" si="9"/>
        <v/>
      </c>
      <c r="N42" s="47" t="str">
        <f t="shared" si="10"/>
        <v/>
      </c>
      <c r="O42" s="48" t="str">
        <f t="shared" si="11"/>
        <v/>
      </c>
      <c r="P42" t="str">
        <f t="shared" si="12"/>
        <v/>
      </c>
      <c r="Q42" t="str">
        <f t="shared" si="13"/>
        <v/>
      </c>
      <c r="R42" t="str">
        <f t="shared" si="14"/>
        <v/>
      </c>
      <c r="S42" t="str">
        <f t="shared" si="15"/>
        <v/>
      </c>
      <c r="T42" t="str">
        <f t="shared" si="16"/>
        <v/>
      </c>
      <c r="U42" t="str">
        <f t="shared" si="17"/>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9"/>
        <v/>
      </c>
      <c r="N43" s="47" t="str">
        <f t="shared" si="10"/>
        <v/>
      </c>
      <c r="O43" s="48" t="str">
        <f t="shared" si="11"/>
        <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2024-07-24T23:15:37Z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