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40 G3/"/>
    </mc:Choice>
  </mc:AlternateContent>
  <xr:revisionPtr revIDLastSave="0" documentId="13_ncr:1_{4D420166-C8C5-7B44-BD2F-2BF243FFEF67}"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6" i="2"/>
  <c r="H8" i="2"/>
  <c r="H9" i="2"/>
  <c r="H14" i="2"/>
  <c r="H4" i="2"/>
  <c r="B33" i="2"/>
  <c r="B31" i="2"/>
  <c r="DP14" i="1" s="1"/>
  <c r="B29" i="2"/>
  <c r="AB8" i="1" s="1"/>
  <c r="B27" i="2"/>
  <c r="AM7" i="1" s="1"/>
  <c r="B26" i="2"/>
  <c r="B25" i="2"/>
  <c r="AK13" i="1" s="1"/>
  <c r="B24" i="2"/>
  <c r="AJ11" i="1" s="1"/>
  <c r="B23" i="2"/>
  <c r="AI17" i="1" s="1"/>
  <c r="B2" i="2"/>
  <c r="B1" i="2"/>
  <c r="F4" i="1" s="1"/>
  <c r="H104" i="2"/>
  <c r="B9" i="2"/>
  <c r="CK12" i="1" s="1"/>
  <c r="B8" i="2"/>
  <c r="CQ9" i="1" s="1"/>
  <c r="B7" i="2"/>
  <c r="CP14" i="1" s="1"/>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H69" i="2" s="1"/>
  <c r="U69" i="2"/>
  <c r="T69" i="2"/>
  <c r="S69" i="2"/>
  <c r="R69" i="2"/>
  <c r="Q69" i="2"/>
  <c r="P69" i="2"/>
  <c r="O69" i="2"/>
  <c r="N69" i="2"/>
  <c r="M69" i="2"/>
  <c r="V68" i="2"/>
  <c r="H68" i="2" s="1"/>
  <c r="U68" i="2"/>
  <c r="T68" i="2"/>
  <c r="S68" i="2"/>
  <c r="R68" i="2"/>
  <c r="Q68" i="2"/>
  <c r="P68" i="2"/>
  <c r="O68" i="2"/>
  <c r="N68" i="2"/>
  <c r="M68" i="2"/>
  <c r="V67" i="2"/>
  <c r="H67" i="2" s="1"/>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V42" i="2"/>
  <c r="H42" i="2" s="1"/>
  <c r="U42" i="2"/>
  <c r="T42" i="2"/>
  <c r="S42" i="2"/>
  <c r="R42" i="2"/>
  <c r="Q42" i="2"/>
  <c r="P42" i="2"/>
  <c r="O42" i="2"/>
  <c r="N42" i="2"/>
  <c r="M42" i="2"/>
  <c r="V41" i="2"/>
  <c r="H41" i="2" s="1"/>
  <c r="U41" i="2"/>
  <c r="T41" i="2"/>
  <c r="S41" i="2"/>
  <c r="R41" i="2"/>
  <c r="Q41" i="2"/>
  <c r="P41" i="2"/>
  <c r="O41" i="2"/>
  <c r="N41" i="2"/>
  <c r="M41" i="2"/>
  <c r="V40" i="2"/>
  <c r="H40" i="2" s="1"/>
  <c r="U40" i="2"/>
  <c r="T40" i="2"/>
  <c r="S40" i="2"/>
  <c r="R40" i="2"/>
  <c r="Q40" i="2"/>
  <c r="P40" i="2"/>
  <c r="O40" i="2"/>
  <c r="N40" i="2"/>
  <c r="M40" i="2"/>
  <c r="V39" i="2"/>
  <c r="H39" i="2" s="1"/>
  <c r="U39" i="2"/>
  <c r="T39" i="2"/>
  <c r="S39" i="2"/>
  <c r="R39" i="2"/>
  <c r="Q39" i="2"/>
  <c r="P39" i="2"/>
  <c r="O39" i="2"/>
  <c r="N39" i="2"/>
  <c r="M39" i="2"/>
  <c r="V38" i="2"/>
  <c r="H38" i="2" s="1"/>
  <c r="U38" i="2"/>
  <c r="T38" i="2"/>
  <c r="S38" i="2"/>
  <c r="R38" i="2"/>
  <c r="Q38" i="2"/>
  <c r="P38" i="2"/>
  <c r="O38" i="2"/>
  <c r="N38" i="2"/>
  <c r="M38" i="2"/>
  <c r="V37" i="2"/>
  <c r="H37" i="2" s="1"/>
  <c r="U37" i="2"/>
  <c r="T37" i="2"/>
  <c r="S37" i="2"/>
  <c r="R37" i="2"/>
  <c r="Q37" i="2"/>
  <c r="P37" i="2"/>
  <c r="O37" i="2"/>
  <c r="N37" i="2"/>
  <c r="M37" i="2"/>
  <c r="V36" i="2"/>
  <c r="H36" i="2" s="1"/>
  <c r="U36" i="2"/>
  <c r="T36" i="2"/>
  <c r="S36" i="2"/>
  <c r="R36" i="2"/>
  <c r="Q36" i="2"/>
  <c r="P36" i="2"/>
  <c r="O36" i="2"/>
  <c r="N36" i="2"/>
  <c r="M36" i="2"/>
  <c r="V35" i="2"/>
  <c r="H35" i="2" s="1"/>
  <c r="U35" i="2"/>
  <c r="T35" i="2"/>
  <c r="S35" i="2"/>
  <c r="R35" i="2"/>
  <c r="Q35" i="2"/>
  <c r="P35" i="2"/>
  <c r="O35" i="2"/>
  <c r="N35" i="2"/>
  <c r="M35" i="2"/>
  <c r="V34" i="2"/>
  <c r="H34" i="2" s="1"/>
  <c r="U34" i="2"/>
  <c r="T34" i="2"/>
  <c r="S34" i="2"/>
  <c r="R34" i="2"/>
  <c r="Q34" i="2"/>
  <c r="P34" i="2"/>
  <c r="O34" i="2"/>
  <c r="N34" i="2"/>
  <c r="M34" i="2"/>
  <c r="V33" i="2"/>
  <c r="H33" i="2" s="1"/>
  <c r="U33" i="2"/>
  <c r="T33" i="2"/>
  <c r="S33" i="2"/>
  <c r="R33" i="2"/>
  <c r="Q33" i="2"/>
  <c r="P33" i="2"/>
  <c r="O33" i="2"/>
  <c r="N33" i="2"/>
  <c r="M33" i="2"/>
  <c r="V32" i="2"/>
  <c r="H32" i="2" s="1"/>
  <c r="U32" i="2"/>
  <c r="T32" i="2"/>
  <c r="S32" i="2"/>
  <c r="R32" i="2"/>
  <c r="Q32" i="2"/>
  <c r="P32" i="2"/>
  <c r="O32" i="2"/>
  <c r="N32" i="2"/>
  <c r="M32" i="2"/>
  <c r="V31" i="2"/>
  <c r="H31" i="2" s="1"/>
  <c r="U31" i="2"/>
  <c r="T31" i="2"/>
  <c r="S31" i="2"/>
  <c r="R31" i="2"/>
  <c r="Q31" i="2"/>
  <c r="P31" i="2"/>
  <c r="O31" i="2"/>
  <c r="N31" i="2"/>
  <c r="M31" i="2"/>
  <c r="V30" i="2"/>
  <c r="H30" i="2" s="1"/>
  <c r="U30" i="2"/>
  <c r="T30" i="2"/>
  <c r="S30" i="2"/>
  <c r="R30" i="2"/>
  <c r="Q30" i="2"/>
  <c r="P30" i="2"/>
  <c r="O30" i="2"/>
  <c r="N30" i="2"/>
  <c r="M30" i="2"/>
  <c r="V29" i="2"/>
  <c r="H29" i="2" s="1"/>
  <c r="U29" i="2"/>
  <c r="T29" i="2"/>
  <c r="S29" i="2"/>
  <c r="R29" i="2"/>
  <c r="Q29" i="2"/>
  <c r="P29" i="2"/>
  <c r="O29" i="2"/>
  <c r="N29" i="2"/>
  <c r="M29" i="2"/>
  <c r="V28" i="2"/>
  <c r="H28" i="2" s="1"/>
  <c r="U28" i="2"/>
  <c r="T28" i="2"/>
  <c r="S28" i="2"/>
  <c r="R28" i="2"/>
  <c r="Q28" i="2"/>
  <c r="P28" i="2"/>
  <c r="O28" i="2"/>
  <c r="N28" i="2"/>
  <c r="M28" i="2"/>
  <c r="V27" i="2"/>
  <c r="H27" i="2" s="1"/>
  <c r="U27" i="2"/>
  <c r="T27" i="2"/>
  <c r="S27" i="2"/>
  <c r="R27" i="2"/>
  <c r="Q27" i="2"/>
  <c r="P27" i="2"/>
  <c r="O27" i="2"/>
  <c r="N27" i="2"/>
  <c r="M27" i="2"/>
  <c r="V26" i="2"/>
  <c r="H26" i="2" s="1"/>
  <c r="U26" i="2"/>
  <c r="T26" i="2"/>
  <c r="S26" i="2"/>
  <c r="R26" i="2"/>
  <c r="Q26" i="2"/>
  <c r="P26" i="2"/>
  <c r="O26" i="2"/>
  <c r="N26" i="2"/>
  <c r="M26" i="2"/>
  <c r="V25" i="2"/>
  <c r="H25" i="2" s="1"/>
  <c r="U25" i="2"/>
  <c r="T25" i="2"/>
  <c r="S25" i="2"/>
  <c r="R25" i="2"/>
  <c r="Q25" i="2"/>
  <c r="P25" i="2"/>
  <c r="O25" i="2"/>
  <c r="N25" i="2"/>
  <c r="M25" i="2"/>
  <c r="V24" i="2"/>
  <c r="H24" i="2" s="1"/>
  <c r="U24" i="2"/>
  <c r="T24" i="2"/>
  <c r="S24" i="2"/>
  <c r="R24" i="2"/>
  <c r="Q24" i="2"/>
  <c r="P24" i="2"/>
  <c r="O24" i="2"/>
  <c r="N24" i="2"/>
  <c r="M24" i="2"/>
  <c r="V23" i="2"/>
  <c r="H23" i="2" s="1"/>
  <c r="R23" i="2"/>
  <c r="Q23" i="2"/>
  <c r="Q24" i="1" s="1"/>
  <c r="M23" i="2"/>
  <c r="M24" i="1" s="1"/>
  <c r="P23" i="2"/>
  <c r="P24" i="1" s="1"/>
  <c r="I23" i="2"/>
  <c r="V22" i="2"/>
  <c r="H22" i="2" s="1"/>
  <c r="AT23" i="1" s="1"/>
  <c r="T22" i="2"/>
  <c r="S22" i="2"/>
  <c r="R22" i="2"/>
  <c r="Q22" i="2"/>
  <c r="O22" i="2"/>
  <c r="N22" i="2"/>
  <c r="N23" i="1" s="1"/>
  <c r="M22" i="2"/>
  <c r="M23" i="1" s="1"/>
  <c r="I22" i="2"/>
  <c r="V21" i="2"/>
  <c r="H21" i="2" s="1"/>
  <c r="U21" i="2"/>
  <c r="T21" i="2"/>
  <c r="T22" i="1" s="1"/>
  <c r="S21" i="2"/>
  <c r="R21" i="2"/>
  <c r="Q21" i="2"/>
  <c r="P21" i="2"/>
  <c r="O21" i="2"/>
  <c r="N21" i="2"/>
  <c r="M21" i="2"/>
  <c r="I21" i="2"/>
  <c r="V20" i="2"/>
  <c r="H20" i="2" s="1"/>
  <c r="U20" i="2"/>
  <c r="T20" i="2"/>
  <c r="S20" i="2"/>
  <c r="R20" i="2"/>
  <c r="P20" i="2"/>
  <c r="O20" i="2"/>
  <c r="O21" i="1" s="1"/>
  <c r="N20" i="2"/>
  <c r="N21" i="1" s="1"/>
  <c r="I20" i="2"/>
  <c r="V19" i="2"/>
  <c r="H19" i="2" s="1"/>
  <c r="U19" i="2"/>
  <c r="U20" i="1" s="1"/>
  <c r="T19" i="2"/>
  <c r="T20" i="1" s="1"/>
  <c r="FO20" i="1"/>
  <c r="I19" i="2"/>
  <c r="V18" i="2"/>
  <c r="H18" i="2" s="1"/>
  <c r="R18" i="2"/>
  <c r="Q18" i="2"/>
  <c r="M18" i="2"/>
  <c r="P18" i="2"/>
  <c r="P19" i="1" s="1"/>
  <c r="I18" i="2"/>
  <c r="CO19" i="1"/>
  <c r="V17" i="2"/>
  <c r="H17" i="2" s="1"/>
  <c r="T17" i="2"/>
  <c r="S17" i="2"/>
  <c r="R17" i="2"/>
  <c r="Q17" i="2"/>
  <c r="P17" i="2"/>
  <c r="N17" i="2"/>
  <c r="M17" i="2"/>
  <c r="U17" i="2"/>
  <c r="U18" i="1" s="1"/>
  <c r="I17" i="2"/>
  <c r="V16" i="2"/>
  <c r="H16" i="2" s="1"/>
  <c r="U16" i="2"/>
  <c r="T16" i="2"/>
  <c r="S16" i="2"/>
  <c r="S17" i="1" s="1"/>
  <c r="R16" i="2"/>
  <c r="Q16" i="2"/>
  <c r="P16" i="2"/>
  <c r="O16" i="2"/>
  <c r="N16" i="2"/>
  <c r="M16" i="2"/>
  <c r="I16" i="2"/>
  <c r="AT17" i="1"/>
  <c r="CO17" i="1"/>
  <c r="V15" i="2"/>
  <c r="H15" i="2" s="1"/>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O9" i="1" s="1"/>
  <c r="L9" i="1" s="1"/>
  <c r="CQ23" i="1"/>
  <c r="V7" i="2"/>
  <c r="H7" i="2" s="1"/>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H5" i="2" s="1"/>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O13" i="1"/>
  <c r="DA13" i="1"/>
  <c r="CZ13" i="1"/>
  <c r="CU13" i="1"/>
  <c r="CT13" i="1"/>
  <c r="CS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P11" i="1"/>
  <c r="DO11" i="1"/>
  <c r="DA11" i="1"/>
  <c r="CZ11" i="1"/>
  <c r="CU11" i="1"/>
  <c r="CT11" i="1"/>
  <c r="CS11" i="1"/>
  <c r="CR11" i="1"/>
  <c r="CP11" i="1"/>
  <c r="CO11" i="1"/>
  <c r="L11" i="1" s="1"/>
  <c r="CL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P9" i="1"/>
  <c r="DO9" i="1"/>
  <c r="DA9" i="1"/>
  <c r="CZ9" i="1"/>
  <c r="CU9" i="1"/>
  <c r="CT9" i="1"/>
  <c r="CS9" i="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5" i="1" l="1"/>
  <c r="AB6" i="1"/>
  <c r="DP8" i="1"/>
  <c r="DP24" i="1"/>
  <c r="EI5" i="1"/>
  <c r="EI9" i="1"/>
  <c r="EI11" i="1"/>
  <c r="AB24" i="1"/>
  <c r="EI6" i="1"/>
  <c r="AB11" i="1"/>
  <c r="DP7" i="1"/>
  <c r="AB10" i="1"/>
  <c r="DP10" i="1"/>
  <c r="EI8" i="1"/>
  <c r="AB9" i="1"/>
  <c r="EI24" i="1"/>
  <c r="AB14" i="1"/>
  <c r="DP6" i="1"/>
  <c r="EI7" i="1"/>
  <c r="EI10"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<sst xmlns="http://schemas.openxmlformats.org/spreadsheetml/2006/main" count="867" uniqueCount="698">
  <si>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</si>
  <si>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</si>
  <si>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</si>
  <si>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</si>
  <si>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</si>
  <si>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</si>
  <si>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</si>
  <si>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</si>
  <si>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</si>
  <si>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</si>
  <si>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</si>
  <si>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</si>
  <si>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</si>
  <si>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</si>
  <si>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</si>
  <si>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</si>
  <si>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</si>
  <si>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</si>
  <si>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</si>
  <si>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</si>
  <si>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</si>
  <si>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</si>
  <si>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</si>
  <si>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</si>
  <si>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</si>
  <si>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</si>
  <si>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</si>
  <si>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</si>
  <si>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</si>
  <si>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</si>
  <si>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</si>
  <si>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</si>
  <si>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</si>
  <si>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</si>
  <si>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</si>
  <si>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</si>
  <si>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</si>
  <si>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</si>
  <si>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</si>
  <si>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</si>
  <si>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</si>
  <si>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</si>
  <si>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</si>
  <si>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</si>
  <si>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</si>
  <si>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</si>
  <si>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</si>
  <si>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</si>
  <si>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</si>
  <si>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</si>
  <si>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</si>
  <si>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</si>
  <si>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</si>
  <si>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</si>
  <si>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</si>
  <si>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</si>
  <si>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</si>
  <si>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</si>
  <si>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</si>
  <si>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</si>
  <si>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</si>
  <si>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</si>
  <si>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</si>
  <si>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</si>
  <si>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</si>
  <si>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</si>
  <si>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</si>
  <si>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</si>
  <si>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</si>
  <si>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</si>
  <si>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</si>
  <si>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</si>
  <si>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</si>
  <si>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</si>
  <si>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</si>
  <si>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</si>
  <si>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</si>
  <si>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</si>
  <si>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</si>
  <si>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</si>
  <si>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</si>
  <si>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</si>
  <si>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</si>
  <si>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</si>
  <si>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</si>
  <si>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</si>
  <si>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</si>
  <si>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</si>
  <si>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</si>
  <si>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</si>
  <si>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</si>
  <si>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</si>
  <si>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</si>
  <si>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</si>
  <si>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</si>
  <si>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</si>
  <si>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</si>
  <si>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</si>
  <si>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</si>
  <si>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</si>
  <si>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</si>
  <si>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</si>
  <si>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</si>
  <si>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</si>
  <si>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</si>
  <si>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</si>
  <si>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</si>
  <si>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</si>
  <si>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</si>
  <si>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</si>
  <si>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</si>
  <si>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</si>
  <si>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</si>
  <si>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</si>
  <si>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</si>
  <si>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</si>
  <si>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</si>
  <si>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</si>
  <si>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</si>
  <si>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</si>
  <si>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</si>
  <si>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</si>
  <si>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</si>
  <si>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</si>
  <si>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</si>
  <si>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</si>
  <si>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</si>
  <si>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</si>
  <si>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</si>
  <si>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</si>
  <si>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</si>
  <si>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</si>
  <si>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</si>
  <si>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</si>
  <si>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</si>
  <si>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</si>
  <si>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</si>
  <si>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</si>
  <si>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</si>
  <si>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</si>
  <si>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</si>
  <si>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</si>
  <si>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</si>
  <si>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</si>
  <si>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</si>
  <si>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</si>
  <si>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</si>
  <si>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</si>
  <si>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</si>
  <si>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</si>
  <si>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</si>
  <si>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</si>
  <si>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</si>
  <si>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</si>
  <si>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</si>
  <si>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</si>
  <si>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</si>
  <si>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</si>
  <si>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</si>
  <si>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</si>
  <si>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</si>
  <si>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</si>
  <si>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</si>
  <si>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</si>
  <si>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</si>
  <si>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</si>
  <si>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</si>
  <si>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</si>
  <si>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</si>
  <si>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</si>
  <si>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</si>
  <si>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</si>
  <si>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</si>
  <si>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</si>
  <si>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</si>
  <si>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</si>
  <si>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</si>
  <si>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</si>
  <si>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</si>
  <si>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</si>
  <si>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</si>
  <si>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</si>
  <si>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</si>
  <si>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</si>
  <si>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</si>
  <si>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</si>
  <si>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</si>
  <si>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</si>
  <si>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</si>
  <si>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</si>
  <si>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</si>
  <si>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</si>
  <si>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</si>
  <si>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</si>
  <si>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</si>
  <si>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</si>
  <si>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</si>
  <si>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</si>
  <si>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</si>
  <si>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</si>
  <si>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</si>
  <si>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</si>
  <si>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</si>
  <si>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</si>
  <si>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</si>
  <si>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</si>
  <si>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</si>
  <si>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</si>
  <si>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</si>
  <si>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</si>
  <si>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</si>
  <si>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</si>
  <si>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</si>
  <si>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</si>
  <si>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</si>
  <si>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</si>
  <si>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</si>
  <si>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</si>
  <si>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</si>
  <si>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</si>
  <si>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</si>
  <si>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</si>
  <si>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</si>
  <si>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</si>
  <si>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</si>
  <si>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</si>
  <si>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</si>
  <si>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</si>
  <si>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</si>
  <si>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</si>
  <si>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</si>
  <si>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</si>
  <si>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</si>
  <si>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</si>
  <si>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</si>
  <si>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</si>
  <si>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</si>
  <si>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</si>
  <si>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</si>
  <si>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</si>
  <si>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</si>
  <si>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</si>
  <si>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</si>
  <si>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</si>
  <si>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</si>
  <si>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</si>
  <si>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</si>
  <si>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</si>
  <si>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</si>
  <si>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</si>
  <si>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</si>
  <si>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</si>
  <si>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</si>
  <si>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</si>
  <si>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</si>
  <si>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</si>
  <si>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</si>
  <si>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</si>
  <si>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</si>
  <si>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</si>
  <si>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</si>
  <si>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</si>
  <si>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</si>
  <si>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</si>
  <si>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</si>
  <si>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</si>
  <si>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</si>
  <si>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</si>
  <si>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</si>
  <si>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</si>
  <si>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</si>
  <si>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</si>
  <si>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</si>
  <si>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</si>
  <si>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</si>
  <si>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</si>
  <si>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</si>
  <si>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</si>
  <si>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</si>
  <si>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</si>
  <si>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</si>
  <si>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</si>
  <si>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</si>
  <si>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</si>
  <si>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</si>
  <si>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</si>
  <si>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</si>
  <si>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</si>
  <si>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</si>
  <si>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</si>
  <si>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</si>
  <si>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</si>
  <si>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</si>
  <si>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</si>
  <si>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</si>
  <si>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</si>
  <si>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</si>
  <si>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</si>
  <si>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</si>
  <si>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</si>
  <si>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</si>
  <si>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</si>
  <si>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</si>
  <si>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</si>
  <si>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</si>
  <si>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</si>
  <si>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</si>
  <si>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</si>
  <si>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</si>
  <si>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</si>
  <si>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</si>
  <si>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</si>
  <si>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</si>
  <si>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</si>
  <si>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</si>
  <si>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</si>
  <si>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</si>
  <si>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</si>
  <si>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</si>
  <si>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</si>
  <si>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</si>
  <si>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</si>
  <si>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</si>
  <si>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</si>
  <si>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</si>
  <si>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</si>
  <si>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</si>
  <si>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</si>
  <si>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</si>
  <si>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</si>
  <si>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</si>
  <si>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</si>
  <si>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</si>
  <si>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</si>
  <si>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</si>
  <si>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</si>
  <si>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</si>
  <si>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</si>
  <si>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</si>
  <si>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</si>
  <si>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</si>
  <si>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</si>
  <si>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</si>
  <si>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</si>
  <si>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</si>
  <si>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</si>
  <si>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</si>
  <si>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</si>
  <si>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</si>
  <si>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</si>
  <si>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</si>
  <si>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</si>
  <si>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</si>
  <si>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</si>
  <si>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</si>
  <si>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</si>
  <si>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</si>
  <si>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</si>
  <si>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</si>
  <si>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</si>
  <si>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</si>
  <si>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</si>
  <si>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</si>
  <si>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</si>
  <si>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</si>
  <si>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</si>
  <si>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</si>
  <si>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</si>
  <si>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</si>
  <si>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</si>
  <si>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</si>
  <si>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</si>
  <si>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</si>
  <si>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</si>
  <si>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</si>
  <si>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</si>
  <si>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</si>
  <si>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</si>
  <si>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</si>
  <si>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</si>
  <si>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</si>
  <si>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</si>
  <si>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</si>
  <si>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</si>
  <si>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</si>
  <si>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</si>
  <si>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</si>
  <si>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</si>
  <si>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</si>
  <si>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</si>
  <si>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</si>
  <si>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</si>
  <si>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</si>
  <si>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</si>
  <si>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</si>
  <si>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</si>
  <si>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</si>
  <si>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</si>
  <si>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</si>
  <si>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</si>
  <si>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</si>
  <si>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</si>
  <si>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</si>
  <si>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</si>
  <si>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</si>
  <si>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</si>
  <si>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</si>
  <si>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</si>
  <si>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</si>
  <si>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</si>
  <si>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</si>
  <si>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</si>
  <si>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</si>
  <si>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</si>
  <si>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</si>
  <si>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</si>
  <si>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</si>
  <si>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</si>
  <si>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</si>
  <si>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</si>
  <si>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</si>
  <si>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</si>
  <si>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</si>
  <si>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</si>
  <si>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</si>
  <si>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</si>
  <si>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</si>
  <si>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</si>
  <si>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</si>
  <si>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</si>
  <si>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</si>
  <si>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</si>
  <si>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</si>
  <si>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</si>
  <si>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</si>
  <si>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</si>
  <si>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</si>
  <si>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</si>
  <si>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</si>
  <si>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</si>
  <si>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</si>
  <si>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</si>
  <si>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</si>
  <si>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</si>
  <si>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</si>
  <si>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</si>
  <si>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</si>
  <si>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</si>
  <si>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</si>
  <si>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</si>
  <si>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</si>
  <si>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</si>
  <si>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</si>
  <si>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</si>
  <si>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</si>
  <si>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</si>
  <si>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</si>
  <si>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</si>
  <si>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</si>
  <si>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</si>
  <si>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</si>
  <si>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</si>
  <si>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</si>
  <si>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</si>
  <si>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</si>
  <si>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</si>
  <si>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</si>
  <si>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</si>
  <si>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</si>
  <si>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</si>
  <si>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</si>
  <si>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</si>
  <si>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</si>
  <si>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</si>
  <si>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</si>
  <si>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</si>
  <si>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</si>
  <si>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</si>
  <si>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</si>
  <si>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</si>
  <si>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</si>
  <si>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</si>
  <si>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</si>
  <si>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</si>
  <si>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</si>
  <si>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</si>
  <si>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</si>
  <si>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</si>
  <si>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</si>
  <si>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</si>
  <si>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</si>
  <si>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</si>
  <si>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</si>
  <si>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</si>
  <si>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</si>
  <si>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</si>
  <si>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</si>
  <si>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</si>
  <si>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</si>
  <si>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</si>
  <si>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</si>
  <si>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</si>
  <si>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</si>
  <si>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</si>
  <si>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</si>
  <si>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</si>
  <si>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</si>
  <si>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</si>
  <si>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</si>
  <si>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</si>
  <si>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</si>
  <si>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</si>
  <si>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</si>
  <si>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</si>
  <si>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</si>
  <si>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</si>
  <si>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</si>
  <si>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</si>
  <si>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</si>
  <si>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</si>
  <si>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</si>
  <si>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</si>
  <si>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</si>
  <si>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</si>
  <si>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</si>
  <si>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</si>
  <si>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</si>
  <si>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</si>
  <si>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</si>
  <si>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</si>
  <si>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</si>
  <si>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</si>
  <si>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</si>
  <si>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</si>
  <si>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</si>
  <si>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</si>
  <si>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</si>
  <si>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</si>
  <si>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</si>
  <si>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</si>
  <si>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</si>
  <si>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</si>
  <si>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</si>
  <si>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</si>
  <si>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</si>
  <si>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</si>
  <si>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</si>
  <si>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</si>
  <si>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</si>
  <si>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</si>
  <si>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</si>
  <si>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</si>
  <si>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</si>
  <si>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</si>
  <si>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</si>
  <si>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</si>
  <si>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</si>
  <si>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</si>
  <si>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</si>
  <si>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</si>
  <si>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</si>
  <si>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</si>
  <si>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</si>
  <si>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</si>
  <si>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</si>
  <si>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</si>
  <si>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</si>
  <si>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</si>
  <si>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</si>
  <si>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</si>
  <si>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</si>
  <si>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</si>
  <si>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</si>
  <si>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</si>
  <si>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</si>
  <si>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</si>
  <si>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</si>
  <si>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</si>
  <si>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</si>
  <si>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</si>
  <si>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</si>
  <si>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</si>
  <si>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</si>
  <si>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</si>
  <si>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</si>
  <si>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</si>
  <si>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</si>
  <si>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</si>
  <si>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</si>
  <si>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</si>
  <si>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</si>
  <si>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</si>
  <si>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</si>
  <si>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</si>
  <si>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</si>
  <si>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</si>
  <si>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</si>
  <si>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</si>
  <si>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</si>
  <si>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</si>
  <si>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</si>
  <si>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</si>
  <si>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</si>
  <si>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</si>
  <si>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</si>
  <si>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</si>
  <si>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</si>
  <si>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</si>
  <si>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</si>
  <si>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</si>
  <si>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</si>
  <si>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</si>
  <si>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</si>
  <si>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</si>
  <si>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</si>
  <si>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</si>
  <si>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</si>
  <si>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</si>
  <si>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</si>
  <si>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</si>
  <si>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</si>
  <si>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</si>
  <si>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</si>
  <si>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</si>
  <si>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</si>
  <si>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</si>
  <si>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</si>
  <si>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</si>
  <si>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</si>
  <si>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</si>
  <si>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</si>
  <si>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</si>
  <si>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</si>
  <si>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</si>
  <si>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</si>
  <si>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</si>
  <si>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</si>
  <si>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</si>
  <si>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</si>
  <si>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</si>
  <si>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</si>
  <si>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</si>
  <si>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</si>
  <si>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</si>
  <si>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</si>
  <si>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</si>
  <si>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</si>
  <si>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</si>
  <si>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</si>
  <si>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</si>
  <si>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</si>
  <si>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</si>
  <si>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</si>
  <si>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</si>
  <si>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</si>
  <si>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</si>
  <si>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</si>
  <si>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</si>
  <si>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</si>
  <si>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</si>
  <si>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</si>
  <si>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</si>
  <si>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</si>
  <si>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</si>
  <si>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</si>
  <si>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</si>
  <si>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</si>
  <si>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</si>
  <si>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</si>
  <si>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</si>
  <si>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</si>
  <si>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</si>
  <si>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</si>
  <si>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</si>
  <si>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</si>
  <si>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</si>
  <si>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840 G3, 745 G3, 840 G4, 745 G4</t>
  </si>
  <si>
    <t>HP 840 G3 parent</t>
  </si>
  <si>
    <t>HP 840 G3 BL - DE</t>
  </si>
  <si>
    <t>HP 840 G3 BL - FR</t>
  </si>
  <si>
    <t>HP 840 G3 BL - IT</t>
  </si>
  <si>
    <t>HP 840 G3 BL - ES</t>
  </si>
  <si>
    <t>HP 840 G3 BL - UK</t>
  </si>
  <si>
    <t>HP 840 G3 BL - USI</t>
  </si>
  <si>
    <t>HP 840 G3 BL - US</t>
  </si>
  <si>
    <t>HP 840 G3 BL - NORDIC</t>
  </si>
  <si>
    <t>HP 840 G3 RG - US</t>
  </si>
  <si>
    <t>HP/W. PS/840 G3 SILVER/BL/DE</t>
  </si>
  <si>
    <t>HP/W. PS/840 G3 SILVER/BL/FR</t>
  </si>
  <si>
    <t>HP/W. PS/840 G3 SILVER/BL/IT</t>
  </si>
  <si>
    <t>HP/W. PS/840 G3 SILVER/BL/ES</t>
  </si>
  <si>
    <t>HP/W. PS/840 G3 SILVER/BL/UK</t>
  </si>
  <si>
    <t>HP/W. PS/840 G3 SILVER/BL/USI</t>
  </si>
  <si>
    <t>HP/W. PS/840 G3 SILVER/BL/US</t>
  </si>
  <si>
    <t>HP/W. PS/840 G3 SILVER/RG/US</t>
  </si>
  <si>
    <t>HP/W. PS/840 G3 SILVER/BL/NOR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</si>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</sst>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0" fillId="14" borderId="0" xfId="0" applyFill="1" applyAlignment="1">
      <alignment horizontal="right"/>
    </xf>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697</v>
      </c>
    </row>
    <row r="4" spans="1:193" ht="17" x14ac:dyDescent="0.2">
      <c r="A4" s="1" t="str">
        <f>IF(ISBLANK(Values!E3),"",IF(Values!$B$37="EU","computercomponent","computer"))</f>
        <v>computercomponent</v>
      </c>
      <c r="B4" s="27" t="str">
        <f>Values!B13</f>
        <v>HP 840 G3 parent</v>
      </c>
      <c r="C4" s="27" t="s">
        <v>345</v>
      </c>
      <c r="D4" s="28">
        <f>Values!B14</f>
        <v>5714401842996</v>
      </c>
      <c r="E4" s="1" t="s">
        <v>346</v>
      </c>
      <c r="F4" s="27" t="str">
        <f>SUBSTITUTE(Values!B1, "{language}", "") &amp; " " &amp; Values!B3</f>
        <v>ersatztastatur  Hintergrundbeleuchtung für HP   840 G3, 745 G3, 840 G4, 745 G4</v>
      </c>
      <c r="G4" s="27" t="s">
        <v>345</v>
      </c>
      <c r="H4" s="1" t="str">
        <f>Values!B16</f>
        <v>computer-keyboards</v>
      </c>
      <c r="I4" s="1" t="str">
        <f>IF(ISBLANK(Values!E3),"","4730574031")</f>
        <v>4730574031</v>
      </c>
      <c r="J4" s="29" t="str">
        <f>Values!B13</f>
        <v>HP 840 G3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840 G3 BL - DE</v>
      </c>
      <c r="C5" s="29" t="str">
        <f>IF(ISBLANK(Values!E4),"","TellusRem")</f>
        <v>TellusRem</v>
      </c>
      <c r="D5" s="28">
        <f>IF(ISBLANK(Values!E4),"",Values!E4)</f>
        <v>5714401842019</v>
      </c>
      <c r="E5" s="1" t="str">
        <f>IF(ISBLANK(Values!E4),"","EAN")</f>
        <v>EAN</v>
      </c>
      <c r="F5" s="27" t="str">
        <f>IF(ISBLANK(Values!E4),"",IF(Values!J4, SUBSTITUTE(Values!$B$1, "{language}", Values!H4) &amp; " " &amp;Values!$B$3, SUBSTITUTE(Values!$B$2, "{language}", Values!$H4) &amp; " " &amp;Values!$B$3))</f>
        <v>ersatztastatur Deutsche Hintergrundbeleuchtung für HP   840 G3, 745 G3, 840 G4, 745 G4</v>
      </c>
      <c r="G5" s="29" t="str">
        <f>IF(ISBLANK(Values!E4),"","TellusRem")</f>
        <v>TellusRem</v>
      </c>
      <c r="H5" s="1" t="str">
        <f>IF(ISBLANK(Values!E4),"",Values!$B$16)</f>
        <v>computer-keyboards</v>
      </c>
      <c r="I5" s="1" t="str">
        <f>IF(ISBLANK(Values!E4),"","4730574031")</f>
        <v>4730574031</v>
      </c>
      <c r="J5" s="31" t="str">
        <f>IF(ISBLANK(Values!E4),"",Values!F4 )</f>
        <v>HP 840 G3 BL - DE</v>
      </c>
      <c r="K5" s="27">
        <f>IF(ISBLANK(Values!E4),"",IF(Values!J4, Values!$B$4, Values!$B$5))</f>
        <v>47.99</v>
      </c>
      <c r="L5" s="27" t="str">
        <f>IF(ISBLANK(Values!E4),"",IF($CO5="DEFAULT", Values!$B$18, ""))</f>
        <v/>
      </c>
      <c r="M5" s="27" t="str">
        <f>IF(ISBLANK(Values!E4),"",Values!$M4)</f>
        <v>https://raw.githubusercontent.com/PatrickVibild/TellusAmazonPictures/master/pictures/HP/W. PS/840 G3 SILVER/BL/DE/1.jpg</v>
      </c>
      <c r="N5" s="27" t="str">
        <f>IF(ISBLANK(Values!$F4),"",Values!N4)</f>
        <v>https://raw.githubusercontent.com/PatrickVibild/TellusAmazonPictures/master/pictures/HP/W. PS/840 G3 SILVER/BL/DE/2.jpg</v>
      </c>
      <c r="O5" s="27" t="str">
        <f>IF(ISBLANK(Values!$F4),"",Values!O4)</f>
        <v>https://raw.githubusercontent.com/PatrickVibild/TellusAmazonPictures/master/pictures/HP/W. PS/840 G3 SILVER/BL/DE/3.jpg</v>
      </c>
      <c r="P5" s="27" t="str">
        <f>IF(ISBLANK(Values!$F4),"",Values!P4)</f>
        <v>https://raw.githubusercontent.com/PatrickVibild/TellusAmazonPictures/master/pictures/HP/W. PS/840 G3 SILVER/BL/DE/4.jpg</v>
      </c>
      <c r="Q5" s="27" t="str">
        <f>IF(ISBLANK(Values!$F4),"",Values!Q4)</f>
        <v>https://raw.githubusercontent.com/PatrickVibild/TellusAmazonPictures/master/pictures/HP/W. PS/840 G3 SILVER/BL/DE/5.jpg</v>
      </c>
      <c r="R5" s="27" t="str">
        <f>IF(ISBLANK(Values!$F4),"",Values!R4)</f>
        <v>https://raw.githubusercontent.com/PatrickVibild/TellusAmazonPictures/master/pictures/HP/W. PS/840 G3 SILVER/BL/DE/6.jpg</v>
      </c>
      <c r="S5" s="27" t="str">
        <f>IF(ISBLANK(Values!$F4),"",Values!S4)</f>
        <v>https://raw.githubusercontent.com/PatrickVibild/TellusAmazonPictures/master/pictures/HP/W. PS/840 G3 SILVER/BL/DE/7.jpg</v>
      </c>
      <c r="T5" s="27" t="str">
        <f>IF(ISBLANK(Values!$F4),"",Values!T4)</f>
        <v>https://raw.githubusercontent.com/PatrickVibild/TellusAmazonPictures/master/pictures/HP/W. PS/840 G3 SILVER/BL/DE/8.jpg</v>
      </c>
      <c r="U5" s="27" t="str">
        <f>IF(ISBLANK(Values!$F4),"",Values!U4)</f>
        <v>https://raw.githubusercontent.com/PatrickVibild/TellusAmazonPictures/master/pictures/HP/W. PS/840 G3 SILVER/BL/DE/9.jpg</v>
      </c>
      <c r="W5" s="29" t="str">
        <f>IF(ISBLANK(Values!E4),"","Child")</f>
        <v>Child</v>
      </c>
      <c r="X5" s="29" t="str">
        <f>IF(ISBLANK(Values!E4),"",Values!$B$13)</f>
        <v>HP 840 G3 parent</v>
      </c>
      <c r="Y5" s="31" t="str">
        <f>IF(ISBLANK(Values!E4),"","Size-Color")</f>
        <v>Size-Color</v>
      </c>
      <c r="Z5" s="29" t="str">
        <f>IF(ISBLANK(Values!E4),"","variation")</f>
        <v>variation</v>
      </c>
      <c r="AA5" s="1"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G3, 745 G3, 840 G4, 745 G4</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mit Hintergrundbeleuchtung </v>
      </c>
      <c r="AM5" s="1" t="str">
        <f>SUBSTITUTE(IF(ISBLANK(Values!E4),"",Values!$B$27), "{model}", Values!$B$3)</f>
        <v xml:space="preserve">👉 KOMPATIBEL MIT - HP 840 G3, 745 G3, 840 G4, 745 G4.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f>K5</f>
        <v>47.99</v>
      </c>
    </row>
    <row r="6" spans="1:193" ht="48" x14ac:dyDescent="0.2">
      <c r="A6" s="1" t="str">
        <f>IF(ISBLANK(Values!E5),"",IF(Values!$B$37="EU","computercomponent","computer"))</f>
        <v>computercomponent</v>
      </c>
      <c r="B6" s="33" t="str">
        <f>IF(ISBLANK(Values!E5),"",Values!F5)</f>
        <v>HP 840 G3 BL - FR</v>
      </c>
      <c r="C6" s="29" t="str">
        <f>IF(ISBLANK(Values!E5),"","TellusRem")</f>
        <v>TellusRem</v>
      </c>
      <c r="D6" s="28">
        <f>IF(ISBLANK(Values!E5),"",Values!E5)</f>
        <v>5714401842026</v>
      </c>
      <c r="E6" s="1" t="str">
        <f>IF(ISBLANK(Values!E5),"","EAN")</f>
        <v>EAN</v>
      </c>
      <c r="F6" s="27" t="str">
        <f>IF(ISBLANK(Values!E5),"",IF(Values!J5, SUBSTITUTE(Values!$B$1, "{language}", Values!H5) &amp; " " &amp;Values!$B$3, SUBSTITUTE(Values!$B$2, "{language}", Values!$H5) &amp; " " &amp;Values!$B$3))</f>
        <v>ersatztastatur Französisch Hintergrundbeleuchtung für HP   840 G3, 745 G3, 840 G4, 745 G4</v>
      </c>
      <c r="G6" s="29" t="str">
        <f>IF(ISBLANK(Values!E5),"","TellusRem")</f>
        <v>TellusRem</v>
      </c>
      <c r="H6" s="1" t="str">
        <f>IF(ISBLANK(Values!E5),"",Values!$B$16)</f>
        <v>computer-keyboards</v>
      </c>
      <c r="I6" s="1" t="str">
        <f>IF(ISBLANK(Values!E5),"","4730574031")</f>
        <v>4730574031</v>
      </c>
      <c r="J6" s="31" t="str">
        <f>IF(ISBLANK(Values!E5),"",Values!F5 )</f>
        <v>HP 840 G3 BL - FR</v>
      </c>
      <c r="K6" s="27">
        <f>IF(ISBLANK(Values!E5),"",IF(Values!J5, Values!$B$4, Values!$B$5))</f>
        <v>47.99</v>
      </c>
      <c r="L6" s="27" t="str">
        <f>IF(ISBLANK(Values!E5),"",IF($CO6="DEFAULT", Values!$B$18, ""))</f>
        <v/>
      </c>
      <c r="M6" s="27" t="str">
        <f>IF(ISBLANK(Values!E5),"",Values!$M5)</f>
        <v>https://raw.githubusercontent.com/PatrickVibild/TellusAmazonPictures/master/pictures/HP/W. PS/840 G3 SILVER/BL/FR/1.jpg</v>
      </c>
      <c r="N6" s="27" t="str">
        <f>IF(ISBLANK(Values!$F5),"",Values!N5)</f>
        <v>https://raw.githubusercontent.com/PatrickVibild/TellusAmazonPictures/master/pictures/HP/W. PS/840 G3 SILVER/BL/FR/2.jpg</v>
      </c>
      <c r="O6" s="27" t="str">
        <f>IF(ISBLANK(Values!$F5),"",Values!O5)</f>
        <v>https://raw.githubusercontent.com/PatrickVibild/TellusAmazonPictures/master/pictures/HP/W. PS/840 G3 SILVER/BL/FR/3.jpg</v>
      </c>
      <c r="P6" s="27" t="str">
        <f>IF(ISBLANK(Values!$F5),"",Values!P5)</f>
        <v>https://raw.githubusercontent.com/PatrickVibild/TellusAmazonPictures/master/pictures/HP/W. PS/840 G3 SILVER/BL/FR/4.jpg</v>
      </c>
      <c r="Q6" s="27" t="str">
        <f>IF(ISBLANK(Values!$F5),"",Values!Q5)</f>
        <v>https://raw.githubusercontent.com/PatrickVibild/TellusAmazonPictures/master/pictures/HP/W. PS/840 G3 SILVER/BL/FR/5.jpg</v>
      </c>
      <c r="R6" s="27" t="str">
        <f>IF(ISBLANK(Values!$F5),"",Values!R5)</f>
        <v>https://raw.githubusercontent.com/PatrickVibild/TellusAmazonPictures/master/pictures/HP/W. PS/840 G3 SILVER/BL/FR/6.jpg</v>
      </c>
      <c r="S6" s="27" t="str">
        <f>IF(ISBLANK(Values!$F5),"",Values!S5)</f>
        <v>https://raw.githubusercontent.com/PatrickVibild/TellusAmazonPictures/master/pictures/HP/W. PS/840 G3 SILVER/BL/FR/7.jpg</v>
      </c>
      <c r="T6" s="27" t="str">
        <f>IF(ISBLANK(Values!$F5),"",Values!T5)</f>
        <v>https://raw.githubusercontent.com/PatrickVibild/TellusAmazonPictures/master/pictures/HP/W. PS/840 G3 SILVER/BL/FR/8.jpg</v>
      </c>
      <c r="U6" s="27" t="str">
        <f>IF(ISBLANK(Values!$F5),"",Values!U5)</f>
        <v>https://raw.githubusercontent.com/PatrickVibild/TellusAmazonPictures/master/pictures/HP/W. PS/840 G3 SILVER/BL/FR/9.jpg</v>
      </c>
      <c r="W6" s="29" t="str">
        <f>IF(ISBLANK(Values!E5),"","Child")</f>
        <v>Child</v>
      </c>
      <c r="X6" s="29" t="str">
        <f>IF(ISBLANK(Values!E5),"",Values!$B$13)</f>
        <v>HP 840 G3 parent</v>
      </c>
      <c r="Y6" s="31" t="str">
        <f>IF(ISBLANK(Values!E5),"","Size-Color")</f>
        <v>Size-Color</v>
      </c>
      <c r="Z6" s="29" t="str">
        <f>IF(ISBLANK(Values!E5),"","variation")</f>
        <v>variation</v>
      </c>
      <c r="AA6" s="1"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G3, 745 G3, 840 G4, 745 G4</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mit Hintergrundbeleuchtung </v>
      </c>
      <c r="AM6" s="1" t="str">
        <f>SUBSTITUTE(IF(ISBLANK(Values!E5),"",Values!$B$27), "{model}", Values!$B$3)</f>
        <v xml:space="preserve">👉 KOMPATIBEL MIT - HP 840 G3, 745 G3, 840 G4, 745 G4.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f>K6</f>
        <v>47.99</v>
      </c>
    </row>
    <row r="7" spans="1:193" ht="48" x14ac:dyDescent="0.2">
      <c r="A7" s="1" t="str">
        <f>IF(ISBLANK(Values!E6),"",IF(Values!$B$37="EU","computercomponent","computer"))</f>
        <v>computercomponent</v>
      </c>
      <c r="B7" s="33" t="str">
        <f>IF(ISBLANK(Values!E6),"",Values!F6)</f>
        <v>HP 840 G3 BL - IT</v>
      </c>
      <c r="C7" s="29" t="str">
        <f>IF(ISBLANK(Values!E6),"","TellusRem")</f>
        <v>TellusRem</v>
      </c>
      <c r="D7" s="28">
        <f>IF(ISBLANK(Values!E6),"",Values!E6)</f>
        <v>5714401842033</v>
      </c>
      <c r="E7" s="1" t="str">
        <f>IF(ISBLANK(Values!E6),"","EAN")</f>
        <v>EAN</v>
      </c>
      <c r="F7" s="27" t="str">
        <f>IF(ISBLANK(Values!E6),"",IF(Values!J6, SUBSTITUTE(Values!$B$1, "{language}", Values!H6) &amp; " " &amp;Values!$B$3, SUBSTITUTE(Values!$B$2, "{language}", Values!$H6) &amp; " " &amp;Values!$B$3))</f>
        <v>ersatztastatur Italienisch Hintergrundbeleuchtung für HP   840 G3, 745 G3, 840 G4, 745 G4</v>
      </c>
      <c r="G7" s="29" t="str">
        <f>IF(ISBLANK(Values!E6),"","TellusRem")</f>
        <v>TellusRem</v>
      </c>
      <c r="H7" s="1" t="str">
        <f>IF(ISBLANK(Values!E6),"",Values!$B$16)</f>
        <v>computer-keyboards</v>
      </c>
      <c r="I7" s="1" t="str">
        <f>IF(ISBLANK(Values!E6),"","4730574031")</f>
        <v>4730574031</v>
      </c>
      <c r="J7" s="31" t="str">
        <f>IF(ISBLANK(Values!E6),"",Values!F6 )</f>
        <v>HP 840 G3 BL - IT</v>
      </c>
      <c r="K7" s="27">
        <f>IF(ISBLANK(Values!E6),"",IF(Values!J6, Values!$B$4, Values!$B$5))</f>
        <v>47.99</v>
      </c>
      <c r="L7" s="27" t="str">
        <f>IF(ISBLANK(Values!E6),"",IF($CO7="DEFAULT", Values!$B$18, ""))</f>
        <v/>
      </c>
      <c r="M7" s="27" t="str">
        <f>IF(ISBLANK(Values!E6),"",Values!$M6)</f>
        <v>https://raw.githubusercontent.com/PatrickVibild/TellusAmazonPictures/master/pictures/HP/W. PS/840 G3 SILVER/BL/IT/1.jpg</v>
      </c>
      <c r="N7" s="27" t="str">
        <f>IF(ISBLANK(Values!$F6),"",Values!N6)</f>
        <v>https://raw.githubusercontent.com/PatrickVibild/TellusAmazonPictures/master/pictures/HP/W. PS/840 G3 SILVER/BL/IT/2.jpg</v>
      </c>
      <c r="O7" s="27" t="str">
        <f>IF(ISBLANK(Values!$F6),"",Values!O6)</f>
        <v>https://raw.githubusercontent.com/PatrickVibild/TellusAmazonPictures/master/pictures/HP/W. PS/840 G3 SILVER/BL/IT/3.jpg</v>
      </c>
      <c r="P7" s="27" t="str">
        <f>IF(ISBLANK(Values!$F6),"",Values!P6)</f>
        <v>https://raw.githubusercontent.com/PatrickVibild/TellusAmazonPictures/master/pictures/HP/W. PS/840 G3 SILVER/BL/IT/4.jpg</v>
      </c>
      <c r="Q7" s="27" t="str">
        <f>IF(ISBLANK(Values!$F6),"",Values!Q6)</f>
        <v>https://raw.githubusercontent.com/PatrickVibild/TellusAmazonPictures/master/pictures/HP/W. PS/840 G3 SILVER/BL/IT/5.jpg</v>
      </c>
      <c r="R7" s="27" t="str">
        <f>IF(ISBLANK(Values!$F6),"",Values!R6)</f>
        <v>https://raw.githubusercontent.com/PatrickVibild/TellusAmazonPictures/master/pictures/HP/W. PS/840 G3 SILVER/BL/IT/6.jpg</v>
      </c>
      <c r="S7" s="27" t="str">
        <f>IF(ISBLANK(Values!$F6),"",Values!S6)</f>
        <v>https://raw.githubusercontent.com/PatrickVibild/TellusAmazonPictures/master/pictures/HP/W. PS/840 G3 SILVER/BL/IT/7.jpg</v>
      </c>
      <c r="T7" s="27" t="str">
        <f>IF(ISBLANK(Values!$F6),"",Values!T6)</f>
        <v>https://raw.githubusercontent.com/PatrickVibild/TellusAmazonPictures/master/pictures/HP/W. PS/840 G3 SILVER/BL/IT/8.jpg</v>
      </c>
      <c r="U7" s="27" t="str">
        <f>IF(ISBLANK(Values!$F6),"",Values!U6)</f>
        <v>https://raw.githubusercontent.com/PatrickVibild/TellusAmazonPictures/master/pictures/HP/W. PS/840 G3 SILVER/BL/IT/9.jpg</v>
      </c>
      <c r="W7" s="29" t="str">
        <f>IF(ISBLANK(Values!E6),"","Child")</f>
        <v>Child</v>
      </c>
      <c r="X7" s="29" t="str">
        <f>IF(ISBLANK(Values!E6),"",Values!$B$13)</f>
        <v>HP 840 G3 parent</v>
      </c>
      <c r="Y7" s="31" t="str">
        <f>IF(ISBLANK(Values!E6),"","Size-Color")</f>
        <v>Size-Color</v>
      </c>
      <c r="Z7" s="29" t="str">
        <f>IF(ISBLANK(Values!E6),"","variation")</f>
        <v>variation</v>
      </c>
      <c r="AA7" s="1"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G3, 745 G3, 840 G4, 745 G4</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mit Hintergrundbeleuchtung </v>
      </c>
      <c r="AM7" s="1" t="str">
        <f>SUBSTITUTE(IF(ISBLANK(Values!E6),"",Values!$B$27), "{model}", Values!$B$3)</f>
        <v xml:space="preserve">👉 KOMPATIBEL MIT - HP 840 G3, 745 G3, 840 G4, 745 G4.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f>K7</f>
        <v>47.99</v>
      </c>
    </row>
    <row r="8" spans="1:193" ht="48" x14ac:dyDescent="0.2">
      <c r="A8" s="1" t="str">
        <f>IF(ISBLANK(Values!E7),"",IF(Values!$B$37="EU","computercomponent","computer"))</f>
        <v>computercomponent</v>
      </c>
      <c r="B8" s="33" t="str">
        <f>IF(ISBLANK(Values!E7),"",Values!F7)</f>
        <v>HP 840 G3 BL - ES</v>
      </c>
      <c r="C8" s="29" t="str">
        <f>IF(ISBLANK(Values!E7),"","TellusRem")</f>
        <v>TellusRem</v>
      </c>
      <c r="D8" s="28">
        <f>IF(ISBLANK(Values!E7),"",Values!E7)</f>
        <v>5714401842040</v>
      </c>
      <c r="E8" s="1" t="str">
        <f>IF(ISBLANK(Values!E7),"","EAN")</f>
        <v>EAN</v>
      </c>
      <c r="F8" s="27" t="str">
        <f>IF(ISBLANK(Values!E7),"",IF(Values!J7, SUBSTITUTE(Values!$B$1, "{language}", Values!H7) &amp; " " &amp;Values!$B$3, SUBSTITUTE(Values!$B$2, "{language}", Values!$H7) &amp; " " &amp;Values!$B$3))</f>
        <v>ersatztastatur Spanisch Hintergrundbeleuchtung für HP   840 G3, 745 G3, 840 G4, 745 G4</v>
      </c>
      <c r="G8" s="29" t="str">
        <f>IF(ISBLANK(Values!E7),"","TellusRem")</f>
        <v>TellusRem</v>
      </c>
      <c r="H8" s="1" t="str">
        <f>IF(ISBLANK(Values!E7),"",Values!$B$16)</f>
        <v>computer-keyboards</v>
      </c>
      <c r="I8" s="1" t="str">
        <f>IF(ISBLANK(Values!E7),"","4730574031")</f>
        <v>4730574031</v>
      </c>
      <c r="J8" s="31" t="str">
        <f>IF(ISBLANK(Values!E7),"",Values!F7 )</f>
        <v>HP 840 G3 BL - ES</v>
      </c>
      <c r="K8" s="27">
        <f>IF(ISBLANK(Values!E7),"",IF(Values!J7, Values!$B$4, Values!$B$5))</f>
        <v>47.99</v>
      </c>
      <c r="L8" s="27" t="str">
        <f>IF(ISBLANK(Values!E7),"",IF($CO8="DEFAULT", Values!$B$18, ""))</f>
        <v/>
      </c>
      <c r="M8" s="27" t="str">
        <f>IF(ISBLANK(Values!E7),"",Values!$M7)</f>
        <v>https://raw.githubusercontent.com/PatrickVibild/TellusAmazonPictures/master/pictures/HP/W. PS/840 G3 SILVER/BL/ES/1.jpg</v>
      </c>
      <c r="N8" s="27" t="str">
        <f>IF(ISBLANK(Values!$F7),"",Values!N7)</f>
        <v>https://raw.githubusercontent.com/PatrickVibild/TellusAmazonPictures/master/pictures/HP/W. PS/840 G3 SILVER/BL/ES/2.jpg</v>
      </c>
      <c r="O8" s="27" t="str">
        <f>IF(ISBLANK(Values!$F7),"",Values!O7)</f>
        <v>https://raw.githubusercontent.com/PatrickVibild/TellusAmazonPictures/master/pictures/HP/W. PS/840 G3 SILVER/BL/ES/3.jpg</v>
      </c>
      <c r="P8" s="27" t="str">
        <f>IF(ISBLANK(Values!$F7),"",Values!P7)</f>
        <v>https://raw.githubusercontent.com/PatrickVibild/TellusAmazonPictures/master/pictures/HP/W. PS/840 G3 SILVER/BL/ES/4.jpg</v>
      </c>
      <c r="Q8" s="27" t="str">
        <f>IF(ISBLANK(Values!$F7),"",Values!Q7)</f>
        <v>https://raw.githubusercontent.com/PatrickVibild/TellusAmazonPictures/master/pictures/HP/W. PS/840 G3 SILVER/BL/ES/5.jpg</v>
      </c>
      <c r="R8" s="27" t="str">
        <f>IF(ISBLANK(Values!$F7),"",Values!R7)</f>
        <v>https://raw.githubusercontent.com/PatrickVibild/TellusAmazonPictures/master/pictures/HP/W. PS/840 G3 SILVER/BL/ES/6.jpg</v>
      </c>
      <c r="S8" s="27" t="str">
        <f>IF(ISBLANK(Values!$F7),"",Values!S7)</f>
        <v>https://raw.githubusercontent.com/PatrickVibild/TellusAmazonPictures/master/pictures/HP/W. PS/840 G3 SILVER/BL/ES/7.jpg</v>
      </c>
      <c r="T8" s="27" t="str">
        <f>IF(ISBLANK(Values!$F7),"",Values!T7)</f>
        <v>https://raw.githubusercontent.com/PatrickVibild/TellusAmazonPictures/master/pictures/HP/W. PS/840 G3 SILVER/BL/ES/8.jpg</v>
      </c>
      <c r="U8" s="27" t="str">
        <f>IF(ISBLANK(Values!$F7),"",Values!U7)</f>
        <v>https://raw.githubusercontent.com/PatrickVibild/TellusAmazonPictures/master/pictures/HP/W. PS/840 G3 SILVER/BL/ES/9.jpg</v>
      </c>
      <c r="W8" s="29" t="str">
        <f>IF(ISBLANK(Values!E7),"","Child")</f>
        <v>Child</v>
      </c>
      <c r="X8" s="29" t="str">
        <f>IF(ISBLANK(Values!E7),"",Values!$B$13)</f>
        <v>HP 840 G3 parent</v>
      </c>
      <c r="Y8" s="31" t="str">
        <f>IF(ISBLANK(Values!E7),"","Size-Color")</f>
        <v>Size-Color</v>
      </c>
      <c r="Z8" s="29" t="str">
        <f>IF(ISBLANK(Values!E7),"","variation")</f>
        <v>variation</v>
      </c>
      <c r="AA8" s="1"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G3, 745 G3, 840 G4, 745 G4</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mit Hintergrundbeleuchtung </v>
      </c>
      <c r="AM8" s="1" t="str">
        <f>SUBSTITUTE(IF(ISBLANK(Values!E7),"",Values!$B$27), "{model}", Values!$B$3)</f>
        <v xml:space="preserve">👉 KOMPATIBEL MIT - HP 840 G3, 745 G3, 840 G4, 745 G4.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f>K8</f>
        <v>47.99</v>
      </c>
    </row>
    <row r="9" spans="1:193" ht="48" x14ac:dyDescent="0.2">
      <c r="A9" s="1" t="str">
        <f>IF(ISBLANK(Values!E8),"",IF(Values!$B$37="EU","computercomponent","computer"))</f>
        <v>computercomponent</v>
      </c>
      <c r="B9" s="33" t="str">
        <f>IF(ISBLANK(Values!E8),"",Values!F8)</f>
        <v>HP 840 G3 BL - UK</v>
      </c>
      <c r="C9" s="29" t="str">
        <f>IF(ISBLANK(Values!E8),"","TellusRem")</f>
        <v>TellusRem</v>
      </c>
      <c r="D9" s="28">
        <f>IF(ISBLANK(Values!E8),"",Values!E8)</f>
        <v>5714401842057</v>
      </c>
      <c r="E9" s="1" t="str">
        <f>IF(ISBLANK(Values!E8),"","EAN")</f>
        <v>EAN</v>
      </c>
      <c r="F9" s="27" t="str">
        <f>IF(ISBLANK(Values!E8),"",IF(Values!J8, SUBSTITUTE(Values!$B$1, "{language}", Values!H8) &amp; " " &amp;Values!$B$3, SUBSTITUTE(Values!$B$2, "{language}", Values!$H8) &amp; " " &amp;Values!$B$3))</f>
        <v>ersatztastatur UK Hintergrundbeleuchtung für HP   840 G3, 745 G3, 840 G4, 745 G4</v>
      </c>
      <c r="G9" s="29" t="str">
        <f>IF(ISBLANK(Values!E8),"","TellusRem")</f>
        <v>TellusRem</v>
      </c>
      <c r="H9" s="1" t="str">
        <f>IF(ISBLANK(Values!E8),"",Values!$B$16)</f>
        <v>computer-keyboards</v>
      </c>
      <c r="I9" s="1" t="str">
        <f>IF(ISBLANK(Values!E8),"","4730574031")</f>
        <v>4730574031</v>
      </c>
      <c r="J9" s="31" t="str">
        <f>IF(ISBLANK(Values!E8),"",Values!F8 )</f>
        <v>HP 840 G3 BL - UK</v>
      </c>
      <c r="K9" s="27">
        <f>IF(ISBLANK(Values!E8),"",IF(Values!J8, Values!$B$4, Values!$B$5))</f>
        <v>47.99</v>
      </c>
      <c r="L9" s="27" t="str">
        <f>IF(ISBLANK(Values!E8),"",IF($CO9="DEFAULT", Values!$B$18, ""))</f>
        <v/>
      </c>
      <c r="M9" s="27" t="str">
        <f>IF(ISBLANK(Values!E8),"",Values!$M8)</f>
        <v>https://raw.githubusercontent.com/PatrickVibild/TellusAmazonPictures/master/pictures/HP/W. PS/840 G3 SILVER/BL/UK/1.jpg</v>
      </c>
      <c r="N9" s="27" t="str">
        <f>IF(ISBLANK(Values!$F8),"",Values!N8)</f>
        <v>https://raw.githubusercontent.com/PatrickVibild/TellusAmazonPictures/master/pictures/HP/W. PS/840 G3 SILVER/BL/UK/2.jpg</v>
      </c>
      <c r="O9" s="27" t="str">
        <f>IF(ISBLANK(Values!$F8),"",Values!O8)</f>
        <v>https://raw.githubusercontent.com/PatrickVibild/TellusAmazonPictures/master/pictures/HP/W. PS/840 G3 SILVER/BL/UK/3.jpg</v>
      </c>
      <c r="P9" s="27" t="str">
        <f>IF(ISBLANK(Values!$F8),"",Values!P8)</f>
        <v>https://raw.githubusercontent.com/PatrickVibild/TellusAmazonPictures/master/pictures/HP/W. PS/840 G3 SILVER/BL/UK/4.jpg</v>
      </c>
      <c r="Q9" s="27" t="str">
        <f>IF(ISBLANK(Values!$F8),"",Values!Q8)</f>
        <v>https://raw.githubusercontent.com/PatrickVibild/TellusAmazonPictures/master/pictures/HP/W. PS/840 G3 SILVER/BL/UK/5.jpg</v>
      </c>
      <c r="R9" s="27" t="str">
        <f>IF(ISBLANK(Values!$F8),"",Values!R8)</f>
        <v>https://raw.githubusercontent.com/PatrickVibild/TellusAmazonPictures/master/pictures/HP/W. PS/840 G3 SILVER/BL/UK/6.jpg</v>
      </c>
      <c r="S9" s="27" t="str">
        <f>IF(ISBLANK(Values!$F8),"",Values!S8)</f>
        <v>https://raw.githubusercontent.com/PatrickVibild/TellusAmazonPictures/master/pictures/HP/W. PS/840 G3 SILVER/BL/UK/7.jpg</v>
      </c>
      <c r="T9" s="27" t="str">
        <f>IF(ISBLANK(Values!$F8),"",Values!T8)</f>
        <v>https://raw.githubusercontent.com/PatrickVibild/TellusAmazonPictures/master/pictures/HP/W. PS/840 G3 SILVER/BL/UK/8.jpg</v>
      </c>
      <c r="U9" s="27" t="str">
        <f>IF(ISBLANK(Values!$F8),"",Values!U8)</f>
        <v>https://raw.githubusercontent.com/PatrickVibild/TellusAmazonPictures/master/pictures/HP/W. PS/840 G3 SILVER/BL/UK/9.jpg</v>
      </c>
      <c r="W9" s="29" t="str">
        <f>IF(ISBLANK(Values!E8),"","Child")</f>
        <v>Child</v>
      </c>
      <c r="X9" s="29" t="str">
        <f>IF(ISBLANK(Values!E8),"",Values!$B$13)</f>
        <v>HP 840 G3 parent</v>
      </c>
      <c r="Y9" s="31" t="str">
        <f>IF(ISBLANK(Values!E8),"","Size-Color")</f>
        <v>Size-Color</v>
      </c>
      <c r="Z9" s="29" t="str">
        <f>IF(ISBLANK(Values!E8),"","variation")</f>
        <v>variation</v>
      </c>
      <c r="AA9" s="1"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G3, 745 G3, 840 G4, 745 G4</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mit Hintergrundbeleuchtung </v>
      </c>
      <c r="AM9" s="1" t="str">
        <f>SUBSTITUTE(IF(ISBLANK(Values!E8),"",Values!$B$27), "{model}", Values!$B$3)</f>
        <v xml:space="preserve">👉 KOMPATIBEL MIT - HP 840 G3, 745 G3, 840 G4, 745 G4.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f>K9</f>
        <v>47.99</v>
      </c>
    </row>
    <row r="10" spans="1:193" ht="48" x14ac:dyDescent="0.2">
      <c r="A10" s="1" t="str">
        <f>IF(ISBLANK(Values!E12),"",IF(Values!$B$37="EU","computercomponent","computer"))</f>
        <v>computercomponent</v>
      </c>
      <c r="B10" s="33" t="str">
        <f>IF(ISBLANK(Values!E12),"",Values!F12)</f>
        <v>HP 840 G3 BL - USI</v>
      </c>
      <c r="C10" s="29" t="str">
        <f>IF(ISBLANK(Values!E12),"","TellusRem")</f>
        <v>TellusRem</v>
      </c>
      <c r="D10" s="28">
        <f>IF(ISBLANK(Values!E12),"",Values!E12)</f>
        <v>5714401842187</v>
      </c>
      <c r="E10" s="1" t="str">
        <f>IF(ISBLANK(Values!E12),"","EAN")</f>
        <v>EAN</v>
      </c>
      <c r="F10" s="27" t="str">
        <f>IF(ISBLANK(Values!E12),"",IF(Values!J9, SUBSTITUTE(Values!$B$1, "{language}", Values!H9) &amp; " " &amp;Values!$B$3, SUBSTITUTE(Values!$B$2, "{language}", Values!$H9) &amp; " " &amp;Values!$B$3))</f>
        <v>ersatztastatur Skandinavisch – Nordisch Hintergrundbeleuchtung für HP   840 G3, 745 G3, 840 G4, 745 G4</v>
      </c>
      <c r="G10" s="29" t="str">
        <f>IF(ISBLANK(Values!E12),"","TellusRem")</f>
        <v>TellusRem</v>
      </c>
      <c r="H10" s="1" t="str">
        <f>IF(ISBLANK(Values!E12),"",Values!$B$16)</f>
        <v>computer-keyboards</v>
      </c>
      <c r="I10" s="1" t="str">
        <f>IF(ISBLANK(Values!E12),"","4730574031")</f>
        <v>4730574031</v>
      </c>
      <c r="J10" s="31" t="str">
        <f>IF(ISBLANK(Values!E12),"",Values!F12 )</f>
        <v>HP 840 G3 BL - USI</v>
      </c>
      <c r="K10" s="27">
        <f>IF(ISBLANK(Values!E12),"",IF(Values!J9, Values!$B$4, Values!$B$5))</f>
        <v>47.99</v>
      </c>
      <c r="L10" s="27" t="str">
        <f>IF(ISBLANK(Values!E12),"",IF($CO10="DEFAULT", Values!$B$18, ""))</f>
        <v/>
      </c>
      <c r="M10" s="27" t="str">
        <f>IF(ISBLANK(Values!E12),"",Values!$M9)</f>
        <v>https://raw.githubusercontent.com/PatrickVibild/TellusAmazonPictures/master/pictures/HP/W. PS/840 G3 SILVER/BL/USI/1.jpg</v>
      </c>
      <c r="N10" s="27" t="str">
        <f>IF(ISBLANK(Values!$F12),"",Values!N9)</f>
        <v>https://raw.githubusercontent.com/PatrickVibild/TellusAmazonPictures/master/pictures/HP/W. PS/840 G3 SILVER/BL/USI/2.jpg</v>
      </c>
      <c r="O10" s="27" t="str">
        <f>IF(ISBLANK(Values!$F12),"",Values!O9)</f>
        <v>https://raw.githubusercontent.com/PatrickVibild/TellusAmazonPictures/master/pictures/HP/W. PS/840 G3 SILVER/BL/USI/3.jpg</v>
      </c>
      <c r="P10" s="27" t="str">
        <f>IF(ISBLANK(Values!$F12),"",Values!P9)</f>
        <v>https://raw.githubusercontent.com/PatrickVibild/TellusAmazonPictures/master/pictures/HP/W. PS/840 G3 SILVER/BL/USI/4.jpg</v>
      </c>
      <c r="Q10" s="27" t="str">
        <f>IF(ISBLANK(Values!$F12),"",Values!Q9)</f>
        <v>https://raw.githubusercontent.com/PatrickVibild/TellusAmazonPictures/master/pictures/HP/W. PS/840 G3 SILVER/BL/USI/5.jpg</v>
      </c>
      <c r="R10" s="27" t="str">
        <f>IF(ISBLANK(Values!$F12),"",Values!R9)</f>
        <v>https://raw.githubusercontent.com/PatrickVibild/TellusAmazonPictures/master/pictures/HP/W. PS/840 G3 SILVER/BL/USI/6.jpg</v>
      </c>
      <c r="S10" s="27" t="str">
        <f>IF(ISBLANK(Values!$F12),"",Values!S9)</f>
        <v>https://raw.githubusercontent.com/PatrickVibild/TellusAmazonPictures/master/pictures/HP/W. PS/840 G3 SILVER/BL/USI/7.jpg</v>
      </c>
      <c r="T10" s="27" t="str">
        <f>IF(ISBLANK(Values!$F12),"",Values!T9)</f>
        <v>https://raw.githubusercontent.com/PatrickVibild/TellusAmazonPictures/master/pictures/HP/W. PS/840 G3 SILVER/BL/USI/8.jpg</v>
      </c>
      <c r="U10" s="27" t="str">
        <f>IF(ISBLANK(Values!$F12),"",Values!U9)</f>
        <v>https://raw.githubusercontent.com/PatrickVibild/TellusAmazonPictures/master/pictures/HP/W. PS/840 G3 SILVER/BL/USI/9.jpg</v>
      </c>
      <c r="W10" s="29" t="str">
        <f>IF(ISBLANK(Values!E12),"","Child")</f>
        <v>Child</v>
      </c>
      <c r="X10" s="29" t="str">
        <f>IF(ISBLANK(Values!E12),"",Values!$B$13)</f>
        <v>HP 840 G3 parent</v>
      </c>
      <c r="Y10" s="31" t="str">
        <f>IF(ISBLANK(Values!E12),"","Size-Color")</f>
        <v>Size-Color</v>
      </c>
      <c r="Z10" s="29" t="str">
        <f>IF(ISBLANK(Values!E12),"","variation")</f>
        <v>variation</v>
      </c>
      <c r="AA10" s="1" t="str">
        <f>IF(ISBLANK(Values!E12),"",Values!$B$20)</f>
        <v>Update</v>
      </c>
      <c r="AB10"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IF(ISBLANK(Values!E12),"",IF(Values!I9,Values!$B$23,Values!$B$33))</f>
        <v xml:space="preserve">👉 ÜBERARBEITET: GELD SPAREN - Ersatz-HP-Laptop-Tastatur, gleiche Qualität wie OEM-Tastaturen. TellusRem ist seit 2011 der weltweit führende Distributor von Tastaturen. Perfekte Ersatztastatur, einfach auszutauschen und zu installieren. </v>
      </c>
      <c r="AJ10" s="3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G3, 745 G3, 840 G4, 745 G4</v>
      </c>
      <c r="AK10" s="1" t="str">
        <f>IF(ISBLANK(Values!E12),"",Values!$B$25)</f>
        <v xml:space="preserve">♻️ ÖFFENTLICHES PRODUKT - Kaufen Sie renoviert, KAUFEN SIE GRÜN! Reduzieren Sie mehr als 80% Kohlendioxid, indem Sie unsere überholten Tastaturen kaufen, im Vergleich zu einer neuen Tastatur! </v>
      </c>
      <c r="AL10" s="1" t="str">
        <f>IF(ISBLANK(Values!E12),"",SUBSTITUTE(SUBSTITUTE(IF(Values!$J9, Values!$B$26, Values!$B$33), "{language}", Values!$H9), "{flag}", INDEX(options!$E$1:$E$20, Values!$V9)))</f>
        <v xml:space="preserve">👉 LAYOUT - 🇸🇪 🇫🇮 🇳🇴 🇩🇰 Skandinavisch – Nordisch mit Hintergrundbeleuchtung </v>
      </c>
      <c r="AM10" s="1" t="str">
        <f>SUBSTITUTE(IF(ISBLANK(Values!E12),"",Values!$B$27), "{model}", Values!$B$3)</f>
        <v xml:space="preserve">👉 KOMPATIBEL MIT - HP 840 G3, 745 G3, 840 G4, 745 G4. Bitte überprüfen Sie das Bild und die Beschreibung sorgfältig, bevor Sie eine Tastatur kaufen. Dies stellt sicher, dass Sie die richtige Laptop-Tastatur für Ihren Computer erhalten. Super einfache Installation. </v>
      </c>
      <c r="AT10" s="27" t="str">
        <f>IF(ISBLANK(Values!E12),"",Values!H9)</f>
        <v>Skandinavisch – Nordisch</v>
      </c>
      <c r="AV10" s="1" t="str">
        <f>IF(ISBLANK(Values!E12),"",IF(Values!J9,"Backlit", "Non-Backlit"))</f>
        <v>Backlit</v>
      </c>
      <c r="AW10"/>
      <c r="BE10" s="1" t="str">
        <f>IF(ISBLANK(Values!E12),"","Professional Audience")</f>
        <v>Professional Audience</v>
      </c>
      <c r="BF10" s="1" t="str">
        <f>IF(ISBLANK(Values!E12),"","Consumer Audience")</f>
        <v>Consumer Audience</v>
      </c>
      <c r="BG10" s="1" t="str">
        <f>IF(ISBLANK(Values!E12),"","Adults")</f>
        <v>Adults</v>
      </c>
      <c r="BH10" s="1" t="str">
        <f>IF(ISBLANK(Values!E12),"","People")</f>
        <v>People</v>
      </c>
      <c r="CG10" s="1">
        <f>IF(ISBLANK(Values!E12),"",Values!$B$11)</f>
        <v>150</v>
      </c>
      <c r="CH10" s="1" t="str">
        <f>IF(ISBLANK(Values!E12),"","GR")</f>
        <v>GR</v>
      </c>
      <c r="CI10" s="1" t="str">
        <f>IF(ISBLANK(Values!E12),"",Values!$B$7)</f>
        <v>32</v>
      </c>
      <c r="CJ10" s="1" t="str">
        <f>IF(ISBLANK(Values!E12),"",Values!$B$8)</f>
        <v>18</v>
      </c>
      <c r="CK10" s="1" t="str">
        <f>IF(ISBLANK(Values!E12),"",Values!$B$9)</f>
        <v>2</v>
      </c>
      <c r="CL10" s="1" t="str">
        <f>IF(ISBLANK(Values!E12),"","CM")</f>
        <v>CM</v>
      </c>
      <c r="CO10" s="1" t="str">
        <f>IF(ISBLANK(Values!E12), "", IF(AND(Values!$B$37=options!$G$2, Values!$C9), "AMAZON_NA", IF(AND(Values!$B$37=options!$G$1, Values!$D9), "AMAZON_EU", "DEFAULT")))</f>
        <v>AMAZON_EU</v>
      </c>
      <c r="CP10" s="1" t="str">
        <f>IF(ISBLANK(Values!E12),"",Values!$B$7)</f>
        <v>32</v>
      </c>
      <c r="CQ10" s="1" t="str">
        <f>IF(ISBLANK(Values!E12),"",Values!$B$8)</f>
        <v>18</v>
      </c>
      <c r="CR10" s="1" t="str">
        <f>IF(ISBLANK(Values!E12),"",Values!$B$9)</f>
        <v>2</v>
      </c>
      <c r="CS10" s="1">
        <f>IF(ISBLANK(Values!E12),"",Values!$B$11)</f>
        <v>150</v>
      </c>
      <c r="CT10" s="1" t="str">
        <f>IF(ISBLANK(Values!E12),"","GR")</f>
        <v>GR</v>
      </c>
      <c r="CU10" s="1" t="str">
        <f>IF(ISBLANK(Values!E12),"","CM")</f>
        <v>CM</v>
      </c>
      <c r="CV10"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IF(ISBLANK(Values!E12),"","No")</f>
        <v>No</v>
      </c>
      <c r="DA10" s="1" t="str">
        <f>IF(ISBLANK(Values!E12),"","No")</f>
        <v>No</v>
      </c>
      <c r="DO10" s="1" t="str">
        <f>IF(ISBLANK(Values!E12),"","Parts")</f>
        <v>Parts</v>
      </c>
      <c r="DP10"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0" t="str">
        <f>IF(ISBLANK(Values!$E12), "", "not_applicable")</f>
        <v>not_applicable</v>
      </c>
      <c r="EI10"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IF(ISBLANK(Values!E12),"","Amazon Tellus UPS")</f>
        <v>Amazon Tellus UPS</v>
      </c>
      <c r="EV10" s="1" t="str">
        <f>IF(ISBLANK(Values!E12),"","New")</f>
        <v>New</v>
      </c>
      <c r="FE10" s="1" t="str">
        <f>IF(ISBLANK(Values!E12),"",IF(CO10&lt;&gt;"DEFAULT", "", 3))</f>
        <v/>
      </c>
      <c r="FH10" s="1" t="str">
        <f>IF(ISBLANK(Values!E12),"","FALSE")</f>
        <v>FALSE</v>
      </c>
      <c r="FI10" s="1" t="str">
        <f>IF(ISBLANK(Values!E12),"","FALSE")</f>
        <v>FALSE</v>
      </c>
      <c r="FJ10" s="1" t="str">
        <f>IF(ISBLANK(Values!E12),"","FALSE")</f>
        <v>FALSE</v>
      </c>
      <c r="FM10" s="1" t="str">
        <f>IF(ISBLANK(Values!E12),"","1")</f>
        <v>1</v>
      </c>
      <c r="FO10" s="27">
        <f>IF(ISBLANK(Values!E12),"",IF(Values!J9, Values!$B$4, Values!$B$5))</f>
        <v>47.99</v>
      </c>
      <c r="FP10" s="1" t="str">
        <f>IF(ISBLANK(Values!E12),"","Percent")</f>
        <v>Percent</v>
      </c>
      <c r="FQ10" s="1" t="str">
        <f>IF(ISBLANK(Values!E12),"","2")</f>
        <v>2</v>
      </c>
      <c r="FR10" s="1" t="str">
        <f>IF(ISBLANK(Values!E12),"","3")</f>
        <v>3</v>
      </c>
      <c r="FS10" s="1" t="str">
        <f>IF(ISBLANK(Values!E12),"","5")</f>
        <v>5</v>
      </c>
      <c r="FT10" s="1" t="str">
        <f>IF(ISBLANK(Values!E12),"","6")</f>
        <v>6</v>
      </c>
      <c r="FU10" s="1" t="str">
        <f>IF(ISBLANK(Values!E12),"","10")</f>
        <v>10</v>
      </c>
      <c r="FV10" s="1" t="str">
        <f>IF(ISBLANK(Values!E12),"","10")</f>
        <v>10</v>
      </c>
      <c r="GK10" s="64">
        <f>K10</f>
        <v>47.99</v>
      </c>
    </row>
    <row r="11" spans="1:193" ht="48" x14ac:dyDescent="0.2">
      <c r="A11" s="1" t="str">
        <f>IF(ISBLANK(Values!E13),"",IF(Values!$B$37="EU","computercomponent","computer"))</f>
        <v>computercomponent</v>
      </c>
      <c r="B11" s="33" t="str">
        <f>IF(ISBLANK(Values!E13),"",Values!F13)</f>
        <v>HP 840 G3 BL - US</v>
      </c>
      <c r="C11" s="29" t="str">
        <f>IF(ISBLANK(Values!E13),"","TellusRem")</f>
        <v>TellusRem</v>
      </c>
      <c r="D11" s="28">
        <f>IF(ISBLANK(Values!E13),"",Values!E13)</f>
        <v>5714401842200</v>
      </c>
      <c r="E11" s="1" t="str">
        <f>IF(ISBLANK(Values!E13),"","EAN")</f>
        <v>EAN</v>
      </c>
      <c r="F11" s="27" t="str">
        <f>IF(ISBLANK(Values!E13),"",IF(Values!J10, SUBSTITUTE(Values!$B$1, "{language}", Values!H10) &amp; " " &amp;Values!$B$3, SUBSTITUTE(Values!$B$2, "{language}", Values!$H10) &amp; " " &amp;Values!$B$3))</f>
        <v>ersatztastatur Belgier Hintergrundbeleuchtung für HP   840 G3, 745 G3, 840 G4, 745 G4</v>
      </c>
      <c r="G11" s="29" t="str">
        <f>IF(ISBLANK(Values!E13),"","TellusRem")</f>
        <v>TellusRem</v>
      </c>
      <c r="H11" s="1" t="str">
        <f>IF(ISBLANK(Values!E13),"",Values!$B$16)</f>
        <v>computer-keyboards</v>
      </c>
      <c r="I11" s="1" t="str">
        <f>IF(ISBLANK(Values!E13),"","4730574031")</f>
        <v>4730574031</v>
      </c>
      <c r="J11" s="31" t="str">
        <f>IF(ISBLANK(Values!E13),"",Values!F13 )</f>
        <v>HP 840 G3 BL - US</v>
      </c>
      <c r="K11" s="27">
        <f>IF(ISBLANK(Values!E13),"",IF(Values!J10, Values!$B$4, Values!$B$5))</f>
        <v>47.99</v>
      </c>
      <c r="L11" s="27" t="str">
        <f>IF(ISBLANK(Values!E13),"",IF($CO11="DEFAULT", Values!$B$18, ""))</f>
        <v/>
      </c>
      <c r="M11" s="27" t="str">
        <f>IF(ISBLANK(Values!E13),"",Values!$M10)</f>
        <v>https://raw.githubusercontent.com/PatrickVibild/TellusAmazonPictures/master/pictures/HP/W. PS/840 G3 SILVER/BL/US/1.jpg</v>
      </c>
      <c r="N11" s="27" t="str">
        <f>IF(ISBLANK(Values!$F13),"",Values!N10)</f>
        <v>https://raw.githubusercontent.com/PatrickVibild/TellusAmazonPictures/master/pictures/HP/W. PS/840 G3 SILVER/BL/US/2.jpg</v>
      </c>
      <c r="O11" s="27" t="str">
        <f>IF(ISBLANK(Values!$F13),"",Values!O10)</f>
        <v>https://raw.githubusercontent.com/PatrickVibild/TellusAmazonPictures/master/pictures/HP/W. PS/840 G3 SILVER/BL/US/3.jpg</v>
      </c>
      <c r="P11" s="27" t="str">
        <f>IF(ISBLANK(Values!$F13),"",Values!P10)</f>
        <v>https://raw.githubusercontent.com/PatrickVibild/TellusAmazonPictures/master/pictures/HP/W. PS/840 G3 SILVER/BL/US/4.jpg</v>
      </c>
      <c r="Q11" s="27" t="str">
        <f>IF(ISBLANK(Values!$F13),"",Values!Q10)</f>
        <v>https://raw.githubusercontent.com/PatrickVibild/TellusAmazonPictures/master/pictures/HP/W. PS/840 G3 SILVER/BL/US/5.jpg</v>
      </c>
      <c r="R11" s="27" t="str">
        <f>IF(ISBLANK(Values!$F13),"",Values!R10)</f>
        <v>https://raw.githubusercontent.com/PatrickVibild/TellusAmazonPictures/master/pictures/HP/W. PS/840 G3 SILVER/BL/US/6.jpg</v>
      </c>
      <c r="S11" s="27" t="str">
        <f>IF(ISBLANK(Values!$F13),"",Values!S10)</f>
        <v>https://raw.githubusercontent.com/PatrickVibild/TellusAmazonPictures/master/pictures/HP/W. PS/840 G3 SILVER/BL/US/7.jpg</v>
      </c>
      <c r="T11" s="27" t="str">
        <f>IF(ISBLANK(Values!$F13),"",Values!T10)</f>
        <v>https://raw.githubusercontent.com/PatrickVibild/TellusAmazonPictures/master/pictures/HP/W. PS/840 G3 SILVER/BL/US/8.jpg</v>
      </c>
      <c r="U11" s="27" t="str">
        <f>IF(ISBLANK(Values!$F13),"",Values!U10)</f>
        <v>https://raw.githubusercontent.com/PatrickVibild/TellusAmazonPictures/master/pictures/HP/W. PS/840 G3 SILVER/BL/US/9.jpg</v>
      </c>
      <c r="W11" s="29" t="str">
        <f>IF(ISBLANK(Values!E13),"","Child")</f>
        <v>Child</v>
      </c>
      <c r="X11" s="29" t="str">
        <f>IF(ISBLANK(Values!E13),"",Values!$B$13)</f>
        <v>HP 840 G3 parent</v>
      </c>
      <c r="Y11" s="31" t="str">
        <f>IF(ISBLANK(Values!E13),"","Size-Color")</f>
        <v>Size-Color</v>
      </c>
      <c r="Z11" s="29" t="str">
        <f>IF(ISBLANK(Values!E13),"","variation")</f>
        <v>variation</v>
      </c>
      <c r="AA11" s="1" t="str">
        <f>IF(ISBLANK(Values!E13),"",Values!$B$20)</f>
        <v>Update</v>
      </c>
      <c r="AB11"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34" t="str">
        <f>IF(ISBLANK(Values!E13),"",IF(Values!I10,Values!$B$23,Values!$B$33))</f>
        <v xml:space="preserve">👉 ÜBERARBEITET: GELD SPAREN - Ersatz-HP-Laptop-Tastatur, gleiche Qualität wie OEM-Tastaturen. TellusRem ist seit 2011 der weltweit führende Distributor von Tastaturen. Perfekte Ersatztastatur, einfach auszutauschen und zu installieren. </v>
      </c>
      <c r="AJ11" s="3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G3, 745 G3, 840 G4, 745 G4</v>
      </c>
      <c r="AK11" s="1" t="str">
        <f>IF(ISBLANK(Values!E13),"",Values!$B$25)</f>
        <v xml:space="preserve">♻️ ÖFFENTLICHES PRODUKT - Kaufen Sie renoviert, KAUFEN SIE GRÜN! Reduzieren Sie mehr als 80% Kohlendioxid, indem Sie unsere überholten Tastaturen kaufen, im Vergleich zu einer neuen Tastatur! </v>
      </c>
      <c r="AL11" s="1" t="str">
        <f>IF(ISBLANK(Values!E13),"",SUBSTITUTE(SUBSTITUTE(IF(Values!$J10, Values!$B$26, Values!$B$33), "{language}", Values!$H10), "{flag}", INDEX(options!$E$1:$E$20, Values!$V10)))</f>
        <v xml:space="preserve">👉 LAYOUT - 🇧🇪 Belgier mit Hintergrundbeleuchtung </v>
      </c>
      <c r="AM11" s="1" t="str">
        <f>SUBSTITUTE(IF(ISBLANK(Values!E13),"",Values!$B$27), "{model}", Values!$B$3)</f>
        <v xml:space="preserve">👉 KOMPATIBEL MIT - HP 840 G3, 745 G3, 840 G4, 745 G4. Bitte überprüfen Sie das Bild und die Beschreibung sorgfältig, bevor Sie eine Tastatur kaufen. Dies stellt sicher, dass Sie die richtige Laptop-Tastatur für Ihren Computer erhalten. Super einfache Installation. </v>
      </c>
      <c r="AT11" s="27" t="str">
        <f>IF(ISBLANK(Values!E13),"",Values!H10)</f>
        <v>Belgier</v>
      </c>
      <c r="AV11" s="1" t="str">
        <f>IF(ISBLANK(Values!E13),"",IF(Values!J10,"Backlit", "Non-Backlit"))</f>
        <v>Backlit</v>
      </c>
      <c r="AW11"/>
      <c r="BE11" s="1" t="str">
        <f>IF(ISBLANK(Values!E13),"","Professional Audience")</f>
        <v>Professional Audience</v>
      </c>
      <c r="BF11" s="1" t="str">
        <f>IF(ISBLANK(Values!E13),"","Consumer Audience")</f>
        <v>Consumer Audience</v>
      </c>
      <c r="BG11" s="1" t="str">
        <f>IF(ISBLANK(Values!E13),"","Adults")</f>
        <v>Adults</v>
      </c>
      <c r="BH11" s="1" t="str">
        <f>IF(ISBLANK(Values!E13),"","People")</f>
        <v>People</v>
      </c>
      <c r="CG11" s="1">
        <f>IF(ISBLANK(Values!E13),"",Values!$B$11)</f>
        <v>150</v>
      </c>
      <c r="CH11" s="1" t="str">
        <f>IF(ISBLANK(Values!E13),"","GR")</f>
        <v>GR</v>
      </c>
      <c r="CI11" s="1" t="str">
        <f>IF(ISBLANK(Values!E13),"",Values!$B$7)</f>
        <v>32</v>
      </c>
      <c r="CJ11" s="1" t="str">
        <f>IF(ISBLANK(Values!E13),"",Values!$B$8)</f>
        <v>18</v>
      </c>
      <c r="CK11" s="1" t="str">
        <f>IF(ISBLANK(Values!E13),"",Values!$B$9)</f>
        <v>2</v>
      </c>
      <c r="CL11" s="1" t="str">
        <f>IF(ISBLANK(Values!E13),"","CM")</f>
        <v>CM</v>
      </c>
      <c r="CO11" s="1" t="str">
        <f>IF(ISBLANK(Values!E13), "", IF(AND(Values!$B$37=options!$G$2, Values!$C10), "AMAZON_NA", IF(AND(Values!$B$37=options!$G$1, Values!$D10), "AMAZON_EU", "DEFAULT")))</f>
        <v>AMAZON_EU</v>
      </c>
      <c r="CP11" s="1" t="str">
        <f>IF(ISBLANK(Values!E13),"",Values!$B$7)</f>
        <v>32</v>
      </c>
      <c r="CQ11" s="1" t="str">
        <f>IF(ISBLANK(Values!E13),"",Values!$B$8)</f>
        <v>18</v>
      </c>
      <c r="CR11" s="1" t="str">
        <f>IF(ISBLANK(Values!E13),"",Values!$B$9)</f>
        <v>2</v>
      </c>
      <c r="CS11" s="1">
        <f>IF(ISBLANK(Values!E13),"",Values!$B$11)</f>
        <v>150</v>
      </c>
      <c r="CT11" s="1" t="str">
        <f>IF(ISBLANK(Values!E13),"","GR")</f>
        <v>GR</v>
      </c>
      <c r="CU11" s="1" t="str">
        <f>IF(ISBLANK(Values!E13),"","CM")</f>
        <v>CM</v>
      </c>
      <c r="CV11"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1" s="1" t="str">
        <f>IF(ISBLANK(Values!E13),"","No")</f>
        <v>No</v>
      </c>
      <c r="DA11" s="1" t="str">
        <f>IF(ISBLANK(Values!E13),"","No")</f>
        <v>No</v>
      </c>
      <c r="DO11" s="1" t="str">
        <f>IF(ISBLANK(Values!E13),"","Parts")</f>
        <v>Parts</v>
      </c>
      <c r="DP11"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1" t="str">
        <f>IF(ISBLANK(Values!$E13), "", "not_applicable")</f>
        <v>not_applicable</v>
      </c>
      <c r="EI11"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IF(ISBLANK(Values!E13),"","Amazon Tellus UPS")</f>
        <v>Amazon Tellus UPS</v>
      </c>
      <c r="EV11" s="1" t="str">
        <f>IF(ISBLANK(Values!E13),"","New")</f>
        <v>New</v>
      </c>
      <c r="FE11" s="1" t="str">
        <f>IF(ISBLANK(Values!E13),"",IF(CO11&lt;&gt;"DEFAULT", "", 3))</f>
        <v/>
      </c>
      <c r="FH11" s="1" t="str">
        <f>IF(ISBLANK(Values!E13),"","FALSE")</f>
        <v>FALSE</v>
      </c>
      <c r="FI11" s="1" t="str">
        <f>IF(ISBLANK(Values!E13),"","FALSE")</f>
        <v>FALSE</v>
      </c>
      <c r="FJ11" s="1" t="str">
        <f>IF(ISBLANK(Values!E13),"","FALSE")</f>
        <v>FALSE</v>
      </c>
      <c r="FM11" s="1" t="str">
        <f>IF(ISBLANK(Values!E13),"","1")</f>
        <v>1</v>
      </c>
      <c r="FO11" s="27">
        <f>IF(ISBLANK(Values!E13),"",IF(Values!J10, Values!$B$4, Values!$B$5))</f>
        <v>47.99</v>
      </c>
      <c r="FP11" s="1" t="str">
        <f>IF(ISBLANK(Values!E13),"","Percent")</f>
        <v>Percent</v>
      </c>
      <c r="FQ11" s="1" t="str">
        <f>IF(ISBLANK(Values!E13),"","2")</f>
        <v>2</v>
      </c>
      <c r="FR11" s="1" t="str">
        <f>IF(ISBLANK(Values!E13),"","3")</f>
        <v>3</v>
      </c>
      <c r="FS11" s="1" t="str">
        <f>IF(ISBLANK(Values!E13),"","5")</f>
        <v>5</v>
      </c>
      <c r="FT11" s="1" t="str">
        <f>IF(ISBLANK(Values!E13),"","6")</f>
        <v>6</v>
      </c>
      <c r="FU11" s="1" t="str">
        <f>IF(ISBLANK(Values!E13),"","10")</f>
        <v>10</v>
      </c>
      <c r="FV11" s="1" t="str">
        <f>IF(ISBLANK(Values!E13),"","10")</f>
        <v>10</v>
      </c>
      <c r="GK11" s="64">
        <f>K11</f>
        <v>47.99</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4" t="str">
        <f>K12</f>
        <v/>
      </c>
    </row>
    <row r="13" spans="1:193" ht="48" x14ac:dyDescent="0.2">
      <c r="A13" s="1" t="str">
        <f>IF(ISBLANK(Values!#REF!),"",IF(Values!$B$37="EU","computercomponent","computer"))</f>
        <v>computercomponent</v>
      </c>
      <c r="B13" s="33" t="e">
        <f>IF(ISBLANK(Values!#REF!),"",Values!#REF!)</f>
        <v>#REF!</v>
      </c>
      <c r="C13" s="29" t="str">
        <f>IF(ISBLANK(Values!#REF!),"","TellusRem")</f>
        <v>TellusRem</v>
      </c>
      <c r="D13" s="28" t="e">
        <f>IF(ISBLANK(Values!#REF!),"",Values!#REF!)</f>
        <v>#REF!</v>
      </c>
      <c r="E13" s="1" t="str">
        <f>IF(ISBLANK(Values!#REF!),"","EAN")</f>
        <v>EAN</v>
      </c>
      <c r="F13" s="27" t="str">
        <f>IF(ISBLANK(Values!#REF!),"",IF(Values!J12, SUBSTITUTE(Values!$B$1, "{language}", Values!H12) &amp; " " &amp;Values!$B$3, SUBSTITUTE(Values!$B$2, "{language}", Values!$H12) &amp; " " &amp;Values!$B$3))</f>
        <v>ersatztastatur US International Hintergrundbeleuchtung für HP   840 G3, 745 G3, 840 G4, 745 G4</v>
      </c>
      <c r="G13" s="29" t="str">
        <f>IF(ISBLANK(Values!#REF!),"","TellusRem")</f>
        <v>TellusRem</v>
      </c>
      <c r="H13" s="1" t="str">
        <f>IF(ISBLANK(Values!#REF!),"",Values!$B$16)</f>
        <v>computer-keyboards</v>
      </c>
      <c r="I13" s="1" t="str">
        <f>IF(ISBLANK(Values!#REF!),"","4730574031")</f>
        <v>4730574031</v>
      </c>
      <c r="J13" s="31" t="e">
        <f>IF(ISBLANK(Values!#REF!),"",Values!#REF! )</f>
        <v>#REF!</v>
      </c>
      <c r="K13" s="27">
        <f>IF(ISBLANK(Values!#REF!),"",IF(Values!J12, Values!$B$4, Values!$B$5))</f>
        <v>47.99</v>
      </c>
      <c r="L13" s="27" t="str">
        <f>IF(ISBLANK(Values!#REF!),"",IF($CO13="DEFAULT", Values!$B$18, ""))</f>
        <v/>
      </c>
      <c r="M13" s="27" t="e">
        <f>IF(ISBLANK(Values!#REF!),"",Values!$M12)</f>
        <v>#REF!</v>
      </c>
      <c r="N13" s="27" t="e">
        <f>IF(ISBLANK(Values!#REF!),"",Values!N12)</f>
        <v>#REF!</v>
      </c>
      <c r="O13" s="27" t="e">
        <f>IF(ISBLANK(Values!#REF!),"",Values!O12)</f>
        <v>#REF!</v>
      </c>
      <c r="P13" s="27" t="e">
        <f>IF(ISBLANK(Values!#REF!),"",Values!P12)</f>
        <v>#REF!</v>
      </c>
      <c r="Q13" s="27" t="e">
        <f>IF(ISBLANK(Values!#REF!),"",Values!Q12)</f>
        <v>#REF!</v>
      </c>
      <c r="R13" s="27" t="e">
        <f>IF(ISBLANK(Values!#REF!),"",Values!R12)</f>
        <v>#REF!</v>
      </c>
      <c r="S13" s="27" t="e">
        <f>IF(ISBLANK(Values!#REF!),"",Values!S12)</f>
        <v>#REF!</v>
      </c>
      <c r="T13" s="27" t="e">
        <f>IF(ISBLANK(Values!#REF!),"",Values!T12)</f>
        <v>#REF!</v>
      </c>
      <c r="U13" s="27" t="e">
        <f>IF(ISBLANK(Values!#REF!),"",Values!U12)</f>
        <v>#REF!</v>
      </c>
      <c r="W13" s="29" t="str">
        <f>IF(ISBLANK(Values!#REF!),"","Child")</f>
        <v>Child</v>
      </c>
      <c r="X13" s="29" t="str">
        <f>IF(ISBLANK(Values!#REF!),"",Values!$B$13)</f>
        <v>HP 840 G3 parent</v>
      </c>
      <c r="Y13" s="31" t="str">
        <f>IF(ISBLANK(Values!#REF!),"","Size-Color")</f>
        <v>Size-Color</v>
      </c>
      <c r="Z13" s="29" t="str">
        <f>IF(ISBLANK(Values!#REF!),"","variation")</f>
        <v>variation</v>
      </c>
      <c r="AA13" s="1" t="str">
        <f>IF(ISBLANK(Values!#REF!),"",Values!$B$20)</f>
        <v>Update</v>
      </c>
      <c r="AB13" s="1" t="str">
        <f>IF(ISBLANK(Values!#REF!),"",Values!$B$29)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IF(ISBLANK(Values!#REF!),"",IF(Values!I12,Values!$B$23,Values!$B$33))</f>
        <v xml:space="preserve">👉 ÜBERARBEITET: GELD SPAREN - Ersatz-HP-Laptop-Tastatur, gleiche Qualität wie OEM-Tastaturen. TellusRem ist seit 2011 der weltweit führende Distributor von Tastaturen. Perfekte Ersatztastatur, einfach auszutauschen und zu installieren. </v>
      </c>
      <c r="AJ13" s="32" t="str">
        <f>IF(ISBLANK(Values!#REF!),"",Values!$B$24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G3, 745 G3, 840 G4, 745 G4</v>
      </c>
      <c r="AK13" s="1" t="str">
        <f>IF(ISBLANK(Values!#REF!),"",Values!$B$25)</f>
        <v xml:space="preserve">♻️ ÖFFENTLICHES PRODUKT - Kaufen Sie renoviert, KAUFEN SIE GRÜN! Reduzieren Sie mehr als 80% Kohlendioxid, indem Sie unsere überholten Tastaturen kaufen, im Vergleich zu einer neuen Tastatur! </v>
      </c>
      <c r="AL13" s="1" t="str">
        <f>IF(ISBLANK(Values!#REF!),"",SUBSTITUTE(SUBSTITUTE(IF(Values!$J12, Values!$B$26, Values!$B$33), "{language}", Values!$H12), "{flag}", INDEX(options!$E$1:$E$20, Values!$V12)))</f>
        <v xml:space="preserve">👉 LAYOUT - 🇺🇸 with € symbol US International mit Hintergrundbeleuchtung </v>
      </c>
      <c r="AM13" s="1" t="str">
        <f>SUBSTITUTE(IF(ISBLANK(Values!#REF!),"",Values!$B$27), "{model}", Values!$B$3)</f>
        <v xml:space="preserve">👉 KOMPATIBEL MIT - HP 840 G3, 745 G3, 840 G4, 745 G4. Bitte überprüfen Sie das Bild und die Beschreibung sorgfältig, bevor Sie eine Tastatur kaufen. Dies stellt sicher, dass Sie die richtige Laptop-Tastatur für Ihren Computer erhalten. Super einfache Installation. </v>
      </c>
      <c r="AT13" s="27" t="str">
        <f>IF(ISBLANK(Values!#REF!),"",Values!H12)</f>
        <v>US International</v>
      </c>
      <c r="AV13" s="1" t="str">
        <f>IF(ISBLANK(Values!#REF!),"",IF(Values!J12,"Backlit", "Non-Backlit"))</f>
        <v>Backlit</v>
      </c>
      <c r="AW13"/>
      <c r="BE13" s="1" t="str">
        <f>IF(ISBLANK(Values!#REF!),"","Professional Audience")</f>
        <v>Professional Audience</v>
      </c>
      <c r="BF13" s="1" t="str">
        <f>IF(ISBLANK(Values!#REF!),"","Consumer Audience")</f>
        <v>Consumer Audience</v>
      </c>
      <c r="BG13" s="1" t="str">
        <f>IF(ISBLANK(Values!#REF!),"","Adults")</f>
        <v>Adults</v>
      </c>
      <c r="BH13" s="1" t="str">
        <f>IF(ISBLANK(Values!#REF!),"","People")</f>
        <v>People</v>
      </c>
      <c r="CG13" s="1">
        <f>IF(ISBLANK(Values!#REF!),"",Values!$B$11)</f>
        <v>150</v>
      </c>
      <c r="CH13" s="1" t="str">
        <f>IF(ISBLANK(Values!#REF!),"","GR")</f>
        <v>GR</v>
      </c>
      <c r="CI13" s="1" t="str">
        <f>IF(ISBLANK(Values!#REF!),"",Values!$B$7)</f>
        <v>32</v>
      </c>
      <c r="CJ13" s="1" t="str">
        <f>IF(ISBLANK(Values!#REF!),"",Values!$B$8)</f>
        <v>18</v>
      </c>
      <c r="CK13" s="1" t="str">
        <f>IF(ISBLANK(Values!#REF!),"",Values!$B$9)</f>
        <v>2</v>
      </c>
      <c r="CL13" s="1" t="str">
        <f>IF(ISBLANK(Values!#REF!),"","CM")</f>
        <v>CM</v>
      </c>
      <c r="CO13" s="1" t="str">
        <f>IF(ISBLANK(Values!#REF!), "", IF(AND(Values!$B$37=options!$G$2, Values!$C12), "AMAZON_NA", IF(AND(Values!$B$37=options!$G$1, Values!$D12), "AMAZON_EU", "DEFAULT")))</f>
        <v>AMAZON_EU</v>
      </c>
      <c r="CP13" s="1" t="str">
        <f>IF(ISBLANK(Values!#REF!),"",Values!$B$7)</f>
        <v>32</v>
      </c>
      <c r="CQ13" s="1" t="str">
        <f>IF(ISBLANK(Values!#REF!),"",Values!$B$8)</f>
        <v>18</v>
      </c>
      <c r="CR13" s="1" t="str">
        <f>IF(ISBLANK(Values!#REF!),"",Values!$B$9)</f>
        <v>2</v>
      </c>
      <c r="CS13" s="1">
        <f>IF(ISBLANK(Values!#REF!),"",Values!$B$11)</f>
        <v>150</v>
      </c>
      <c r="CT13" s="1" t="str">
        <f>IF(ISBLANK(Values!#REF!),"","GR")</f>
        <v>GR</v>
      </c>
      <c r="CU13" s="1" t="str">
        <f>IF(ISBLANK(Values!#REF!),"","CM")</f>
        <v>CM</v>
      </c>
      <c r="CV13" s="1" t="str">
        <f>IF(ISBLANK(Values!#REF!),"",IF(Values!$B$36=options!$F$1,"Denmark",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IF(ISBLANK(Values!#REF!),"","No")</f>
        <v>No</v>
      </c>
      <c r="DA13" s="1" t="str">
        <f>IF(ISBLANK(Values!#REF!),"","No")</f>
        <v>No</v>
      </c>
      <c r="DO13" s="1" t="str">
        <f>IF(ISBLANK(Values!#REF!),"","Parts")</f>
        <v>Parts</v>
      </c>
      <c r="DP13" s="1" t="str">
        <f>IF(ISBLANK(Values!#REF!),"",Values!$B$31)</f>
        <v>6 Monate Garantie nach dem Liefertermin. Im Falle einer Fehlfunktion der Tastatur wird ein neues Gerät oder ein Ersatzteil für die Tastatur des Produkts gesendet. Bei Sortierung des Bestands wird eine volle Rückerstattung gewährt.</v>
      </c>
      <c r="DY13" t="str">
        <f>IF(ISBLANK(Values!#REF!), "", "not_applicable")</f>
        <v>not_applicable</v>
      </c>
      <c r="EI13" s="1" t="str">
        <f>IF(ISBLANK(Values!#REF!),"",Values!$B$31)</f>
        <v>6 Monate Garantie nach dem Liefertermin. Im Falle einer Fehlfunktion der Tastatur wird ein neues Gerät oder ein Ersatzteil für die Tastatur des Produkts gesendet. Bei Sortierung des Bestands wird eine volle Rückerstattung gewährt.</v>
      </c>
      <c r="ES13" s="1" t="str">
        <f>IF(ISBLANK(Values!#REF!),"","Amazon Tellus UPS")</f>
        <v>Amazon Tellus UPS</v>
      </c>
      <c r="EV13" s="1" t="str">
        <f>IF(ISBLANK(Values!#REF!),"","New")</f>
        <v>New</v>
      </c>
      <c r="FE13" s="1" t="str">
        <f>IF(ISBLANK(Values!#REF!),"",IF(CO13&lt;&gt;"DEFAULT", "", 3))</f>
        <v/>
      </c>
      <c r="FH13" s="1" t="str">
        <f>IF(ISBLANK(Values!#REF!),"","FALSE")</f>
        <v>FALSE</v>
      </c>
      <c r="FI13" s="1" t="str">
        <f>IF(ISBLANK(Values!#REF!),"","FALSE")</f>
        <v>FALSE</v>
      </c>
      <c r="FJ13" s="1" t="str">
        <f>IF(ISBLANK(Values!#REF!),"","FALSE")</f>
        <v>FALSE</v>
      </c>
      <c r="FM13" s="1" t="str">
        <f>IF(ISBLANK(Values!#REF!),"","1")</f>
        <v>1</v>
      </c>
      <c r="FO13" s="27">
        <f>IF(ISBLANK(Values!#REF!),"",IF(Values!J12, Values!$B$4, Values!$B$5))</f>
        <v>47.99</v>
      </c>
      <c r="FP13" s="1" t="str">
        <f>IF(ISBLANK(Values!#REF!),"","Percent")</f>
        <v>Percent</v>
      </c>
      <c r="FQ13" s="1" t="str">
        <f>IF(ISBLANK(Values!#REF!),"","2")</f>
        <v>2</v>
      </c>
      <c r="FR13" s="1" t="str">
        <f>IF(ISBLANK(Values!#REF!),"","3")</f>
        <v>3</v>
      </c>
      <c r="FS13" s="1" t="str">
        <f>IF(ISBLANK(Values!#REF!),"","5")</f>
        <v>5</v>
      </c>
      <c r="FT13" s="1" t="str">
        <f>IF(ISBLANK(Values!#REF!),"","6")</f>
        <v>6</v>
      </c>
      <c r="FU13" s="1" t="str">
        <f>IF(ISBLANK(Values!#REF!),"","10")</f>
        <v>10</v>
      </c>
      <c r="FV13" s="1" t="str">
        <f>IF(ISBLANK(Values!#REF!),"","10")</f>
        <v>10</v>
      </c>
      <c r="GK13" s="64">
        <f>K13</f>
        <v>47.99</v>
      </c>
    </row>
    <row r="14" spans="1:193" ht="48" x14ac:dyDescent="0.2">
      <c r="A14" s="1" t="str">
        <f>IF(ISBLANK(Values!#REF!),"",IF(Values!$B$37="EU","computercomponent","computer"))</f>
        <v>computercomponent</v>
      </c>
      <c r="B14" s="33" t="e">
        <f>IF(ISBLANK(Values!#REF!),"",Values!#REF!)</f>
        <v>#REF!</v>
      </c>
      <c r="C14" s="29" t="str">
        <f>IF(ISBLANK(Values!#REF!),"","TellusRem")</f>
        <v>TellusRem</v>
      </c>
      <c r="D14" s="28" t="e">
        <f>IF(ISBLANK(Values!#REF!),"",Values!#REF!)</f>
        <v>#REF!</v>
      </c>
      <c r="E14" s="1" t="str">
        <f>IF(ISBLANK(Values!#REF!),"","EAN")</f>
        <v>EAN</v>
      </c>
      <c r="F14" s="27" t="str">
        <f>IF(ISBLANK(Values!#REF!),"",IF(Values!J13, SUBSTITUTE(Values!$B$1, "{language}", Values!H13) &amp; " " &amp;Values!$B$3, SUBSTITUTE(Values!$B$2, "{language}", Values!$H13) &amp; " " &amp;Values!$B$3))</f>
        <v>ersatztastatur US  Hintergrundbeleuchtung für HP   840 G3, 745 G3, 840 G4, 745 G4</v>
      </c>
      <c r="G14" s="29" t="str">
        <f>IF(ISBLANK(Values!#REF!),"","TellusRem")</f>
        <v>TellusRem</v>
      </c>
      <c r="H14" s="1" t="str">
        <f>IF(ISBLANK(Values!#REF!),"",Values!$B$16)</f>
        <v>computer-keyboards</v>
      </c>
      <c r="I14" s="1" t="str">
        <f>IF(ISBLANK(Values!#REF!),"","4730574031")</f>
        <v>4730574031</v>
      </c>
      <c r="J14" s="31" t="e">
        <f>IF(ISBLANK(Values!#REF!),"",Values!#REF! )</f>
        <v>#REF!</v>
      </c>
      <c r="K14" s="27">
        <f>IF(ISBLANK(Values!#REF!),"",IF(Values!J13, Values!$B$4, Values!$B$5))</f>
        <v>47.99</v>
      </c>
      <c r="L14" s="27">
        <f>IF(ISBLANK(Values!#REF!),"",IF($CO14="DEFAULT", Values!$B$18, ""))</f>
        <v>5</v>
      </c>
      <c r="M14" s="27" t="e">
        <f>IF(ISBLANK(Values!#REF!),"",Values!$M13)</f>
        <v>#REF!</v>
      </c>
      <c r="N14" s="27" t="e">
        <f>IF(ISBLANK(Values!#REF!),"",Values!N13)</f>
        <v>#REF!</v>
      </c>
      <c r="O14" s="27" t="e">
        <f>IF(ISBLANK(Values!#REF!),"",Values!O13)</f>
        <v>#REF!</v>
      </c>
      <c r="P14" s="27" t="e">
        <f>IF(ISBLANK(Values!#REF!),"",Values!P13)</f>
        <v>#REF!</v>
      </c>
      <c r="Q14" s="27" t="e">
        <f>IF(ISBLANK(Values!#REF!),"",Values!Q13)</f>
        <v>#REF!</v>
      </c>
      <c r="R14" s="27" t="e">
        <f>IF(ISBLANK(Values!#REF!),"",Values!R13)</f>
        <v>#REF!</v>
      </c>
      <c r="S14" s="27" t="e">
        <f>IF(ISBLANK(Values!#REF!),"",Values!S13)</f>
        <v>#REF!</v>
      </c>
      <c r="T14" s="27" t="e">
        <f>IF(ISBLANK(Values!#REF!),"",Values!T13)</f>
        <v>#REF!</v>
      </c>
      <c r="U14" s="27" t="e">
        <f>IF(ISBLANK(Values!#REF!),"",Values!U13)</f>
        <v>#REF!</v>
      </c>
      <c r="W14" s="29" t="str">
        <f>IF(ISBLANK(Values!#REF!),"","Child")</f>
        <v>Child</v>
      </c>
      <c r="X14" s="29" t="str">
        <f>IF(ISBLANK(Values!#REF!),"",Values!$B$13)</f>
        <v>HP 840 G3 parent</v>
      </c>
      <c r="Y14" s="31" t="str">
        <f>IF(ISBLANK(Values!#REF!),"","Size-Color")</f>
        <v>Size-Color</v>
      </c>
      <c r="Z14" s="29" t="str">
        <f>IF(ISBLANK(Values!#REF!),"","variation")</f>
        <v>variation</v>
      </c>
      <c r="AA14" s="1" t="str">
        <f>IF(ISBLANK(Values!#REF!),"",Values!$B$20)</f>
        <v>Update</v>
      </c>
      <c r="AB14" s="1" t="str">
        <f>IF(ISBLANK(Values!#REF!),"",Values!$B$29)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IF(ISBLANK(Values!#REF!),"",IF(Values!I13,Values!$B$23,Values!$B$33))</f>
        <v xml:space="preserve">👉 ÜBERARBEITET: GELD SPAREN - Ersatz-HP-Laptop-Tastatur, gleiche Qualität wie OEM-Tastaturen. TellusRem ist seit 2011 der weltweit führende Distributor von Tastaturen. Perfekte Ersatztastatur, einfach auszutauschen und zu installieren. </v>
      </c>
      <c r="AJ14" s="32" t="str">
        <f>IF(ISBLANK(Values!#REF!),"",Values!$B$24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G3, 745 G3, 840 G4, 745 G4</v>
      </c>
      <c r="AK14" s="1" t="str">
        <f>IF(ISBLANK(Values!#REF!),"",Values!$B$25)</f>
        <v xml:space="preserve">♻️ ÖFFENTLICHES PRODUKT - Kaufen Sie renoviert, KAUFEN SIE GRÜN! Reduzieren Sie mehr als 80% Kohlendioxid, indem Sie unsere überholten Tastaturen kaufen, im Vergleich zu einer neuen Tastatur! </v>
      </c>
      <c r="AL14" s="1" t="str">
        <f>IF(ISBLANK(Values!#REF!),"",SUBSTITUTE(SUBSTITUTE(IF(Values!$J13, Values!$B$26, Values!$B$33), "{language}", Values!$H13), "{flag}", INDEX(options!$E$1:$E$20, Values!$V13)))</f>
        <v xml:space="preserve">👉 LAYOUT - 🇺🇸 US  mit Hintergrundbeleuchtung </v>
      </c>
      <c r="AM14" s="1" t="str">
        <f>SUBSTITUTE(IF(ISBLANK(Values!#REF!),"",Values!$B$27), "{model}", Values!$B$3)</f>
        <v xml:space="preserve">👉 KOMPATIBEL MIT - HP 840 G3, 745 G3, 840 G4, 745 G4. Bitte überprüfen Sie das Bild und die Beschreibung sorgfältig, bevor Sie eine Tastatur kaufen. Dies stellt sicher, dass Sie die richtige Laptop-Tastatur für Ihren Computer erhalten. Super einfache Installation. </v>
      </c>
      <c r="AT14" s="27" t="str">
        <f>IF(ISBLANK(Values!#REF!),"",Values!H13)</f>
        <v xml:space="preserve">US </v>
      </c>
      <c r="AV14" s="1" t="str">
        <f>IF(ISBLANK(Values!#REF!),"",IF(Values!J13,"Backlit", "Non-Backlit"))</f>
        <v>Backlit</v>
      </c>
      <c r="AW14"/>
      <c r="BE14" s="1" t="str">
        <f>IF(ISBLANK(Values!#REF!),"","Professional Audience")</f>
        <v>Professional Audience</v>
      </c>
      <c r="BF14" s="1" t="str">
        <f>IF(ISBLANK(Values!#REF!),"","Consumer Audience")</f>
        <v>Consumer Audience</v>
      </c>
      <c r="BG14" s="1" t="str">
        <f>IF(ISBLANK(Values!#REF!),"","Adults")</f>
        <v>Adults</v>
      </c>
      <c r="BH14" s="1" t="str">
        <f>IF(ISBLANK(Values!#REF!),"","People")</f>
        <v>People</v>
      </c>
      <c r="CG14" s="1">
        <f>IF(ISBLANK(Values!#REF!),"",Values!$B$11)</f>
        <v>150</v>
      </c>
      <c r="CH14" s="1" t="str">
        <f>IF(ISBLANK(Values!#REF!),"","GR")</f>
        <v>GR</v>
      </c>
      <c r="CI14" s="1" t="str">
        <f>IF(ISBLANK(Values!#REF!),"",Values!$B$7)</f>
        <v>32</v>
      </c>
      <c r="CJ14" s="1" t="str">
        <f>IF(ISBLANK(Values!#REF!),"",Values!$B$8)</f>
        <v>18</v>
      </c>
      <c r="CK14" s="1" t="str">
        <f>IF(ISBLANK(Values!#REF!),"",Values!$B$9)</f>
        <v>2</v>
      </c>
      <c r="CL14" s="1" t="str">
        <f>IF(ISBLANK(Values!#REF!),"","CM")</f>
        <v>CM</v>
      </c>
      <c r="CO14" s="1" t="str">
        <f>IF(ISBLANK(Values!#REF!), "", IF(AND(Values!$B$37=options!$G$2, Values!$C13), "AMAZON_NA", IF(AND(Values!$B$37=options!$G$1, Values!$D13), "AMAZON_EU", "DEFAULT")))</f>
        <v>DEFAULT</v>
      </c>
      <c r="CP14" s="1" t="str">
        <f>IF(ISBLANK(Values!#REF!),"",Values!$B$7)</f>
        <v>32</v>
      </c>
      <c r="CQ14" s="1" t="str">
        <f>IF(ISBLANK(Values!#REF!),"",Values!$B$8)</f>
        <v>18</v>
      </c>
      <c r="CR14" s="1" t="str">
        <f>IF(ISBLANK(Values!#REF!),"",Values!$B$9)</f>
        <v>2</v>
      </c>
      <c r="CS14" s="1">
        <f>IF(ISBLANK(Values!#REF!),"",Values!$B$11)</f>
        <v>150</v>
      </c>
      <c r="CT14" s="1" t="str">
        <f>IF(ISBLANK(Values!#REF!),"","GR")</f>
        <v>GR</v>
      </c>
      <c r="CU14" s="1" t="str">
        <f>IF(ISBLANK(Values!#REF!),"","CM")</f>
        <v>CM</v>
      </c>
      <c r="CV14" s="1" t="str">
        <f>IF(ISBLANK(Values!#REF!),"",IF(Values!$B$36=options!$F$1,"Denmark",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IF(ISBLANK(Values!#REF!),"","No")</f>
        <v>No</v>
      </c>
      <c r="DA14" s="1" t="str">
        <f>IF(ISBLANK(Values!#REF!),"","No")</f>
        <v>No</v>
      </c>
      <c r="DO14" s="1" t="str">
        <f>IF(ISBLANK(Values!#REF!),"","Parts")</f>
        <v>Parts</v>
      </c>
      <c r="DP14" s="1" t="str">
        <f>IF(ISBLANK(Values!#REF!),"",Values!$B$31)</f>
        <v>6 Monate Garantie nach dem Liefertermin. Im Falle einer Fehlfunktion der Tastatur wird ein neues Gerät oder ein Ersatzteil für die Tastatur des Produkts gesendet. Bei Sortierung des Bestands wird eine volle Rückerstattung gewährt.</v>
      </c>
      <c r="DY14" t="str">
        <f>IF(ISBLANK(Values!#REF!), "", "not_applicable")</f>
        <v>not_applicable</v>
      </c>
      <c r="EI14" s="1" t="str">
        <f>IF(ISBLANK(Values!#REF!),"",Values!$B$31)</f>
        <v>6 Monate Garantie nach dem Liefertermin. Im Falle einer Fehlfunktion der Tastatur wird ein neues Gerät oder ein Ersatzteil für die Tastatur des Produkts gesendet. Bei Sortierung des Bestands wird eine volle Rückerstattung gewährt.</v>
      </c>
      <c r="ES14" s="1" t="str">
        <f>IF(ISBLANK(Values!#REF!),"","Amazon Tellus UPS")</f>
        <v>Amazon Tellus UPS</v>
      </c>
      <c r="EV14" s="1" t="str">
        <f>IF(ISBLANK(Values!#REF!),"","New")</f>
        <v>New</v>
      </c>
      <c r="FE14" s="1">
        <f>IF(ISBLANK(Values!#REF!),"",IF(CO14&lt;&gt;"DEFAULT", "", 3))</f>
        <v>3</v>
      </c>
      <c r="FH14" s="1" t="str">
        <f>IF(ISBLANK(Values!#REF!),"","FALSE")</f>
        <v>FALSE</v>
      </c>
      <c r="FI14" s="1" t="str">
        <f>IF(ISBLANK(Values!#REF!),"","FALSE")</f>
        <v>FALSE</v>
      </c>
      <c r="FJ14" s="1" t="str">
        <f>IF(ISBLANK(Values!#REF!),"","FALSE")</f>
        <v>FALSE</v>
      </c>
      <c r="FM14" s="1" t="str">
        <f>IF(ISBLANK(Values!#REF!),"","1")</f>
        <v>1</v>
      </c>
      <c r="FO14" s="27">
        <f>IF(ISBLANK(Values!#REF!),"",IF(Values!J13, Values!$B$4, Values!$B$5))</f>
        <v>47.99</v>
      </c>
      <c r="FP14" s="1" t="str">
        <f>IF(ISBLANK(Values!#REF!),"","Percent")</f>
        <v>Percent</v>
      </c>
      <c r="FQ14" s="1" t="str">
        <f>IF(ISBLANK(Values!#REF!),"","2")</f>
        <v>2</v>
      </c>
      <c r="FR14" s="1" t="str">
        <f>IF(ISBLANK(Values!#REF!),"","3")</f>
        <v>3</v>
      </c>
      <c r="FS14" s="1" t="str">
        <f>IF(ISBLANK(Values!#REF!),"","5")</f>
        <v>5</v>
      </c>
      <c r="FT14" s="1" t="str">
        <f>IF(ISBLANK(Values!#REF!),"","6")</f>
        <v>6</v>
      </c>
      <c r="FU14" s="1" t="str">
        <f>IF(ISBLANK(Values!#REF!),"","10")</f>
        <v>10</v>
      </c>
      <c r="FV14" s="1" t="str">
        <f>IF(ISBLANK(Values!#REF!),"","10")</f>
        <v>10</v>
      </c>
      <c r="GK14" s="64">
        <f>K14</f>
        <v>47.99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5" t="str">
        <f>K23</f>
        <v/>
      </c>
    </row>
    <row r="24" spans="1:193" s="35" customFormat="1" ht="48" x14ac:dyDescent="0.2">
      <c r="A24" s="1" t="str">
        <f>IF(ISBLANK(Values!E23),"",IF(Values!$B$37="EU","computercomponent","computer"))</f>
        <v>computercomponent</v>
      </c>
      <c r="B24" s="33" t="str">
        <f>IF(ISBLANK(Values!E23),"",Values!F23)</f>
        <v>HP 840 G3 RG - US</v>
      </c>
      <c r="C24" s="29" t="str">
        <f>IF(ISBLANK(Values!E23),"","TellusRem")</f>
        <v>TellusRem</v>
      </c>
      <c r="D24" s="28">
        <f>IF(ISBLANK(Values!E23),"",Values!E23)</f>
        <v>5714401843191</v>
      </c>
      <c r="E24" s="1" t="str">
        <f>IF(ISBLANK(Values!E23),"","EAN")</f>
        <v>EAN</v>
      </c>
      <c r="F24" s="27" t="str">
        <f>IF(ISBLANK(Values!E23),"",IF(Values!J23, SUBSTITUTE(Values!$B$1, "{language}", Values!H23) &amp; " " &amp;Values!$B$3, SUBSTITUTE(Values!$B$2, "{language}", Values!$H23) &amp; " " &amp;Values!$B$3))</f>
        <v>ersatztastatur US  Nicht Hintergrundbeleuchtung für HP   840 G3, 745 G3, 840 G4, 745 G4</v>
      </c>
      <c r="G24" s="29" t="str">
        <f>IF(ISBLANK(Values!E23),"","TellusRem")</f>
        <v>TellusRem</v>
      </c>
      <c r="H24" s="1" t="str">
        <f>IF(ISBLANK(Values!E23),"",Values!$B$16)</f>
        <v>computer-keyboards</v>
      </c>
      <c r="I24" s="1" t="str">
        <f>IF(ISBLANK(Values!E23),"","4730574031")</f>
        <v>4730574031</v>
      </c>
      <c r="J24" s="31" t="str">
        <f>IF(ISBLANK(Values!E23),"",Values!F23 )</f>
        <v>HP 840 G3 RG - US</v>
      </c>
      <c r="K24" s="27">
        <f>IF(ISBLANK(Values!E23),"",IF(Values!J23, Values!$B$4, Values!$B$5))</f>
        <v>37.99</v>
      </c>
      <c r="L24" s="27">
        <f>IF(ISBLANK(Values!E23),"",IF($CO24="DEFAULT", Values!$B$18, ""))</f>
        <v>5</v>
      </c>
      <c r="M24" s="27" t="str">
        <f>IF(ISBLANK(Values!E23),"",Values!$M23)</f>
        <v>https://raw.githubusercontent.com/PatrickVibild/TellusAmazonPictures/master/pictures/HP/W. PS/840 G3 SILVER/RG/US/1.jpg</v>
      </c>
      <c r="N24" s="27" t="str">
        <f>IF(ISBLANK(Values!$F23),"",Values!N23)</f>
        <v>https://raw.githubusercontent.com/PatrickVibild/TellusAmazonPictures/master/pictures/HP/W. PS/840 G3 SILVER/RG/US/2.jpg</v>
      </c>
      <c r="O24" s="27" t="str">
        <f>IF(ISBLANK(Values!$F23),"",Values!O23)</f>
        <v>https://raw.githubusercontent.com/PatrickVibild/TellusAmazonPictures/master/pictures/HP/W. PS/840 G3 SILVER/RG/US/3.jpg</v>
      </c>
      <c r="P24" s="27" t="str">
        <f>IF(ISBLANK(Values!$F23),"",Values!P23)</f>
        <v>https://raw.githubusercontent.com/PatrickVibild/TellusAmazonPictures/master/pictures/HP/W. PS/840 G3 SILVER/RG/US/4.jpg</v>
      </c>
      <c r="Q24" s="27" t="str">
        <f>IF(ISBLANK(Values!$F23),"",Values!Q23)</f>
        <v>https://raw.githubusercontent.com/PatrickVibild/TellusAmazonPictures/master/pictures/HP/W. PS/840 G3 SILVER/RG/US/5.jpg</v>
      </c>
      <c r="R24" s="27" t="str">
        <f>IF(ISBLANK(Values!$F23),"",Values!R23)</f>
        <v>https://raw.githubusercontent.com/PatrickVibild/TellusAmazonPictures/master/pictures/HP/W. PS/840 G3 SILVER/RG/US/6.jpg</v>
      </c>
      <c r="S24" s="27" t="str">
        <f>IF(ISBLANK(Values!$F23),"",Values!S23)</f>
        <v>https://raw.githubusercontent.com/PatrickVibild/TellusAmazonPictures/master/pictures/HP/W. PS/840 G3 SILVER/RG/US/7.jpg</v>
      </c>
      <c r="T24" s="27" t="str">
        <f>IF(ISBLANK(Values!$F23),"",Values!T23)</f>
        <v>https://raw.githubusercontent.com/PatrickVibild/TellusAmazonPictures/master/pictures/HP/W. PS/840 G3 SILVER/RG/US/8.jpg</v>
      </c>
      <c r="U24" s="27" t="str">
        <f>IF(ISBLANK(Values!$F23),"",Values!U23)</f>
        <v>https://raw.githubusercontent.com/PatrickVibild/TellusAmazonPictures/master/pictures/HP/W. PS/840 G3 SILVER/RG/US/9.jpg</v>
      </c>
      <c r="V24" s="1"/>
      <c r="W24" s="29" t="str">
        <f>IF(ISBLANK(Values!E23),"","Child")</f>
        <v>Child</v>
      </c>
      <c r="X24" s="29" t="str">
        <f>IF(ISBLANK(Values!E23),"",Values!$B$13)</f>
        <v>HP 840 G3 parent</v>
      </c>
      <c r="Y24" s="31" t="str">
        <f>IF(ISBLANK(Values!E23),"","Size-Color")</f>
        <v>Size-Color</v>
      </c>
      <c r="Z24" s="29" t="str">
        <f>IF(ISBLANK(Values!E23),"","variation")</f>
        <v>variation</v>
      </c>
      <c r="AA24" s="1" t="str">
        <f>IF(ISBLANK(Values!E23),"",Values!$B$20)</f>
        <v>Update</v>
      </c>
      <c r="AB24" s="1" t="str">
        <f>IF(ISBLANK(Values!E23),"",Values!$B$29)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4" s="1"/>
      <c r="AD24" s="1"/>
      <c r="AE24" s="1"/>
      <c r="AF24" s="1"/>
      <c r="AG24" s="1"/>
      <c r="AH24" s="1"/>
      <c r="AI24" s="34" t="str">
        <f>IF(ISBLANK(Values!E23),"",IF(Values!I23,Values!$B$23,Values!$B$33))</f>
        <v xml:space="preserve">👉 ÜBERARBEITET: GELD SPAREN - Ersatz-HP-Laptop-Tastatur, gleiche Qualität wie OEM-Tastaturen. TellusRem ist seit 2011 der weltweit führende Distributor von Tastaturen. Perfekte Ersatztastatur, einfach auszutauschen und zu installieren. </v>
      </c>
      <c r="AJ24" s="32"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G3, 745 G3, 840 G4, 745 G4</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US  Nicht Hintergrundbeleuchtung </v>
      </c>
      <c r="AM24" s="1" t="str">
        <f>SUBSTITUTE(IF(ISBLANK(Values!E23),"",Values!$B$27), "{model}", Values!$B$3)</f>
        <v xml:space="preserve">👉 KOMPATIBEL MIT - HP 840 G3, 745 G3, 840 G4, 745 G4.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7" t="str">
        <f>IF(ISBLANK(Values!E23),"",Values!H23)</f>
        <v xml:space="preserve">US </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IF(ISBLANK(Values!E23),"",IF(Values!J23, Values!$B$4, Values!$B$5))</f>
        <v>37.99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c r="GK24" s="65">
        <f>K24</f>
        <v>37.99</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2" t="s">
        <v>574</v>
      </c>
    </row>
    <row r="21" spans="2:2" x14ac:dyDescent="0.15">
      <c r="B21" s="42" t="s">
        <v>575</v>
      </c>
    </row>
    <row r="22" spans="2:2" x14ac:dyDescent="0.15">
      <c r="B22" s="42" t="s">
        <v>576</v>
      </c>
    </row>
    <row r="23" spans="2:2" x14ac:dyDescent="0.15">
      <c r="B23" s="42" t="s">
        <v>581</v>
      </c>
    </row>
    <row r="24" spans="2:2" x14ac:dyDescent="0.15">
      <c r="B24" s="42" t="s">
        <v>577</v>
      </c>
    </row>
    <row r="25" spans="2:2" x14ac:dyDescent="0.15">
      <c r="B25" s="42" t="s">
        <v>582</v>
      </c>
    </row>
    <row r="26" spans="2:2" x14ac:dyDescent="0.15">
      <c r="B26" s="42" t="s">
        <v>583</v>
      </c>
    </row>
    <row r="27" spans="2:2" x14ac:dyDescent="0.15">
      <c r="B27" s="42" t="s">
        <v>584</v>
      </c>
    </row>
    <row r="28" spans="2:2" x14ac:dyDescent="0.15">
      <c r="B28" s="42" t="s">
        <v>585</v>
      </c>
    </row>
    <row r="29" spans="2:2" x14ac:dyDescent="0.15">
      <c r="B29" s="42" t="s">
        <v>578</v>
      </c>
    </row>
    <row r="30" spans="2:2" x14ac:dyDescent="0.15">
      <c r="B30" s="42" t="s">
        <v>586</v>
      </c>
    </row>
    <row r="31" spans="2:2" x14ac:dyDescent="0.15">
      <c r="B31" s="42" t="s">
        <v>579</v>
      </c>
    </row>
    <row r="32" spans="2:2" x14ac:dyDescent="0.15">
      <c r="B32" s="42" t="s">
        <v>587</v>
      </c>
    </row>
    <row r="33" spans="2:4" x14ac:dyDescent="0.15">
      <c r="B33" s="42" t="s">
        <v>588</v>
      </c>
    </row>
    <row r="34" spans="2:4" x14ac:dyDescent="0.15">
      <c r="B34" s="42" t="s">
        <v>589</v>
      </c>
      <c r="D34" s="40"/>
    </row>
    <row r="35" spans="2:4" x14ac:dyDescent="0.15">
      <c r="B35" s="42" t="s">
        <v>517</v>
      </c>
      <c r="D35" s="40"/>
    </row>
    <row r="36" spans="2:4" x14ac:dyDescent="0.15">
      <c r="B36" s="42" t="s">
        <v>580</v>
      </c>
      <c r="D36" s="40"/>
    </row>
    <row r="37" spans="2:4" x14ac:dyDescent="0.15">
      <c r="B37" s="42" t="s">
        <v>404</v>
      </c>
      <c r="D37" s="40"/>
    </row>
    <row r="38" spans="2:4" x14ac:dyDescent="0.15">
      <c r="B38" s="42" t="s">
        <v>590</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8" t="s">
        <v>595</v>
      </c>
    </row>
    <row r="21" spans="2:2" x14ac:dyDescent="0.15">
      <c r="B21" s="58" t="s">
        <v>596</v>
      </c>
    </row>
    <row r="22" spans="2:2" x14ac:dyDescent="0.15">
      <c r="B22" s="58" t="s">
        <v>597</v>
      </c>
    </row>
    <row r="23" spans="2:2" x14ac:dyDescent="0.15">
      <c r="B23" s="58" t="s">
        <v>598</v>
      </c>
    </row>
    <row r="24" spans="2:2" x14ac:dyDescent="0.15">
      <c r="B24" s="58" t="s">
        <v>591</v>
      </c>
    </row>
    <row r="25" spans="2:2" x14ac:dyDescent="0.15">
      <c r="B25" s="58" t="s">
        <v>592</v>
      </c>
    </row>
    <row r="26" spans="2:2" x14ac:dyDescent="0.15">
      <c r="B26" s="58" t="s">
        <v>599</v>
      </c>
    </row>
    <row r="27" spans="2:2" x14ac:dyDescent="0.15">
      <c r="B27" s="58" t="s">
        <v>600</v>
      </c>
    </row>
    <row r="28" spans="2:2" x14ac:dyDescent="0.15">
      <c r="B28" s="58" t="s">
        <v>601</v>
      </c>
    </row>
    <row r="29" spans="2:2" x14ac:dyDescent="0.15">
      <c r="B29" s="58" t="s">
        <v>602</v>
      </c>
    </row>
    <row r="30" spans="2:2" x14ac:dyDescent="0.15">
      <c r="B30" s="58" t="s">
        <v>603</v>
      </c>
    </row>
    <row r="31" spans="2:2" x14ac:dyDescent="0.15">
      <c r="B31" s="58" t="s">
        <v>604</v>
      </c>
    </row>
    <row r="32" spans="2:2" x14ac:dyDescent="0.15">
      <c r="B32" s="58" t="s">
        <v>605</v>
      </c>
    </row>
    <row r="33" spans="2:4" x14ac:dyDescent="0.15">
      <c r="B33" s="58" t="s">
        <v>593</v>
      </c>
    </row>
    <row r="34" spans="2:4" x14ac:dyDescent="0.15">
      <c r="B34" s="58" t="s">
        <v>606</v>
      </c>
      <c r="D34" s="40"/>
    </row>
    <row r="35" spans="2:4" x14ac:dyDescent="0.15">
      <c r="B35" s="58" t="s">
        <v>401</v>
      </c>
      <c r="D35" s="40"/>
    </row>
    <row r="36" spans="2:4" x14ac:dyDescent="0.15">
      <c r="B36" s="58" t="s">
        <v>607</v>
      </c>
      <c r="D36" s="40"/>
    </row>
    <row r="37" spans="2:4" x14ac:dyDescent="0.15">
      <c r="B37" s="58" t="s">
        <v>594</v>
      </c>
      <c r="D37" s="40"/>
    </row>
    <row r="38" spans="2:4" x14ac:dyDescent="0.15">
      <c r="B38" s="58" t="s">
        <v>608</v>
      </c>
      <c r="D38" s="40"/>
    </row>
    <row r="39" spans="2:4" x14ac:dyDescent="0.15">
      <c r="B39" s="58"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2" t="s">
        <v>616</v>
      </c>
    </row>
    <row r="21" spans="2:2" x14ac:dyDescent="0.15">
      <c r="B21" s="42" t="s">
        <v>617</v>
      </c>
    </row>
    <row r="22" spans="2:2" x14ac:dyDescent="0.15">
      <c r="B22" s="42" t="s">
        <v>618</v>
      </c>
    </row>
    <row r="23" spans="2:2" x14ac:dyDescent="0.15">
      <c r="B23" s="42" t="s">
        <v>619</v>
      </c>
    </row>
    <row r="24" spans="2:2" x14ac:dyDescent="0.15">
      <c r="B24" s="42" t="s">
        <v>620</v>
      </c>
    </row>
    <row r="25" spans="2:2" x14ac:dyDescent="0.15">
      <c r="B25" s="42" t="s">
        <v>621</v>
      </c>
    </row>
    <row r="26" spans="2:2" x14ac:dyDescent="0.15">
      <c r="B26" s="42" t="s">
        <v>622</v>
      </c>
    </row>
    <row r="27" spans="2:2" x14ac:dyDescent="0.15">
      <c r="B27" s="42" t="s">
        <v>623</v>
      </c>
    </row>
    <row r="28" spans="2:2" x14ac:dyDescent="0.15">
      <c r="B28" s="42" t="s">
        <v>624</v>
      </c>
    </row>
    <row r="29" spans="2:2" x14ac:dyDescent="0.15">
      <c r="B29" s="42" t="s">
        <v>625</v>
      </c>
    </row>
    <row r="30" spans="2:2" x14ac:dyDescent="0.15">
      <c r="B30" s="42" t="s">
        <v>626</v>
      </c>
    </row>
    <row r="31" spans="2:2" x14ac:dyDescent="0.15">
      <c r="B31" s="42" t="s">
        <v>627</v>
      </c>
    </row>
    <row r="32" spans="2:2" x14ac:dyDescent="0.15">
      <c r="B32" s="42" t="s">
        <v>628</v>
      </c>
    </row>
    <row r="33" spans="2:4" x14ac:dyDescent="0.15">
      <c r="B33" s="42" t="s">
        <v>629</v>
      </c>
    </row>
    <row r="34" spans="2:4" x14ac:dyDescent="0.15">
      <c r="B34" s="42" t="s">
        <v>630</v>
      </c>
      <c r="D34" s="40"/>
    </row>
    <row r="35" spans="2:4" x14ac:dyDescent="0.15">
      <c r="B35" s="42" t="s">
        <v>517</v>
      </c>
      <c r="D35" s="40"/>
    </row>
    <row r="36" spans="2:4" x14ac:dyDescent="0.15">
      <c r="B36" s="42" t="s">
        <v>631</v>
      </c>
      <c r="D36" s="40"/>
    </row>
    <row r="37" spans="2:4" x14ac:dyDescent="0.15">
      <c r="B37" s="42" t="s">
        <v>404</v>
      </c>
      <c r="D37" s="40"/>
    </row>
    <row r="38" spans="2:4" x14ac:dyDescent="0.15">
      <c r="B38" s="42" t="s">
        <v>632</v>
      </c>
      <c r="D38" s="40"/>
    </row>
    <row r="39" spans="2:4" x14ac:dyDescent="0.15">
      <c r="B39" s="42"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9" zoomScale="110" zoomScaleNormal="11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ersatztastatur {language} Hintergrundbeleuchtung für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ersatztastatur {language} Nicht Hintergrundbeleuchtung für HP  </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56" x14ac:dyDescent="0.15">
      <c r="A4" s="37" t="s">
        <v>369</v>
      </c>
      <c r="B4" s="61">
        <v>47.99</v>
      </c>
      <c r="C4" s="41" t="b">
        <f>FALSE()</f>
        <v>0</v>
      </c>
      <c r="D4" s="41" t="b">
        <f>TRUE()</f>
        <v>1</v>
      </c>
      <c r="E4" s="36">
        <v>5714401842019</v>
      </c>
      <c r="F4" s="36" t="s">
        <v>678</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3" t="b">
        <f>TRUE()</f>
        <v>1</v>
      </c>
      <c r="J4" s="44" t="b">
        <v>1</v>
      </c>
      <c r="K4" s="36" t="s">
        <v>687</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https://raw.githubusercontent.com/PatrickVibild/TellusAmazonPictures/master/pictures/HP/W. PS/840 G3 SILVER/BL/DE/1.jpg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https://raw.githubusercontent.com/PatrickVibild/TellusAmazonPictures/master/pictures/HP/W. PS/840 G3 SILVER/BL/DE/2.jpg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G3 SILVER/BL/DE/3.jpg</v>
      </c>
      <c r="P4" t="str">
        <f t="shared" ref="P4:P35" si="3">IF(ISBLANK(K4),"",IF(L4, "https://raw.githubusercontent.com/PatrickVibild/TellusAmazonPictures/master/pictures/"&amp;K4&amp;"/4.jpg", ""))</f>
        <v>https://raw.githubusercontent.com/PatrickVibild/TellusAmazonPictures/master/pictures/HP/W. PS/840 G3 SILVER/BL/DE/4.jpg</v>
      </c>
      <c r="Q4" t="str">
        <f t="shared" ref="Q4:Q35" si="4">IF(ISBLANK(K4),"",IF(L4, "https://raw.githubusercontent.com/PatrickVibild/TellusAmazonPictures/master/pictures/"&amp;K4&amp;"/5.jpg", ""))</f>
        <v>https://raw.githubusercontent.com/PatrickVibild/TellusAmazonPictures/master/pictures/HP/W. PS/840 G3 SILVER/BL/DE/5.jpg</v>
      </c>
      <c r="R4" t="str">
        <f t="shared" ref="R4:R35" si="5">IF(ISBLANK(K4),"",IF(L4, "https://raw.githubusercontent.com/PatrickVibild/TellusAmazonPictures/master/pictures/"&amp;K4&amp;"/6.jpg", ""))</f>
        <v>https://raw.githubusercontent.com/PatrickVibild/TellusAmazonPictures/master/pictures/HP/W. PS/840 G3 SILVER/BL/DE/6.jpg</v>
      </c>
      <c r="S4" t="str">
        <f t="shared" ref="S4:S35" si="6">IF(ISBLANK(K4),"",IF(L4, "https://raw.githubusercontent.com/PatrickVibild/TellusAmazonPictures/master/pictures/"&amp;K4&amp;"/7.jpg", ""))</f>
        <v>https://raw.githubusercontent.com/PatrickVibild/TellusAmazonPictures/master/pictures/HP/W. PS/840 G3 SILVER/BL/DE/7.jpg</v>
      </c>
      <c r="T4" t="str">
        <f t="shared" ref="T4:T35" si="7">IF(ISBLANK(K4),"",IF(L4, "https://raw.githubusercontent.com/PatrickVibild/TellusAmazonPictures/master/pictures/"&amp;K4&amp;"/8.jpg",""))</f>
        <v>https://raw.githubusercontent.com/PatrickVibild/TellusAmazonPictures/master/pictures/HP/W. PS/840 G3 SILVER/BL/DE/8.jpg</v>
      </c>
      <c r="U4" t="str">
        <f t="shared" ref="U4:U35" si="8">IF(ISBLANK(K4),"",IF(L4, "https://raw.githubusercontent.com/PatrickVibild/TellusAmazonPictures/master/pictures/"&amp;K4&amp;"/9.jpg", ""))</f>
        <v>https://raw.githubusercontent.com/PatrickVibild/TellusAmazonPictures/master/pictures/HP/W. PS/840 G3 SILVER/BL/DE/9.jpg</v>
      </c>
      <c r="V4" s="42">
        <f>MATCH(G4,options!$D$1:$D$20,0)</f>
        <v>1</v>
      </c>
    </row>
    <row r="5" spans="1:22" ht="56" x14ac:dyDescent="0.15">
      <c r="A5" s="37" t="s">
        <v>371</v>
      </c>
      <c r="B5" s="61">
        <v>37.99</v>
      </c>
      <c r="C5" s="41" t="b">
        <f>FALSE()</f>
        <v>0</v>
      </c>
      <c r="D5" s="41" t="b">
        <f>TRUE()</f>
        <v>1</v>
      </c>
      <c r="E5" s="36">
        <v>5714401842026</v>
      </c>
      <c r="F5" s="36" t="s">
        <v>679</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3" t="b">
        <f>TRUE()</f>
        <v>1</v>
      </c>
      <c r="J5" s="44" t="b">
        <v>1</v>
      </c>
      <c r="K5" s="36" t="s">
        <v>688</v>
      </c>
      <c r="L5" s="45" t="b">
        <v>1</v>
      </c>
      <c r="M5" s="46" t="str">
        <f t="shared" si="0"/>
        <v>https://raw.githubusercontent.com/PatrickVibild/TellusAmazonPictures/master/pictures/HP/W. PS/840 G3 SILVER/BL/FR/1.jpg</v>
      </c>
      <c r="N5" s="46" t="str">
        <f t="shared" si="1"/>
        <v>https://raw.githubusercontent.com/PatrickVibild/TellusAmazonPictures/master/pictures/HP/W. PS/840 G3 SILVER/BL/FR/2.jpg</v>
      </c>
      <c r="O5" s="47" t="str">
        <f t="shared" si="2"/>
        <v>https://raw.githubusercontent.com/PatrickVibild/TellusAmazonPictures/master/pictures/HP/W. PS/840 G3 SILVER/BL/FR/3.jpg</v>
      </c>
      <c r="P5" t="str">
        <f t="shared" si="3"/>
        <v>https://raw.githubusercontent.com/PatrickVibild/TellusAmazonPictures/master/pictures/HP/W. PS/840 G3 SILVER/BL/FR/4.jpg</v>
      </c>
      <c r="Q5" t="str">
        <f t="shared" si="4"/>
        <v>https://raw.githubusercontent.com/PatrickVibild/TellusAmazonPictures/master/pictures/HP/W. PS/840 G3 SILVER/BL/FR/5.jpg</v>
      </c>
      <c r="R5" t="str">
        <f t="shared" si="5"/>
        <v>https://raw.githubusercontent.com/PatrickVibild/TellusAmazonPictures/master/pictures/HP/W. PS/840 G3 SILVER/BL/FR/6.jpg</v>
      </c>
      <c r="S5" t="str">
        <f t="shared" si="6"/>
        <v>https://raw.githubusercontent.com/PatrickVibild/TellusAmazonPictures/master/pictures/HP/W. PS/840 G3 SILVER/BL/FR/7.jpg</v>
      </c>
      <c r="T5" t="str">
        <f t="shared" si="7"/>
        <v>https://raw.githubusercontent.com/PatrickVibild/TellusAmazonPictures/master/pictures/HP/W. PS/840 G3 SILVER/BL/FR/8.jpg</v>
      </c>
      <c r="U5" t="str">
        <f t="shared" si="8"/>
        <v>https://raw.githubusercontent.com/PatrickVibild/TellusAmazonPictures/master/pictures/HP/W. PS/840 G3 SILVER/BL/FR/9.jpg</v>
      </c>
      <c r="V5" s="42">
        <f>MATCH(G5,options!$D$1:$D$20,0)</f>
        <v>2</v>
      </c>
    </row>
    <row r="6" spans="1:22" ht="42" x14ac:dyDescent="0.15">
      <c r="A6" s="37" t="s">
        <v>373</v>
      </c>
      <c r="B6" s="48" t="s">
        <v>414</v>
      </c>
      <c r="C6" s="41" t="b">
        <f>FALSE()</f>
        <v>0</v>
      </c>
      <c r="D6" s="41" t="b">
        <f>TRUE()</f>
        <v>1</v>
      </c>
      <c r="E6" s="36">
        <v>5714401842033</v>
      </c>
      <c r="F6" s="36" t="s">
        <v>680</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3" t="b">
        <f>TRUE()</f>
        <v>1</v>
      </c>
      <c r="J6" s="44" t="b">
        <v>1</v>
      </c>
      <c r="K6" s="36" t="s">
        <v>689</v>
      </c>
      <c r="L6" s="45" t="b">
        <v>1</v>
      </c>
      <c r="M6" s="46" t="str">
        <f t="shared" si="0"/>
        <v>https://raw.githubusercontent.com/PatrickVibild/TellusAmazonPictures/master/pictures/HP/W. PS/840 G3 SILVER/BL/IT/1.jpg</v>
      </c>
      <c r="N6" s="46" t="str">
        <f t="shared" si="1"/>
        <v>https://raw.githubusercontent.com/PatrickVibild/TellusAmazonPictures/master/pictures/HP/W. PS/840 G3 SILVER/BL/IT/2.jpg</v>
      </c>
      <c r="O6" s="47" t="str">
        <f t="shared" si="2"/>
        <v>https://raw.githubusercontent.com/PatrickVibild/TellusAmazonPictures/master/pictures/HP/W. PS/840 G3 SILVER/BL/IT/3.jpg</v>
      </c>
      <c r="P6" t="str">
        <f t="shared" si="3"/>
        <v>https://raw.githubusercontent.com/PatrickVibild/TellusAmazonPictures/master/pictures/HP/W. PS/840 G3 SILVER/BL/IT/4.jpg</v>
      </c>
      <c r="Q6" t="str">
        <f t="shared" si="4"/>
        <v>https://raw.githubusercontent.com/PatrickVibild/TellusAmazonPictures/master/pictures/HP/W. PS/840 G3 SILVER/BL/IT/5.jpg</v>
      </c>
      <c r="R6" t="str">
        <f t="shared" si="5"/>
        <v>https://raw.githubusercontent.com/PatrickVibild/TellusAmazonPictures/master/pictures/HP/W. PS/840 G3 SILVER/BL/IT/6.jpg</v>
      </c>
      <c r="S6" t="str">
        <f t="shared" si="6"/>
        <v>https://raw.githubusercontent.com/PatrickVibild/TellusAmazonPictures/master/pictures/HP/W. PS/840 G3 SILVER/BL/IT/7.jpg</v>
      </c>
      <c r="T6" t="str">
        <f t="shared" si="7"/>
        <v>https://raw.githubusercontent.com/PatrickVibild/TellusAmazonPictures/master/pictures/HP/W. PS/840 G3 SILVER/BL/IT/8.jpg</v>
      </c>
      <c r="U6" t="str">
        <f t="shared" si="8"/>
        <v>https://raw.githubusercontent.com/PatrickVibild/TellusAmazonPictures/master/pictures/HP/W. PS/840 G3 SILVER/BL/IT/9.jpg</v>
      </c>
      <c r="V6" s="42">
        <f>MATCH(G6,options!$D$1:$D$20,0)</f>
        <v>3</v>
      </c>
    </row>
    <row r="7" spans="1:22" ht="56" x14ac:dyDescent="0.15">
      <c r="A7" s="37" t="s">
        <v>376</v>
      </c>
      <c r="B7" s="49" t="str">
        <f>IF(B6=options!C1,"32","41")</f>
        <v>32</v>
      </c>
      <c r="C7" s="41" t="b">
        <f>FALSE()</f>
        <v>0</v>
      </c>
      <c r="D7" s="41" t="b">
        <f>TRUE()</f>
        <v>1</v>
      </c>
      <c r="E7" s="36">
        <v>5714401842040</v>
      </c>
      <c r="F7" s="36" t="s">
        <v>681</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3" t="b">
        <f>TRUE()</f>
        <v>1</v>
      </c>
      <c r="J7" s="44" t="b">
        <v>1</v>
      </c>
      <c r="K7" s="36" t="s">
        <v>690</v>
      </c>
      <c r="L7" s="45" t="b">
        <v>1</v>
      </c>
      <c r="M7" s="46" t="str">
        <f t="shared" si="0"/>
        <v>https://raw.githubusercontent.com/PatrickVibild/TellusAmazonPictures/master/pictures/HP/W. PS/840 G3 SILVER/BL/ES/1.jpg</v>
      </c>
      <c r="N7" s="46" t="str">
        <f t="shared" si="1"/>
        <v>https://raw.githubusercontent.com/PatrickVibild/TellusAmazonPictures/master/pictures/HP/W. PS/840 G3 SILVER/BL/ES/2.jpg</v>
      </c>
      <c r="O7" s="47" t="str">
        <f t="shared" si="2"/>
        <v>https://raw.githubusercontent.com/PatrickVibild/TellusAmazonPictures/master/pictures/HP/W. PS/840 G3 SILVER/BL/ES/3.jpg</v>
      </c>
      <c r="P7" t="str">
        <f t="shared" si="3"/>
        <v>https://raw.githubusercontent.com/PatrickVibild/TellusAmazonPictures/master/pictures/HP/W. PS/840 G3 SILVER/BL/ES/4.jpg</v>
      </c>
      <c r="Q7" t="str">
        <f t="shared" si="4"/>
        <v>https://raw.githubusercontent.com/PatrickVibild/TellusAmazonPictures/master/pictures/HP/W. PS/840 G3 SILVER/BL/ES/5.jpg</v>
      </c>
      <c r="R7" t="str">
        <f t="shared" si="5"/>
        <v>https://raw.githubusercontent.com/PatrickVibild/TellusAmazonPictures/master/pictures/HP/W. PS/840 G3 SILVER/BL/ES/6.jpg</v>
      </c>
      <c r="S7" t="str">
        <f t="shared" si="6"/>
        <v>https://raw.githubusercontent.com/PatrickVibild/TellusAmazonPictures/master/pictures/HP/W. PS/840 G3 SILVER/BL/ES/7.jpg</v>
      </c>
      <c r="T7" t="str">
        <f t="shared" si="7"/>
        <v>https://raw.githubusercontent.com/PatrickVibild/TellusAmazonPictures/master/pictures/HP/W. PS/840 G3 SILVER/BL/ES/8.jpg</v>
      </c>
      <c r="U7" t="str">
        <f t="shared" si="8"/>
        <v>https://raw.githubusercontent.com/PatrickVibild/TellusAmazonPictures/master/pictures/HP/W. PS/840 G3 SILVER/BL/ES/9.jpg</v>
      </c>
      <c r="V7" s="42">
        <f>MATCH(G7,options!$D$1:$D$20,0)</f>
        <v>4</v>
      </c>
    </row>
    <row r="8" spans="1:22" ht="56" x14ac:dyDescent="0.15">
      <c r="A8" s="37" t="s">
        <v>378</v>
      </c>
      <c r="B8" s="49" t="str">
        <f>IF(B6=options!C1,"18","17")</f>
        <v>18</v>
      </c>
      <c r="C8" s="41" t="b">
        <f>FALSE()</f>
        <v>0</v>
      </c>
      <c r="D8" s="41" t="b">
        <f>TRUE()</f>
        <v>1</v>
      </c>
      <c r="E8" s="36">
        <v>5714401842057</v>
      </c>
      <c r="F8" s="36" t="s">
        <v>682</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1</v>
      </c>
      <c r="K8" s="36" t="s">
        <v>691</v>
      </c>
      <c r="L8" s="45" t="b">
        <v>1</v>
      </c>
      <c r="M8" s="46" t="str">
        <f t="shared" si="0"/>
        <v>https://raw.githubusercontent.com/PatrickVibild/TellusAmazonPictures/master/pictures/HP/W. PS/840 G3 SILVER/BL/UK/1.jpg</v>
      </c>
      <c r="N8" s="46" t="str">
        <f t="shared" si="1"/>
        <v>https://raw.githubusercontent.com/PatrickVibild/TellusAmazonPictures/master/pictures/HP/W. PS/840 G3 SILVER/BL/UK/2.jpg</v>
      </c>
      <c r="O8" s="47" t="str">
        <f t="shared" si="2"/>
        <v>https://raw.githubusercontent.com/PatrickVibild/TellusAmazonPictures/master/pictures/HP/W. PS/840 G3 SILVER/BL/UK/3.jpg</v>
      </c>
      <c r="P8" t="str">
        <f t="shared" si="3"/>
        <v>https://raw.githubusercontent.com/PatrickVibild/TellusAmazonPictures/master/pictures/HP/W. PS/840 G3 SILVER/BL/UK/4.jpg</v>
      </c>
      <c r="Q8" t="str">
        <f t="shared" si="4"/>
        <v>https://raw.githubusercontent.com/PatrickVibild/TellusAmazonPictures/master/pictures/HP/W. PS/840 G3 SILVER/BL/UK/5.jpg</v>
      </c>
      <c r="R8" t="str">
        <f t="shared" si="5"/>
        <v>https://raw.githubusercontent.com/PatrickVibild/TellusAmazonPictures/master/pictures/HP/W. PS/840 G3 SILVER/BL/UK/6.jpg</v>
      </c>
      <c r="S8" t="str">
        <f t="shared" si="6"/>
        <v>https://raw.githubusercontent.com/PatrickVibild/TellusAmazonPictures/master/pictures/HP/W. PS/840 G3 SILVER/BL/UK/7.jpg</v>
      </c>
      <c r="T8" t="str">
        <f t="shared" si="7"/>
        <v>https://raw.githubusercontent.com/PatrickVibild/TellusAmazonPictures/master/pictures/HP/W. PS/840 G3 SILVER/BL/UK/8.jpg</v>
      </c>
      <c r="U8" t="str">
        <f t="shared" si="8"/>
        <v>https://raw.githubusercontent.com/PatrickVibild/TellusAmazonPictures/master/pictures/HP/W. PS/840 G3 SILVER/BL/UK/9.jpg</v>
      </c>
      <c r="V8" s="42">
        <f>MATCH(G8,options!$D$1:$D$20,0)</f>
        <v>5</v>
      </c>
    </row>
    <row r="9" spans="1:22" ht="57" x14ac:dyDescent="0.2">
      <c r="A9" s="37" t="s">
        <v>380</v>
      </c>
      <c r="B9" s="49" t="str">
        <f>IF(B6=options!C1,"2","5")</f>
        <v>2</v>
      </c>
      <c r="C9" s="41" t="b">
        <f>FALSE()</f>
        <v>0</v>
      </c>
      <c r="D9" s="41" t="b">
        <f>TRUE()</f>
        <v>1</v>
      </c>
      <c r="E9" s="62">
        <v>5714401842064</v>
      </c>
      <c r="F9" s="59" t="s">
        <v>685</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3" t="b">
        <f>TRUE()</f>
        <v>1</v>
      </c>
      <c r="J9" s="44" t="b">
        <v>1</v>
      </c>
      <c r="K9" s="36" t="s">
        <v>695</v>
      </c>
      <c r="L9" s="45" t="b">
        <v>1</v>
      </c>
      <c r="M9" s="46" t="str">
        <f>IF(ISBLANK(K12),"",IF(L9, "https://raw.githubusercontent.com/PatrickVibild/TellusAmazonPictures/master/pictures/"&amp;K12&amp;"/1.jpg","https://download.lenovo.com/Images/Parts/"&amp;K12&amp;"/"&amp;K12&amp;"_A.jpg"))</f>
        <v>https://raw.githubusercontent.com/PatrickVibild/TellusAmazonPictures/master/pictures/HP/W. PS/840 G3 SILVER/BL/USI/1.jpg</v>
      </c>
      <c r="N9" s="46" t="str">
        <f>IF(ISBLANK(K12),"",IF(L9, "https://raw.githubusercontent.com/PatrickVibild/TellusAmazonPictures/master/pictures/"&amp;K12&amp;"/2.jpg","https://download.lenovo.com/Images/Parts/"&amp;K12&amp;"/"&amp;K12&amp;"_B.jpg"))</f>
        <v>https://raw.githubusercontent.com/PatrickVibild/TellusAmazonPictures/master/pictures/HP/W. PS/840 G3 SILVER/BL/USI/2.jpg</v>
      </c>
      <c r="O9" s="47" t="str">
        <f>IF(ISBLANK(K12),"",IF(L9, "https://raw.githubusercontent.com/PatrickVibild/TellusAmazonPictures/master/pictures/"&amp;K12&amp;"/3.jpg","https://download.lenovo.com/Images/Parts/"&amp;K12&amp;"/"&amp;K12&amp;"_details.jpg"))</f>
        <v>https://raw.githubusercontent.com/PatrickVibild/TellusAmazonPictures/master/pictures/HP/W. PS/840 G3 SILVER/BL/USI/3.jpg</v>
      </c>
      <c r="P9" t="str">
        <f>IF(ISBLANK(K12),"",IF(L9, "https://raw.githubusercontent.com/PatrickVibild/TellusAmazonPictures/master/pictures/"&amp;K12&amp;"/4.jpg", ""))</f>
        <v>https://raw.githubusercontent.com/PatrickVibild/TellusAmazonPictures/master/pictures/HP/W. PS/840 G3 SILVER/BL/USI/4.jpg</v>
      </c>
      <c r="Q9" t="str">
        <f>IF(ISBLANK(K12),"",IF(L9, "https://raw.githubusercontent.com/PatrickVibild/TellusAmazonPictures/master/pictures/"&amp;K12&amp;"/5.jpg", ""))</f>
        <v>https://raw.githubusercontent.com/PatrickVibild/TellusAmazonPictures/master/pictures/HP/W. PS/840 G3 SILVER/BL/USI/5.jpg</v>
      </c>
      <c r="R9" t="str">
        <f>IF(ISBLANK(K12),"",IF(L9, "https://raw.githubusercontent.com/PatrickVibild/TellusAmazonPictures/master/pictures/"&amp;K12&amp;"/6.jpg", ""))</f>
        <v>https://raw.githubusercontent.com/PatrickVibild/TellusAmazonPictures/master/pictures/HP/W. PS/840 G3 SILVER/BL/USI/6.jpg</v>
      </c>
      <c r="S9" t="str">
        <f>IF(ISBLANK(K12),"",IF(L9, "https://raw.githubusercontent.com/PatrickVibild/TellusAmazonPictures/master/pictures/"&amp;K12&amp;"/7.jpg", ""))</f>
        <v>https://raw.githubusercontent.com/PatrickVibild/TellusAmazonPictures/master/pictures/HP/W. PS/840 G3 SILVER/BL/USI/7.jpg</v>
      </c>
      <c r="T9" t="str">
        <f>IF(ISBLANK(K12),"",IF(L9, "https://raw.githubusercontent.com/PatrickVibild/TellusAmazonPictures/master/pictures/"&amp;K12&amp;"/8.jpg",""))</f>
        <v>https://raw.githubusercontent.com/PatrickVibild/TellusAmazonPictures/master/pictures/HP/W. PS/840 G3 SILVER/BL/USI/8.jpg</v>
      </c>
      <c r="U9" t="str">
        <f>IF(ISBLANK(K12),"",IF(L9, "https://raw.githubusercontent.com/PatrickVibild/TellusAmazonPictures/master/pictures/"&amp;K12&amp;"/9.jpg", ""))</f>
        <v>https://raw.githubusercontent.com/PatrickVibild/TellusAmazonPictures/master/pictures/HP/W. PS/840 G3 SILVER/BL/USI/9.jpg</v>
      </c>
      <c r="V9" s="42">
        <f>MATCH(G9,options!$D$1:$D$20,0)</f>
        <v>6</v>
      </c>
    </row>
    <row r="10" spans="1:22" x14ac:dyDescent="0.15">
      <c r="A10" t="s">
        <v>382</v>
      </c>
      <c r="B10" s="50"/>
      <c r="C10" s="41"/>
      <c r="D10" s="41"/>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3" t="b">
        <f>TRUE()</f>
        <v>1</v>
      </c>
      <c r="J10" s="44" t="b">
        <v>1</v>
      </c>
      <c r="L10" s="45" t="b">
        <v>1</v>
      </c>
      <c r="M10" s="46" t="str">
        <f>IF(ISBLANK(K13),"",IF(L10, "https://raw.githubusercontent.com/PatrickVibild/TellusAmazonPictures/master/pictures/"&amp;K13&amp;"/1.jpg","https://download.lenovo.com/Images/Parts/"&amp;K13&amp;"/"&amp;K13&amp;"_A.jpg"))</f>
        <v>https://raw.githubusercontent.com/PatrickVibild/TellusAmazonPictures/master/pictures/HP/W. PS/840 G3 SILVER/BL/US/1.jpg</v>
      </c>
      <c r="N10" s="46" t="str">
        <f>IF(ISBLANK(K13),"",IF(L10, "https://raw.githubusercontent.com/PatrickVibild/TellusAmazonPictures/master/pictures/"&amp;K13&amp;"/2.jpg","https://download.lenovo.com/Images/Parts/"&amp;K13&amp;"/"&amp;K13&amp;"_B.jpg"))</f>
        <v>https://raw.githubusercontent.com/PatrickVibild/TellusAmazonPictures/master/pictures/HP/W. PS/840 G3 SILVER/BL/US/2.jpg</v>
      </c>
      <c r="O10" s="47" t="str">
        <f>IF(ISBLANK(K13),"",IF(L10, "https://raw.githubusercontent.com/PatrickVibild/TellusAmazonPictures/master/pictures/"&amp;K13&amp;"/3.jpg","https://download.lenovo.com/Images/Parts/"&amp;K13&amp;"/"&amp;K13&amp;"_details.jpg"))</f>
        <v>https://raw.githubusercontent.com/PatrickVibild/TellusAmazonPictures/master/pictures/HP/W. PS/840 G3 SILVER/BL/US/3.jpg</v>
      </c>
      <c r="P10" t="str">
        <f>IF(ISBLANK(K13),"",IF(L10, "https://raw.githubusercontent.com/PatrickVibild/TellusAmazonPictures/master/pictures/"&amp;K13&amp;"/4.jpg", ""))</f>
        <v>https://raw.githubusercontent.com/PatrickVibild/TellusAmazonPictures/master/pictures/HP/W. PS/840 G3 SILVER/BL/US/4.jpg</v>
      </c>
      <c r="Q10" t="str">
        <f>IF(ISBLANK(K13),"",IF(L10, "https://raw.githubusercontent.com/PatrickVibild/TellusAmazonPictures/master/pictures/"&amp;K13&amp;"/5.jpg", ""))</f>
        <v>https://raw.githubusercontent.com/PatrickVibild/TellusAmazonPictures/master/pictures/HP/W. PS/840 G3 SILVER/BL/US/5.jpg</v>
      </c>
      <c r="R10" t="str">
        <f>IF(ISBLANK(K13),"",IF(L10, "https://raw.githubusercontent.com/PatrickVibild/TellusAmazonPictures/master/pictures/"&amp;K13&amp;"/6.jpg", ""))</f>
        <v>https://raw.githubusercontent.com/PatrickVibild/TellusAmazonPictures/master/pictures/HP/W. PS/840 G3 SILVER/BL/US/6.jpg</v>
      </c>
      <c r="S10" t="str">
        <f>IF(ISBLANK(K13),"",IF(L10, "https://raw.githubusercontent.com/PatrickVibild/TellusAmazonPictures/master/pictures/"&amp;K13&amp;"/7.jpg", ""))</f>
        <v>https://raw.githubusercontent.com/PatrickVibild/TellusAmazonPictures/master/pictures/HP/W. PS/840 G3 SILVER/BL/US/7.jpg</v>
      </c>
      <c r="T10" t="str">
        <f>IF(ISBLANK(K13),"",IF(L10, "https://raw.githubusercontent.com/PatrickVibild/TellusAmazonPictures/master/pictures/"&amp;K13&amp;"/8.jpg",""))</f>
        <v>https://raw.githubusercontent.com/PatrickVibild/TellusAmazonPictures/master/pictures/HP/W. PS/840 G3 SILVER/BL/US/8.jpg</v>
      </c>
      <c r="U10" t="str">
        <f>IF(ISBLANK(K13),"",IF(L10, "https://raw.githubusercontent.com/PatrickVibild/TellusAmazonPictures/master/pictures/"&amp;K13&amp;"/9.jpg", ""))</f>
        <v>https://raw.githubusercontent.com/PatrickVibild/TellusAmazonPictures/master/pictures/HP/W. PS/840 G3 SILVER/BL/US/9.jpg</v>
      </c>
      <c r="V10" s="42">
        <f>MATCH(G10,options!$D$1:$D$20,0)</f>
        <v>7</v>
      </c>
    </row>
    <row r="11" spans="1:22" ht="14" x14ac:dyDescent="0.15">
      <c r="A11" s="37" t="s">
        <v>384</v>
      </c>
      <c r="B11" s="51">
        <v>150</v>
      </c>
      <c r="C11" s="41"/>
      <c r="D11" s="41"/>
      <c r="E11" s="60"/>
      <c r="F11" s="59"/>
      <c r="G11" s="4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Schweizerisch</v>
      </c>
      <c r="I11" s="43" t="b">
        <f>TRUE()</f>
        <v>1</v>
      </c>
      <c r="J11" s="44" t="b">
        <v>1</v>
      </c>
      <c r="K11" s="36"/>
      <c r="L11" s="45" t="b">
        <v>1</v>
      </c>
      <c r="M11" s="46" t="str">
        <f t="shared" si="0"/>
        <v/>
      </c>
      <c r="N11" s="46" t="str">
        <f t="shared" si="1"/>
        <v/>
      </c>
      <c r="O11" s="47" t="str">
        <f t="shared" si="2"/>
        <v/>
      </c>
      <c r="P11" t="str">
        <f t="shared" si="3"/>
        <v/>
      </c>
      <c r="Q11" t="str">
        <f t="shared" si="4"/>
        <v/>
      </c>
      <c r="R11" t="str">
        <f t="shared" si="5"/>
        <v/>
      </c>
      <c r="S11" t="str">
        <f t="shared" si="6"/>
        <v/>
      </c>
      <c r="T11" t="str">
        <f t="shared" si="7"/>
        <v/>
      </c>
      <c r="U11" t="str">
        <f t="shared" si="8"/>
        <v/>
      </c>
      <c r="V11" s="42">
        <f>MATCH(G11,options!$D$1:$D$20,0)</f>
        <v>15</v>
      </c>
    </row>
    <row r="12" spans="1:22" ht="56" x14ac:dyDescent="0.15">
      <c r="B12" s="50"/>
      <c r="C12" s="41" t="b">
        <f>FALSE()</f>
        <v>0</v>
      </c>
      <c r="D12" s="41" t="b">
        <v>1</v>
      </c>
      <c r="E12" s="36">
        <v>5714401842187</v>
      </c>
      <c r="F12" s="36" t="s">
        <v>683</v>
      </c>
      <c r="G12" s="4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3" t="b">
        <f>TRUE()</f>
        <v>1</v>
      </c>
      <c r="J12" s="44" t="b">
        <v>1</v>
      </c>
      <c r="K12" s="36" t="s">
        <v>692</v>
      </c>
      <c r="L12" s="45" t="b">
        <v>1</v>
      </c>
      <c r="M12" s="46" t="e">
        <f>IF(ISBLANK(#REF!),"",IF(L12, "https://raw.githubusercontent.com/PatrickVibild/TellusAmazonPictures/master/pictures/"&amp;#REF!&amp;"/1.jpg","https://download.lenovo.com/Images/Parts/"&amp;#REF!&amp;"/"&amp;#REF!&amp;"_A.jpg"))</f>
        <v>#REF!</v>
      </c>
      <c r="N12" s="46" t="e">
        <f>IF(ISBLANK(#REF!),"",IF(L12, "https://raw.githubusercontent.com/PatrickVibild/TellusAmazonPictures/master/pictures/"&amp;#REF!&amp;"/2.jpg","https://download.lenovo.com/Images/Parts/"&amp;#REF!&amp;"/"&amp;#REF!&amp;"_B.jpg"))</f>
        <v>#REF!</v>
      </c>
      <c r="O12" s="47" t="e">
        <f>IF(ISBLANK(#REF!),"",IF(L12, "https://raw.githubusercontent.com/PatrickVibild/TellusAmazonPictures/master/pictures/"&amp;#REF!&amp;"/3.jpg","https://download.lenovo.com/Images/Parts/"&amp;#REF!&amp;"/"&amp;#REF!&amp;"_details.jpg"))</f>
        <v>#REF!</v>
      </c>
      <c r="P12" t="e">
        <f>IF(ISBLANK(#REF!),"",IF(L12, "https://raw.githubusercontent.com/PatrickVibild/TellusAmazonPictures/master/pictures/"&amp;#REF!&amp;"/4.jpg", ""))</f>
        <v>#REF!</v>
      </c>
      <c r="Q12" t="e">
        <f>IF(ISBLANK(#REF!),"",IF(L12, "https://raw.githubusercontent.com/PatrickVibild/TellusAmazonPictures/master/pictures/"&amp;#REF!&amp;"/5.jpg", ""))</f>
        <v>#REF!</v>
      </c>
      <c r="R12" t="e">
        <f>IF(ISBLANK(#REF!),"",IF(L12, "https://raw.githubusercontent.com/PatrickVibild/TellusAmazonPictures/master/pictures/"&amp;#REF!&amp;"/6.jpg", ""))</f>
        <v>#REF!</v>
      </c>
      <c r="S12" t="e">
        <f>IF(ISBLANK(#REF!),"",IF(L12, "https://raw.githubusercontent.com/PatrickVibild/TellusAmazonPictures/master/pictures/"&amp;#REF!&amp;"/7.jpg", ""))</f>
        <v>#REF!</v>
      </c>
      <c r="T12" t="e">
        <f>IF(ISBLANK(#REF!),"",IF(L12, "https://raw.githubusercontent.com/PatrickVibild/TellusAmazonPictures/master/pictures/"&amp;#REF!&amp;"/8.jpg",""))</f>
        <v>#REF!</v>
      </c>
      <c r="U12" t="e">
        <f>IF(ISBLANK(#REF!),"",IF(L12, "https://raw.githubusercontent.com/PatrickVibild/TellusAmazonPictures/master/pictures/"&amp;#REF!&amp;"/9.jpg", ""))</f>
        <v>#REF!</v>
      </c>
      <c r="V12" s="42">
        <f>MATCH(G12,options!$D$1:$D$20,0)</f>
        <v>16</v>
      </c>
    </row>
    <row r="13" spans="1:22" ht="56" x14ac:dyDescent="0.15">
      <c r="A13" s="37" t="s">
        <v>387</v>
      </c>
      <c r="B13" s="36" t="s">
        <v>677</v>
      </c>
      <c r="C13" s="41" t="b">
        <v>1</v>
      </c>
      <c r="D13" s="41" t="b">
        <f>FALSE()</f>
        <v>0</v>
      </c>
      <c r="E13" s="36">
        <v>5714401842200</v>
      </c>
      <c r="F13" s="36" t="s">
        <v>684</v>
      </c>
      <c r="G13" s="4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3" t="b">
        <f>TRUE()</f>
        <v>1</v>
      </c>
      <c r="J13" s="44" t="b">
        <v>1</v>
      </c>
      <c r="K13" s="36" t="s">
        <v>693</v>
      </c>
      <c r="L13" s="45" t="b">
        <v>1</v>
      </c>
      <c r="M13" s="46" t="e">
        <f>IF(ISBLANK(#REF!),"",IF(L13, "https://raw.githubusercontent.com/PatrickVibild/TellusAmazonPictures/master/pictures/"&amp;#REF!&amp;"/1.jpg","https://download.lenovo.com/Images/Parts/"&amp;#REF!&amp;"/"&amp;#REF!&amp;"_A.jpg"))</f>
        <v>#REF!</v>
      </c>
      <c r="N13" s="46" t="e">
        <f>IF(ISBLANK(#REF!),"",IF(L13, "https://raw.githubusercontent.com/PatrickVibild/TellusAmazonPictures/master/pictures/"&amp;#REF!&amp;"/2.jpg","https://download.lenovo.com/Images/Parts/"&amp;#REF!&amp;"/"&amp;#REF!&amp;"_B.jpg"))</f>
        <v>#REF!</v>
      </c>
      <c r="O13" s="47" t="e">
        <f>IF(ISBLANK(#REF!),"",IF(L13, "https://raw.githubusercontent.com/PatrickVibild/TellusAmazonPictures/master/pictures/"&amp;#REF!&amp;"/3.jpg","https://download.lenovo.com/Images/Parts/"&amp;#REF!&amp;"/"&amp;#REF!&amp;"_details.jpg"))</f>
        <v>#REF!</v>
      </c>
      <c r="P13" t="e">
        <f>IF(ISBLANK(#REF!),"",IF(L13, "https://raw.githubusercontent.com/PatrickVibild/TellusAmazonPictures/master/pictures/"&amp;#REF!&amp;"/4.jpg", ""))</f>
        <v>#REF!</v>
      </c>
      <c r="Q13" t="e">
        <f>IF(ISBLANK(#REF!),"",IF(L13, "https://raw.githubusercontent.com/PatrickVibild/TellusAmazonPictures/master/pictures/"&amp;#REF!&amp;"/5.jpg", ""))</f>
        <v>#REF!</v>
      </c>
      <c r="R13" t="e">
        <f>IF(ISBLANK(#REF!),"",IF(L13, "https://raw.githubusercontent.com/PatrickVibild/TellusAmazonPictures/master/pictures/"&amp;#REF!&amp;"/6.jpg", ""))</f>
        <v>#REF!</v>
      </c>
      <c r="S13" t="e">
        <f>IF(ISBLANK(#REF!),"",IF(L13, "https://raw.githubusercontent.com/PatrickVibild/TellusAmazonPictures/master/pictures/"&amp;#REF!&amp;"/7.jpg", ""))</f>
        <v>#REF!</v>
      </c>
      <c r="T13" t="e">
        <f>IF(ISBLANK(#REF!),"",IF(L13, "https://raw.githubusercontent.com/PatrickVibild/TellusAmazonPictures/master/pictures/"&amp;#REF!&amp;"/8.jpg",""))</f>
        <v>#REF!</v>
      </c>
      <c r="U13" t="e">
        <f>IF(ISBLANK(#REF!),"",IF(L13, "https://raw.githubusercontent.com/PatrickVibild/TellusAmazonPictures/master/pictures/"&amp;#REF!&amp;"/9.jpg", ""))</f>
        <v>#REF!</v>
      </c>
      <c r="V13" s="42">
        <f>MATCH(G13,options!$D$1:$D$20,0)</f>
        <v>18</v>
      </c>
    </row>
    <row r="14" spans="1:22" x14ac:dyDescent="0.15">
      <c r="A14" s="37" t="s">
        <v>389</v>
      </c>
      <c r="B14" s="36">
        <v>5714401842996</v>
      </c>
      <c r="C14" s="41"/>
      <c r="D14" s="41"/>
      <c r="E14" s="36"/>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3" t="b">
        <f>TRUE()</f>
        <v>1</v>
      </c>
      <c r="J14" s="44" t="b">
        <v>0</v>
      </c>
      <c r="K14" s="36"/>
      <c r="L14" s="45" t="b">
        <v>1</v>
      </c>
      <c r="M14" s="46" t="str">
        <f t="shared" si="0"/>
        <v/>
      </c>
      <c r="N14" s="46" t="str">
        <f t="shared" si="1"/>
        <v/>
      </c>
      <c r="O14" s="47" t="str">
        <f t="shared" si="2"/>
        <v/>
      </c>
      <c r="P14" t="str">
        <f t="shared" si="3"/>
        <v/>
      </c>
      <c r="Q14" t="str">
        <f t="shared" si="4"/>
        <v/>
      </c>
      <c r="R14" t="str">
        <f t="shared" si="5"/>
        <v/>
      </c>
      <c r="S14" t="str">
        <f t="shared" si="6"/>
        <v/>
      </c>
      <c r="T14" t="str">
        <f t="shared" si="7"/>
        <v/>
      </c>
      <c r="U14" t="str">
        <f t="shared" si="8"/>
        <v/>
      </c>
      <c r="V14" s="42">
        <f>MATCH(G14,options!$D$1:$D$20,0)</f>
        <v>19</v>
      </c>
    </row>
    <row r="15" spans="1:22" x14ac:dyDescent="0.15">
      <c r="B15" s="50"/>
      <c r="C15" s="41"/>
      <c r="D15" s="41"/>
      <c r="E15" s="36"/>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3" t="b">
        <f>TRUE()</f>
        <v>1</v>
      </c>
      <c r="J15" s="44" t="b">
        <v>0</v>
      </c>
      <c r="K15" s="36"/>
      <c r="L15" s="45" t="b">
        <v>1</v>
      </c>
      <c r="M15" s="46" t="str">
        <f t="shared" si="0"/>
        <v/>
      </c>
      <c r="N15" s="46" t="str">
        <f t="shared" si="1"/>
        <v/>
      </c>
      <c r="O15" s="47" t="str">
        <f t="shared" si="2"/>
        <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565</v>
      </c>
      <c r="C16" s="41"/>
      <c r="D16" s="41"/>
      <c r="E16" s="36"/>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3" t="b">
        <f>TRUE()</f>
        <v>1</v>
      </c>
      <c r="J16" s="44" t="b">
        <v>0</v>
      </c>
      <c r="K16" s="36"/>
      <c r="L16" s="45" t="b">
        <v>1</v>
      </c>
      <c r="M16" s="46" t="str">
        <f t="shared" si="0"/>
        <v/>
      </c>
      <c r="N16" s="46" t="str">
        <f t="shared" si="1"/>
        <v/>
      </c>
      <c r="O16" s="47" t="str">
        <f t="shared" si="2"/>
        <v/>
      </c>
      <c r="P16" t="str">
        <f t="shared" si="3"/>
        <v/>
      </c>
      <c r="Q16" t="str">
        <f t="shared" si="4"/>
        <v/>
      </c>
      <c r="R16" t="str">
        <f t="shared" si="5"/>
        <v/>
      </c>
      <c r="S16" t="str">
        <f t="shared" si="6"/>
        <v/>
      </c>
      <c r="T16" t="str">
        <f t="shared" si="7"/>
        <v/>
      </c>
      <c r="U16" t="str">
        <f t="shared" si="8"/>
        <v/>
      </c>
      <c r="V16" s="42">
        <f>MATCH(G16,options!$D$1:$D$20,0)</f>
        <v>11</v>
      </c>
    </row>
    <row r="17" spans="1:22" x14ac:dyDescent="0.15">
      <c r="B17" s="50"/>
      <c r="C17" s="41"/>
      <c r="D17" s="41"/>
      <c r="E17" s="36"/>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3" t="b">
        <f>TRUE()</f>
        <v>1</v>
      </c>
      <c r="J17" s="44" t="b">
        <v>0</v>
      </c>
      <c r="K17" s="36"/>
      <c r="L17" s="45" t="b">
        <v>1</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x14ac:dyDescent="0.15">
      <c r="A18" s="37" t="s">
        <v>395</v>
      </c>
      <c r="B18" s="51">
        <v>5</v>
      </c>
      <c r="C18" s="41"/>
      <c r="D18" s="41"/>
      <c r="E18" s="36"/>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3" t="b">
        <f>TRUE()</f>
        <v>1</v>
      </c>
      <c r="J18" s="44" t="b">
        <v>0</v>
      </c>
      <c r="K18" s="36"/>
      <c r="L18" s="45" t="b">
        <v>1</v>
      </c>
      <c r="M18" s="46" t="str">
        <f t="shared" si="0"/>
        <v/>
      </c>
      <c r="N18" s="46" t="str">
        <f t="shared" si="1"/>
        <v/>
      </c>
      <c r="O18" s="47" t="str">
        <f t="shared" si="2"/>
        <v/>
      </c>
      <c r="P18" t="str">
        <f t="shared" si="3"/>
        <v/>
      </c>
      <c r="Q18" t="str">
        <f t="shared" si="4"/>
        <v/>
      </c>
      <c r="R18" t="str">
        <f t="shared" si="5"/>
        <v/>
      </c>
      <c r="S18" t="str">
        <f t="shared" si="6"/>
        <v/>
      </c>
      <c r="T18" t="str">
        <f t="shared" si="7"/>
        <v/>
      </c>
      <c r="U18" t="str">
        <f t="shared" si="8"/>
        <v/>
      </c>
      <c r="V18" s="42">
        <f>MATCH(G18,options!$D$1:$D$20,0)</f>
        <v>13</v>
      </c>
    </row>
    <row r="19" spans="1:22" x14ac:dyDescent="0.15">
      <c r="B19" s="50"/>
      <c r="C19" s="41"/>
      <c r="D19" s="41"/>
      <c r="E19" s="36"/>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3" t="b">
        <f>TRUE()</f>
        <v>1</v>
      </c>
      <c r="J19" s="44" t="b">
        <v>0</v>
      </c>
      <c r="K19" s="36"/>
      <c r="L19" s="45" t="b">
        <v>1</v>
      </c>
      <c r="M19" s="46" t="str">
        <f t="shared" si="0"/>
        <v/>
      </c>
      <c r="N19" s="46" t="str">
        <f t="shared" si="1"/>
        <v/>
      </c>
      <c r="O19" s="47" t="str">
        <f t="shared" si="2"/>
        <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399</v>
      </c>
      <c r="C20" s="41"/>
      <c r="D20" s="41"/>
      <c r="E20" s="36"/>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3" t="b">
        <f>TRUE()</f>
        <v>1</v>
      </c>
      <c r="J20" s="44" t="b">
        <v>0</v>
      </c>
      <c r="K20" s="36"/>
      <c r="L20" s="45" t="b">
        <v>1</v>
      </c>
      <c r="M20" s="46" t="str">
        <f t="shared" si="0"/>
        <v/>
      </c>
      <c r="N20" s="46" t="str">
        <f t="shared" si="1"/>
        <v/>
      </c>
      <c r="O20" s="47" t="str">
        <f t="shared" si="2"/>
        <v/>
      </c>
      <c r="P20" t="str">
        <f t="shared" si="3"/>
        <v/>
      </c>
      <c r="Q20" t="str">
        <f t="shared" si="4"/>
        <v/>
      </c>
      <c r="R20" t="str">
        <f t="shared" si="5"/>
        <v/>
      </c>
      <c r="S20" t="str">
        <f t="shared" si="6"/>
        <v/>
      </c>
      <c r="T20" t="str">
        <f t="shared" si="7"/>
        <v/>
      </c>
      <c r="U20" t="str">
        <f t="shared" si="8"/>
        <v/>
      </c>
      <c r="V20" s="42">
        <f>MATCH(G20,options!$D$1:$D$20,0)</f>
        <v>15</v>
      </c>
    </row>
    <row r="21" spans="1:22" x14ac:dyDescent="0.15">
      <c r="B21" s="50"/>
      <c r="C21" s="41"/>
      <c r="D21" s="41"/>
      <c r="E21" s="36"/>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0</v>
      </c>
      <c r="K21" s="36"/>
      <c r="L21" s="45" t="b">
        <v>1</v>
      </c>
      <c r="M21" s="46" t="str">
        <f t="shared" si="0"/>
        <v/>
      </c>
      <c r="N21" s="46" t="str">
        <f t="shared" si="1"/>
        <v/>
      </c>
      <c r="O21" s="47" t="str">
        <f t="shared" si="2"/>
        <v/>
      </c>
      <c r="P21" t="str">
        <f t="shared" si="3"/>
        <v/>
      </c>
      <c r="Q21" t="str">
        <f t="shared" si="4"/>
        <v/>
      </c>
      <c r="R21" t="str">
        <f t="shared" si="5"/>
        <v/>
      </c>
      <c r="S21" t="str">
        <f t="shared" si="6"/>
        <v/>
      </c>
      <c r="T21" t="str">
        <f t="shared" si="7"/>
        <v/>
      </c>
      <c r="U21" t="str">
        <f t="shared" si="8"/>
        <v/>
      </c>
      <c r="V21" s="42">
        <f>MATCH(G21,options!$D$1:$D$20,0)</f>
        <v>16</v>
      </c>
    </row>
    <row r="22" spans="1:22"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3" t="b">
        <f>TRUE()</f>
        <v>1</v>
      </c>
      <c r="J22" s="44" t="b">
        <v>0</v>
      </c>
      <c r="K22" s="36"/>
      <c r="L22" s="45" t="b">
        <v>1</v>
      </c>
      <c r="M22" s="46" t="str">
        <f>IF(ISBLANK(K22),"",IF(L22, "https://raw.githubusercontent.com/PatrickVibild/TellusAmazonPictures/master/pictures/"&amp;K22&amp;"/1.jpg","https://download.lenovo.com/Images/Parts/"&amp;K22&amp;"/"&amp;K22&amp;"_A.jpg"))</f>
        <v/>
      </c>
      <c r="N22" s="46" t="str">
        <f>IF(ISBLANK(K22),"",IF(L22, "https://raw.githubusercontent.com/PatrickVibild/TellusAmazonPictures/master/pictures/"&amp;K22&amp;"/2.jpg","https://download.lenovo.com/Images/Parts/"&amp;K22&amp;"/"&amp;K22&amp;"_B.jpg"))</f>
        <v/>
      </c>
      <c r="O22" s="47" t="str">
        <f>IF(ISBLANK(K22),"",IF(L22, "https://raw.githubusercontent.com/PatrickVibild/TellusAmazonPictures/master/pictures/"&amp;K22&amp;"/3.jpg","https://download.lenovo.com/Images/Parts/"&amp;K22&amp;"/"&amp;K22&amp;"_details.jpg"))</f>
        <v/>
      </c>
      <c r="P22" t="str">
        <f>IF(ISBLANK(K22),"",IF(L22, "https://raw.githubusercontent.com/PatrickVibild/TellusAmazonPictures/master/pictures/"&amp;K22&amp;"/4.jpg", ""))</f>
        <v/>
      </c>
      <c r="Q22" t="str">
        <f>IF(ISBLANK(K22),"",IF(L22, "https://raw.githubusercontent.com/PatrickVibild/TellusAmazonPictures/master/pictures/"&amp;K22&amp;"/5.jpg", ""))</f>
        <v/>
      </c>
      <c r="R22" t="str">
        <f>IF(ISBLANK(K22),"",IF(L22, "https://raw.githubusercontent.com/PatrickVibild/TellusAmazonPictures/master/pictures/"&amp;K22&amp;"/6.jpg", ""))</f>
        <v/>
      </c>
      <c r="S22" t="str">
        <f>IF(ISBLANK(K22),"",IF(L22, "https://raw.githubusercontent.com/PatrickVibild/TellusAmazonPictures/master/pictures/"&amp;K22&amp;"/7.jpg", ""))</f>
        <v/>
      </c>
      <c r="T22" t="str">
        <f>IF(ISBLANK(K22),"",IF(L22, "https://raw.githubusercontent.com/PatrickVibild/TellusAmazonPictures/master/pictures/"&amp;K22&amp;"/8.jpg",""))</f>
        <v/>
      </c>
      <c r="U22" t="str">
        <f>IF(ISBLANK(K22),"",IF(L22, "https://raw.githubusercontent.com/PatrickVibild/TellusAmazonPictures/master/pictures/"&amp;K22&amp;"/9.jpg", ""))</f>
        <v/>
      </c>
      <c r="V22" s="42">
        <f>MATCH(G22,options!$D$1:$D$20,0)</f>
        <v>17</v>
      </c>
    </row>
    <row r="23" spans="1:22" ht="57" x14ac:dyDescent="0.2">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Ersatz-HP-Laptop-Tastatur, gleiche Qualität wie OEM-Tastaturen. TellusRem ist seit 2011 der weltweit führende Distributor von Tastaturen. Perfekte Ersatztastatur, einfach auszutauschen und zu installieren. </v>
      </c>
      <c r="C23" s="41" t="b">
        <v>1</v>
      </c>
      <c r="D23" s="41" t="b">
        <v>0</v>
      </c>
      <c r="E23" s="62">
        <v>5714401843191</v>
      </c>
      <c r="F23" s="59" t="s">
        <v>686</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3" t="b">
        <f>TRUE()</f>
        <v>1</v>
      </c>
      <c r="J23" s="44" t="b">
        <v>0</v>
      </c>
      <c r="K23" s="36" t="s">
        <v>694</v>
      </c>
      <c r="L23" s="45" t="b">
        <v>1</v>
      </c>
      <c r="M23" s="46" t="str">
        <f>IF(ISBLANK(K23),"",IF(L23, "https://raw.githubusercontent.com/PatrickVibild/TellusAmazonPictures/master/pictures/"&amp;K23&amp;"/1.jpg","https://download.lenovo.com/Images/Parts/"&amp;K23&amp;"/"&amp;K23&amp;"_A.jpg"))</f>
        <v>https://raw.githubusercontent.com/PatrickVibild/TellusAmazonPictures/master/pictures/HP/W. PS/840 G3 SILVER/RG/US/1.jpg</v>
      </c>
      <c r="N23" s="46" t="str">
        <f>IF(ISBLANK(K23),"",IF(L23, "https://raw.githubusercontent.com/PatrickVibild/TellusAmazonPictures/master/pictures/"&amp;K23&amp;"/2.jpg","https://download.lenovo.com/Images/Parts/"&amp;K23&amp;"/"&amp;K23&amp;"_B.jpg"))</f>
        <v>https://raw.githubusercontent.com/PatrickVibild/TellusAmazonPictures/master/pictures/HP/W. PS/840 G3 SILVER/RG/US/2.jpg</v>
      </c>
      <c r="O23" s="47" t="str">
        <f>IF(ISBLANK(K23),"",IF(L23, "https://raw.githubusercontent.com/PatrickVibild/TellusAmazonPictures/master/pictures/"&amp;K23&amp;"/3.jpg","https://download.lenovo.com/Images/Parts/"&amp;K23&amp;"/"&amp;K23&amp;"_details.jpg"))</f>
        <v>https://raw.githubusercontent.com/PatrickVibild/TellusAmazonPictures/master/pictures/HP/W. PS/840 G3 SILVER/RG/US/3.jpg</v>
      </c>
      <c r="P23" t="str">
        <f>IF(ISBLANK(K23),"",IF(L23, "https://raw.githubusercontent.com/PatrickVibild/TellusAmazonPictures/master/pictures/"&amp;K23&amp;"/4.jpg", ""))</f>
        <v>https://raw.githubusercontent.com/PatrickVibild/TellusAmazonPictures/master/pictures/HP/W. PS/840 G3 SILVER/RG/US/4.jpg</v>
      </c>
      <c r="Q23" t="str">
        <f>IF(ISBLANK(K23),"",IF(L23, "https://raw.githubusercontent.com/PatrickVibild/TellusAmazonPictures/master/pictures/"&amp;K23&amp;"/5.jpg", ""))</f>
        <v>https://raw.githubusercontent.com/PatrickVibild/TellusAmazonPictures/master/pictures/HP/W. PS/840 G3 SILVER/RG/US/5.jpg</v>
      </c>
      <c r="R23" t="str">
        <f>IF(ISBLANK(K23),"",IF(L23, "https://raw.githubusercontent.com/PatrickVibild/TellusAmazonPictures/master/pictures/"&amp;K23&amp;"/6.jpg", ""))</f>
        <v>https://raw.githubusercontent.com/PatrickVibild/TellusAmazonPictures/master/pictures/HP/W. PS/840 G3 SILVER/RG/US/6.jpg</v>
      </c>
      <c r="S23" t="str">
        <f>IF(ISBLANK(K23),"",IF(L23, "https://raw.githubusercontent.com/PatrickVibild/TellusAmazonPictures/master/pictures/"&amp;K23&amp;"/7.jpg", ""))</f>
        <v>https://raw.githubusercontent.com/PatrickVibild/TellusAmazonPictures/master/pictures/HP/W. PS/840 G3 SILVER/RG/US/7.jpg</v>
      </c>
      <c r="T23" t="str">
        <f>IF(ISBLANK(K23),"",IF(L23, "https://raw.githubusercontent.com/PatrickVibild/TellusAmazonPictures/master/pictures/"&amp;K23&amp;"/8.jpg",""))</f>
        <v>https://raw.githubusercontent.com/PatrickVibild/TellusAmazonPictures/master/pictures/HP/W. PS/840 G3 SILVER/RG/US/8.jpg</v>
      </c>
      <c r="U23" t="str">
        <f>IF(ISBLANK(K23),"",IF(L23, "https://raw.githubusercontent.com/PatrickVibild/TellusAmazonPictures/master/pictures/"&amp;K23&amp;"/9.jpg", ""))</f>
        <v>https://raw.githubusercontent.com/PatrickVibild/TellusAmazonPictures/master/pictures/HP/W. PS/840 G3 SILVER/RG/US/9.jpg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3"/>
      <c r="J24" s="44"/>
      <c r="K24" s="36"/>
      <c r="L24" s="45"/>
      <c r="M24" s="46" t="str">
        <f t="shared" si="0"/>
        <v/>
      </c>
      <c r="N24" s="46" t="str">
        <f t="shared" si="1"/>
        <v/>
      </c>
      <c r="O24" s="47" t="str">
        <f t="shared" si="2"/>
        <v/>
      </c>
      <c r="P24" t="str">
        <f t="shared" si="3"/>
        <v/>
      </c>
      <c r="Q24" t="str">
        <f t="shared" si="4"/>
        <v/>
      </c>
      <c r="R24" t="str">
        <f t="shared" si="5"/>
        <v/>
      </c>
      <c r="S24" t="str">
        <f t="shared" si="6"/>
        <v/>
      </c>
      <c r="T24" t="str">
        <f t="shared" si="7"/>
        <v/>
      </c>
      <c r="U24" t="str">
        <f t="shared" si="8"/>
        <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3"/>
      <c r="J25" s="44"/>
      <c r="K25" s="36"/>
      <c r="L25" s="45"/>
      <c r="M25" s="46" t="str">
        <f t="shared" si="0"/>
        <v/>
      </c>
      <c r="N25" s="46" t="str">
        <f t="shared" si="1"/>
        <v/>
      </c>
      <c r="O25" s="47" t="str">
        <f t="shared" si="2"/>
        <v/>
      </c>
      <c r="P25" t="str">
        <f t="shared" si="3"/>
        <v/>
      </c>
      <c r="Q25" t="str">
        <f t="shared" si="4"/>
        <v/>
      </c>
      <c r="R25" t="str">
        <f t="shared" si="5"/>
        <v/>
      </c>
      <c r="S25" t="str">
        <f t="shared" si="6"/>
        <v/>
      </c>
      <c r="T25" t="str">
        <f t="shared" si="7"/>
        <v/>
      </c>
      <c r="U25" t="str">
        <f t="shared" si="8"/>
        <v/>
      </c>
      <c r="V25" s="42">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3"/>
      <c r="J26" s="44"/>
      <c r="K26" s="36"/>
      <c r="L26" s="45"/>
      <c r="M26" s="46" t="str">
        <f t="shared" si="0"/>
        <v/>
      </c>
      <c r="N26" s="46" t="str">
        <f t="shared" si="1"/>
        <v/>
      </c>
      <c r="O26" s="47" t="str">
        <f t="shared" si="2"/>
        <v/>
      </c>
      <c r="P26" t="str">
        <f t="shared" si="3"/>
        <v/>
      </c>
      <c r="Q26" t="str">
        <f t="shared" si="4"/>
        <v/>
      </c>
      <c r="R26" t="str">
        <f t="shared" si="5"/>
        <v/>
      </c>
      <c r="S26" t="str">
        <f t="shared" si="6"/>
        <v/>
      </c>
      <c r="T26" t="str">
        <f t="shared" si="7"/>
        <v/>
      </c>
      <c r="U26" t="str">
        <f t="shared" si="8"/>
        <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HP {model}. Bitte überprüfen Sie das Bild und die Beschreibung sorgfältig, bevor Sie eine Tastatur kaufen. Dies stellt sicher, dass Sie die richtige Laptop-Tastatur für Ihren Computer erhalten. Super einfache Installation. </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3"/>
      <c r="J27" s="44"/>
      <c r="K27" s="36"/>
      <c r="L27" s="45"/>
      <c r="M27" s="46" t="str">
        <f t="shared" si="0"/>
        <v/>
      </c>
      <c r="N27" s="46" t="str">
        <f t="shared" si="1"/>
        <v/>
      </c>
      <c r="O27" s="47" t="str">
        <f t="shared" si="2"/>
        <v/>
      </c>
      <c r="P27" t="str">
        <f t="shared" si="3"/>
        <v/>
      </c>
      <c r="Q27" t="str">
        <f t="shared" si="4"/>
        <v/>
      </c>
      <c r="R27" t="str">
        <f t="shared" si="5"/>
        <v/>
      </c>
      <c r="S27" t="str">
        <f t="shared" si="6"/>
        <v/>
      </c>
      <c r="T27" t="str">
        <f t="shared" si="7"/>
        <v/>
      </c>
      <c r="U27" t="str">
        <f t="shared" si="8"/>
        <v/>
      </c>
      <c r="V27" s="42">
        <f>MATCH(G27,options!$D$1:$D$20,0)</f>
        <v>4</v>
      </c>
    </row>
    <row r="28" spans="1:22"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c r="J28" s="44"/>
      <c r="K28" s="36"/>
      <c r="L28" s="45"/>
      <c r="M28" s="46" t="str">
        <f t="shared" si="0"/>
        <v/>
      </c>
      <c r="N28" s="46" t="str">
        <f t="shared" si="1"/>
        <v/>
      </c>
      <c r="O28" s="47" t="str">
        <f t="shared" si="2"/>
        <v/>
      </c>
      <c r="P28" t="str">
        <f t="shared" si="3"/>
        <v/>
      </c>
      <c r="Q28" t="str">
        <f t="shared" si="4"/>
        <v/>
      </c>
      <c r="R28" t="str">
        <f t="shared" si="5"/>
        <v/>
      </c>
      <c r="S28" t="str">
        <f t="shared" si="6"/>
        <v/>
      </c>
      <c r="T28" t="str">
        <f t="shared" si="7"/>
        <v/>
      </c>
      <c r="U28" t="str">
        <f t="shared" si="8"/>
        <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3"/>
      <c r="J29" s="44"/>
      <c r="K29" s="36"/>
      <c r="L29" s="45"/>
      <c r="M29" s="46" t="str">
        <f t="shared" si="0"/>
        <v/>
      </c>
      <c r="N29" s="46" t="str">
        <f t="shared" si="1"/>
        <v/>
      </c>
      <c r="O29" s="47" t="str">
        <f t="shared" si="2"/>
        <v/>
      </c>
      <c r="P29" t="str">
        <f t="shared" si="3"/>
        <v/>
      </c>
      <c r="Q29" t="str">
        <f t="shared" si="4"/>
        <v/>
      </c>
      <c r="R29" t="str">
        <f t="shared" si="5"/>
        <v/>
      </c>
      <c r="S29" t="str">
        <f t="shared" si="6"/>
        <v/>
      </c>
      <c r="T29" t="str">
        <f t="shared" si="7"/>
        <v/>
      </c>
      <c r="U29" t="str">
        <f t="shared" si="8"/>
        <v/>
      </c>
      <c r="V29" s="42">
        <f>MATCH(G29,options!$D$1:$D$20,0)</f>
        <v>6</v>
      </c>
    </row>
    <row r="30" spans="1:22"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3"/>
      <c r="J30" s="44"/>
      <c r="K30" s="36"/>
      <c r="L30" s="45"/>
      <c r="M30" s="46" t="str">
        <f t="shared" si="0"/>
        <v/>
      </c>
      <c r="N30" s="46" t="str">
        <f t="shared" si="1"/>
        <v/>
      </c>
      <c r="O30" s="47" t="str">
        <f t="shared" si="2"/>
        <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3"/>
      <c r="J31" s="44"/>
      <c r="K31" s="36"/>
      <c r="L31" s="45"/>
      <c r="M31" s="46" t="str">
        <f t="shared" si="0"/>
        <v/>
      </c>
      <c r="N31" s="46" t="str">
        <f t="shared" si="1"/>
        <v/>
      </c>
      <c r="O31" s="47" t="str">
        <f t="shared" si="2"/>
        <v/>
      </c>
      <c r="P31" t="str">
        <f t="shared" si="3"/>
        <v/>
      </c>
      <c r="Q31" t="str">
        <f t="shared" si="4"/>
        <v/>
      </c>
      <c r="R31" t="str">
        <f t="shared" si="5"/>
        <v/>
      </c>
      <c r="S31" t="str">
        <f t="shared" si="6"/>
        <v/>
      </c>
      <c r="T31" t="str">
        <f t="shared" si="7"/>
        <v/>
      </c>
      <c r="U31" t="str">
        <f t="shared" si="8"/>
        <v/>
      </c>
      <c r="V31" s="42">
        <f>MATCH(G31,options!$D$1:$D$20,0)</f>
        <v>8</v>
      </c>
    </row>
    <row r="32" spans="1:22"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3"/>
      <c r="J32" s="44"/>
      <c r="K32" s="36"/>
      <c r="L32" s="45"/>
      <c r="M32" s="46" t="str">
        <f t="shared" si="0"/>
        <v/>
      </c>
      <c r="N32" s="46" t="str">
        <f t="shared" si="1"/>
        <v/>
      </c>
      <c r="O32" s="47" t="str">
        <f t="shared" si="2"/>
        <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3"/>
      <c r="J33" s="44"/>
      <c r="K33" s="36"/>
      <c r="L33" s="45"/>
      <c r="M33" s="46" t="str">
        <f t="shared" si="0"/>
        <v/>
      </c>
      <c r="N33" s="46" t="str">
        <f t="shared" si="1"/>
        <v/>
      </c>
      <c r="O33" s="47" t="str">
        <f t="shared" si="2"/>
        <v/>
      </c>
      <c r="P33" t="str">
        <f t="shared" si="3"/>
        <v/>
      </c>
      <c r="Q33" t="str">
        <f t="shared" si="4"/>
        <v/>
      </c>
      <c r="R33" t="str">
        <f t="shared" si="5"/>
        <v/>
      </c>
      <c r="S33" t="str">
        <f t="shared" si="6"/>
        <v/>
      </c>
      <c r="T33" t="str">
        <f t="shared" si="7"/>
        <v/>
      </c>
      <c r="U33" t="str">
        <f t="shared" si="8"/>
        <v/>
      </c>
      <c r="V33" s="42">
        <f>MATCH(G33,options!$D$1:$D$20,0)</f>
        <v>9</v>
      </c>
    </row>
    <row r="34" spans="1:22"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3"/>
      <c r="J34" s="44"/>
      <c r="K34" s="36"/>
      <c r="L34" s="45"/>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3"/>
      <c r="J35" s="44"/>
      <c r="L35" s="45"/>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370</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3"/>
      <c r="J36" s="44"/>
      <c r="K36" s="36"/>
      <c r="L36" s="45"/>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3"/>
      <c r="J37" s="44"/>
      <c r="K37" s="36"/>
      <c r="L37" s="45"/>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3"/>
      <c r="J38" s="44"/>
      <c r="K38" s="36"/>
      <c r="L38" s="45"/>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3"/>
      <c r="J39" s="44"/>
      <c r="K39" s="36"/>
      <c r="L39" s="45"/>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3"/>
      <c r="J40" s="44"/>
      <c r="K40" s="36"/>
      <c r="L40" s="45"/>
      <c r="M40" s="46" t="str">
        <f t="shared" si="9"/>
        <v/>
      </c>
      <c r="N40" s="46" t="str">
        <f t="shared" si="10"/>
        <v/>
      </c>
      <c r="O40" s="47" t="str">
        <f t="shared" si="11"/>
        <v/>
      </c>
      <c r="P40" t="str">
        <f t="shared" si="12"/>
        <v/>
      </c>
      <c r="Q40" t="str">
        <f t="shared" si="13"/>
        <v/>
      </c>
      <c r="R40" t="str">
        <f t="shared" si="14"/>
        <v/>
      </c>
      <c r="S40" t="str">
        <f t="shared" si="15"/>
        <v/>
      </c>
      <c r="T40" t="str">
        <f t="shared" si="16"/>
        <v/>
      </c>
      <c r="U40" t="str">
        <f t="shared" si="17"/>
        <v/>
      </c>
      <c r="V40" s="42">
        <f>MATCH(G40,options!$D$1:$D$20,0)</f>
        <v>15</v>
      </c>
    </row>
    <row r="41" spans="1:22"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c r="J41" s="44"/>
      <c r="K41" s="36"/>
      <c r="L41" s="45"/>
      <c r="M41" s="46" t="str">
        <f t="shared" si="9"/>
        <v/>
      </c>
      <c r="N41" s="46" t="str">
        <f t="shared" si="10"/>
        <v/>
      </c>
      <c r="O41" s="47" t="str">
        <f t="shared" si="11"/>
        <v/>
      </c>
      <c r="P41" t="str">
        <f t="shared" si="12"/>
        <v/>
      </c>
      <c r="Q41" t="str">
        <f t="shared" si="13"/>
        <v/>
      </c>
      <c r="R41" t="str">
        <f t="shared" si="14"/>
        <v/>
      </c>
      <c r="S41" t="str">
        <f t="shared" si="15"/>
        <v/>
      </c>
      <c r="T41" t="str">
        <f t="shared" si="16"/>
        <v/>
      </c>
      <c r="U41" t="str">
        <f t="shared" si="17"/>
        <v/>
      </c>
      <c r="V41" s="42">
        <f>MATCH(G41,options!$D$1:$D$20,0)</f>
        <v>16</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3"/>
      <c r="J42" s="44"/>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3"/>
      <c r="J43" s="44"/>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566</v>
      </c>
    </row>
    <row r="9" spans="1:7" x14ac:dyDescent="0.15">
      <c r="D9" s="42" t="s">
        <v>388</v>
      </c>
      <c r="E9" t="s">
        <v>426</v>
      </c>
      <c r="F9" t="s">
        <v>567</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644</v>
      </c>
    </row>
    <row r="4" spans="1:2" ht="16" x14ac:dyDescent="0.2">
      <c r="B4" s="57" t="s">
        <v>446</v>
      </c>
    </row>
    <row r="5" spans="1:2" ht="16" x14ac:dyDescent="0.2">
      <c r="B5" s="57" t="s">
        <v>447</v>
      </c>
    </row>
    <row r="6" spans="1:2" ht="16" x14ac:dyDescent="0.2">
      <c r="B6" s="57" t="s">
        <v>448</v>
      </c>
    </row>
    <row r="7" spans="1:2" ht="16" x14ac:dyDescent="0.2">
      <c r="B7" s="57"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7"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7" t="s">
        <v>656</v>
      </c>
    </row>
    <row r="4" spans="2:2" ht="16" x14ac:dyDescent="0.2">
      <c r="B4" s="57" t="s">
        <v>521</v>
      </c>
    </row>
    <row r="5" spans="2:2" x14ac:dyDescent="0.15">
      <c r="B5" t="s">
        <v>522</v>
      </c>
    </row>
    <row r="6" spans="2:2" ht="16" x14ac:dyDescent="0.2">
      <c r="B6" s="57" t="s">
        <v>523</v>
      </c>
    </row>
    <row r="7" spans="2:2" ht="16" x14ac:dyDescent="0.2">
      <c r="B7" s="57"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7"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2024-07-24T23:07:53Z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