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3/"/>
    </mc:Choice>
  </mc:AlternateContent>
  <xr:revisionPtr revIDLastSave="0" documentId="13_ncr:1_{FCB4B8E4-F948-0D4C-B033-1E852D75DC5C}" xr6:coauthVersionLast="47" xr6:coauthVersionMax="47" xr10:uidLastSave="{00000000-0000-0000-0000-000000000000}"/>
  <bookViews>
    <workbookView xWindow="0" yWindow="760" windowWidth="34560" windowHeight="20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7" i="1"/>
  <c r="C7" i="1"/>
  <c r="D7" i="1"/>
  <c r="B8" i="1"/>
  <c r="C8" i="1"/>
  <c r="D8" i="1"/>
  <c r="B9" i="1"/>
  <c r="C9" i="1"/>
  <c r="D9" i="1"/>
  <c r="B10" i="1"/>
  <c r="C10" i="1"/>
  <c r="D10" i="1"/>
  <c r="B11" i="1"/>
  <c r="C11" i="1"/>
  <c r="D11" i="1"/>
  <c r="B12" i="1"/>
  <c r="C12" i="1"/>
  <c r="D12" i="1"/>
  <c r="B13" i="1"/>
  <c r="C13" i="1"/>
  <c r="D13" i="1"/>
  <c r="B14" i="1"/>
  <c r="C14" i="1"/>
  <c r="D14" i="1"/>
  <c r="M6" i="2"/>
  <c r="N6" i="2"/>
  <c r="O6" i="2"/>
  <c r="P6" i="2"/>
  <c r="Q6" i="2"/>
  <c r="R6" i="2"/>
  <c r="S6" i="2"/>
  <c r="T6" i="2"/>
  <c r="U6" i="2"/>
  <c r="M7" i="2"/>
  <c r="N7" i="2"/>
  <c r="O7" i="2"/>
  <c r="P7" i="2"/>
  <c r="Q7" i="2"/>
  <c r="R7" i="2"/>
  <c r="S7" i="2"/>
  <c r="T7" i="2"/>
  <c r="U7" i="2"/>
  <c r="M8" i="2"/>
  <c r="N8" i="2"/>
  <c r="O8" i="2"/>
  <c r="P8" i="2"/>
  <c r="Q8" i="2"/>
  <c r="R8" i="2"/>
  <c r="S8" i="2"/>
  <c r="T8" i="2"/>
  <c r="U8" i="2"/>
  <c r="M9" i="2"/>
  <c r="N9" i="2"/>
  <c r="O9" i="2"/>
  <c r="P9" i="2"/>
  <c r="Q9" i="2"/>
  <c r="R9" i="2"/>
  <c r="S9" i="2"/>
  <c r="T9" i="2"/>
  <c r="U9" i="2"/>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6" i="2"/>
  <c r="H8" i="2"/>
  <c r="H9" i="2"/>
  <c r="H14" i="2"/>
  <c r="H4" i="2"/>
  <c r="B33" i="2"/>
  <c r="B31" i="2"/>
  <c r="B29" i="2"/>
  <c r="B27" i="2"/>
  <c r="AM7" i="1" s="1"/>
  <c r="B26" i="2"/>
  <c r="B25" i="2"/>
  <c r="AK13" i="1" s="1"/>
  <c r="B24" i="2"/>
  <c r="AJ11" i="1" s="1"/>
  <c r="B23" i="2"/>
  <c r="AI17" i="1" s="1"/>
  <c r="B2" i="2"/>
  <c r="B1" i="2"/>
  <c r="F4" i="1" s="1"/>
  <c r="H104" i="2"/>
  <c r="B9" i="2"/>
  <c r="CK12" i="1" s="1"/>
  <c r="B8" i="2"/>
  <c r="CQ9" i="1" s="1"/>
  <c r="B7" i="2"/>
  <c r="CP14" i="1" s="1"/>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Q24" i="1" s="1"/>
  <c r="M23" i="2"/>
  <c r="M24" i="1" s="1"/>
  <c r="P23" i="2"/>
  <c r="P24" i="1" s="1"/>
  <c r="I23" i="2"/>
  <c r="V22" i="2"/>
  <c r="H22" i="2" s="1"/>
  <c r="AT23" i="1" s="1"/>
  <c r="T22" i="2"/>
  <c r="S22" i="2"/>
  <c r="R22" i="2"/>
  <c r="Q22" i="2"/>
  <c r="O22" i="2"/>
  <c r="N22" i="2"/>
  <c r="N23" i="1" s="1"/>
  <c r="M22" i="2"/>
  <c r="M23" i="1" s="1"/>
  <c r="I22" i="2"/>
  <c r="V21" i="2"/>
  <c r="H21" i="2" s="1"/>
  <c r="U21" i="2"/>
  <c r="T21" i="2"/>
  <c r="T22" i="1" s="1"/>
  <c r="S21" i="2"/>
  <c r="R21" i="2"/>
  <c r="Q21" i="2"/>
  <c r="P21" i="2"/>
  <c r="O21" i="2"/>
  <c r="N21" i="2"/>
  <c r="M21" i="2"/>
  <c r="I21" i="2"/>
  <c r="V20" i="2"/>
  <c r="H20" i="2" s="1"/>
  <c r="U20" i="2"/>
  <c r="T20" i="2"/>
  <c r="S20" i="2"/>
  <c r="R20" i="2"/>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T17" i="2"/>
  <c r="S17" i="2"/>
  <c r="R17" i="2"/>
  <c r="Q17" i="2"/>
  <c r="P17" i="2"/>
  <c r="N17" i="2"/>
  <c r="M17" i="2"/>
  <c r="U17" i="2"/>
  <c r="U18" i="1" s="1"/>
  <c r="I17" i="2"/>
  <c r="V16" i="2"/>
  <c r="H16" i="2" s="1"/>
  <c r="U16" i="2"/>
  <c r="T16" i="2"/>
  <c r="S16" i="2"/>
  <c r="S17" i="1" s="1"/>
  <c r="R16" i="2"/>
  <c r="Q16" i="2"/>
  <c r="P16" i="2"/>
  <c r="O16" i="2"/>
  <c r="N16" i="2"/>
  <c r="M16" i="2"/>
  <c r="I16" i="2"/>
  <c r="AT17" i="1"/>
  <c r="CO17" i="1"/>
  <c r="V15" i="2"/>
  <c r="H15" i="2" s="1"/>
  <c r="U15" i="2"/>
  <c r="T15" i="2"/>
  <c r="S15" i="2"/>
  <c r="R15" i="2"/>
  <c r="Q15" i="2"/>
  <c r="P15" i="2"/>
  <c r="O15" i="2"/>
  <c r="N15" i="2"/>
  <c r="N16" i="1" s="1"/>
  <c r="M15" i="2"/>
  <c r="I15" i="2"/>
  <c r="V14" i="2"/>
  <c r="U14" i="2"/>
  <c r="T14" i="2"/>
  <c r="T15" i="1" s="1"/>
  <c r="P14" i="2"/>
  <c r="O14" i="2"/>
  <c r="N14" i="2"/>
  <c r="M14" i="2"/>
  <c r="S14" i="2"/>
  <c r="S15" i="1" s="1"/>
  <c r="I14" i="2"/>
  <c r="V13" i="2"/>
  <c r="H13" i="2" s="1"/>
  <c r="P14" i="1"/>
  <c r="O14" i="1"/>
  <c r="I13" i="2"/>
  <c r="D13" i="2"/>
  <c r="V12" i="2"/>
  <c r="H12" i="2" s="1"/>
  <c r="U13" i="1"/>
  <c r="I12" i="2"/>
  <c r="C12" i="2"/>
  <c r="V11" i="2"/>
  <c r="H11" i="2" s="1"/>
  <c r="AT12" i="1" s="1"/>
  <c r="I11" i="2"/>
  <c r="CO12" i="1"/>
  <c r="V10" i="2"/>
  <c r="H10" i="2" s="1"/>
  <c r="AT11" i="1" s="1"/>
  <c r="M11" i="1"/>
  <c r="I10" i="2"/>
  <c r="V9" i="2"/>
  <c r="T10" i="1"/>
  <c r="R10" i="1"/>
  <c r="Q10" i="1"/>
  <c r="P10" i="1"/>
  <c r="O10" i="1"/>
  <c r="N10" i="1"/>
  <c r="M10" i="1"/>
  <c r="I9" i="2"/>
  <c r="D9" i="2"/>
  <c r="C9" i="2"/>
  <c r="V8" i="2"/>
  <c r="Q9" i="1"/>
  <c r="P9" i="1"/>
  <c r="O9" i="1"/>
  <c r="I8" i="2"/>
  <c r="D8" i="2"/>
  <c r="C8" i="2"/>
  <c r="CO9" i="1" s="1"/>
  <c r="L9" i="1" s="1"/>
  <c r="CQ23" i="1"/>
  <c r="V7" i="2"/>
  <c r="H7" i="2" s="1"/>
  <c r="T8" i="1"/>
  <c r="S8" i="1"/>
  <c r="R8" i="1"/>
  <c r="Q8" i="1"/>
  <c r="P8" i="1"/>
  <c r="M8" i="1"/>
  <c r="U8" i="1"/>
  <c r="I7" i="2"/>
  <c r="D7" i="2"/>
  <c r="C7" i="2"/>
  <c r="V6" i="2"/>
  <c r="U7" i="1"/>
  <c r="T7" i="1"/>
  <c r="N7" i="1"/>
  <c r="M7" i="1"/>
  <c r="S7" i="1"/>
  <c r="I6" i="2"/>
  <c r="D6" i="2"/>
  <c r="C6" i="2"/>
  <c r="CO7" i="1" s="1"/>
  <c r="V5" i="2"/>
  <c r="H5" i="2" s="1"/>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A10" i="1"/>
  <c r="FV9" i="1"/>
  <c r="FU9" i="1"/>
  <c r="FT9" i="1"/>
  <c r="FS9" i="1"/>
  <c r="FR9" i="1"/>
  <c r="FQ9" i="1"/>
  <c r="FP9" i="1"/>
  <c r="FO9" i="1"/>
  <c r="FM9" i="1"/>
  <c r="FJ9" i="1"/>
  <c r="FI9" i="1"/>
  <c r="FH9" i="1"/>
  <c r="EV9" i="1"/>
  <c r="ES9" i="1"/>
  <c r="EI9" i="1"/>
  <c r="DY9" i="1"/>
  <c r="DP9" i="1"/>
  <c r="DO9" i="1"/>
  <c r="DA9" i="1"/>
  <c r="CZ9" i="1"/>
  <c r="CU9" i="1"/>
  <c r="CT9" i="1"/>
  <c r="CS9" i="1"/>
  <c r="CL9" i="1"/>
  <c r="CH9" i="1"/>
  <c r="CG9" i="1"/>
  <c r="BH9" i="1"/>
  <c r="BG9" i="1"/>
  <c r="BF9" i="1"/>
  <c r="BE9" i="1"/>
  <c r="AV9" i="1"/>
  <c r="AB9" i="1"/>
  <c r="AA9" i="1"/>
  <c r="Z9" i="1"/>
  <c r="Y9" i="1"/>
  <c r="X9" i="1"/>
  <c r="W9" i="1"/>
  <c r="K9" i="1"/>
  <c r="J9" i="1"/>
  <c r="I9" i="1"/>
  <c r="H9" i="1"/>
  <c r="G9" i="1"/>
  <c r="E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3" i="1"/>
  <c r="CJ9" i="1"/>
  <c r="CQ14" i="1"/>
  <c r="CJ19" i="1"/>
  <c r="AT22" i="1"/>
  <c r="CQ24" i="1"/>
  <c r="N4" i="2"/>
  <c r="N5" i="1" s="1"/>
  <c r="R5" i="2"/>
  <c r="R6" i="1" s="1"/>
  <c r="O8" i="1"/>
  <c r="R9" i="1"/>
  <c r="P11" i="1"/>
  <c r="N13" i="1"/>
  <c r="R14" i="1"/>
  <c r="O17" i="2"/>
  <c r="O18" i="1" s="1"/>
  <c r="S18" i="2"/>
  <c r="S19" i="1" s="1"/>
  <c r="M19" i="2"/>
  <c r="M20" i="1" s="1"/>
  <c r="Q20" i="2"/>
  <c r="Q21" i="1" s="1"/>
  <c r="P22" i="2"/>
  <c r="P23" i="1" s="1"/>
  <c r="S23" i="2"/>
  <c r="S24" i="1" s="1"/>
  <c r="CJ6" i="1"/>
  <c r="CQ11" i="1"/>
  <c r="FE13" i="1"/>
  <c r="CJ16" i="1"/>
  <c r="CQ21" i="1"/>
  <c r="FE23" i="1"/>
  <c r="O4" i="2"/>
  <c r="O5" i="1" s="1"/>
  <c r="S5" i="2"/>
  <c r="S6" i="1" s="1"/>
  <c r="S9" i="1"/>
  <c r="O13" i="1"/>
  <c r="S14" i="1"/>
  <c r="T18" i="2"/>
  <c r="T19" i="1" s="1"/>
  <c r="N19" i="2"/>
  <c r="N20" i="1" s="1"/>
  <c r="T23" i="2"/>
  <c r="T24" i="1" s="1"/>
  <c r="CQ8" i="1"/>
  <c r="AL10" i="1"/>
  <c r="CJ13" i="1"/>
  <c r="CQ18" i="1"/>
  <c r="K20" i="1"/>
  <c r="AL20" i="1"/>
  <c r="CJ23" i="1"/>
  <c r="P4" i="2"/>
  <c r="P5" i="1" s="1"/>
  <c r="T5" i="2"/>
  <c r="T6" i="1" s="1"/>
  <c r="T9" i="1"/>
  <c r="P13" i="1"/>
  <c r="T14" i="1"/>
  <c r="U18" i="2"/>
  <c r="U19" i="1" s="1"/>
  <c r="O19" i="2"/>
  <c r="O20" i="1" s="1"/>
  <c r="U23" i="2"/>
  <c r="U24" i="1" s="1"/>
  <c r="CQ5" i="1"/>
  <c r="CJ10" i="1"/>
  <c r="CQ15" i="1"/>
  <c r="CJ20" i="1"/>
  <c r="Q4" i="2"/>
  <c r="Q5" i="1" s="1"/>
  <c r="U5" i="2"/>
  <c r="U6" i="1" s="1"/>
  <c r="U9" i="1"/>
  <c r="Q13" i="1"/>
  <c r="U14" i="1"/>
  <c r="P19" i="2"/>
  <c r="P20" i="1" s="1"/>
  <c r="CJ7" i="1"/>
  <c r="AT10" i="1"/>
  <c r="CQ12" i="1"/>
  <c r="FE14" i="1"/>
  <c r="CJ17" i="1"/>
  <c r="CQ22" i="1"/>
  <c r="FE24" i="1"/>
  <c r="R4" i="2"/>
  <c r="R5" i="1" s="1"/>
  <c r="R13" i="1"/>
  <c r="Q19" i="2"/>
  <c r="Q20" i="1" s="1"/>
  <c r="M9" i="1"/>
  <c r="U11" i="1"/>
  <c r="S13" i="1"/>
  <c r="M14" i="1"/>
  <c r="Q14" i="2"/>
  <c r="Q15" i="1" s="1"/>
  <c r="N18" i="2"/>
  <c r="N19" i="1" s="1"/>
  <c r="R19" i="2"/>
  <c r="R20" i="1" s="1"/>
  <c r="U22" i="2"/>
  <c r="U23" i="1" s="1"/>
  <c r="N23" i="2"/>
  <c r="N24" i="1" s="1"/>
  <c r="S4" i="2"/>
  <c r="S5" i="1" s="1"/>
  <c r="CQ6" i="1"/>
  <c r="CJ11" i="1"/>
  <c r="CQ16" i="1"/>
  <c r="CJ21" i="1"/>
  <c r="T4" i="2"/>
  <c r="T5" i="1" s="1"/>
  <c r="N5" i="2"/>
  <c r="N6" i="1" s="1"/>
  <c r="R7" i="1"/>
  <c r="N9" i="1"/>
  <c r="T13" i="1"/>
  <c r="N14" i="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<sst xmlns="http://schemas.openxmlformats.org/spreadsheetml/2006/main" count="867" uniqueCount="698">
  <si>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</si>
  <si>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</si>
  <si>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</si>
  <si>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</si>
  <si>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</si>
  <si>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</si>
  <si>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</si>
  <si>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</si>
  <si>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</si>
  <si>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</si>
  <si>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</si>
  <si>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</si>
  <si>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</si>
  <si>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</si>
  <si>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</si>
  <si>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</si>
  <si>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</si>
  <si>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</si>
  <si>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</si>
  <si>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</si>
  <si>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</si>
  <si>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</si>
  <si>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</si>
  <si>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</si>
  <si>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</si>
  <si>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</si>
  <si>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</si>
  <si>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</si>
  <si>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</si>
  <si>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</si>
  <si>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</si>
  <si>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</si>
  <si>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</si>
  <si>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</si>
  <si>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</si>
  <si>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</si>
  <si>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</si>
  <si>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</si>
  <si>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</si>
  <si>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</si>
  <si>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</si>
  <si>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</si>
  <si>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</si>
  <si>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</si>
  <si>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</si>
  <si>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</si>
  <si>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</si>
  <si>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</si>
  <si>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</si>
  <si>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</si>
  <si>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</si>
  <si>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</si>
  <si>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</si>
  <si>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</si>
  <si>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</si>
  <si>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</si>
  <si>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</si>
  <si>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</si>
  <si>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</si>
  <si>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</si>
  <si>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</si>
  <si>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</si>
  <si>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</si>
  <si>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</si>
  <si>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</si>
  <si>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</si>
  <si>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</si>
  <si>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</si>
  <si>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</si>
  <si>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</si>
  <si>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</si>
  <si>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</si>
  <si>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</si>
  <si>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</si>
  <si>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</si>
  <si>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</si>
  <si>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</si>
  <si>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</si>
  <si>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</si>
  <si>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</si>
  <si>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</si>
  <si>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</si>
  <si>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</si>
  <si>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</si>
  <si>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</si>
  <si>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</si>
  <si>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</si>
  <si>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</si>
  <si>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</si>
  <si>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</si>
  <si>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</si>
  <si>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</si>
  <si>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</si>
  <si>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</si>
  <si>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</si>
  <si>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</si>
  <si>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</si>
  <si>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</si>
  <si>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</si>
  <si>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</si>
  <si>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</si>
  <si>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</si>
  <si>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</si>
  <si>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</si>
  <si>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</si>
  <si>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</si>
  <si>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</si>
  <si>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</si>
  <si>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</si>
  <si>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</si>
  <si>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</si>
  <si>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</si>
  <si>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</si>
  <si>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</si>
  <si>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</si>
  <si>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</si>
  <si>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</si>
  <si>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</si>
  <si>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</si>
  <si>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</si>
  <si>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</si>
  <si>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</si>
  <si>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</si>
  <si>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</si>
  <si>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</si>
  <si>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</si>
  <si>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</si>
  <si>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</si>
  <si>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</si>
  <si>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</si>
  <si>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</si>
  <si>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</si>
  <si>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</si>
  <si>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</si>
  <si>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</si>
  <si>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</si>
  <si>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</si>
  <si>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</si>
  <si>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</si>
  <si>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</si>
  <si>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</si>
  <si>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</si>
  <si>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</si>
  <si>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</si>
  <si>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</si>
  <si>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</si>
  <si>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</si>
  <si>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</si>
  <si>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</si>
  <si>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</si>
  <si>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</si>
  <si>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</si>
  <si>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</si>
  <si>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</si>
  <si>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</si>
  <si>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</si>
  <si>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</si>
  <si>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</si>
  <si>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</si>
  <si>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</si>
  <si>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</si>
  <si>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</si>
  <si>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</si>
  <si>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</si>
  <si>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</si>
  <si>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</si>
  <si>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</si>
  <si>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</si>
  <si>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</si>
  <si>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</si>
  <si>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</si>
  <si>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</si>
  <si>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</si>
  <si>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</si>
  <si>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</si>
  <si>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</si>
  <si>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</si>
  <si>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</si>
  <si>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</si>
  <si>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</si>
  <si>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</si>
  <si>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</si>
  <si>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</si>
  <si>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</si>
  <si>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</si>
  <si>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</si>
  <si>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</si>
  <si>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</si>
  <si>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</si>
  <si>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</si>
  <si>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</si>
  <si>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</si>
  <si>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</si>
  <si>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</si>
  <si>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</si>
  <si>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</si>
  <si>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</si>
  <si>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</si>
  <si>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</si>
  <si>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</si>
  <si>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</si>
  <si>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</si>
  <si>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</si>
  <si>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</si>
  <si>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</si>
  <si>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</si>
  <si>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</si>
  <si>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</si>
  <si>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</si>
  <si>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</si>
  <si>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</si>
  <si>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</si>
  <si>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</si>
  <si>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</si>
  <si>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</si>
  <si>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</si>
  <si>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</si>
  <si>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</si>
  <si>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</si>
  <si>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</si>
  <si>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</si>
  <si>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</si>
  <si>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</si>
  <si>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</si>
  <si>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</si>
  <si>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</si>
  <si>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</si>
  <si>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</si>
  <si>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</si>
  <si>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</si>
  <si>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</si>
  <si>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</si>
  <si>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</si>
  <si>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</si>
  <si>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</si>
  <si>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</si>
  <si>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</si>
  <si>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</si>
  <si>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</si>
  <si>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</si>
  <si>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</si>
  <si>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</si>
  <si>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</si>
  <si>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</si>
  <si>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</si>
  <si>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</si>
  <si>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</si>
  <si>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</si>
  <si>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</si>
  <si>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</si>
  <si>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</si>
  <si>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</si>
  <si>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</si>
  <si>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</si>
  <si>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</si>
  <si>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</si>
  <si>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</si>
  <si>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</si>
  <si>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</si>
  <si>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</si>
  <si>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</si>
  <si>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</si>
  <si>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</si>
  <si>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</si>
  <si>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</si>
  <si>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</si>
  <si>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</si>
  <si>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</si>
  <si>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</si>
  <si>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</si>
  <si>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</si>
  <si>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</si>
  <si>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</si>
  <si>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</si>
  <si>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</si>
  <si>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</si>
  <si>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</si>
  <si>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</si>
  <si>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</si>
  <si>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</si>
  <si>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</si>
  <si>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</si>
  <si>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</si>
  <si>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</si>
  <si>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</si>
  <si>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</si>
  <si>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</si>
  <si>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</si>
  <si>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</si>
  <si>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</si>
  <si>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</si>
  <si>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</si>
  <si>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</si>
  <si>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</si>
  <si>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</si>
  <si>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</si>
  <si>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</si>
  <si>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</si>
  <si>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</si>
  <si>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</si>
  <si>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</si>
  <si>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</si>
  <si>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</si>
  <si>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</si>
  <si>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</si>
  <si>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</si>
  <si>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</si>
  <si>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</si>
  <si>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</si>
  <si>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</si>
  <si>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</si>
  <si>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</si>
  <si>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</si>
  <si>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</si>
  <si>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</si>
  <si>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</si>
  <si>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</si>
  <si>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</si>
  <si>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</si>
  <si>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</si>
  <si>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</si>
  <si>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</si>
  <si>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</si>
  <si>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</si>
  <si>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</si>
  <si>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</si>
  <si>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</si>
  <si>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</si>
  <si>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</si>
  <si>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</si>
  <si>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</si>
  <si>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</si>
  <si>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</si>
  <si>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</si>
  <si>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</si>
  <si>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</si>
  <si>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</si>
  <si>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</si>
  <si>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</si>
  <si>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</si>
  <si>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</si>
  <si>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</si>
  <si>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</si>
  <si>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</si>
  <si>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</si>
  <si>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</si>
  <si>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</si>
  <si>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</si>
  <si>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</si>
  <si>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</si>
  <si>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</si>
  <si>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</si>
  <si>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</si>
  <si>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</si>
  <si>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</si>
  <si>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</si>
  <si>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</si>
  <si>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</si>
  <si>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</si>
  <si>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</si>
  <si>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</si>
  <si>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</si>
  <si>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</si>
  <si>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</si>
  <si>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</si>
  <si>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</si>
  <si>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</si>
  <si>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</si>
  <si>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</si>
  <si>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</si>
  <si>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</si>
  <si>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</si>
  <si>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</si>
  <si>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</si>
  <si>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</si>
  <si>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</si>
  <si>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</si>
  <si>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</si>
  <si>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</si>
  <si>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</si>
  <si>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</si>
  <si>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</si>
  <si>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</si>
  <si>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</si>
  <si>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</si>
  <si>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</si>
  <si>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</si>
  <si>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</si>
  <si>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</si>
  <si>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</si>
  <si>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</si>
  <si>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</si>
  <si>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</si>
  <si>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</si>
  <si>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</si>
  <si>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</si>
  <si>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</si>
  <si>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</si>
  <si>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</si>
  <si>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</si>
  <si>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</si>
  <si>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</si>
  <si>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</si>
  <si>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</si>
  <si>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</si>
  <si>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</si>
  <si>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</si>
  <si>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</si>
  <si>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</si>
  <si>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</si>
  <si>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</si>
  <si>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</si>
  <si>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</si>
  <si>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</si>
  <si>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</si>
  <si>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</si>
  <si>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</si>
  <si>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</si>
  <si>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</si>
  <si>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</si>
  <si>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</si>
  <si>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</si>
  <si>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</si>
  <si>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</si>
  <si>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</si>
  <si>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</si>
  <si>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</si>
  <si>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</si>
  <si>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</si>
  <si>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</si>
  <si>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</si>
  <si>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</si>
  <si>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</si>
  <si>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</si>
  <si>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</si>
  <si>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</si>
  <si>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</si>
  <si>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</si>
  <si>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</si>
  <si>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</si>
  <si>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</si>
  <si>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</si>
  <si>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</si>
  <si>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</si>
  <si>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</si>
  <si>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</si>
  <si>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</si>
  <si>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</si>
  <si>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</si>
  <si>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</si>
  <si>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</si>
  <si>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</si>
  <si>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</si>
  <si>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</si>
  <si>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</si>
  <si>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</si>
  <si>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</si>
  <si>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</si>
  <si>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</si>
  <si>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</si>
  <si>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</si>
  <si>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</si>
  <si>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</si>
  <si>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</si>
  <si>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</si>
  <si>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</si>
  <si>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</si>
  <si>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</si>
  <si>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</si>
  <si>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</si>
  <si>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</si>
  <si>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</si>
  <si>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</si>
  <si>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</si>
  <si>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</si>
  <si>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</si>
  <si>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</si>
  <si>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</si>
  <si>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</si>
  <si>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</si>
  <si>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</si>
  <si>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</si>
  <si>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</si>
  <si>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</si>
  <si>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</si>
  <si>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</si>
  <si>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</si>
  <si>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</si>
  <si>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</si>
  <si>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</si>
  <si>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</si>
  <si>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</si>
  <si>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</si>
  <si>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</si>
  <si>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</si>
  <si>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</si>
  <si>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</si>
  <si>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</si>
  <si>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</si>
  <si>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</si>
  <si>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</si>
  <si>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</si>
  <si>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</si>
  <si>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</si>
  <si>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</si>
  <si>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</si>
  <si>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</si>
  <si>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</si>
  <si>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</si>
  <si>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</si>
  <si>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</si>
  <si>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</si>
  <si>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</si>
  <si>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</si>
  <si>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</si>
  <si>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</si>
  <si>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</si>
  <si>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</si>
  <si>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</si>
  <si>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</si>
  <si>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</si>
  <si>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</si>
  <si>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</si>
  <si>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</si>
  <si>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</si>
  <si>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</si>
  <si>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</si>
  <si>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</si>
  <si>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</si>
  <si>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</si>
  <si>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</si>
  <si>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</si>
  <si>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</si>
  <si>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</si>
  <si>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</si>
  <si>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</si>
  <si>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</si>
  <si>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</si>
  <si>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</si>
  <si>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</si>
  <si>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</si>
  <si>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</si>
  <si>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</si>
  <si>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</si>
  <si>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</si>
  <si>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</si>
  <si>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</si>
  <si>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</si>
  <si>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</si>
  <si>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</si>
  <si>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</si>
  <si>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</si>
  <si>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</si>
  <si>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</si>
  <si>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</si>
  <si>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</si>
  <si>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</si>
  <si>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</si>
  <si>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</si>
  <si>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</si>
  <si>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</si>
  <si>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</si>
  <si>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</si>
  <si>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</si>
  <si>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</si>
  <si>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</si>
  <si>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</si>
  <si>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</si>
  <si>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</si>
  <si>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</si>
  <si>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</si>
  <si>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</si>
  <si>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</si>
  <si>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</si>
  <si>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</si>
  <si>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</si>
  <si>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</si>
  <si>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</si>
  <si>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</si>
  <si>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</si>
  <si>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</si>
  <si>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</si>
  <si>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</si>
  <si>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</si>
  <si>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</si>
  <si>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</si>
  <si>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</si>
  <si>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</si>
  <si>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</si>
  <si>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</si>
  <si>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</si>
  <si>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</si>
  <si>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</si>
  <si>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</si>
  <si>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</si>
  <si>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</si>
  <si>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</si>
  <si>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</si>
  <si>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</si>
  <si>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</si>
  <si>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</si>
  <si>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</si>
  <si>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</si>
  <si>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</si>
  <si>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</si>
  <si>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</si>
  <si>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</si>
  <si>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</si>
  <si>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</si>
  <si>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</si>
  <si>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</si>
  <si>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</si>
  <si>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</si>
  <si>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</si>
  <si>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</si>
  <si>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</si>
  <si>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</si>
  <si>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</si>
  <si>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</si>
  <si>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</si>
  <si>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</si>
  <si>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</si>
  <si>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</si>
  <si>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</si>
  <si>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</si>
  <si>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</si>
  <si>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</si>
  <si>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</si>
  <si>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</si>
  <si>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</si>
  <si>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</si>
  <si>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</si>
  <si>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</si>
  <si>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</si>
  <si>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</si>
  <si>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</si>
  <si>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</si>
  <si>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</si>
  <si>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</si>
  <si>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</si>
  <si>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</si>
  <si>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</si>
  <si>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</si>
  <si>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</si>
  <si>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</si>
  <si>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</si>
  <si>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</si>
  <si>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</si>
  <si>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</si>
  <si>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</si>
  <si>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</si>
  <si>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</si>
  <si>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</si>
  <si>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</si>
  <si>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</si>
  <si>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</si>
  <si>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</si>
  <si>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</si>
  <si>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</si>
  <si>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</si>
  <si>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</si>
  <si>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</si>
  <si>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</si>
  <si>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</si>
  <si>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</si>
  <si>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</si>
  <si>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</si>
  <si>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</si>
  <si>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</si>
  <si>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</si>
  <si>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</si>
  <si>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</si>
  <si>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</si>
  <si>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</si>
  <si>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</si>
  <si>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</si>
  <si>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G3, 745 G3, 840 G4, 745 G4</t>
  </si>
  <si>
    <t>HP 840 G3 parent</t>
  </si>
  <si>
    <t>HP 840 G3 BL - DE</t>
  </si>
  <si>
    <t>HP 840 G3 BL - FR</t>
  </si>
  <si>
    <t>HP 840 G3 BL - IT</t>
  </si>
  <si>
    <t>HP 840 G3 BL - ES</t>
  </si>
  <si>
    <t>HP 840 G3 BL - UK</t>
  </si>
  <si>
    <t>HP 840 G3 BL - USI</t>
  </si>
  <si>
    <t>HP 840 G3 BL - US</t>
  </si>
  <si>
    <t>HP 840 G3 BL - NORDIC</t>
  </si>
  <si>
    <t>HP 840 G3 RG - US</t>
  </si>
  <si>
    <t>HP/W. PS/840 G3 SILVER/BL/DE</t>
  </si>
  <si>
    <t>HP/W. PS/840 G3 SILVER/BL/FR</t>
  </si>
  <si>
    <t>HP/W. PS/840 G3 SILVER/BL/IT</t>
  </si>
  <si>
    <t>HP/W. PS/840 G3 SILVER/BL/ES</t>
  </si>
  <si>
    <t>HP/W. PS/840 G3 SILVER/BL/UK</t>
  </si>
  <si>
    <t>HP/W. PS/840 G3 SILVER/BL/USI</t>
  </si>
  <si>
    <t>HP/W. PS/840 G3 SILVER/BL/US</t>
  </si>
  <si>
    <t>HP/W. PS/840 G3 SILVER/RG/US</t>
  </si>
  <si>
    <t>HP/W. PS/840 G3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</si>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</sst>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0" fillId="14" borderId="0" xfId="0" applyFill="1" applyAlignment="1">
      <alignment horizontal="right"/>
    </xf>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zoomScaleNormal="100" workbookViewId="0">
      <selection activeCell="C19" sqref="C1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697</v>
      </c>
    </row>
    <row r="4" spans="1:193" ht="17" x14ac:dyDescent="0.2">
      <c r="A4" s="1" t="str">
        <f>IF(ISBLANK(Values!E3),"",IF(Values!$B$37="EU","computercomponent","computer"))</f>
        <v>computer</v>
      </c>
      <c r="B4" s="27" t="str">
        <f>Values!B13</f>
        <v>HP 840 G3 parent</v>
      </c>
      <c r="C4" s="27" t="s">
        <v>345</v>
      </c>
      <c r="D4" s="28">
        <f>Values!B14</f>
        <v>5714401842996</v>
      </c>
      <c r="E4" s="1" t="s">
        <v>346</v>
      </c>
      <c r="F4" s="27" t="str">
        <f>SUBSTITUTE(Values!B1, "{language}", "") &amp; " " &amp; Values!B3</f>
        <v>replacement  backlit keyboard for HP    840 G3, 745 G3, 840 G4, 745 G4</v>
      </c>
      <c r="G4" s="27" t="s">
        <v>345</v>
      </c>
      <c r="H4" s="1" t="str">
        <f>Values!B16</f>
        <v>computer-keyboards</v>
      </c>
      <c r="I4" s="1" t="str">
        <f>IF(ISBLANK(Values!E3),"","4730574031")</f>
        <v>4730574031</v>
      </c>
      <c r="J4" s="29" t="str">
        <f>Values!B13</f>
        <v>HP 840 G3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HP 840 G3 BL - DE</v>
      </c>
      <c r="C5" s="29" t="str">
        <f>IF(ISBLANK(Values!E4),"","TellusRem")</f>
        <v>TellusRem</v>
      </c>
      <c r="D5" s="28">
        <f>IF(ISBLANK(Values!E4),"",Values!E4)</f>
        <v>5714401842019</v>
      </c>
      <c r="E5" s="1" t="str">
        <f>IF(ISBLANK(Values!E4),"","EAN")</f>
        <v>EAN</v>
      </c>
      <c r="F5" s="27" t="str">
        <f>IF(ISBLANK(Values!E4),"",IF(Values!J4, SUBSTITUTE(Values!$B$1, "{language}", Values!H4) &amp; " " &amp;Values!$B$3, SUBSTITUTE(Values!$B$2, "{language}", Values!$H4) &amp; " " &amp;Values!$B$3))</f>
        <v>replacement German backlit keyboard for HP    840 G3, 745 G3, 840 G4, 745 G4</v>
      </c>
      <c r="G5" s="29" t="str">
        <f>IF(ISBLANK(Values!E4),"","TellusRem")</f>
        <v>TellusRem</v>
      </c>
      <c r="H5" s="1" t="str">
        <f>IF(ISBLANK(Values!E4),"",Values!$B$16)</f>
        <v>computer-keyboards</v>
      </c>
      <c r="I5" s="1" t="str">
        <f>IF(ISBLANK(Values!E4),"","4730574031")</f>
        <v>4730574031</v>
      </c>
      <c r="J5" s="31" t="str">
        <f>IF(ISBLANK(Values!E4),"",Values!F4 )</f>
        <v>HP 840 G3 BL - DE</v>
      </c>
      <c r="K5" s="27">
        <f>IF(ISBLANK(Values!E4),"",IF(Values!J4, Values!$B$4, Values!$B$5))</f>
        <v>47.99</v>
      </c>
      <c r="L5" s="27">
        <f>IF(ISBLANK(Values!E4),"",IF($CO5="DEFAULT", Values!$B$18, ""))</f>
        <v>5</v>
      </c>
      <c r="M5" s="27" t="str">
        <f>IF(ISBLANK(Values!E4),"",Values!$M4)</f>
        <v>https://raw.githubusercontent.com/PatrickVibild/TellusAmazonPictures/master/pictures/HP/W. PS/840 G3 SILVER/BL/DE/1.jpg</v>
      </c>
      <c r="N5" s="27" t="str">
        <f>IF(ISBLANK(Values!$F4),"",Values!N4)</f>
        <v>https://raw.githubusercontent.com/PatrickVibild/TellusAmazonPictures/master/pictures/HP/W. PS/840 G3 SILVER/BL/DE/2.jpg</v>
      </c>
      <c r="O5" s="27" t="str">
        <f>IF(ISBLANK(Values!$F4),"",Values!O4)</f>
        <v>https://raw.githubusercontent.com/PatrickVibild/TellusAmazonPictures/master/pictures/HP/W. PS/840 G3 SILVER/BL/DE/3.jpg</v>
      </c>
      <c r="P5" s="27" t="str">
        <f>IF(ISBLANK(Values!$F4),"",Values!P4)</f>
        <v>https://raw.githubusercontent.com/PatrickVibild/TellusAmazonPictures/master/pictures/HP/W. PS/840 G3 SILVER/BL/DE/4.jpg</v>
      </c>
      <c r="Q5" s="27" t="str">
        <f>IF(ISBLANK(Values!$F4),"",Values!Q4)</f>
        <v>https://raw.githubusercontent.com/PatrickVibild/TellusAmazonPictures/master/pictures/HP/W. PS/840 G3 SILVER/BL/DE/5.jpg</v>
      </c>
      <c r="R5" s="27" t="str">
        <f>IF(ISBLANK(Values!$F4),"",Values!R4)</f>
        <v>https://raw.githubusercontent.com/PatrickVibild/TellusAmazonPictures/master/pictures/HP/W. PS/840 G3 SILVER/BL/DE/6.jpg</v>
      </c>
      <c r="S5" s="27" t="str">
        <f>IF(ISBLANK(Values!$F4),"",Values!S4)</f>
        <v>https://raw.githubusercontent.com/PatrickVibild/TellusAmazonPictures/master/pictures/HP/W. PS/840 G3 SILVER/BL/DE/7.jpg</v>
      </c>
      <c r="T5" s="27" t="str">
        <f>IF(ISBLANK(Values!$F4),"",Values!T4)</f>
        <v>https://raw.githubusercontent.com/PatrickVibild/TellusAmazonPictures/master/pictures/HP/W. PS/840 G3 SILVER/BL/DE/8.jpg</v>
      </c>
      <c r="U5" s="27" t="str">
        <f>IF(ISBLANK(Values!$F4),"",Values!U4)</f>
        <v>https://raw.githubusercontent.com/PatrickVibild/TellusAmazonPictures/master/pictures/HP/W. PS/840 G3 SILVER/BL/DE/9.jpg</v>
      </c>
      <c r="W5" s="29" t="str">
        <f>IF(ISBLANK(Values!E4),"","Child")</f>
        <v>Child</v>
      </c>
      <c r="X5" s="29" t="str">
        <f>IF(ISBLANK(Values!E4),"",Values!$B$13)</f>
        <v>HP 840 G3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G3, 745 G3, 840 G4, 745 G4.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47.99</v>
      </c>
    </row>
    <row r="6" spans="1:193" ht="48" x14ac:dyDescent="0.2">
      <c r="A6" s="1" t="str">
        <f>IF(ISBLANK(Values!E5),"",IF(Values!$B$37="EU","computercomponent","computer"))</f>
        <v>computer</v>
      </c>
      <c r="B6" s="33" t="str">
        <f>IF(ISBLANK(Values!E5),"",Values!F5)</f>
        <v>HP 840 G3 BL - FR</v>
      </c>
      <c r="C6" s="29" t="str">
        <f>IF(ISBLANK(Values!E5),"","TellusRem")</f>
        <v>TellusRem</v>
      </c>
      <c r="D6" s="28">
        <f>IF(ISBLANK(Values!E5),"",Values!E5)</f>
        <v>5714401842026</v>
      </c>
      <c r="E6" s="1" t="str">
        <f>IF(ISBLANK(Values!E5),"","EAN")</f>
        <v>EAN</v>
      </c>
      <c r="F6" s="27" t="str">
        <f>IF(ISBLANK(Values!E5),"",IF(Values!J5, SUBSTITUTE(Values!$B$1, "{language}", Values!H5) &amp; " " &amp;Values!$B$3, SUBSTITUTE(Values!$B$2, "{language}", Values!$H5) &amp; " " &amp;Values!$B$3))</f>
        <v>replacement French backlit keyboard for HP    840 G3, 745 G3, 840 G4, 745 G4</v>
      </c>
      <c r="G6" s="29" t="str">
        <f>IF(ISBLANK(Values!E5),"","TellusRem")</f>
        <v>TellusRem</v>
      </c>
      <c r="H6" s="1" t="str">
        <f>IF(ISBLANK(Values!E5),"",Values!$B$16)</f>
        <v>computer-keyboards</v>
      </c>
      <c r="I6" s="1" t="str">
        <f>IF(ISBLANK(Values!E5),"","4730574031")</f>
        <v>4730574031</v>
      </c>
      <c r="J6" s="31" t="str">
        <f>IF(ISBLANK(Values!E5),"",Values!F5 )</f>
        <v>HP 840 G3 BL - FR</v>
      </c>
      <c r="K6" s="27">
        <f>IF(ISBLANK(Values!E5),"",IF(Values!J5, Values!$B$4, Values!$B$5))</f>
        <v>47.99</v>
      </c>
      <c r="L6" s="27">
        <f>IF(ISBLANK(Values!E5),"",IF($CO6="DEFAULT", Values!$B$18, ""))</f>
        <v>5</v>
      </c>
      <c r="M6" s="27" t="str">
        <f>IF(ISBLANK(Values!E5),"",Values!$M5)</f>
        <v>https://raw.githubusercontent.com/PatrickVibild/TellusAmazonPictures/master/pictures/HP/W. PS/840 G3 SILVER/BL/FR/1.jpg</v>
      </c>
      <c r="N6" s="27" t="str">
        <f>IF(ISBLANK(Values!$F5),"",Values!N5)</f>
        <v>https://raw.githubusercontent.com/PatrickVibild/TellusAmazonPictures/master/pictures/HP/W. PS/840 G3 SILVER/BL/FR/2.jpg</v>
      </c>
      <c r="O6" s="27" t="str">
        <f>IF(ISBLANK(Values!$F5),"",Values!O5)</f>
        <v>https://raw.githubusercontent.com/PatrickVibild/TellusAmazonPictures/master/pictures/HP/W. PS/840 G3 SILVER/BL/FR/3.jpg</v>
      </c>
      <c r="P6" s="27" t="str">
        <f>IF(ISBLANK(Values!$F5),"",Values!P5)</f>
        <v>https://raw.githubusercontent.com/PatrickVibild/TellusAmazonPictures/master/pictures/HP/W. PS/840 G3 SILVER/BL/FR/4.jpg</v>
      </c>
      <c r="Q6" s="27" t="str">
        <f>IF(ISBLANK(Values!$F5),"",Values!Q5)</f>
        <v>https://raw.githubusercontent.com/PatrickVibild/TellusAmazonPictures/master/pictures/HP/W. PS/840 G3 SILVER/BL/FR/5.jpg</v>
      </c>
      <c r="R6" s="27" t="str">
        <f>IF(ISBLANK(Values!$F5),"",Values!R5)</f>
        <v>https://raw.githubusercontent.com/PatrickVibild/TellusAmazonPictures/master/pictures/HP/W. PS/840 G3 SILVER/BL/FR/6.jpg</v>
      </c>
      <c r="S6" s="27" t="str">
        <f>IF(ISBLANK(Values!$F5),"",Values!S5)</f>
        <v>https://raw.githubusercontent.com/PatrickVibild/TellusAmazonPictures/master/pictures/HP/W. PS/840 G3 SILVER/BL/FR/7.jpg</v>
      </c>
      <c r="T6" s="27" t="str">
        <f>IF(ISBLANK(Values!$F5),"",Values!T5)</f>
        <v>https://raw.githubusercontent.com/PatrickVibild/TellusAmazonPictures/master/pictures/HP/W. PS/840 G3 SILVER/BL/FR/8.jpg</v>
      </c>
      <c r="U6" s="27" t="str">
        <f>IF(ISBLANK(Values!$F5),"",Values!U5)</f>
        <v>https://raw.githubusercontent.com/PatrickVibild/TellusAmazonPictures/master/pictures/HP/W. PS/840 G3 SILVER/BL/FR/9.jpg</v>
      </c>
      <c r="W6" s="29" t="str">
        <f>IF(ISBLANK(Values!E5),"","Child")</f>
        <v>Child</v>
      </c>
      <c r="X6" s="29" t="str">
        <f>IF(ISBLANK(Values!E5),"",Values!$B$13)</f>
        <v>HP 840 G3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G3, 745 G3, 840 G4, 745 G4.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47.99</v>
      </c>
    </row>
    <row r="7" spans="1:193" ht="48" x14ac:dyDescent="0.2">
      <c r="A7" s="1" t="str">
        <f>IF(ISBLANK(Values!E6),"",IF(Values!$B$37="EU","computercomponent","computer"))</f>
        <v>computer</v>
      </c>
      <c r="B7" s="33" t="str">
        <f>IF(ISBLANK(Values!E6),"",Values!F6)</f>
        <v>HP 840 G3 BL - IT</v>
      </c>
      <c r="C7" s="29" t="str">
        <f>IF(ISBLANK(Values!E6),"","TellusRem")</f>
        <v>TellusRem</v>
      </c>
      <c r="D7" s="28">
        <f>IF(ISBLANK(Values!E6),"",Values!E6)</f>
        <v>5714401842033</v>
      </c>
      <c r="E7" s="1" t="str">
        <f>IF(ISBLANK(Values!E6),"","EAN")</f>
        <v>EAN</v>
      </c>
      <c r="F7" s="27" t="str">
        <f>IF(ISBLANK(Values!E6),"",IF(Values!J6, SUBSTITUTE(Values!$B$1, "{language}", Values!H6) &amp; " " &amp;Values!$B$3, SUBSTITUTE(Values!$B$2, "{language}", Values!$H6) &amp; " " &amp;Values!$B$3))</f>
        <v>replacement Italian backlit keyboard for HP    840 G3, 745 G3, 840 G4, 745 G4</v>
      </c>
      <c r="G7" s="29" t="str">
        <f>IF(ISBLANK(Values!E6),"","TellusRem")</f>
        <v>TellusRem</v>
      </c>
      <c r="H7" s="1" t="str">
        <f>IF(ISBLANK(Values!E6),"",Values!$B$16)</f>
        <v>computer-keyboards</v>
      </c>
      <c r="I7" s="1" t="str">
        <f>IF(ISBLANK(Values!E6),"","4730574031")</f>
        <v>4730574031</v>
      </c>
      <c r="J7" s="31" t="str">
        <f>IF(ISBLANK(Values!E6),"",Values!F6 )</f>
        <v>HP 840 G3 BL - IT</v>
      </c>
      <c r="K7" s="27">
        <f>IF(ISBLANK(Values!E6),"",IF(Values!J6, Values!$B$4, Values!$B$5))</f>
        <v>47.99</v>
      </c>
      <c r="L7" s="27">
        <f>IF(ISBLANK(Values!E6),"",IF($CO7="DEFAULT", Values!$B$18, ""))</f>
        <v>5</v>
      </c>
      <c r="M7" s="27" t="str">
        <f>IF(ISBLANK(Values!E6),"",Values!$M6)</f>
        <v>https://raw.githubusercontent.com/PatrickVibild/TellusAmazonPictures/master/pictures/HP/W. PS/840 G3 SILVER/BL/IT/1.jpg</v>
      </c>
      <c r="N7" s="27" t="str">
        <f>IF(ISBLANK(Values!$F6),"",Values!N6)</f>
        <v>https://raw.githubusercontent.com/PatrickVibild/TellusAmazonPictures/master/pictures/HP/W. PS/840 G3 SILVER/BL/IT/2.jpg</v>
      </c>
      <c r="O7" s="27" t="str">
        <f>IF(ISBLANK(Values!$F6),"",Values!O6)</f>
        <v>https://raw.githubusercontent.com/PatrickVibild/TellusAmazonPictures/master/pictures/HP/W. PS/840 G3 SILVER/BL/IT/3.jpg</v>
      </c>
      <c r="P7" s="27" t="str">
        <f>IF(ISBLANK(Values!$F6),"",Values!P6)</f>
        <v>https://raw.githubusercontent.com/PatrickVibild/TellusAmazonPictures/master/pictures/HP/W. PS/840 G3 SILVER/BL/IT/4.jpg</v>
      </c>
      <c r="Q7" s="27" t="str">
        <f>IF(ISBLANK(Values!$F6),"",Values!Q6)</f>
        <v>https://raw.githubusercontent.com/PatrickVibild/TellusAmazonPictures/master/pictures/HP/W. PS/840 G3 SILVER/BL/IT/5.jpg</v>
      </c>
      <c r="R7" s="27" t="str">
        <f>IF(ISBLANK(Values!$F6),"",Values!R6)</f>
        <v>https://raw.githubusercontent.com/PatrickVibild/TellusAmazonPictures/master/pictures/HP/W. PS/840 G3 SILVER/BL/IT/6.jpg</v>
      </c>
      <c r="S7" s="27" t="str">
        <f>IF(ISBLANK(Values!$F6),"",Values!S6)</f>
        <v>https://raw.githubusercontent.com/PatrickVibild/TellusAmazonPictures/master/pictures/HP/W. PS/840 G3 SILVER/BL/IT/7.jpg</v>
      </c>
      <c r="T7" s="27" t="str">
        <f>IF(ISBLANK(Values!$F6),"",Values!T6)</f>
        <v>https://raw.githubusercontent.com/PatrickVibild/TellusAmazonPictures/master/pictures/HP/W. PS/840 G3 SILVER/BL/IT/8.jpg</v>
      </c>
      <c r="U7" s="27" t="str">
        <f>IF(ISBLANK(Values!$F6),"",Values!U6)</f>
        <v>https://raw.githubusercontent.com/PatrickVibild/TellusAmazonPictures/master/pictures/HP/W. PS/840 G3 SILVER/BL/IT/9.jpg</v>
      </c>
      <c r="W7" s="29" t="str">
        <f>IF(ISBLANK(Values!E6),"","Child")</f>
        <v>Child</v>
      </c>
      <c r="X7" s="29" t="str">
        <f>IF(ISBLANK(Values!E6),"",Values!$B$13)</f>
        <v>HP 840 G3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G3, 745 G3, 840 G4, 745 G4.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47.99</v>
      </c>
    </row>
    <row r="8" spans="1:193" ht="48" x14ac:dyDescent="0.2">
      <c r="A8" s="1" t="str">
        <f>IF(ISBLANK(Values!E7),"",IF(Values!$B$37="EU","computercomponent","computer"))</f>
        <v>computer</v>
      </c>
      <c r="B8" s="33" t="str">
        <f>IF(ISBLANK(Values!E7),"",Values!F7)</f>
        <v>HP 840 G3 BL - ES</v>
      </c>
      <c r="C8" s="29" t="str">
        <f>IF(ISBLANK(Values!E7),"","TellusRem")</f>
        <v>TellusRem</v>
      </c>
      <c r="D8" s="28">
        <f>IF(ISBLANK(Values!E7),"",Values!E7)</f>
        <v>5714401842040</v>
      </c>
      <c r="E8" s="1" t="str">
        <f>IF(ISBLANK(Values!E7),"","EAN")</f>
        <v>EAN</v>
      </c>
      <c r="F8" s="27" t="str">
        <f>IF(ISBLANK(Values!E7),"",IF(Values!J7, SUBSTITUTE(Values!$B$1, "{language}", Values!H7) &amp; " " &amp;Values!$B$3, SUBSTITUTE(Values!$B$2, "{language}", Values!$H7) &amp; " " &amp;Values!$B$3))</f>
        <v>replacement Spanish backlit keyboard for HP    840 G3, 745 G3, 840 G4, 745 G4</v>
      </c>
      <c r="G8" s="29" t="str">
        <f>IF(ISBLANK(Values!E7),"","TellusRem")</f>
        <v>TellusRem</v>
      </c>
      <c r="H8" s="1" t="str">
        <f>IF(ISBLANK(Values!E7),"",Values!$B$16)</f>
        <v>computer-keyboards</v>
      </c>
      <c r="I8" s="1" t="str">
        <f>IF(ISBLANK(Values!E7),"","4730574031")</f>
        <v>4730574031</v>
      </c>
      <c r="J8" s="31" t="str">
        <f>IF(ISBLANK(Values!E7),"",Values!F7 )</f>
        <v>HP 840 G3 BL - ES</v>
      </c>
      <c r="K8" s="27">
        <f>IF(ISBLANK(Values!E7),"",IF(Values!J7, Values!$B$4, Values!$B$5))</f>
        <v>47.99</v>
      </c>
      <c r="L8" s="27">
        <f>IF(ISBLANK(Values!E7),"",IF($CO8="DEFAULT", Values!$B$18, ""))</f>
        <v>5</v>
      </c>
      <c r="M8" s="27" t="str">
        <f>IF(ISBLANK(Values!E7),"",Values!$M7)</f>
        <v>https://raw.githubusercontent.com/PatrickVibild/TellusAmazonPictures/master/pictures/HP/W. PS/840 G3 SILVER/BL/ES/1.jpg</v>
      </c>
      <c r="N8" s="27" t="str">
        <f>IF(ISBLANK(Values!$F7),"",Values!N7)</f>
        <v>https://raw.githubusercontent.com/PatrickVibild/TellusAmazonPictures/master/pictures/HP/W. PS/840 G3 SILVER/BL/ES/2.jpg</v>
      </c>
      <c r="O8" s="27" t="str">
        <f>IF(ISBLANK(Values!$F7),"",Values!O7)</f>
        <v>https://raw.githubusercontent.com/PatrickVibild/TellusAmazonPictures/master/pictures/HP/W. PS/840 G3 SILVER/BL/ES/3.jpg</v>
      </c>
      <c r="P8" s="27" t="str">
        <f>IF(ISBLANK(Values!$F7),"",Values!P7)</f>
        <v>https://raw.githubusercontent.com/PatrickVibild/TellusAmazonPictures/master/pictures/HP/W. PS/840 G3 SILVER/BL/ES/4.jpg</v>
      </c>
      <c r="Q8" s="27" t="str">
        <f>IF(ISBLANK(Values!$F7),"",Values!Q7)</f>
        <v>https://raw.githubusercontent.com/PatrickVibild/TellusAmazonPictures/master/pictures/HP/W. PS/840 G3 SILVER/BL/ES/5.jpg</v>
      </c>
      <c r="R8" s="27" t="str">
        <f>IF(ISBLANK(Values!$F7),"",Values!R7)</f>
        <v>https://raw.githubusercontent.com/PatrickVibild/TellusAmazonPictures/master/pictures/HP/W. PS/840 G3 SILVER/BL/ES/6.jpg</v>
      </c>
      <c r="S8" s="27" t="str">
        <f>IF(ISBLANK(Values!$F7),"",Values!S7)</f>
        <v>https://raw.githubusercontent.com/PatrickVibild/TellusAmazonPictures/master/pictures/HP/W. PS/840 G3 SILVER/BL/ES/7.jpg</v>
      </c>
      <c r="T8" s="27" t="str">
        <f>IF(ISBLANK(Values!$F7),"",Values!T7)</f>
        <v>https://raw.githubusercontent.com/PatrickVibild/TellusAmazonPictures/master/pictures/HP/W. PS/840 G3 SILVER/BL/ES/8.jpg</v>
      </c>
      <c r="U8" s="27" t="str">
        <f>IF(ISBLANK(Values!$F7),"",Values!U7)</f>
        <v>https://raw.githubusercontent.com/PatrickVibild/TellusAmazonPictures/master/pictures/HP/W. PS/840 G3 SILVER/BL/ES/9.jpg</v>
      </c>
      <c r="W8" s="29" t="str">
        <f>IF(ISBLANK(Values!E7),"","Child")</f>
        <v>Child</v>
      </c>
      <c r="X8" s="29" t="str">
        <f>IF(ISBLANK(Values!E7),"",Values!$B$13)</f>
        <v>HP 840 G3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G3, 745 G3, 840 G4, 745 G4.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47.99</v>
      </c>
    </row>
    <row r="9" spans="1:193" ht="48" x14ac:dyDescent="0.2">
      <c r="A9" s="1" t="str">
        <f>IF(ISBLANK(Values!E8),"",IF(Values!$B$37="EU","computercomponent","computer"))</f>
        <v>computer</v>
      </c>
      <c r="B9" s="33" t="str">
        <f>IF(ISBLANK(Values!E8),"",Values!F8)</f>
        <v>HP 840 G3 BL - UK</v>
      </c>
      <c r="C9" s="29" t="str">
        <f>IF(ISBLANK(Values!E8),"","TellusRem")</f>
        <v>TellusRem</v>
      </c>
      <c r="D9" s="28">
        <f>IF(ISBLANK(Values!E8),"",Values!E8)</f>
        <v>5714401842057</v>
      </c>
      <c r="E9" s="1" t="str">
        <f>IF(ISBLANK(Values!E8),"","EAN")</f>
        <v>EAN</v>
      </c>
      <c r="F9" s="27" t="str">
        <f>IF(ISBLANK(Values!E8),"",IF(Values!J8, SUBSTITUTE(Values!$B$1, "{language}", Values!H8) &amp; " " &amp;Values!$B$3, SUBSTITUTE(Values!$B$2, "{language}", Values!$H8) &amp; " " &amp;Values!$B$3))</f>
        <v>replacement UK backlit keyboard for HP    840 G3, 745 G3, 840 G4, 745 G4</v>
      </c>
      <c r="G9" s="29" t="str">
        <f>IF(ISBLANK(Values!E8),"","TellusRem")</f>
        <v>TellusRem</v>
      </c>
      <c r="H9" s="1" t="str">
        <f>IF(ISBLANK(Values!E8),"",Values!$B$16)</f>
        <v>computer-keyboards</v>
      </c>
      <c r="I9" s="1" t="str">
        <f>IF(ISBLANK(Values!E8),"","4730574031")</f>
        <v>4730574031</v>
      </c>
      <c r="J9" s="31" t="str">
        <f>IF(ISBLANK(Values!E8),"",Values!F8 )</f>
        <v>HP 840 G3 BL - UK</v>
      </c>
      <c r="K9" s="27">
        <f>IF(ISBLANK(Values!E8),"",IF(Values!J8, Values!$B$4, Values!$B$5))</f>
        <v>47.99</v>
      </c>
      <c r="L9" s="27">
        <f>IF(ISBLANK(Values!E8),"",IF($CO9="DEFAULT", Values!$B$18, ""))</f>
        <v>5</v>
      </c>
      <c r="M9" s="27" t="str">
        <f>IF(ISBLANK(Values!E8),"",Values!$M8)</f>
        <v>https://raw.githubusercontent.com/PatrickVibild/TellusAmazonPictures/master/pictures/HP/W. PS/840 G3 SILVER/BL/UK/1.jpg</v>
      </c>
      <c r="N9" s="27" t="str">
        <f>IF(ISBLANK(Values!$F8),"",Values!N8)</f>
        <v>https://raw.githubusercontent.com/PatrickVibild/TellusAmazonPictures/master/pictures/HP/W. PS/840 G3 SILVER/BL/UK/2.jpg</v>
      </c>
      <c r="O9" s="27" t="str">
        <f>IF(ISBLANK(Values!$F8),"",Values!O8)</f>
        <v>https://raw.githubusercontent.com/PatrickVibild/TellusAmazonPictures/master/pictures/HP/W. PS/840 G3 SILVER/BL/UK/3.jpg</v>
      </c>
      <c r="P9" s="27" t="str">
        <f>IF(ISBLANK(Values!$F8),"",Values!P8)</f>
        <v>https://raw.githubusercontent.com/PatrickVibild/TellusAmazonPictures/master/pictures/HP/W. PS/840 G3 SILVER/BL/UK/4.jpg</v>
      </c>
      <c r="Q9" s="27" t="str">
        <f>IF(ISBLANK(Values!$F8),"",Values!Q8)</f>
        <v>https://raw.githubusercontent.com/PatrickVibild/TellusAmazonPictures/master/pictures/HP/W. PS/840 G3 SILVER/BL/UK/5.jpg</v>
      </c>
      <c r="R9" s="27" t="str">
        <f>IF(ISBLANK(Values!$F8),"",Values!R8)</f>
        <v>https://raw.githubusercontent.com/PatrickVibild/TellusAmazonPictures/master/pictures/HP/W. PS/840 G3 SILVER/BL/UK/6.jpg</v>
      </c>
      <c r="S9" s="27" t="str">
        <f>IF(ISBLANK(Values!$F8),"",Values!S8)</f>
        <v>https://raw.githubusercontent.com/PatrickVibild/TellusAmazonPictures/master/pictures/HP/W. PS/840 G3 SILVER/BL/UK/7.jpg</v>
      </c>
      <c r="T9" s="27" t="str">
        <f>IF(ISBLANK(Values!$F8),"",Values!T8)</f>
        <v>https://raw.githubusercontent.com/PatrickVibild/TellusAmazonPictures/master/pictures/HP/W. PS/840 G3 SILVER/BL/UK/8.jpg</v>
      </c>
      <c r="U9" s="27" t="str">
        <f>IF(ISBLANK(Values!$F8),"",Values!U8)</f>
        <v>https://raw.githubusercontent.com/PatrickVibild/TellusAmazonPictures/master/pictures/HP/W. PS/840 G3 SILVER/BL/UK/9.jpg</v>
      </c>
      <c r="W9" s="29" t="str">
        <f>IF(ISBLANK(Values!E8),"","Child")</f>
        <v>Child</v>
      </c>
      <c r="X9" s="29" t="str">
        <f>IF(ISBLANK(Values!E8),"",Values!$B$13)</f>
        <v>HP 840 G3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G3, 745 G3, 840 G4, 745 G4.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47.99</v>
      </c>
    </row>
    <row r="10" spans="1:193" ht="48" x14ac:dyDescent="0.2">
      <c r="A10" s="1" t="str">
        <f>IF(ISBLANK(Values!E12),"",IF(Values!$B$37="EU","computercomponent","computer"))</f>
        <v>computer</v>
      </c>
      <c r="B10" s="33" t="str">
        <f>IF(ISBLANK(Values!E9),"",Values!F9)</f>
        <v>HP 840 G3 BL - NORDIC</v>
      </c>
      <c r="C10" s="29" t="str">
        <f>IF(ISBLANK(Values!E9),"","TellusRem")</f>
        <v>TellusRem</v>
      </c>
      <c r="D10" s="28">
        <f>IF(ISBLANK(Values!E9),"",Values!E9)</f>
        <v>5714401842064</v>
      </c>
      <c r="E10" s="1" t="str">
        <f>IF(ISBLANK(Values!E12),"","EAN")</f>
        <v>EAN</v>
      </c>
      <c r="F10" s="27" t="str">
        <f>IF(ISBLANK(Values!E12),"",IF(Values!J9, SUBSTITUTE(Values!$B$1, "{language}", Values!H9) &amp; " " &amp;Values!$B$3, SUBSTITUTE(Values!$B$2, "{language}", Values!$H9) &amp; " " &amp;Values!$B$3))</f>
        <v>replacement Scandinavian – Nordic backlit keyboard for HP    840 G3, 745 G3, 840 G4, 745 G4</v>
      </c>
      <c r="G10" s="29" t="str">
        <f>IF(ISBLANK(Values!E12),"","TellusRem")</f>
        <v>TellusRem</v>
      </c>
      <c r="H10" s="1" t="str">
        <f>IF(ISBLANK(Values!E12),"",Values!$B$16)</f>
        <v>computer-keyboards</v>
      </c>
      <c r="I10" s="1" t="str">
        <f>IF(ISBLANK(Values!E12),"","4730574031")</f>
        <v>4730574031</v>
      </c>
      <c r="J10" s="31" t="str">
        <f>IF(ISBLANK(Values!E12),"",Values!F12 )</f>
        <v>HP 840 G3 BL - USI</v>
      </c>
      <c r="K10" s="27">
        <f>IF(ISBLANK(Values!E12),"",IF(Values!J9, Values!$B$4, Values!$B$5))</f>
        <v>47.99</v>
      </c>
      <c r="L10" s="27">
        <f>IF(ISBLANK(Values!E12),"",IF($CO10="DEFAULT", Values!$B$18, ""))</f>
        <v>5</v>
      </c>
      <c r="M10" s="27" t="str">
        <f>IF(ISBLANK(Values!E12),"",Values!$M9)</f>
        <v>https://raw.githubusercontent.com/PatrickVibild/TellusAmazonPictures/master/pictures/HP/W. PS/840 G3 SILVER/BL/NOR/1.jpg</v>
      </c>
      <c r="N10" s="27" t="str">
        <f>IF(ISBLANK(Values!$F12),"",Values!N9)</f>
        <v>https://raw.githubusercontent.com/PatrickVibild/TellusAmazonPictures/master/pictures/HP/W. PS/840 G3 SILVER/BL/NOR/2.jpg</v>
      </c>
      <c r="O10" s="27" t="str">
        <f>IF(ISBLANK(Values!$F12),"",Values!O9)</f>
        <v>https://raw.githubusercontent.com/PatrickVibild/TellusAmazonPictures/master/pictures/HP/W. PS/840 G3 SILVER/BL/NOR/3.jpg</v>
      </c>
      <c r="P10" s="27" t="str">
        <f>IF(ISBLANK(Values!$F12),"",Values!P9)</f>
        <v>https://raw.githubusercontent.com/PatrickVibild/TellusAmazonPictures/master/pictures/HP/W. PS/840 G3 SILVER/BL/NOR/4.jpg</v>
      </c>
      <c r="Q10" s="27" t="str">
        <f>IF(ISBLANK(Values!$F12),"",Values!Q9)</f>
        <v>https://raw.githubusercontent.com/PatrickVibild/TellusAmazonPictures/master/pictures/HP/W. PS/840 G3 SILVER/BL/NOR/5.jpg</v>
      </c>
      <c r="R10" s="27" t="str">
        <f>IF(ISBLANK(Values!$F12),"",Values!R9)</f>
        <v>https://raw.githubusercontent.com/PatrickVibild/TellusAmazonPictures/master/pictures/HP/W. PS/840 G3 SILVER/BL/NOR/6.jpg</v>
      </c>
      <c r="S10" s="27" t="str">
        <f>IF(ISBLANK(Values!$F12),"",Values!S9)</f>
        <v>https://raw.githubusercontent.com/PatrickVibild/TellusAmazonPictures/master/pictures/HP/W. PS/840 G3 SILVER/BL/NOR/7.jpg</v>
      </c>
      <c r="T10" s="27" t="str">
        <f>IF(ISBLANK(Values!$F12),"",Values!T9)</f>
        <v>https://raw.githubusercontent.com/PatrickVibild/TellusAmazonPictures/master/pictures/HP/W. PS/840 G3 SILVER/BL/NOR/8.jpg</v>
      </c>
      <c r="U10" s="27" t="str">
        <f>IF(ISBLANK(Values!$F12),"",Values!U9)</f>
        <v>https://raw.githubusercontent.com/PatrickVibild/TellusAmazonPictures/master/pictures/HP/W. PS/840 G3 SILVER/BL/NOR/9.jpg</v>
      </c>
      <c r="W10" s="29" t="str">
        <f>IF(ISBLANK(Values!E12),"","Child")</f>
        <v>Child</v>
      </c>
      <c r="X10" s="29" t="str">
        <f>IF(ISBLANK(Values!E12),"",Values!$B$13)</f>
        <v>HP 840 G3 parent</v>
      </c>
      <c r="Y10" s="31" t="str">
        <f>IF(ISBLANK(Values!E12),"","Size-Color")</f>
        <v>Size-Color</v>
      </c>
      <c r="Z10" s="29" t="str">
        <f>IF(ISBLANK(Values!E12),"","variation")</f>
        <v>variation</v>
      </c>
      <c r="AA10" s="1" t="str">
        <f>IF(ISBLANK(Values!E12),"",Values!$B$20)</f>
        <v>Update</v>
      </c>
      <c r="AB10"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IF(ISBLANK(Values!E12),"",IF(Values!I9,Values!$B$23,Values!$B$33))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0" s="1" t="str">
        <f>IF(ISBLANK(Values!E12),"",Values!$B$25)</f>
        <v>♻️ ECOFRIENDLY PRODUCT - Buy refurbished, BUY GREEN! Reduce more than 80% carbon dioxide by buying our refurbished keyboards, compared to getting a new keyboard! Perfect OEM replacement part for your keyboard.</v>
      </c>
      <c r="AL10" s="1" t="str">
        <f>IF(ISBLANK(Values!E12),"",SUBSTITUTE(SUBSTITUTE(IF(Values!$J9, Values!$B$26, Values!$B$33), "{language}", Values!$H9), "{flag}", INDEX(options!$E$1:$E$20, Values!$V9)))</f>
        <v>👉 LAYOUT – 🇸🇪 🇫🇮 🇳🇴 🇩🇰 Scandinavian – Nordic backlit.</v>
      </c>
      <c r="AM10" s="1" t="str">
        <f>SUBSTITUTE(IF(ISBLANK(Values!E12),"",Values!$B$27), "{model}", Values!$B$3)</f>
        <v>👉 COMPATIBLE WITH - HP 840 G3, 745 G3, 840 G4, 745 G4. Please check the picture and description carefully before purchasing any keyboard. This ensures that you get the correct laptop keyboard for your computer. Super easy installation.</v>
      </c>
      <c r="AT10" s="27" t="str">
        <f>IF(ISBLANK(Values!E12),"",Values!H9)</f>
        <v>Scandinavian – Nordic</v>
      </c>
      <c r="AV10" s="1" t="str">
        <f>IF(ISBLANK(Values!E12),"",IF(Values!J9,"Backlit", "Non-Backlit"))</f>
        <v>Backlit</v>
      </c>
      <c r="AW10"/>
      <c r="BE10" s="1" t="str">
        <f>IF(ISBLANK(Values!E12),"","Professional Audience")</f>
        <v>Professional Audience</v>
      </c>
      <c r="BF10" s="1" t="str">
        <f>IF(ISBLANK(Values!E12),"","Consumer Audience")</f>
        <v>Consumer Audience</v>
      </c>
      <c r="BG10" s="1" t="str">
        <f>IF(ISBLANK(Values!E12),"","Adults")</f>
        <v>Adults</v>
      </c>
      <c r="BH10" s="1" t="str">
        <f>IF(ISBLANK(Values!E12),"","People")</f>
        <v>People</v>
      </c>
      <c r="CG10" s="1">
        <f>IF(ISBLANK(Values!E12),"",Values!$B$11)</f>
        <v>150</v>
      </c>
      <c r="CH10" s="1" t="str">
        <f>IF(ISBLANK(Values!E12),"","GR")</f>
        <v>GR</v>
      </c>
      <c r="CI10" s="1" t="str">
        <f>IF(ISBLANK(Values!E12),"",Values!$B$7)</f>
        <v>32</v>
      </c>
      <c r="CJ10" s="1" t="str">
        <f>IF(ISBLANK(Values!E12),"",Values!$B$8)</f>
        <v>18</v>
      </c>
      <c r="CK10" s="1" t="str">
        <f>IF(ISBLANK(Values!E12),"",Values!$B$9)</f>
        <v>2</v>
      </c>
      <c r="CL10" s="1" t="str">
        <f>IF(ISBLANK(Values!E12),"","CM")</f>
        <v>CM</v>
      </c>
      <c r="CO10" s="1" t="str">
        <f>IF(ISBLANK(Values!E12), "", IF(AND(Values!$B$37=options!$G$2, Values!$C9), "AMAZON_NA", IF(AND(Values!$B$37=options!$G$1, Values!$D9), "AMAZON_EU", "DEFAULT")))</f>
        <v>DEFAULT</v>
      </c>
      <c r="CP10" s="1" t="str">
        <f>IF(ISBLANK(Values!E12),"",Values!$B$7)</f>
        <v>32</v>
      </c>
      <c r="CQ10" s="1" t="str">
        <f>IF(ISBLANK(Values!E12),"",Values!$B$8)</f>
        <v>18</v>
      </c>
      <c r="CR10" s="1" t="str">
        <f>IF(ISBLANK(Values!E12),"",Values!$B$9)</f>
        <v>2</v>
      </c>
      <c r="CS10" s="1">
        <f>IF(ISBLANK(Values!E12),"",Values!$B$11)</f>
        <v>150</v>
      </c>
      <c r="CT10" s="1" t="str">
        <f>IF(ISBLANK(Values!E12),"","GR")</f>
        <v>GR</v>
      </c>
      <c r="CU10" s="1" t="str">
        <f>IF(ISBLANK(Values!E12),"","CM")</f>
        <v>CM</v>
      </c>
      <c r="CV10"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IF(ISBLANK(Values!E12),"","No")</f>
        <v>No</v>
      </c>
      <c r="DA10" s="1" t="str">
        <f>IF(ISBLANK(Values!E12),"","No")</f>
        <v>No</v>
      </c>
      <c r="DO10" s="1" t="str">
        <f>IF(ISBLANK(Values!E12),"","Parts")</f>
        <v>Parts</v>
      </c>
      <c r="DP10" s="1" t="str">
        <f>IF(ISBLANK(Values!E12),"",Values!$B$31)</f>
        <v>6 month warranty after the delivery date. In case of any malfunction of the keyboard a new unit or a spare part for the keyboard of the product will be sent. In case of shortage of stock a full refund is issued.</v>
      </c>
      <c r="DY10" t="str">
        <f>IF(ISBLANK(Values!$E12), "", "not_applicable")</f>
        <v>not_applicable</v>
      </c>
      <c r="EI10" s="1" t="str">
        <f>IF(ISBLANK(Values!E12),"",Values!$B$31)</f>
        <v>6 month warranty after the delivery date. In case of any malfunction of the keyboard a new unit or a spare part for the keyboard of the product will be sent. In case of shortage of stock a full refund is issued.</v>
      </c>
      <c r="ES10" s="1" t="str">
        <f>IF(ISBLANK(Values!E12),"","Amazon Tellus UPS")</f>
        <v>Amazon Tellus UPS</v>
      </c>
      <c r="EV10" s="1" t="str">
        <f>IF(ISBLANK(Values!E12),"","New")</f>
        <v>New</v>
      </c>
      <c r="FE10" s="1">
        <f>IF(ISBLANK(Values!E12),"",IF(CO10&lt;&gt;"DEFAULT", "", 3))</f>
        <v>3</v>
      </c>
      <c r="FH10" s="1" t="str">
        <f>IF(ISBLANK(Values!E12),"","FALSE")</f>
        <v>FALSE</v>
      </c>
      <c r="FI10" s="1" t="str">
        <f>IF(ISBLANK(Values!E12),"","FALSE")</f>
        <v>FALSE</v>
      </c>
      <c r="FJ10" s="1" t="str">
        <f>IF(ISBLANK(Values!E12),"","FALSE")</f>
        <v>FALSE</v>
      </c>
      <c r="FM10" s="1" t="str">
        <f>IF(ISBLANK(Values!E12),"","1")</f>
        <v>1</v>
      </c>
      <c r="FO10" s="27">
        <f>IF(ISBLANK(Values!E12),"",IF(Values!J9, Values!$B$4, Values!$B$5))</f>
        <v>47.99</v>
      </c>
      <c r="FP10" s="1" t="str">
        <f>IF(ISBLANK(Values!E12),"","Percent")</f>
        <v>Percent</v>
      </c>
      <c r="FQ10" s="1" t="str">
        <f>IF(ISBLANK(Values!E12),"","2")</f>
        <v>2</v>
      </c>
      <c r="FR10" s="1" t="str">
        <f>IF(ISBLANK(Values!E12),"","3")</f>
        <v>3</v>
      </c>
      <c r="FS10" s="1" t="str">
        <f>IF(ISBLANK(Values!E12),"","5")</f>
        <v>5</v>
      </c>
      <c r="FT10" s="1" t="str">
        <f>IF(ISBLANK(Values!E12),"","6")</f>
        <v>6</v>
      </c>
      <c r="FU10" s="1" t="str">
        <f>IF(ISBLANK(Values!E12),"","10")</f>
        <v>10</v>
      </c>
      <c r="FV10" s="1" t="str">
        <f>IF(ISBLANK(Values!E12),"","10")</f>
        <v>10</v>
      </c>
      <c r="GK10" s="64">
        <f>K10</f>
        <v>47.99</v>
      </c>
    </row>
    <row r="11" spans="1:193" ht="48" x14ac:dyDescent="0.2">
      <c r="A11" s="1" t="str">
        <f>IF(ISBLANK(Values!E13),"",IF(Values!$B$37="EU","computercomponent","computer"))</f>
        <v>computer</v>
      </c>
      <c r="B11" s="33" t="str">
        <f>IF(ISBLANK(Values!E10),"",Values!F10)</f>
        <v/>
      </c>
      <c r="C11" s="29" t="str">
        <f>IF(ISBLANK(Values!E10),"","TellusRem")</f>
        <v/>
      </c>
      <c r="D11" s="28" t="str">
        <f>IF(ISBLANK(Values!E10),"",Values!E10)</f>
        <v/>
      </c>
      <c r="E11" s="1" t="str">
        <f>IF(ISBLANK(Values!E13),"","EAN")</f>
        <v>EAN</v>
      </c>
      <c r="F11" s="27" t="str">
        <f>IF(ISBLANK(Values!E13),"",IF(Values!J10, SUBSTITUTE(Values!$B$1, "{language}", Values!H10) &amp; " " &amp;Values!$B$3, SUBSTITUTE(Values!$B$2, "{language}", Values!$H10) &amp; " " &amp;Values!$B$3))</f>
        <v>replacement Belgian backlit keyboard for HP    840 G3, 745 G3, 840 G4, 745 G4</v>
      </c>
      <c r="G11" s="29" t="str">
        <f>IF(ISBLANK(Values!E13),"","TellusRem")</f>
        <v>TellusRem</v>
      </c>
      <c r="H11" s="1" t="str">
        <f>IF(ISBLANK(Values!E13),"",Values!$B$16)</f>
        <v>computer-keyboards</v>
      </c>
      <c r="I11" s="1" t="str">
        <f>IF(ISBLANK(Values!E13),"","4730574031")</f>
        <v>4730574031</v>
      </c>
      <c r="J11" s="31" t="str">
        <f>IF(ISBLANK(Values!E13),"",Values!F13 )</f>
        <v>HP 840 G3 BL - US</v>
      </c>
      <c r="K11" s="27">
        <f>IF(ISBLANK(Values!E13),"",IF(Values!J10, Values!$B$4, Values!$B$5))</f>
        <v>47.99</v>
      </c>
      <c r="L11" s="27" t="str">
        <f>IF(ISBLANK(Values!E13),"",IF($CO11="DEFAULT", Values!$B$18, ""))</f>
        <v/>
      </c>
      <c r="M11" s="27" t="str">
        <f>IF(ISBLANK(Values!E13),"",Values!$M10)</f>
        <v/>
      </c>
      <c r="N11" s="27" t="str">
        <f>IF(ISBLANK(Values!$F13),"",Values!N10)</f>
        <v/>
      </c>
      <c r="O11" s="27" t="str">
        <f>IF(ISBLANK(Values!$F13),"",Values!O10)</f>
        <v/>
      </c>
      <c r="P11" s="27" t="str">
        <f>IF(ISBLANK(Values!$F13),"",Values!P10)</f>
        <v/>
      </c>
      <c r="Q11" s="27" t="str">
        <f>IF(ISBLANK(Values!$F13),"",Values!Q10)</f>
        <v/>
      </c>
      <c r="R11" s="27" t="str">
        <f>IF(ISBLANK(Values!$F13),"",Values!R10)</f>
        <v/>
      </c>
      <c r="S11" s="27" t="str">
        <f>IF(ISBLANK(Values!$F13),"",Values!S10)</f>
        <v/>
      </c>
      <c r="T11" s="27" t="str">
        <f>IF(ISBLANK(Values!$F13),"",Values!T10)</f>
        <v/>
      </c>
      <c r="U11" s="27" t="str">
        <f>IF(ISBLANK(Values!$F13),"",Values!U10)</f>
        <v/>
      </c>
      <c r="W11" s="29" t="str">
        <f>IF(ISBLANK(Values!E13),"","Child")</f>
        <v>Child</v>
      </c>
      <c r="X11" s="29" t="str">
        <f>IF(ISBLANK(Values!E13),"",Values!$B$13)</f>
        <v>HP 840 G3 parent</v>
      </c>
      <c r="Y11" s="31" t="str">
        <f>IF(ISBLANK(Values!E13),"","Size-Color")</f>
        <v>Size-Color</v>
      </c>
      <c r="Z11" s="29" t="str">
        <f>IF(ISBLANK(Values!E13),"","variation")</f>
        <v>variation</v>
      </c>
      <c r="AA11" s="1" t="str">
        <f>IF(ISBLANK(Values!E13),"",Values!$B$20)</f>
        <v>Update</v>
      </c>
      <c r="AB11"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IF(ISBLANK(Values!E13),"",IF(Values!I10,Values!$B$23,Values!$B$33))</f>
        <v>👉 REFURBISHED:  SAVE MONEY -  Replacement HP laptop keyboard, same quality as OEM keyboards. TellusRem is the Leading keyboards distributor in the world since 2011. Perfect replacement keyboard, easy to replace and install.</v>
      </c>
      <c r="AJ11"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1" s="1" t="str">
        <f>IF(ISBLANK(Values!E13),"",Values!$B$25)</f>
        <v>♻️ ECOFRIENDLY PRODUCT - Buy refurbished, BUY GREEN! Reduce more than 80% carbon dioxide by buying our refurbished keyboards, compared to getting a new keyboard! Perfect OEM replacement part for your keyboard.</v>
      </c>
      <c r="AL11" s="1" t="str">
        <f>IF(ISBLANK(Values!E13),"",SUBSTITUTE(SUBSTITUTE(IF(Values!$J10, Values!$B$26, Values!$B$33), "{language}", Values!$H10), "{flag}", INDEX(options!$E$1:$E$20, Values!$V10)))</f>
        <v>👉 LAYOUT – 🇧🇪 Belgian backlit.</v>
      </c>
      <c r="AM11" s="1" t="str">
        <f>SUBSTITUTE(IF(ISBLANK(Values!E13),"",Values!$B$27), "{model}", Values!$B$3)</f>
        <v>👉 COMPATIBLE WITH - HP 840 G3, 745 G3, 840 G4, 745 G4. Please check the picture and description carefully before purchasing any keyboard. This ensures that you get the correct laptop keyboard for your computer. Super easy installation.</v>
      </c>
      <c r="AT11" s="27" t="str">
        <f>IF(ISBLANK(Values!E13),"",Values!H10)</f>
        <v>Belgian</v>
      </c>
      <c r="AV11" s="1" t="str">
        <f>IF(ISBLANK(Values!E13),"",IF(Values!J10,"Backlit", "Non-Backlit"))</f>
        <v>Backlit</v>
      </c>
      <c r="AW11"/>
      <c r="BE11" s="1" t="str">
        <f>IF(ISBLANK(Values!E13),"","Professional Audience")</f>
        <v>Professional Audience</v>
      </c>
      <c r="BF11" s="1" t="str">
        <f>IF(ISBLANK(Values!E13),"","Consumer Audience")</f>
        <v>Consumer Audience</v>
      </c>
      <c r="BG11" s="1" t="str">
        <f>IF(ISBLANK(Values!E13),"","Adults")</f>
        <v>Adults</v>
      </c>
      <c r="BH11" s="1" t="str">
        <f>IF(ISBLANK(Values!E13),"","People")</f>
        <v>People</v>
      </c>
      <c r="CG11" s="1">
        <f>IF(ISBLANK(Values!E13),"",Values!$B$11)</f>
        <v>150</v>
      </c>
      <c r="CH11" s="1" t="str">
        <f>IF(ISBLANK(Values!E13),"","GR")</f>
        <v>GR</v>
      </c>
      <c r="CI11" s="1" t="str">
        <f>IF(ISBLANK(Values!E13),"",Values!$B$7)</f>
        <v>32</v>
      </c>
      <c r="CJ11" s="1" t="str">
        <f>IF(ISBLANK(Values!E13),"",Values!$B$8)</f>
        <v>18</v>
      </c>
      <c r="CK11" s="1" t="str">
        <f>IF(ISBLANK(Values!E13),"",Values!$B$9)</f>
        <v>2</v>
      </c>
      <c r="CL11" s="1" t="str">
        <f>IF(ISBLANK(Values!E13),"","CM")</f>
        <v>CM</v>
      </c>
      <c r="CO11" s="1" t="str">
        <f>IF(ISBLANK(Values!E13), "", IF(AND(Values!$B$37=options!$G$2, Values!$C10), "AMAZON_NA", IF(AND(Values!$B$37=options!$G$1, Values!$D10), "AMAZON_EU", "DEFAULT")))</f>
        <v>AMAZON_NA</v>
      </c>
      <c r="CP11" s="1" t="str">
        <f>IF(ISBLANK(Values!E13),"",Values!$B$7)</f>
        <v>32</v>
      </c>
      <c r="CQ11" s="1" t="str">
        <f>IF(ISBLANK(Values!E13),"",Values!$B$8)</f>
        <v>18</v>
      </c>
      <c r="CR11" s="1" t="str">
        <f>IF(ISBLANK(Values!E13),"",Values!$B$9)</f>
        <v>2</v>
      </c>
      <c r="CS11" s="1">
        <f>IF(ISBLANK(Values!E13),"",Values!$B$11)</f>
        <v>150</v>
      </c>
      <c r="CT11" s="1" t="str">
        <f>IF(ISBLANK(Values!E13),"","GR")</f>
        <v>GR</v>
      </c>
      <c r="CU11" s="1" t="str">
        <f>IF(ISBLANK(Values!E13),"","CM")</f>
        <v>CM</v>
      </c>
      <c r="CV11"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IF(ISBLANK(Values!E13),"","No")</f>
        <v>No</v>
      </c>
      <c r="DA11" s="1" t="str">
        <f>IF(ISBLANK(Values!E13),"","No")</f>
        <v>No</v>
      </c>
      <c r="DO11" s="1" t="str">
        <f>IF(ISBLANK(Values!E13),"","Parts")</f>
        <v>Parts</v>
      </c>
      <c r="DP11" s="1" t="str">
        <f>IF(ISBLANK(Values!E13),"",Values!$B$31)</f>
        <v>6 month warranty after the delivery date. In case of any malfunction of the keyboard a new unit or a spare part for the keyboard of the product will be sent. In case of shortage of stock a full refund is issued.</v>
      </c>
      <c r="DY11" t="str">
        <f>IF(ISBLANK(Values!$E13), "", "not_applicable")</f>
        <v>not_applicable</v>
      </c>
      <c r="EI11" s="1" t="str">
        <f>IF(ISBLANK(Values!E13),"",Values!$B$31)</f>
        <v>6 month warranty after the delivery date. In case of any malfunction of the keyboard a new unit or a spare part for the keyboard of the product will be sent. In case of shortage of stock a full refund is issued.</v>
      </c>
      <c r="ES11" s="1" t="str">
        <f>IF(ISBLANK(Values!E13),"","Amazon Tellus UPS")</f>
        <v>Amazon Tellus UPS</v>
      </c>
      <c r="EV11" s="1" t="str">
        <f>IF(ISBLANK(Values!E13),"","New")</f>
        <v>New</v>
      </c>
      <c r="FE11" s="1" t="str">
        <f>IF(ISBLANK(Values!E13),"",IF(CO11&lt;&gt;"DEFAULT", "", 3))</f>
        <v/>
      </c>
      <c r="FH11" s="1" t="str">
        <f>IF(ISBLANK(Values!E13),"","FALSE")</f>
        <v>FALSE</v>
      </c>
      <c r="FI11" s="1" t="str">
        <f>IF(ISBLANK(Values!E13),"","FALSE")</f>
        <v>FALSE</v>
      </c>
      <c r="FJ11" s="1" t="str">
        <f>IF(ISBLANK(Values!E13),"","FALSE")</f>
        <v>FALSE</v>
      </c>
      <c r="FM11" s="1" t="str">
        <f>IF(ISBLANK(Values!E13),"","1")</f>
        <v>1</v>
      </c>
      <c r="FO11" s="27">
        <f>IF(ISBLANK(Values!E13),"",IF(Values!J10, Values!$B$4, Values!$B$5))</f>
        <v>47.99</v>
      </c>
      <c r="FP11" s="1" t="str">
        <f>IF(ISBLANK(Values!E13),"","Percent")</f>
        <v>Percent</v>
      </c>
      <c r="FQ11" s="1" t="str">
        <f>IF(ISBLANK(Values!E13),"","2")</f>
        <v>2</v>
      </c>
      <c r="FR11" s="1" t="str">
        <f>IF(ISBLANK(Values!E13),"","3")</f>
        <v>3</v>
      </c>
      <c r="FS11" s="1" t="str">
        <f>IF(ISBLANK(Values!E13),"","5")</f>
        <v>5</v>
      </c>
      <c r="FT11" s="1" t="str">
        <f>IF(ISBLANK(Values!E13),"","6")</f>
        <v>6</v>
      </c>
      <c r="FU11" s="1" t="str">
        <f>IF(ISBLANK(Values!E13),"","10")</f>
        <v>10</v>
      </c>
      <c r="FV11" s="1" t="str">
        <f>IF(ISBLANK(Values!E13),"","10")</f>
        <v>10</v>
      </c>
      <c r="GK11" s="64">
        <f>K11</f>
        <v>47.99</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IF(ISBLANK(Values!#REF!),"",IF(Values!$B$37="EU","computercomponent","computer"))</f>
        <v>computer</v>
      </c>
      <c r="B13" s="33" t="str">
        <f>IF(ISBLANK(Values!E12),"",Values!F12)</f>
        <v>HP 840 G3 BL - USI</v>
      </c>
      <c r="C13" s="29" t="str">
        <f>IF(ISBLANK(Values!E12),"","TellusRem")</f>
        <v>TellusRem</v>
      </c>
      <c r="D13" s="28">
        <f>IF(ISBLANK(Values!E12),"",Values!E12)</f>
        <v>5714401842187</v>
      </c>
      <c r="E13" s="1" t="str">
        <f>IF(ISBLANK(Values!#REF!),"","EAN")</f>
        <v>EAN</v>
      </c>
      <c r="F13" s="27" t="str">
        <f>IF(ISBLANK(Values!#REF!),"",IF(Values!J12, SUBSTITUTE(Values!$B$1, "{language}", Values!H12) &amp; " " &amp;Values!$B$3, SUBSTITUTE(Values!$B$2, "{language}", Values!$H12) &amp; " " &amp;Values!$B$3))</f>
        <v>replacement US International backlit keyboard for HP    840 G3, 745 G3, 840 G4, 745 G4</v>
      </c>
      <c r="G13" s="29" t="str">
        <f>IF(ISBLANK(Values!#REF!),"","TellusRem")</f>
        <v>TellusRem</v>
      </c>
      <c r="H13" s="1" t="str">
        <f>IF(ISBLANK(Values!#REF!),"",Values!$B$16)</f>
        <v>computer-keyboards</v>
      </c>
      <c r="I13" s="1" t="str">
        <f>IF(ISBLANK(Values!#REF!),"","4730574031")</f>
        <v>4730574031</v>
      </c>
      <c r="J13" s="31" t="e">
        <f>IF(ISBLANK(Values!#REF!),"",Values!#REF! )</f>
        <v>#REF!</v>
      </c>
      <c r="K13" s="27">
        <f>IF(ISBLANK(Values!#REF!),"",IF(Values!J12, Values!$B$4, Values!$B$5))</f>
        <v>47.99</v>
      </c>
      <c r="L13" s="27">
        <f>IF(ISBLANK(Values!#REF!),"",IF($CO13="DEFAULT", Values!$B$18, ""))</f>
        <v>5</v>
      </c>
      <c r="M13" s="27" t="str">
        <f>IF(ISBLANK(Values!#REF!),"",Values!$M12)</f>
        <v>https://raw.githubusercontent.com/PatrickVibild/TellusAmazonPictures/master/pictures/HP/W. PS/840 G3 SILVER/BL/USI/1.jpg</v>
      </c>
      <c r="N13" s="27" t="str">
        <f>IF(ISBLANK(Values!#REF!),"",Values!N12)</f>
        <v>https://raw.githubusercontent.com/PatrickVibild/TellusAmazonPictures/master/pictures/HP/W. PS/840 G3 SILVER/BL/USI/2.jpg</v>
      </c>
      <c r="O13" s="27" t="str">
        <f>IF(ISBLANK(Values!#REF!),"",Values!O12)</f>
        <v>https://raw.githubusercontent.com/PatrickVibild/TellusAmazonPictures/master/pictures/HP/W. PS/840 G3 SILVER/BL/USI/3.jpg</v>
      </c>
      <c r="P13" s="27" t="str">
        <f>IF(ISBLANK(Values!#REF!),"",Values!P12)</f>
        <v>https://raw.githubusercontent.com/PatrickVibild/TellusAmazonPictures/master/pictures/HP/W. PS/840 G3 SILVER/BL/USI/4.jpg</v>
      </c>
      <c r="Q13" s="27" t="str">
        <f>IF(ISBLANK(Values!#REF!),"",Values!Q12)</f>
        <v>https://raw.githubusercontent.com/PatrickVibild/TellusAmazonPictures/master/pictures/HP/W. PS/840 G3 SILVER/BL/USI/5.jpg</v>
      </c>
      <c r="R13" s="27" t="str">
        <f>IF(ISBLANK(Values!#REF!),"",Values!R12)</f>
        <v>https://raw.githubusercontent.com/PatrickVibild/TellusAmazonPictures/master/pictures/HP/W. PS/840 G3 SILVER/BL/USI/6.jpg</v>
      </c>
      <c r="S13" s="27" t="str">
        <f>IF(ISBLANK(Values!#REF!),"",Values!S12)</f>
        <v>https://raw.githubusercontent.com/PatrickVibild/TellusAmazonPictures/master/pictures/HP/W. PS/840 G3 SILVER/BL/USI/7.jpg</v>
      </c>
      <c r="T13" s="27" t="str">
        <f>IF(ISBLANK(Values!#REF!),"",Values!T12)</f>
        <v>https://raw.githubusercontent.com/PatrickVibild/TellusAmazonPictures/master/pictures/HP/W. PS/840 G3 SILVER/BL/USI/8.jpg</v>
      </c>
      <c r="U13" s="27" t="str">
        <f>IF(ISBLANK(Values!#REF!),"",Values!U12)</f>
        <v>https://raw.githubusercontent.com/PatrickVibild/TellusAmazonPictures/master/pictures/HP/W. PS/840 G3 SILVER/BL/USI/9.jpg</v>
      </c>
      <c r="W13" s="29" t="str">
        <f>IF(ISBLANK(Values!#REF!),"","Child")</f>
        <v>Child</v>
      </c>
      <c r="X13" s="29" t="str">
        <f>IF(ISBLANK(Values!#REF!),"",Values!$B$13)</f>
        <v>HP 840 G3 parent</v>
      </c>
      <c r="Y13" s="31" t="str">
        <f>IF(ISBLANK(Values!#REF!),"","Size-Color")</f>
        <v>Size-Color</v>
      </c>
      <c r="Z13" s="29" t="str">
        <f>IF(ISBLANK(Values!#REF!),"","variation")</f>
        <v>variation</v>
      </c>
      <c r="AA13" s="1" t="str">
        <f>IF(ISBLANK(Values!#REF!),"",Values!$B$20)</f>
        <v>Update</v>
      </c>
      <c r="AB13" s="1" t="str">
        <f>IF(ISBLANK(Values!#REF!),"",Values!$B$29)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IF(ISBLANK(Values!#REF!),"",IF(Values!I12,Values!$B$23,Values!$B$33))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IF(ISBLANK(Values!#REF!),"",Values!$B$24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3" s="1" t="str">
        <f>IF(ISBLANK(Values!#REF!),"",Values!$B$25)</f>
        <v>♻️ ECOFRIENDLY PRODUCT - Buy refurbished, BUY GREEN! Reduce more than 80% carbon dioxide by buying our refurbished keyboards, compared to getting a new keyboard! Perfect OEM replacement part for your keyboard.</v>
      </c>
      <c r="AL13" s="1" t="str">
        <f>IF(ISBLANK(Values!#REF!),"",SUBSTITUTE(SUBSTITUTE(IF(Values!$J12, Values!$B$26, Values!$B$33), "{language}", Values!$H12), "{flag}", INDEX(options!$E$1:$E$20, Values!$V12)))</f>
        <v>👉 LAYOUT – 🇺🇸 with € symbol US International backlit.</v>
      </c>
      <c r="AM13" s="1" t="str">
        <f>SUBSTITUTE(IF(ISBLANK(Values!#REF!),"",Values!$B$27), "{model}", Values!$B$3)</f>
        <v>👉 COMPATIBLE WITH - HP 840 G3, 745 G3, 840 G4, 745 G4. Please check the picture and description carefully before purchasing any keyboard. This ensures that you get the correct laptop keyboard for your computer. Super easy installation.</v>
      </c>
      <c r="AT13" s="27" t="str">
        <f>IF(ISBLANK(Values!#REF!),"",Values!H12)</f>
        <v>US International</v>
      </c>
      <c r="AV13" s="1" t="str">
        <f>IF(ISBLANK(Values!#REF!),"",IF(Values!J12,"Backlit", "Non-Backlit"))</f>
        <v>Backlit</v>
      </c>
      <c r="AW13"/>
      <c r="BE13" s="1" t="str">
        <f>IF(ISBLANK(Values!#REF!),"","Professional Audience")</f>
        <v>Professional Audience</v>
      </c>
      <c r="BF13" s="1" t="str">
        <f>IF(ISBLANK(Values!#REF!),"","Consumer Audience")</f>
        <v>Consumer Audience</v>
      </c>
      <c r="BG13" s="1" t="str">
        <f>IF(ISBLANK(Values!#REF!),"","Adults")</f>
        <v>Adults</v>
      </c>
      <c r="BH13" s="1" t="str">
        <f>IF(ISBLANK(Values!#REF!),"","People")</f>
        <v>People</v>
      </c>
      <c r="CG13" s="1">
        <f>IF(ISBLANK(Values!#REF!),"",Values!$B$11)</f>
        <v>150</v>
      </c>
      <c r="CH13" s="1" t="str">
        <f>IF(ISBLANK(Values!#REF!),"","GR")</f>
        <v>GR</v>
      </c>
      <c r="CI13" s="1" t="str">
        <f>IF(ISBLANK(Values!#REF!),"",Values!$B$7)</f>
        <v>32</v>
      </c>
      <c r="CJ13" s="1" t="str">
        <f>IF(ISBLANK(Values!#REF!),"",Values!$B$8)</f>
        <v>18</v>
      </c>
      <c r="CK13" s="1" t="str">
        <f>IF(ISBLANK(Values!#REF!),"",Values!$B$9)</f>
        <v>2</v>
      </c>
      <c r="CL13" s="1" t="str">
        <f>IF(ISBLANK(Values!#REF!),"","CM")</f>
        <v>CM</v>
      </c>
      <c r="CO13" s="1" t="str">
        <f>IF(ISBLANK(Values!#REF!), "", IF(AND(Values!$B$37=options!$G$2, Values!$C12), "AMAZON_NA", IF(AND(Values!$B$37=options!$G$1, Values!$D12), "AMAZON_EU", "DEFAULT")))</f>
        <v>DEFAULT</v>
      </c>
      <c r="CP13" s="1" t="str">
        <f>IF(ISBLANK(Values!#REF!),"",Values!$B$7)</f>
        <v>32</v>
      </c>
      <c r="CQ13" s="1" t="str">
        <f>IF(ISBLANK(Values!#REF!),"",Values!$B$8)</f>
        <v>18</v>
      </c>
      <c r="CR13" s="1" t="str">
        <f>IF(ISBLANK(Values!#REF!),"",Values!$B$9)</f>
        <v>2</v>
      </c>
      <c r="CS13" s="1">
        <f>IF(ISBLANK(Values!#REF!),"",Values!$B$11)</f>
        <v>150</v>
      </c>
      <c r="CT13" s="1" t="str">
        <f>IF(ISBLANK(Values!#REF!),"","GR")</f>
        <v>GR</v>
      </c>
      <c r="CU13" s="1" t="str">
        <f>IF(ISBLANK(Values!#REF!),"","CM")</f>
        <v>CM</v>
      </c>
      <c r="CV13" s="1"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IF(ISBLANK(Values!#REF!),"","No")</f>
        <v>No</v>
      </c>
      <c r="DA13" s="1" t="str">
        <f>IF(ISBLANK(Values!#REF!),"","No")</f>
        <v>No</v>
      </c>
      <c r="DO13" s="1" t="str">
        <f>IF(ISBLANK(Values!#REF!),"","Parts")</f>
        <v>Parts</v>
      </c>
      <c r="DP13" s="1" t="str">
        <f>IF(ISBLANK(Values!#REF!),"",Values!$B$31)</f>
        <v>6 month warranty after the delivery date. In case of any malfunction of the keyboard a new unit or a spare part for the keyboard of the product will be sent. In case of shortage of stock a full refund is issued.</v>
      </c>
      <c r="DY13" t="str">
        <f>IF(ISBLANK(Values!#REF!), "", "not_applicable")</f>
        <v>not_applicable</v>
      </c>
      <c r="EI13" s="1" t="str">
        <f>IF(ISBLANK(Values!#REF!),"",Values!$B$31)</f>
        <v>6 month warranty after the delivery date. In case of any malfunction of the keyboard a new unit or a spare part for the keyboard of the product will be sent. In case of shortage of stock a full refund is issued.</v>
      </c>
      <c r="ES13" s="1" t="str">
        <f>IF(ISBLANK(Values!#REF!),"","Amazon Tellus UPS")</f>
        <v>Amazon Tellus UPS</v>
      </c>
      <c r="EV13" s="1" t="str">
        <f>IF(ISBLANK(Values!#REF!),"","New")</f>
        <v>New</v>
      </c>
      <c r="FE13" s="1">
        <f>IF(ISBLANK(Values!#REF!),"",IF(CO13&lt;&gt;"DEFAULT", "", 3))</f>
        <v>3</v>
      </c>
      <c r="FH13" s="1" t="str">
        <f>IF(ISBLANK(Values!#REF!),"","FALSE")</f>
        <v>FALSE</v>
      </c>
      <c r="FI13" s="1" t="str">
        <f>IF(ISBLANK(Values!#REF!),"","FALSE")</f>
        <v>FALSE</v>
      </c>
      <c r="FJ13" s="1" t="str">
        <f>IF(ISBLANK(Values!#REF!),"","FALSE")</f>
        <v>FALSE</v>
      </c>
      <c r="FM13" s="1" t="str">
        <f>IF(ISBLANK(Values!#REF!),"","1")</f>
        <v>1</v>
      </c>
      <c r="FO13" s="27">
        <f>IF(ISBLANK(Values!#REF!),"",IF(Values!J12, Values!$B$4, Values!$B$5))</f>
        <v>47.99</v>
      </c>
      <c r="FP13" s="1" t="str">
        <f>IF(ISBLANK(Values!#REF!),"","Percent")</f>
        <v>Percent</v>
      </c>
      <c r="FQ13" s="1" t="str">
        <f>IF(ISBLANK(Values!#REF!),"","2")</f>
        <v>2</v>
      </c>
      <c r="FR13" s="1" t="str">
        <f>IF(ISBLANK(Values!#REF!),"","3")</f>
        <v>3</v>
      </c>
      <c r="FS13" s="1" t="str">
        <f>IF(ISBLANK(Values!#REF!),"","5")</f>
        <v>5</v>
      </c>
      <c r="FT13" s="1" t="str">
        <f>IF(ISBLANK(Values!#REF!),"","6")</f>
        <v>6</v>
      </c>
      <c r="FU13" s="1" t="str">
        <f>IF(ISBLANK(Values!#REF!),"","10")</f>
        <v>10</v>
      </c>
      <c r="FV13" s="1" t="str">
        <f>IF(ISBLANK(Values!#REF!),"","10")</f>
        <v>10</v>
      </c>
      <c r="GK13" s="64">
        <f>K13</f>
        <v>47.99</v>
      </c>
    </row>
    <row r="14" spans="1:193" ht="48" x14ac:dyDescent="0.2">
      <c r="A14" s="1" t="str">
        <f>IF(ISBLANK(Values!#REF!),"",IF(Values!$B$37="EU","computercomponent","computer"))</f>
        <v>computer</v>
      </c>
      <c r="B14" s="33" t="str">
        <f>IF(ISBLANK(Values!E13),"",Values!F13)</f>
        <v>HP 840 G3 BL - US</v>
      </c>
      <c r="C14" s="29" t="str">
        <f>IF(ISBLANK(Values!E13),"","TellusRem")</f>
        <v>TellusRem</v>
      </c>
      <c r="D14" s="28">
        <f>IF(ISBLANK(Values!E13),"",Values!E13)</f>
        <v>5714401842200</v>
      </c>
      <c r="E14" s="1" t="str">
        <f>IF(ISBLANK(Values!#REF!),"","EAN")</f>
        <v>EAN</v>
      </c>
      <c r="F14" s="27" t="str">
        <f>IF(ISBLANK(Values!#REF!),"",IF(Values!J13, SUBSTITUTE(Values!$B$1, "{language}", Values!H13) &amp; " " &amp;Values!$B$3, SUBSTITUTE(Values!$B$2, "{language}", Values!$H13) &amp; " " &amp;Values!$B$3))</f>
        <v>replacement US backlit keyboard for HP    840 G3, 745 G3, 840 G4, 745 G4</v>
      </c>
      <c r="G14" s="29" t="str">
        <f>IF(ISBLANK(Values!#REF!),"","TellusRem")</f>
        <v>TellusRem</v>
      </c>
      <c r="H14" s="1" t="str">
        <f>IF(ISBLANK(Values!#REF!),"",Values!$B$16)</f>
        <v>computer-keyboards</v>
      </c>
      <c r="I14" s="1" t="str">
        <f>IF(ISBLANK(Values!#REF!),"","4730574031")</f>
        <v>4730574031</v>
      </c>
      <c r="J14" s="31" t="e">
        <f>IF(ISBLANK(Values!#REF!),"",Values!#REF! )</f>
        <v>#REF!</v>
      </c>
      <c r="K14" s="27">
        <f>IF(ISBLANK(Values!#REF!),"",IF(Values!J13, Values!$B$4, Values!$B$5))</f>
        <v>47.99</v>
      </c>
      <c r="L14" s="27" t="str">
        <f>IF(ISBLANK(Values!#REF!),"",IF($CO14="DEFAULT", Values!$B$18, ""))</f>
        <v/>
      </c>
      <c r="M14" s="27" t="str">
        <f>IF(ISBLANK(Values!#REF!),"",Values!$M13)</f>
        <v>https://raw.githubusercontent.com/PatrickVibild/TellusAmazonPictures/master/pictures/HP/W. PS/840 G3 SILVER/BL/US/1.jpg</v>
      </c>
      <c r="N14" s="27" t="str">
        <f>IF(ISBLANK(Values!#REF!),"",Values!N13)</f>
        <v>https://raw.githubusercontent.com/PatrickVibild/TellusAmazonPictures/master/pictures/HP/W. PS/840 G3 SILVER/BL/US/2.jpg</v>
      </c>
      <c r="O14" s="27" t="str">
        <f>IF(ISBLANK(Values!#REF!),"",Values!O13)</f>
        <v>https://raw.githubusercontent.com/PatrickVibild/TellusAmazonPictures/master/pictures/HP/W. PS/840 G3 SILVER/BL/US/3.jpg</v>
      </c>
      <c r="P14" s="27" t="str">
        <f>IF(ISBLANK(Values!#REF!),"",Values!P13)</f>
        <v>https://raw.githubusercontent.com/PatrickVibild/TellusAmazonPictures/master/pictures/HP/W. PS/840 G3 SILVER/BL/US/4.jpg</v>
      </c>
      <c r="Q14" s="27" t="str">
        <f>IF(ISBLANK(Values!#REF!),"",Values!Q13)</f>
        <v>https://raw.githubusercontent.com/PatrickVibild/TellusAmazonPictures/master/pictures/HP/W. PS/840 G3 SILVER/BL/US/5.jpg</v>
      </c>
      <c r="R14" s="27" t="str">
        <f>IF(ISBLANK(Values!#REF!),"",Values!R13)</f>
        <v>https://raw.githubusercontent.com/PatrickVibild/TellusAmazonPictures/master/pictures/HP/W. PS/840 G3 SILVER/BL/US/6.jpg</v>
      </c>
      <c r="S14" s="27" t="str">
        <f>IF(ISBLANK(Values!#REF!),"",Values!S13)</f>
        <v>https://raw.githubusercontent.com/PatrickVibild/TellusAmazonPictures/master/pictures/HP/W. PS/840 G3 SILVER/BL/US/7.jpg</v>
      </c>
      <c r="T14" s="27" t="str">
        <f>IF(ISBLANK(Values!#REF!),"",Values!T13)</f>
        <v>https://raw.githubusercontent.com/PatrickVibild/TellusAmazonPictures/master/pictures/HP/W. PS/840 G3 SILVER/BL/US/8.jpg</v>
      </c>
      <c r="U14" s="27" t="str">
        <f>IF(ISBLANK(Values!#REF!),"",Values!U13)</f>
        <v>https://raw.githubusercontent.com/PatrickVibild/TellusAmazonPictures/master/pictures/HP/W. PS/840 G3 SILVER/BL/US/9.jpg</v>
      </c>
      <c r="W14" s="29" t="str">
        <f>IF(ISBLANK(Values!#REF!),"","Child")</f>
        <v>Child</v>
      </c>
      <c r="X14" s="29" t="str">
        <f>IF(ISBLANK(Values!#REF!),"",Values!$B$13)</f>
        <v>HP 840 G3 parent</v>
      </c>
      <c r="Y14" s="31" t="str">
        <f>IF(ISBLANK(Values!#REF!),"","Size-Color")</f>
        <v>Size-Color</v>
      </c>
      <c r="Z14" s="29" t="str">
        <f>IF(ISBLANK(Values!#REF!),"","variation")</f>
        <v>variation</v>
      </c>
      <c r="AA14" s="1" t="str">
        <f>IF(ISBLANK(Values!#REF!),"",Values!$B$20)</f>
        <v>Update</v>
      </c>
      <c r="AB14" s="1" t="str">
        <f>IF(ISBLANK(Values!#REF!),"",Values!$B$29)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IF(ISBLANK(Values!#REF!),"",IF(Values!I13,Values!$B$23,Values!$B$33))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IF(ISBLANK(Values!#REF!),"",Values!$B$24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4" s="1" t="str">
        <f>IF(ISBLANK(Values!#REF!),"",Values!$B$25)</f>
        <v>♻️ ECOFRIENDLY PRODUCT - Buy refurbished, BUY GREEN! Reduce more than 80% carbon dioxide by buying our refurbished keyboards, compared to getting a new keyboard! Perfect OEM replacement part for your keyboard.</v>
      </c>
      <c r="AL14" s="1" t="str">
        <f>IF(ISBLANK(Values!#REF!),"",SUBSTITUTE(SUBSTITUTE(IF(Values!$J13, Values!$B$26, Values!$B$33), "{language}", Values!$H13), "{flag}", INDEX(options!$E$1:$E$20, Values!$V13)))</f>
        <v>👉 LAYOUT – 🇺🇸 US backlit.</v>
      </c>
      <c r="AM14" s="1" t="str">
        <f>SUBSTITUTE(IF(ISBLANK(Values!#REF!),"",Values!$B$27), "{model}", Values!$B$3)</f>
        <v>👉 COMPATIBLE WITH - HP 840 G3, 745 G3, 840 G4, 745 G4. Please check the picture and description carefully before purchasing any keyboard. This ensures that you get the correct laptop keyboard for your computer. Super easy installation.</v>
      </c>
      <c r="AT14" s="27" t="str">
        <f>IF(ISBLANK(Values!#REF!),"",Values!H13)</f>
        <v>US</v>
      </c>
      <c r="AV14" s="1" t="str">
        <f>IF(ISBLANK(Values!#REF!),"",IF(Values!J13,"Backlit", "Non-Backlit"))</f>
        <v>Backlit</v>
      </c>
      <c r="AW14"/>
      <c r="BE14" s="1" t="str">
        <f>IF(ISBLANK(Values!#REF!),"","Professional Audience")</f>
        <v>Professional Audience</v>
      </c>
      <c r="BF14" s="1" t="str">
        <f>IF(ISBLANK(Values!#REF!),"","Consumer Audience")</f>
        <v>Consumer Audience</v>
      </c>
      <c r="BG14" s="1" t="str">
        <f>IF(ISBLANK(Values!#REF!),"","Adults")</f>
        <v>Adults</v>
      </c>
      <c r="BH14" s="1" t="str">
        <f>IF(ISBLANK(Values!#REF!),"","People")</f>
        <v>People</v>
      </c>
      <c r="CG14" s="1">
        <f>IF(ISBLANK(Values!#REF!),"",Values!$B$11)</f>
        <v>150</v>
      </c>
      <c r="CH14" s="1" t="str">
        <f>IF(ISBLANK(Values!#REF!),"","GR")</f>
        <v>GR</v>
      </c>
      <c r="CI14" s="1" t="str">
        <f>IF(ISBLANK(Values!#REF!),"",Values!$B$7)</f>
        <v>32</v>
      </c>
      <c r="CJ14" s="1" t="str">
        <f>IF(ISBLANK(Values!#REF!),"",Values!$B$8)</f>
        <v>18</v>
      </c>
      <c r="CK14" s="1" t="str">
        <f>IF(ISBLANK(Values!#REF!),"",Values!$B$9)</f>
        <v>2</v>
      </c>
      <c r="CL14" s="1" t="str">
        <f>IF(ISBLANK(Values!#REF!),"","CM")</f>
        <v>CM</v>
      </c>
      <c r="CO14" s="1" t="str">
        <f>IF(ISBLANK(Values!#REF!), "", IF(AND(Values!$B$37=options!$G$2, Values!$C13), "AMAZON_NA", IF(AND(Values!$B$37=options!$G$1, Values!$D13), "AMAZON_EU", "DEFAULT")))</f>
        <v>AMAZON_NA</v>
      </c>
      <c r="CP14" s="1" t="str">
        <f>IF(ISBLANK(Values!#REF!),"",Values!$B$7)</f>
        <v>32</v>
      </c>
      <c r="CQ14" s="1" t="str">
        <f>IF(ISBLANK(Values!#REF!),"",Values!$B$8)</f>
        <v>18</v>
      </c>
      <c r="CR14" s="1" t="str">
        <f>IF(ISBLANK(Values!#REF!),"",Values!$B$9)</f>
        <v>2</v>
      </c>
      <c r="CS14" s="1">
        <f>IF(ISBLANK(Values!#REF!),"",Values!$B$11)</f>
        <v>150</v>
      </c>
      <c r="CT14" s="1" t="str">
        <f>IF(ISBLANK(Values!#REF!),"","GR")</f>
        <v>GR</v>
      </c>
      <c r="CU14" s="1" t="str">
        <f>IF(ISBLANK(Values!#REF!),"","CM")</f>
        <v>CM</v>
      </c>
      <c r="CV14" s="1"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IF(ISBLANK(Values!#REF!),"","No")</f>
        <v>No</v>
      </c>
      <c r="DA14" s="1" t="str">
        <f>IF(ISBLANK(Values!#REF!),"","No")</f>
        <v>No</v>
      </c>
      <c r="DO14" s="1" t="str">
        <f>IF(ISBLANK(Values!#REF!),"","Parts")</f>
        <v>Parts</v>
      </c>
      <c r="DP14" s="1" t="str">
        <f>IF(ISBLANK(Values!#REF!),"",Values!$B$31)</f>
        <v>6 month warranty after the delivery date. In case of any malfunction of the keyboard a new unit or a spare part for the keyboard of the product will be sent. In case of shortage of stock a full refund is issued.</v>
      </c>
      <c r="DY14" t="str">
        <f>IF(ISBLANK(Values!#REF!), "", "not_applicable")</f>
        <v>not_applicable</v>
      </c>
      <c r="EI14" s="1" t="str">
        <f>IF(ISBLANK(Values!#REF!),"",Values!$B$31)</f>
        <v>6 month warranty after the delivery date. In case of any malfunction of the keyboard a new unit or a spare part for the keyboard of the product will be sent. In case of shortage of stock a full refund is issued.</v>
      </c>
      <c r="ES14" s="1" t="str">
        <f>IF(ISBLANK(Values!#REF!),"","Amazon Tellus UPS")</f>
        <v>Amazon Tellus UPS</v>
      </c>
      <c r="EV14" s="1" t="str">
        <f>IF(ISBLANK(Values!#REF!),"","New")</f>
        <v>New</v>
      </c>
      <c r="FE14" s="1" t="str">
        <f>IF(ISBLANK(Values!#REF!),"",IF(CO14&lt;&gt;"DEFAULT", "", 3))</f>
        <v/>
      </c>
      <c r="FH14" s="1" t="str">
        <f>IF(ISBLANK(Values!#REF!),"","FALSE")</f>
        <v>FALSE</v>
      </c>
      <c r="FI14" s="1" t="str">
        <f>IF(ISBLANK(Values!#REF!),"","FALSE")</f>
        <v>FALSE</v>
      </c>
      <c r="FJ14" s="1" t="str">
        <f>IF(ISBLANK(Values!#REF!),"","FALSE")</f>
        <v>FALSE</v>
      </c>
      <c r="FM14" s="1" t="str">
        <f>IF(ISBLANK(Values!#REF!),"","1")</f>
        <v>1</v>
      </c>
      <c r="FO14" s="27">
        <f>IF(ISBLANK(Values!#REF!),"",IF(Values!J13, Values!$B$4, Values!$B$5))</f>
        <v>47.99</v>
      </c>
      <c r="FP14" s="1" t="str">
        <f>IF(ISBLANK(Values!#REF!),"","Percent")</f>
        <v>Percent</v>
      </c>
      <c r="FQ14" s="1" t="str">
        <f>IF(ISBLANK(Values!#REF!),"","2")</f>
        <v>2</v>
      </c>
      <c r="FR14" s="1" t="str">
        <f>IF(ISBLANK(Values!#REF!),"","3")</f>
        <v>3</v>
      </c>
      <c r="FS14" s="1" t="str">
        <f>IF(ISBLANK(Values!#REF!),"","5")</f>
        <v>5</v>
      </c>
      <c r="FT14" s="1" t="str">
        <f>IF(ISBLANK(Values!#REF!),"","6")</f>
        <v>6</v>
      </c>
      <c r="FU14" s="1" t="str">
        <f>IF(ISBLANK(Values!#REF!),"","10")</f>
        <v>10</v>
      </c>
      <c r="FV14" s="1" t="str">
        <f>IF(ISBLANK(Values!#REF!),"","10")</f>
        <v>10</v>
      </c>
      <c r="GK14" s="64">
        <f>K14</f>
        <v>47.99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v>
      </c>
      <c r="B24" s="33" t="str">
        <f>IF(ISBLANK(Values!E23),"",Values!F23)</f>
        <v>HP 840 G3 RG - US</v>
      </c>
      <c r="C24" s="29" t="str">
        <f>IF(ISBLANK(Values!E23),"","TellusRem")</f>
        <v>TellusRem</v>
      </c>
      <c r="D24" s="28">
        <f>IF(ISBLANK(Values!E23),"",Values!E23)</f>
        <v>5714401843191</v>
      </c>
      <c r="E24" s="1" t="str">
        <f>IF(ISBLANK(Values!E23),"","EAN")</f>
        <v>EAN</v>
      </c>
      <c r="F24" s="27" t="str">
        <f>IF(ISBLANK(Values!E23),"",IF(Values!J23, SUBSTITUTE(Values!$B$1, "{language}", Values!H23) &amp; " " &amp;Values!$B$3, SUBSTITUTE(Values!$B$2, "{language}", Values!$H23) &amp; " " &amp;Values!$B$3))</f>
        <v>replacement US non-backlit keyboard for HP    840 G3, 745 G3, 840 G4, 745 G4</v>
      </c>
      <c r="G24" s="29" t="str">
        <f>IF(ISBLANK(Values!E23),"","TellusRem")</f>
        <v>TellusRem</v>
      </c>
      <c r="H24" s="1" t="str">
        <f>IF(ISBLANK(Values!E23),"",Values!$B$16)</f>
        <v>computer-keyboards</v>
      </c>
      <c r="I24" s="1" t="str">
        <f>IF(ISBLANK(Values!E23),"","4730574031")</f>
        <v>4730574031</v>
      </c>
      <c r="J24" s="31" t="str">
        <f>IF(ISBLANK(Values!E23),"",Values!F23 )</f>
        <v>HP 840 G3 RG - US</v>
      </c>
      <c r="K24" s="27">
        <f>IF(ISBLANK(Values!E23),"",IF(Values!J23, Values!$B$4, Values!$B$5))</f>
        <v>37.99</v>
      </c>
      <c r="L24" s="27" t="str">
        <f>IF(ISBLANK(Values!E23),"",IF($CO24="DEFAULT", Values!$B$18, ""))</f>
        <v/>
      </c>
      <c r="M24" s="27" t="str">
        <f>IF(ISBLANK(Values!E23),"",Values!$M23)</f>
        <v>https://raw.githubusercontent.com/PatrickVibild/TellusAmazonPictures/master/pictures/HP/W. PS/840 G3 SILVER/RG/US/1.jpg</v>
      </c>
      <c r="N24" s="27" t="str">
        <f>IF(ISBLANK(Values!$F23),"",Values!N23)</f>
        <v>https://raw.githubusercontent.com/PatrickVibild/TellusAmazonPictures/master/pictures/HP/W. PS/840 G3 SILVER/RG/US/2.jpg</v>
      </c>
      <c r="O24" s="27" t="str">
        <f>IF(ISBLANK(Values!$F23),"",Values!O23)</f>
        <v>https://raw.githubusercontent.com/PatrickVibild/TellusAmazonPictures/master/pictures/HP/W. PS/840 G3 SILVER/RG/US/3.jpg</v>
      </c>
      <c r="P24" s="27" t="str">
        <f>IF(ISBLANK(Values!$F23),"",Values!P23)</f>
        <v>https://raw.githubusercontent.com/PatrickVibild/TellusAmazonPictures/master/pictures/HP/W. PS/840 G3 SILVER/RG/US/4.jpg</v>
      </c>
      <c r="Q24" s="27" t="str">
        <f>IF(ISBLANK(Values!$F23),"",Values!Q23)</f>
        <v>https://raw.githubusercontent.com/PatrickVibild/TellusAmazonPictures/master/pictures/HP/W. PS/840 G3 SILVER/RG/US/5.jpg</v>
      </c>
      <c r="R24" s="27" t="str">
        <f>IF(ISBLANK(Values!$F23),"",Values!R23)</f>
        <v>https://raw.githubusercontent.com/PatrickVibild/TellusAmazonPictures/master/pictures/HP/W. PS/840 G3 SILVER/RG/US/6.jpg</v>
      </c>
      <c r="S24" s="27" t="str">
        <f>IF(ISBLANK(Values!$F23),"",Values!S23)</f>
        <v>https://raw.githubusercontent.com/PatrickVibild/TellusAmazonPictures/master/pictures/HP/W. PS/840 G3 SILVER/RG/US/7.jpg</v>
      </c>
      <c r="T24" s="27" t="str">
        <f>IF(ISBLANK(Values!$F23),"",Values!T23)</f>
        <v>https://raw.githubusercontent.com/PatrickVibild/TellusAmazonPictures/master/pictures/HP/W. PS/840 G3 SILVER/RG/US/8.jpg</v>
      </c>
      <c r="U24" s="27" t="str">
        <f>IF(ISBLANK(Values!$F23),"",Values!U23)</f>
        <v>https://raw.githubusercontent.com/PatrickVibild/TellusAmazonPictures/master/pictures/HP/W. PS/840 G3 SILVER/RG/US/9.jpg</v>
      </c>
      <c r="V24" s="1"/>
      <c r="W24" s="29" t="str">
        <f>IF(ISBLANK(Values!E23),"","Child")</f>
        <v>Child</v>
      </c>
      <c r="X24" s="29" t="str">
        <f>IF(ISBLANK(Values!E23),"",Values!$B$13)</f>
        <v>HP 840 G3 parent</v>
      </c>
      <c r="Y24" s="31" t="str">
        <f>IF(ISBLANK(Values!E23),"","Size-Color")</f>
        <v>Size-Color</v>
      </c>
      <c r="Z24" s="29" t="str">
        <f>IF(ISBLANK(Values!E23),"","variation")</f>
        <v>variation</v>
      </c>
      <c r="AA24" s="1"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HP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HP 840 G3, 745 G3, 840 G4, 745 G4.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37.99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5">
        <f>K24</f>
        <v>37.99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K5:V204 AB5:AB1041 AI5:AI1041 AK5:AS221 DP5:DP1041 FJ5:FO204 AT167:AT1041 B205:B1041 D205:D1041 J205:V1041 AC205:AC1041 AV205:AV1041 FK205:FO1041 AJ222:AS1041 FE1042:FE1043 C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opLeftCell="B1" zoomScale="110" zoomScaleNormal="110" workbookViewId="0">
      <selection activeCell="E4" sqref="E4:F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61">
        <v>47.99</v>
      </c>
      <c r="C4" s="41" t="b">
        <f>FALSE()</f>
        <v>0</v>
      </c>
      <c r="D4" s="41" t="b">
        <f>TRUE()</f>
        <v>1</v>
      </c>
      <c r="E4" s="36">
        <v>5714401842019</v>
      </c>
      <c r="F4" s="36" t="s">
        <v>678</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1</v>
      </c>
      <c r="K4" s="36" t="s">
        <v>687</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G3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G3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G3 SILVER/BL/DE/3.jpg</v>
      </c>
      <c r="P4" t="str">
        <f t="shared" ref="P4:P35" si="3">IF(ISBLANK(K4),"",IF(L4, "https://raw.githubusercontent.com/PatrickVibild/TellusAmazonPictures/master/pictures/"&amp;K4&amp;"/4.jpg", ""))</f>
        <v>https://raw.githubusercontent.com/PatrickVibild/TellusAmazonPictures/master/pictures/HP/W. PS/840 G3 SILVER/BL/DE/4.jpg</v>
      </c>
      <c r="Q4" t="str">
        <f t="shared" ref="Q4:Q35" si="4">IF(ISBLANK(K4),"",IF(L4, "https://raw.githubusercontent.com/PatrickVibild/TellusAmazonPictures/master/pictures/"&amp;K4&amp;"/5.jpg", ""))</f>
        <v>https://raw.githubusercontent.com/PatrickVibild/TellusAmazonPictures/master/pictures/HP/W. PS/840 G3 SILVER/BL/DE/5.jpg</v>
      </c>
      <c r="R4" t="str">
        <f t="shared" ref="R4:R35" si="5">IF(ISBLANK(K4),"",IF(L4, "https://raw.githubusercontent.com/PatrickVibild/TellusAmazonPictures/master/pictures/"&amp;K4&amp;"/6.jpg", ""))</f>
        <v>https://raw.githubusercontent.com/PatrickVibild/TellusAmazonPictures/master/pictures/HP/W. PS/840 G3 SILVER/BL/DE/6.jpg</v>
      </c>
      <c r="S4" t="str">
        <f t="shared" ref="S4:S35" si="6">IF(ISBLANK(K4),"",IF(L4, "https://raw.githubusercontent.com/PatrickVibild/TellusAmazonPictures/master/pictures/"&amp;K4&amp;"/7.jpg", ""))</f>
        <v>https://raw.githubusercontent.com/PatrickVibild/TellusAmazonPictures/master/pictures/HP/W. PS/840 G3 SILVER/BL/DE/7.jpg</v>
      </c>
      <c r="T4" t="str">
        <f t="shared" ref="T4:T35" si="7">IF(ISBLANK(K4),"",IF(L4, "https://raw.githubusercontent.com/PatrickVibild/TellusAmazonPictures/master/pictures/"&amp;K4&amp;"/8.jpg",""))</f>
        <v>https://raw.githubusercontent.com/PatrickVibild/TellusAmazonPictures/master/pictures/HP/W. PS/840 G3 SILVER/BL/DE/8.jpg</v>
      </c>
      <c r="U4" t="str">
        <f t="shared" ref="U4:U35" si="8">IF(ISBLANK(K4),"",IF(L4, "https://raw.githubusercontent.com/PatrickVibild/TellusAmazonPictures/master/pictures/"&amp;K4&amp;"/9.jpg", ""))</f>
        <v>https://raw.githubusercontent.com/PatrickVibild/TellusAmazonPictures/master/pictures/HP/W. PS/840 G3 SILVER/BL/DE/9.jpg</v>
      </c>
      <c r="V4" s="42">
        <f>MATCH(G4,options!$D$1:$D$20,0)</f>
        <v>1</v>
      </c>
    </row>
    <row r="5" spans="1:22" ht="56" x14ac:dyDescent="0.15">
      <c r="A5" s="37" t="s">
        <v>371</v>
      </c>
      <c r="B5" s="61">
        <v>37.99</v>
      </c>
      <c r="C5" s="41" t="b">
        <f>FALSE()</f>
        <v>0</v>
      </c>
      <c r="D5" s="41" t="b">
        <f>TRUE()</f>
        <v>1</v>
      </c>
      <c r="E5" s="36">
        <v>5714401842026</v>
      </c>
      <c r="F5" s="36" t="s">
        <v>679</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1</v>
      </c>
      <c r="K5" s="36" t="s">
        <v>688</v>
      </c>
      <c r="L5" s="45" t="b">
        <v>1</v>
      </c>
      <c r="M5" s="46" t="str">
        <f t="shared" si="0"/>
        <v>https://raw.githubusercontent.com/PatrickVibild/TellusAmazonPictures/master/pictures/HP/W. PS/840 G3 SILVER/BL/FR/1.jpg</v>
      </c>
      <c r="N5" s="46" t="str">
        <f t="shared" si="1"/>
        <v>https://raw.githubusercontent.com/PatrickVibild/TellusAmazonPictures/master/pictures/HP/W. PS/840 G3 SILVER/BL/FR/2.jpg</v>
      </c>
      <c r="O5" s="47" t="str">
        <f t="shared" si="2"/>
        <v>https://raw.githubusercontent.com/PatrickVibild/TellusAmazonPictures/master/pictures/HP/W. PS/840 G3 SILVER/BL/FR/3.jpg</v>
      </c>
      <c r="P5" t="str">
        <f t="shared" si="3"/>
        <v>https://raw.githubusercontent.com/PatrickVibild/TellusAmazonPictures/master/pictures/HP/W. PS/840 G3 SILVER/BL/FR/4.jpg</v>
      </c>
      <c r="Q5" t="str">
        <f t="shared" si="4"/>
        <v>https://raw.githubusercontent.com/PatrickVibild/TellusAmazonPictures/master/pictures/HP/W. PS/840 G3 SILVER/BL/FR/5.jpg</v>
      </c>
      <c r="R5" t="str">
        <f t="shared" si="5"/>
        <v>https://raw.githubusercontent.com/PatrickVibild/TellusAmazonPictures/master/pictures/HP/W. PS/840 G3 SILVER/BL/FR/6.jpg</v>
      </c>
      <c r="S5" t="str">
        <f t="shared" si="6"/>
        <v>https://raw.githubusercontent.com/PatrickVibild/TellusAmazonPictures/master/pictures/HP/W. PS/840 G3 SILVER/BL/FR/7.jpg</v>
      </c>
      <c r="T5" t="str">
        <f t="shared" si="7"/>
        <v>https://raw.githubusercontent.com/PatrickVibild/TellusAmazonPictures/master/pictures/HP/W. PS/840 G3 SILVER/BL/FR/8.jpg</v>
      </c>
      <c r="U5" t="str">
        <f t="shared" si="8"/>
        <v>https://raw.githubusercontent.com/PatrickVibild/TellusAmazonPictures/master/pictures/HP/W. PS/840 G3 SILVER/BL/FR/9.jpg</v>
      </c>
      <c r="V5" s="42">
        <f>MATCH(G5,options!$D$1:$D$20,0)</f>
        <v>2</v>
      </c>
    </row>
    <row r="6" spans="1:22" ht="42" x14ac:dyDescent="0.15">
      <c r="A6" s="37" t="s">
        <v>373</v>
      </c>
      <c r="B6" s="48" t="s">
        <v>414</v>
      </c>
      <c r="C6" s="41" t="b">
        <f>FALSE()</f>
        <v>0</v>
      </c>
      <c r="D6" s="41" t="b">
        <f>TRUE()</f>
        <v>1</v>
      </c>
      <c r="E6" s="36">
        <v>5714401842033</v>
      </c>
      <c r="F6" s="36" t="s">
        <v>680</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1</v>
      </c>
      <c r="K6" s="36" t="s">
        <v>689</v>
      </c>
      <c r="L6" s="45" t="b">
        <v>1</v>
      </c>
      <c r="M6" s="46" t="str">
        <f t="shared" ref="M6:M13" si="9">IF(ISBLANK(K6),"",IF(L6, "https://raw.githubusercontent.com/PatrickVibild/TellusAmazonPictures/master/pictures/"&amp;K6&amp;"/1.jpg","https://download.lenovo.com/Images/Parts/"&amp;K6&amp;"/"&amp;K6&amp;"_A.jpg"))</f>
        <v>https://raw.githubusercontent.com/PatrickVibild/TellusAmazonPictures/master/pictures/HP/W. PS/840 G3 SILVER/BL/IT/1.jpg</v>
      </c>
      <c r="N6" s="46" t="str">
        <f t="shared" ref="N6:N13" si="10">IF(ISBLANK(K6),"",IF(L6, "https://raw.githubusercontent.com/PatrickVibild/TellusAmazonPictures/master/pictures/"&amp;K6&amp;"/2.jpg","https://download.lenovo.com/Images/Parts/"&amp;K6&amp;"/"&amp;K6&amp;"_B.jpg"))</f>
        <v>https://raw.githubusercontent.com/PatrickVibild/TellusAmazonPictures/master/pictures/HP/W. PS/840 G3 SILVER/BL/IT/2.jpg</v>
      </c>
      <c r="O6" s="47" t="str">
        <f t="shared" ref="O6:O13" si="11">IF(ISBLANK(K6),"",IF(L6, "https://raw.githubusercontent.com/PatrickVibild/TellusAmazonPictures/master/pictures/"&amp;K6&amp;"/3.jpg","https://download.lenovo.com/Images/Parts/"&amp;K6&amp;"/"&amp;K6&amp;"_details.jpg"))</f>
        <v>https://raw.githubusercontent.com/PatrickVibild/TellusAmazonPictures/master/pictures/HP/W. PS/840 G3 SILVER/BL/IT/3.jpg</v>
      </c>
      <c r="P6" t="str">
        <f t="shared" ref="P6:P13" si="12">IF(ISBLANK(K6),"",IF(L6, "https://raw.githubusercontent.com/PatrickVibild/TellusAmazonPictures/master/pictures/"&amp;K6&amp;"/4.jpg", ""))</f>
        <v>https://raw.githubusercontent.com/PatrickVibild/TellusAmazonPictures/master/pictures/HP/W. PS/840 G3 SILVER/BL/IT/4.jpg</v>
      </c>
      <c r="Q6" t="str">
        <f t="shared" ref="Q6:Q13" si="13">IF(ISBLANK(K6),"",IF(L6, "https://raw.githubusercontent.com/PatrickVibild/TellusAmazonPictures/master/pictures/"&amp;K6&amp;"/5.jpg", ""))</f>
        <v>https://raw.githubusercontent.com/PatrickVibild/TellusAmazonPictures/master/pictures/HP/W. PS/840 G3 SILVER/BL/IT/5.jpg</v>
      </c>
      <c r="R6" t="str">
        <f t="shared" ref="R6:R13" si="14">IF(ISBLANK(K6),"",IF(L6, "https://raw.githubusercontent.com/PatrickVibild/TellusAmazonPictures/master/pictures/"&amp;K6&amp;"/6.jpg", ""))</f>
        <v>https://raw.githubusercontent.com/PatrickVibild/TellusAmazonPictures/master/pictures/HP/W. PS/840 G3 SILVER/BL/IT/6.jpg</v>
      </c>
      <c r="S6" t="str">
        <f t="shared" ref="S6:S13" si="15">IF(ISBLANK(K6),"",IF(L6, "https://raw.githubusercontent.com/PatrickVibild/TellusAmazonPictures/master/pictures/"&amp;K6&amp;"/7.jpg", ""))</f>
        <v>https://raw.githubusercontent.com/PatrickVibild/TellusAmazonPictures/master/pictures/HP/W. PS/840 G3 SILVER/BL/IT/7.jpg</v>
      </c>
      <c r="T6" t="str">
        <f t="shared" ref="T6:T13" si="16">IF(ISBLANK(K6),"",IF(L6, "https://raw.githubusercontent.com/PatrickVibild/TellusAmazonPictures/master/pictures/"&amp;K6&amp;"/8.jpg",""))</f>
        <v>https://raw.githubusercontent.com/PatrickVibild/TellusAmazonPictures/master/pictures/HP/W. PS/840 G3 SILVER/BL/IT/8.jpg</v>
      </c>
      <c r="U6" t="str">
        <f t="shared" ref="U6:U13" si="17">IF(ISBLANK(K6),"",IF(L6, "https://raw.githubusercontent.com/PatrickVibild/TellusAmazonPictures/master/pictures/"&amp;K6&amp;"/9.jpg", ""))</f>
        <v>https://raw.githubusercontent.com/PatrickVibild/TellusAmazonPictures/master/pictures/HP/W. PS/840 G3 SILVER/BL/IT/9.jpg</v>
      </c>
      <c r="V6" s="42">
        <f>MATCH(G6,options!$D$1:$D$20,0)</f>
        <v>3</v>
      </c>
    </row>
    <row r="7" spans="1:22" ht="56" x14ac:dyDescent="0.15">
      <c r="A7" s="37" t="s">
        <v>376</v>
      </c>
      <c r="B7" s="49" t="str">
        <f>IF(B6=options!C1,"32","41")</f>
        <v>32</v>
      </c>
      <c r="C7" s="41" t="b">
        <f>FALSE()</f>
        <v>0</v>
      </c>
      <c r="D7" s="41" t="b">
        <f>TRUE()</f>
        <v>1</v>
      </c>
      <c r="E7" s="36">
        <v>5714401842040</v>
      </c>
      <c r="F7" s="36" t="s">
        <v>681</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1</v>
      </c>
      <c r="K7" s="36" t="s">
        <v>690</v>
      </c>
      <c r="L7" s="45" t="b">
        <v>1</v>
      </c>
      <c r="M7" s="46" t="str">
        <f t="shared" si="9"/>
        <v>https://raw.githubusercontent.com/PatrickVibild/TellusAmazonPictures/master/pictures/HP/W. PS/840 G3 SILVER/BL/ES/1.jpg</v>
      </c>
      <c r="N7" s="46" t="str">
        <f t="shared" si="10"/>
        <v>https://raw.githubusercontent.com/PatrickVibild/TellusAmazonPictures/master/pictures/HP/W. PS/840 G3 SILVER/BL/ES/2.jpg</v>
      </c>
      <c r="O7" s="47" t="str">
        <f t="shared" si="11"/>
        <v>https://raw.githubusercontent.com/PatrickVibild/TellusAmazonPictures/master/pictures/HP/W. PS/840 G3 SILVER/BL/ES/3.jpg</v>
      </c>
      <c r="P7" t="str">
        <f t="shared" si="12"/>
        <v>https://raw.githubusercontent.com/PatrickVibild/TellusAmazonPictures/master/pictures/HP/W. PS/840 G3 SILVER/BL/ES/4.jpg</v>
      </c>
      <c r="Q7" t="str">
        <f t="shared" si="13"/>
        <v>https://raw.githubusercontent.com/PatrickVibild/TellusAmazonPictures/master/pictures/HP/W. PS/840 G3 SILVER/BL/ES/5.jpg</v>
      </c>
      <c r="R7" t="str">
        <f t="shared" si="14"/>
        <v>https://raw.githubusercontent.com/PatrickVibild/TellusAmazonPictures/master/pictures/HP/W. PS/840 G3 SILVER/BL/ES/6.jpg</v>
      </c>
      <c r="S7" t="str">
        <f t="shared" si="15"/>
        <v>https://raw.githubusercontent.com/PatrickVibild/TellusAmazonPictures/master/pictures/HP/W. PS/840 G3 SILVER/BL/ES/7.jpg</v>
      </c>
      <c r="T7" t="str">
        <f t="shared" si="16"/>
        <v>https://raw.githubusercontent.com/PatrickVibild/TellusAmazonPictures/master/pictures/HP/W. PS/840 G3 SILVER/BL/ES/8.jpg</v>
      </c>
      <c r="U7" t="str">
        <f t="shared" si="17"/>
        <v>https://raw.githubusercontent.com/PatrickVibild/TellusAmazonPictures/master/pictures/HP/W. PS/840 G3 SILVER/BL/ES/9.jpg</v>
      </c>
      <c r="V7" s="42">
        <f>MATCH(G7,options!$D$1:$D$20,0)</f>
        <v>4</v>
      </c>
    </row>
    <row r="8" spans="1:22" ht="56" x14ac:dyDescent="0.15">
      <c r="A8" s="37" t="s">
        <v>378</v>
      </c>
      <c r="B8" s="49" t="str">
        <f>IF(B6=options!C1,"18","17")</f>
        <v>18</v>
      </c>
      <c r="C8" s="41" t="b">
        <f>FALSE()</f>
        <v>0</v>
      </c>
      <c r="D8" s="41" t="b">
        <f>TRUE()</f>
        <v>1</v>
      </c>
      <c r="E8" s="36">
        <v>5714401842057</v>
      </c>
      <c r="F8" s="36" t="s">
        <v>682</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691</v>
      </c>
      <c r="L8" s="45" t="b">
        <v>1</v>
      </c>
      <c r="M8" s="46" t="str">
        <f t="shared" si="9"/>
        <v>https://raw.githubusercontent.com/PatrickVibild/TellusAmazonPictures/master/pictures/HP/W. PS/840 G3 SILVER/BL/UK/1.jpg</v>
      </c>
      <c r="N8" s="46" t="str">
        <f t="shared" si="10"/>
        <v>https://raw.githubusercontent.com/PatrickVibild/TellusAmazonPictures/master/pictures/HP/W. PS/840 G3 SILVER/BL/UK/2.jpg</v>
      </c>
      <c r="O8" s="47" t="str">
        <f t="shared" si="11"/>
        <v>https://raw.githubusercontent.com/PatrickVibild/TellusAmazonPictures/master/pictures/HP/W. PS/840 G3 SILVER/BL/UK/3.jpg</v>
      </c>
      <c r="P8" t="str">
        <f t="shared" si="12"/>
        <v>https://raw.githubusercontent.com/PatrickVibild/TellusAmazonPictures/master/pictures/HP/W. PS/840 G3 SILVER/BL/UK/4.jpg</v>
      </c>
      <c r="Q8" t="str">
        <f t="shared" si="13"/>
        <v>https://raw.githubusercontent.com/PatrickVibild/TellusAmazonPictures/master/pictures/HP/W. PS/840 G3 SILVER/BL/UK/5.jpg</v>
      </c>
      <c r="R8" t="str">
        <f t="shared" si="14"/>
        <v>https://raw.githubusercontent.com/PatrickVibild/TellusAmazonPictures/master/pictures/HP/W. PS/840 G3 SILVER/BL/UK/6.jpg</v>
      </c>
      <c r="S8" t="str">
        <f t="shared" si="15"/>
        <v>https://raw.githubusercontent.com/PatrickVibild/TellusAmazonPictures/master/pictures/HP/W. PS/840 G3 SILVER/BL/UK/7.jpg</v>
      </c>
      <c r="T8" t="str">
        <f t="shared" si="16"/>
        <v>https://raw.githubusercontent.com/PatrickVibild/TellusAmazonPictures/master/pictures/HP/W. PS/840 G3 SILVER/BL/UK/8.jpg</v>
      </c>
      <c r="U8" t="str">
        <f t="shared" si="17"/>
        <v>https://raw.githubusercontent.com/PatrickVibild/TellusAmazonPictures/master/pictures/HP/W. PS/840 G3 SILVER/BL/UK/9.jpg</v>
      </c>
      <c r="V8" s="42">
        <f>MATCH(G8,options!$D$1:$D$20,0)</f>
        <v>5</v>
      </c>
    </row>
    <row r="9" spans="1:22" ht="57" x14ac:dyDescent="0.2">
      <c r="A9" s="37" t="s">
        <v>380</v>
      </c>
      <c r="B9" s="49" t="str">
        <f>IF(B6=options!C1,"2","5")</f>
        <v>2</v>
      </c>
      <c r="C9" s="41" t="b">
        <f>FALSE()</f>
        <v>0</v>
      </c>
      <c r="D9" s="41" t="b">
        <f>TRUE()</f>
        <v>1</v>
      </c>
      <c r="E9" s="62">
        <v>5714401842064</v>
      </c>
      <c r="F9" s="59" t="s">
        <v>685</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1</v>
      </c>
      <c r="K9" s="36" t="s">
        <v>695</v>
      </c>
      <c r="L9" s="45" t="b">
        <v>1</v>
      </c>
      <c r="M9" s="46" t="str">
        <f t="shared" si="9"/>
        <v>https://raw.githubusercontent.com/PatrickVibild/TellusAmazonPictures/master/pictures/HP/W. PS/840 G3 SILVER/BL/NOR/1.jpg</v>
      </c>
      <c r="N9" s="46" t="str">
        <f t="shared" si="10"/>
        <v>https://raw.githubusercontent.com/PatrickVibild/TellusAmazonPictures/master/pictures/HP/W. PS/840 G3 SILVER/BL/NOR/2.jpg</v>
      </c>
      <c r="O9" s="47" t="str">
        <f t="shared" si="11"/>
        <v>https://raw.githubusercontent.com/PatrickVibild/TellusAmazonPictures/master/pictures/HP/W. PS/840 G3 SILVER/BL/NOR/3.jpg</v>
      </c>
      <c r="P9" t="str">
        <f t="shared" si="12"/>
        <v>https://raw.githubusercontent.com/PatrickVibild/TellusAmazonPictures/master/pictures/HP/W. PS/840 G3 SILVER/BL/NOR/4.jpg</v>
      </c>
      <c r="Q9" t="str">
        <f t="shared" si="13"/>
        <v>https://raw.githubusercontent.com/PatrickVibild/TellusAmazonPictures/master/pictures/HP/W. PS/840 G3 SILVER/BL/NOR/5.jpg</v>
      </c>
      <c r="R9" t="str">
        <f t="shared" si="14"/>
        <v>https://raw.githubusercontent.com/PatrickVibild/TellusAmazonPictures/master/pictures/HP/W. PS/840 G3 SILVER/BL/NOR/6.jpg</v>
      </c>
      <c r="S9" t="str">
        <f t="shared" si="15"/>
        <v>https://raw.githubusercontent.com/PatrickVibild/TellusAmazonPictures/master/pictures/HP/W. PS/840 G3 SILVER/BL/NOR/7.jpg</v>
      </c>
      <c r="T9" t="str">
        <f t="shared" si="16"/>
        <v>https://raw.githubusercontent.com/PatrickVibild/TellusAmazonPictures/master/pictures/HP/W. PS/840 G3 SILVER/BL/NOR/8.jpg</v>
      </c>
      <c r="U9" t="str">
        <f t="shared" si="17"/>
        <v>https://raw.githubusercontent.com/PatrickVibild/TellusAmazonPictures/master/pictures/HP/W. PS/840 G3 SILVER/BL/NOR/9.jpg</v>
      </c>
      <c r="V9" s="42">
        <f>MATCH(G9,options!$D$1:$D$20,0)</f>
        <v>6</v>
      </c>
    </row>
    <row r="10" spans="1:22" x14ac:dyDescent="0.15">
      <c r="A10" t="s">
        <v>382</v>
      </c>
      <c r="B10" s="50"/>
      <c r="C10" s="41"/>
      <c r="D10" s="41"/>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1</v>
      </c>
      <c r="L10" s="45" t="b">
        <v>1</v>
      </c>
      <c r="M10" s="46" t="str">
        <f t="shared" si="9"/>
        <v/>
      </c>
      <c r="N10" s="46" t="str">
        <f t="shared" si="10"/>
        <v/>
      </c>
      <c r="O10" s="47" t="str">
        <f t="shared" si="11"/>
        <v/>
      </c>
      <c r="P10" t="str">
        <f t="shared" si="12"/>
        <v/>
      </c>
      <c r="Q10" t="str">
        <f t="shared" si="13"/>
        <v/>
      </c>
      <c r="R10" t="str">
        <f t="shared" si="14"/>
        <v/>
      </c>
      <c r="S10" t="str">
        <f t="shared" si="15"/>
        <v/>
      </c>
      <c r="T10" t="str">
        <f t="shared" si="16"/>
        <v/>
      </c>
      <c r="U10" t="str">
        <f t="shared" si="17"/>
        <v/>
      </c>
      <c r="V10" s="42">
        <f>MATCH(G10,options!$D$1:$D$20,0)</f>
        <v>7</v>
      </c>
    </row>
    <row r="11" spans="1:22" ht="14" x14ac:dyDescent="0.15">
      <c r="A11" s="37" t="s">
        <v>384</v>
      </c>
      <c r="B11" s="51">
        <v>150</v>
      </c>
      <c r="C11" s="41"/>
      <c r="D11" s="41"/>
      <c r="E11" s="60"/>
      <c r="F11" s="59"/>
      <c r="G11" s="4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3" t="b">
        <f>TRUE()</f>
        <v>1</v>
      </c>
      <c r="J11" s="44" t="b">
        <v>1</v>
      </c>
      <c r="K11" s="36"/>
      <c r="L11" s="45" t="b">
        <v>1</v>
      </c>
      <c r="M11" s="46" t="str">
        <f t="shared" si="9"/>
        <v/>
      </c>
      <c r="N11" s="46" t="str">
        <f t="shared" si="10"/>
        <v/>
      </c>
      <c r="O11" s="47" t="str">
        <f t="shared" si="11"/>
        <v/>
      </c>
      <c r="P11" t="str">
        <f t="shared" si="12"/>
        <v/>
      </c>
      <c r="Q11" t="str">
        <f t="shared" si="13"/>
        <v/>
      </c>
      <c r="R11" t="str">
        <f t="shared" si="14"/>
        <v/>
      </c>
      <c r="S11" t="str">
        <f t="shared" si="15"/>
        <v/>
      </c>
      <c r="T11" t="str">
        <f t="shared" si="16"/>
        <v/>
      </c>
      <c r="U11" t="str">
        <f t="shared" si="17"/>
        <v/>
      </c>
      <c r="V11" s="42">
        <f>MATCH(G11,options!$D$1:$D$20,0)</f>
        <v>15</v>
      </c>
    </row>
    <row r="12" spans="1:22" ht="56" x14ac:dyDescent="0.15">
      <c r="B12" s="50"/>
      <c r="C12" s="41" t="b">
        <f>FALSE()</f>
        <v>0</v>
      </c>
      <c r="D12" s="41" t="b">
        <v>1</v>
      </c>
      <c r="E12" s="36">
        <v>5714401842187</v>
      </c>
      <c r="F12" s="36" t="s">
        <v>683</v>
      </c>
      <c r="G12" s="4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3" t="b">
        <f>TRUE()</f>
        <v>1</v>
      </c>
      <c r="J12" s="44" t="b">
        <v>1</v>
      </c>
      <c r="K12" s="36" t="s">
        <v>692</v>
      </c>
      <c r="L12" s="45" t="b">
        <v>1</v>
      </c>
      <c r="M12" s="46" t="str">
        <f t="shared" si="9"/>
        <v>https://raw.githubusercontent.com/PatrickVibild/TellusAmazonPictures/master/pictures/HP/W. PS/840 G3 SILVER/BL/USI/1.jpg</v>
      </c>
      <c r="N12" s="46" t="str">
        <f t="shared" si="10"/>
        <v>https://raw.githubusercontent.com/PatrickVibild/TellusAmazonPictures/master/pictures/HP/W. PS/840 G3 SILVER/BL/USI/2.jpg</v>
      </c>
      <c r="O12" s="47" t="str">
        <f t="shared" si="11"/>
        <v>https://raw.githubusercontent.com/PatrickVibild/TellusAmazonPictures/master/pictures/HP/W. PS/840 G3 SILVER/BL/USI/3.jpg</v>
      </c>
      <c r="P12" t="str">
        <f t="shared" si="12"/>
        <v>https://raw.githubusercontent.com/PatrickVibild/TellusAmazonPictures/master/pictures/HP/W. PS/840 G3 SILVER/BL/USI/4.jpg</v>
      </c>
      <c r="Q12" t="str">
        <f t="shared" si="13"/>
        <v>https://raw.githubusercontent.com/PatrickVibild/TellusAmazonPictures/master/pictures/HP/W. PS/840 G3 SILVER/BL/USI/5.jpg</v>
      </c>
      <c r="R12" t="str">
        <f t="shared" si="14"/>
        <v>https://raw.githubusercontent.com/PatrickVibild/TellusAmazonPictures/master/pictures/HP/W. PS/840 G3 SILVER/BL/USI/6.jpg</v>
      </c>
      <c r="S12" t="str">
        <f t="shared" si="15"/>
        <v>https://raw.githubusercontent.com/PatrickVibild/TellusAmazonPictures/master/pictures/HP/W. PS/840 G3 SILVER/BL/USI/7.jpg</v>
      </c>
      <c r="T12" t="str">
        <f t="shared" si="16"/>
        <v>https://raw.githubusercontent.com/PatrickVibild/TellusAmazonPictures/master/pictures/HP/W. PS/840 G3 SILVER/BL/USI/8.jpg</v>
      </c>
      <c r="U12" t="str">
        <f t="shared" si="17"/>
        <v>https://raw.githubusercontent.com/PatrickVibild/TellusAmazonPictures/master/pictures/HP/W. PS/840 G3 SILVER/BL/USI/9.jpg</v>
      </c>
      <c r="V12" s="42">
        <f>MATCH(G12,options!$D$1:$D$20,0)</f>
        <v>16</v>
      </c>
    </row>
    <row r="13" spans="1:22" ht="56" x14ac:dyDescent="0.15">
      <c r="A13" s="37" t="s">
        <v>387</v>
      </c>
      <c r="B13" s="36" t="s">
        <v>677</v>
      </c>
      <c r="C13" s="41" t="b">
        <v>1</v>
      </c>
      <c r="D13" s="41" t="b">
        <f>FALSE()</f>
        <v>0</v>
      </c>
      <c r="E13" s="36">
        <v>5714401842200</v>
      </c>
      <c r="F13" s="36" t="s">
        <v>684</v>
      </c>
      <c r="G13" s="4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3" t="b">
        <f>TRUE()</f>
        <v>1</v>
      </c>
      <c r="J13" s="44" t="b">
        <v>1</v>
      </c>
      <c r="K13" s="36" t="s">
        <v>693</v>
      </c>
      <c r="L13" s="45" t="b">
        <v>1</v>
      </c>
      <c r="M13" s="46" t="str">
        <f t="shared" si="9"/>
        <v>https://raw.githubusercontent.com/PatrickVibild/TellusAmazonPictures/master/pictures/HP/W. PS/840 G3 SILVER/BL/US/1.jpg</v>
      </c>
      <c r="N13" s="46" t="str">
        <f t="shared" si="10"/>
        <v>https://raw.githubusercontent.com/PatrickVibild/TellusAmazonPictures/master/pictures/HP/W. PS/840 G3 SILVER/BL/US/2.jpg</v>
      </c>
      <c r="O13" s="47" t="str">
        <f t="shared" si="11"/>
        <v>https://raw.githubusercontent.com/PatrickVibild/TellusAmazonPictures/master/pictures/HP/W. PS/840 G3 SILVER/BL/US/3.jpg</v>
      </c>
      <c r="P13" t="str">
        <f t="shared" si="12"/>
        <v>https://raw.githubusercontent.com/PatrickVibild/TellusAmazonPictures/master/pictures/HP/W. PS/840 G3 SILVER/BL/US/4.jpg</v>
      </c>
      <c r="Q13" t="str">
        <f t="shared" si="13"/>
        <v>https://raw.githubusercontent.com/PatrickVibild/TellusAmazonPictures/master/pictures/HP/W. PS/840 G3 SILVER/BL/US/5.jpg</v>
      </c>
      <c r="R13" t="str">
        <f t="shared" si="14"/>
        <v>https://raw.githubusercontent.com/PatrickVibild/TellusAmazonPictures/master/pictures/HP/W. PS/840 G3 SILVER/BL/US/6.jpg</v>
      </c>
      <c r="S13" t="str">
        <f t="shared" si="15"/>
        <v>https://raw.githubusercontent.com/PatrickVibild/TellusAmazonPictures/master/pictures/HP/W. PS/840 G3 SILVER/BL/US/7.jpg</v>
      </c>
      <c r="T13" t="str">
        <f t="shared" si="16"/>
        <v>https://raw.githubusercontent.com/PatrickVibild/TellusAmazonPictures/master/pictures/HP/W. PS/840 G3 SILVER/BL/US/8.jpg</v>
      </c>
      <c r="U13" t="str">
        <f t="shared" si="17"/>
        <v>https://raw.githubusercontent.com/PatrickVibild/TellusAmazonPictures/master/pictures/HP/W. PS/840 G3 SILVER/BL/US/9.jpg</v>
      </c>
      <c r="V13" s="42">
        <f>MATCH(G13,options!$D$1:$D$20,0)</f>
        <v>18</v>
      </c>
    </row>
    <row r="14" spans="1:22" x14ac:dyDescent="0.15">
      <c r="A14" s="37" t="s">
        <v>389</v>
      </c>
      <c r="B14" s="36">
        <v>5714401842996</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0</v>
      </c>
      <c r="K14" s="36"/>
      <c r="L14" s="45" t="b">
        <v>1</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0</v>
      </c>
      <c r="K15" s="36"/>
      <c r="L15" s="45" t="b">
        <v>1</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565</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0</v>
      </c>
      <c r="K16" s="36"/>
      <c r="L16" s="45" t="b">
        <v>1</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0</v>
      </c>
      <c r="K17" s="36"/>
      <c r="L17" s="45" t="b">
        <v>1</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0</v>
      </c>
      <c r="K20" s="36"/>
      <c r="L20" s="45" t="b">
        <v>1</v>
      </c>
      <c r="M20" s="46" t="str">
        <f t="shared" si="0"/>
        <v/>
      </c>
      <c r="N20" s="46" t="str">
        <f t="shared" si="1"/>
        <v/>
      </c>
      <c r="O20" s="47" t="str">
        <f t="shared" si="2"/>
        <v/>
      </c>
      <c r="P20" t="str">
        <f t="shared" si="3"/>
        <v/>
      </c>
      <c r="Q20" t="str">
        <f t="shared" si="4"/>
        <v/>
      </c>
      <c r="R20" t="str">
        <f t="shared" si="5"/>
        <v/>
      </c>
      <c r="S20" t="str">
        <f t="shared" si="6"/>
        <v/>
      </c>
      <c r="T20" t="str">
        <f t="shared" si="7"/>
        <v/>
      </c>
      <c r="U20" t="str">
        <f t="shared" si="8"/>
        <v/>
      </c>
      <c r="V20" s="42">
        <f>MATCH(G20,options!$D$1:$D$20,0)</f>
        <v>15</v>
      </c>
    </row>
    <row r="21" spans="1:22"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c r="L21" s="45" t="b">
        <v>1</v>
      </c>
      <c r="M21" s="46" t="str">
        <f t="shared" si="0"/>
        <v/>
      </c>
      <c r="N21" s="46" t="str">
        <f t="shared" si="1"/>
        <v/>
      </c>
      <c r="O21" s="47" t="str">
        <f t="shared" si="2"/>
        <v/>
      </c>
      <c r="P21" t="str">
        <f t="shared" si="3"/>
        <v/>
      </c>
      <c r="Q21" t="str">
        <f t="shared" si="4"/>
        <v/>
      </c>
      <c r="R21" t="str">
        <f t="shared" si="5"/>
        <v/>
      </c>
      <c r="S21" t="str">
        <f t="shared" si="6"/>
        <v/>
      </c>
      <c r="T21" t="str">
        <f t="shared" si="7"/>
        <v/>
      </c>
      <c r="U21" t="str">
        <f t="shared" si="8"/>
        <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0</v>
      </c>
      <c r="K22" s="36"/>
      <c r="L22" s="45" t="b">
        <v>1</v>
      </c>
      <c r="M22" s="46" t="str">
        <f>IF(ISBLANK(K22),"",IF(L22, "https://raw.githubusercontent.com/PatrickVibild/TellusAmazonPictures/master/pictures/"&amp;K22&amp;"/1.jpg","https://download.lenovo.com/Images/Parts/"&amp;K22&amp;"/"&amp;K22&amp;"_A.jpg"))</f>
        <v/>
      </c>
      <c r="N22" s="46" t="str">
        <f>IF(ISBLANK(K22),"",IF(L22, "https://raw.githubusercontent.com/PatrickVibild/TellusAmazonPictures/master/pictures/"&amp;K22&amp;"/2.jpg","https://download.lenovo.com/Images/Parts/"&amp;K22&amp;"/"&amp;K22&amp;"_B.jpg"))</f>
        <v/>
      </c>
      <c r="O22" s="47" t="str">
        <f>IF(ISBLANK(K22),"",IF(L22, "https://raw.githubusercontent.com/PatrickVibild/TellusAmazonPictures/master/pictures/"&amp;K22&amp;"/3.jpg","https://download.lenovo.com/Images/Parts/"&amp;K22&amp;"/"&amp;K22&amp;"_details.jpg"))</f>
        <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42">
        <f>MATCH(G22,options!$D$1:$D$20,0)</f>
        <v>17</v>
      </c>
    </row>
    <row r="23" spans="1:22" ht="57" x14ac:dyDescent="0.2">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1" t="b">
        <v>1</v>
      </c>
      <c r="D23" s="41" t="b">
        <v>0</v>
      </c>
      <c r="E23" s="62">
        <v>5714401843191</v>
      </c>
      <c r="F23" s="59" t="s">
        <v>686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694</v>
      </c>
      <c r="L23" s="45" t="b">
        <v>1</v>
      </c>
      <c r="M23" s="46" t="str">
        <f>IF(ISBLANK(K23),"",IF(L23, "https://raw.githubusercontent.com/PatrickVibild/TellusAmazonPictures/master/pictures/"&amp;K23&amp;"/1.jpg","https://download.lenovo.com/Images/Parts/"&amp;K23&amp;"/"&amp;K23&amp;"_A.jpg"))</f>
        <v>https://raw.githubusercontent.com/PatrickVibild/TellusAmazonPictures/master/pictures/HP/W. PS/840 G3 SILVER/RG/US/1.jpg</v>
      </c>
      <c r="N23" s="46" t="str">
        <f>IF(ISBLANK(K23),"",IF(L23, "https://raw.githubusercontent.com/PatrickVibild/TellusAmazonPictures/master/pictures/"&amp;K23&amp;"/2.jpg","https://download.lenovo.com/Images/Parts/"&amp;K23&amp;"/"&amp;K23&amp;"_B.jpg"))</f>
        <v>https://raw.githubusercontent.com/PatrickVibild/TellusAmazonPictures/master/pictures/HP/W. PS/840 G3 SILVER/RG/US/2.jpg</v>
      </c>
      <c r="O23" s="47" t="str">
        <f>IF(ISBLANK(K23),"",IF(L23, "https://raw.githubusercontent.com/PatrickVibild/TellusAmazonPictures/master/pictures/"&amp;K23&amp;"/3.jpg","https://download.lenovo.com/Images/Parts/"&amp;K23&amp;"/"&amp;K23&amp;"_details.jpg"))</f>
        <v>https://raw.githubusercontent.com/PatrickVibild/TellusAmazonPictures/master/pictures/HP/W. PS/840 G3 SILVER/RG/US/3.jpg</v>
      </c>
      <c r="P23" t="str">
        <f>IF(ISBLANK(K23),"",IF(L23, "https://raw.githubusercontent.com/PatrickVibild/TellusAmazonPictures/master/pictures/"&amp;K23&amp;"/4.jpg", ""))</f>
        <v>https://raw.githubusercontent.com/PatrickVibild/TellusAmazonPictures/master/pictures/HP/W. PS/840 G3 SILVER/RG/US/4.jpg</v>
      </c>
      <c r="Q23" t="str">
        <f>IF(ISBLANK(K23),"",IF(L23, "https://raw.githubusercontent.com/PatrickVibild/TellusAmazonPictures/master/pictures/"&amp;K23&amp;"/5.jpg", ""))</f>
        <v>https://raw.githubusercontent.com/PatrickVibild/TellusAmazonPictures/master/pictures/HP/W. PS/840 G3 SILVER/RG/US/5.jpg</v>
      </c>
      <c r="R23" t="str">
        <f>IF(ISBLANK(K23),"",IF(L23, "https://raw.githubusercontent.com/PatrickVibild/TellusAmazonPictures/master/pictures/"&amp;K23&amp;"/6.jpg", ""))</f>
        <v>https://raw.githubusercontent.com/PatrickVibild/TellusAmazonPictures/master/pictures/HP/W. PS/840 G3 SILVER/RG/US/6.jpg</v>
      </c>
      <c r="S23" t="str">
        <f>IF(ISBLANK(K23),"",IF(L23, "https://raw.githubusercontent.com/PatrickVibild/TellusAmazonPictures/master/pictures/"&amp;K23&amp;"/7.jpg", ""))</f>
        <v>https://raw.githubusercontent.com/PatrickVibild/TellusAmazonPictures/master/pictures/HP/W. PS/840 G3 SILVER/RG/US/7.jpg</v>
      </c>
      <c r="T23" t="str">
        <f>IF(ISBLANK(K23),"",IF(L23, "https://raw.githubusercontent.com/PatrickVibild/TellusAmazonPictures/master/pictures/"&amp;K23&amp;"/8.jpg",""))</f>
        <v>https://raw.githubusercontent.com/PatrickVibild/TellusAmazonPictures/master/pictures/HP/W. PS/840 G3 SILVER/RG/US/8.jpg</v>
      </c>
      <c r="U23" t="str">
        <f>IF(ISBLANK(K23),"",IF(L23, "https://raw.githubusercontent.com/PatrickVibild/TellusAmazonPictures/master/pictures/"&amp;K23&amp;"/9.jpg", ""))</f>
        <v>https://raw.githubusercontent.com/PatrickVibild/TellusAmazonPictures/master/pictures/HP/W. PS/840 G3 SILVER/RG/US/9.jpg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c r="K36" s="36"/>
      <c r="L36" s="45"/>
      <c r="M36" s="46" t="str">
        <f t="shared" ref="M36:M67" si="18">IF(ISBLANK(K36),"",IF(L36, "https://raw.githubusercontent.com/PatrickVibild/TellusAmazonPictures/master/pictures/"&amp;K36&amp;"/1.jpg","https://download.lenovo.com/Images/Parts/"&amp;K36&amp;"/"&amp;K36&amp;"_A.jpg"))</f>
        <v/>
      </c>
      <c r="N36" s="46" t="str">
        <f t="shared" ref="N36:N67" si="19">IF(ISBLANK(K36),"",IF(L36, "https://raw.githubusercontent.com/PatrickVibild/TellusAmazonPictures/master/pictures/"&amp;K36&amp;"/2.jpg","https://download.lenovo.com/Images/Parts/"&amp;K36&amp;"/"&amp;K36&amp;"_B.jpg"))</f>
        <v/>
      </c>
      <c r="O36" s="47" t="str">
        <f t="shared" ref="O36:O67" si="20">IF(ISBLANK(K36),"",IF(L36, "https://raw.githubusercontent.com/PatrickVibild/TellusAmazonPictures/master/pictures/"&amp;K36&amp;"/3.jpg","https://download.lenovo.com/Images/Parts/"&amp;K36&amp;"/"&amp;K36&amp;"_details.jpg"))</f>
        <v/>
      </c>
      <c r="P36" t="str">
        <f t="shared" ref="P36:P67" si="21">IF(ISBLANK(K36),"",IF(L36, "https://raw.githubusercontent.com/PatrickVibild/TellusAmazonPictures/master/pictures/"&amp;K36&amp;"/4.jpg", ""))</f>
        <v/>
      </c>
      <c r="Q36" t="str">
        <f t="shared" ref="Q36:Q67" si="22">IF(ISBLANK(K36),"",IF(L36, "https://raw.githubusercontent.com/PatrickVibild/TellusAmazonPictures/master/pictures/"&amp;K36&amp;"/5.jpg", ""))</f>
        <v/>
      </c>
      <c r="R36" t="str">
        <f t="shared" ref="R36:R67" si="23">IF(ISBLANK(K36),"",IF(L36, "https://raw.githubusercontent.com/PatrickVibild/TellusAmazonPictures/master/pictures/"&amp;K36&amp;"/6.jpg", ""))</f>
        <v/>
      </c>
      <c r="S36" t="str">
        <f t="shared" ref="S36:S67" si="24">IF(ISBLANK(K36),"",IF(L36, "https://raw.githubusercontent.com/PatrickVibild/TellusAmazonPictures/master/pictures/"&amp;K36&amp;"/7.jpg", ""))</f>
        <v/>
      </c>
      <c r="T36" t="str">
        <f t="shared" ref="T36:T67" si="25">IF(ISBLANK(K36),"",IF(L36, "https://raw.githubusercontent.com/PatrickVibild/TellusAmazonPictures/master/pictures/"&amp;K36&amp;"/8.jpg",""))</f>
        <v/>
      </c>
      <c r="U36" t="str">
        <f t="shared" ref="U36:U67" si="26">IF(ISBLANK(K36),"",IF(L36, "https://raw.githubusercontent.com/PatrickVibild/TellusAmazonPictures/master/pictures/"&amp;K36&amp;"/9.jpg", ""))</f>
        <v/>
      </c>
      <c r="V36" s="42">
        <f>MATCH(G36,options!$D$1:$D$20,0)</f>
        <v>11</v>
      </c>
    </row>
    <row r="37" spans="1:22" ht="14" x14ac:dyDescent="0.15">
      <c r="A37" t="s">
        <v>413</v>
      </c>
      <c r="B37" s="52" t="s">
        <v>404</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c r="K37" s="36"/>
      <c r="L37" s="45"/>
      <c r="M37" s="46" t="str">
        <f t="shared" si="18"/>
        <v/>
      </c>
      <c r="N37" s="46" t="str">
        <f t="shared" si="19"/>
        <v/>
      </c>
      <c r="O37" s="47" t="str">
        <f t="shared" si="20"/>
        <v/>
      </c>
      <c r="P37" t="str">
        <f t="shared" si="21"/>
        <v/>
      </c>
      <c r="Q37" t="str">
        <f t="shared" si="22"/>
        <v/>
      </c>
      <c r="R37" t="str">
        <f t="shared" si="23"/>
        <v/>
      </c>
      <c r="S37" t="str">
        <f t="shared" si="24"/>
        <v/>
      </c>
      <c r="T37" t="str">
        <f t="shared" si="25"/>
        <v/>
      </c>
      <c r="U37" t="str">
        <f t="shared" si="26"/>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c r="K38" s="36"/>
      <c r="L38" s="45"/>
      <c r="M38" s="46" t="str">
        <f t="shared" si="18"/>
        <v/>
      </c>
      <c r="N38" s="46" t="str">
        <f t="shared" si="19"/>
        <v/>
      </c>
      <c r="O38" s="47" t="str">
        <f t="shared" si="20"/>
        <v/>
      </c>
      <c r="P38" t="str">
        <f t="shared" si="21"/>
        <v/>
      </c>
      <c r="Q38" t="str">
        <f t="shared" si="22"/>
        <v/>
      </c>
      <c r="R38" t="str">
        <f t="shared" si="23"/>
        <v/>
      </c>
      <c r="S38" t="str">
        <f t="shared" si="24"/>
        <v/>
      </c>
      <c r="T38" t="str">
        <f t="shared" si="25"/>
        <v/>
      </c>
      <c r="U38" t="str">
        <f t="shared" si="26"/>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c r="K39" s="36"/>
      <c r="L39" s="45"/>
      <c r="M39" s="46" t="str">
        <f t="shared" si="18"/>
        <v/>
      </c>
      <c r="N39" s="46" t="str">
        <f t="shared" si="19"/>
        <v/>
      </c>
      <c r="O39" s="47" t="str">
        <f t="shared" si="20"/>
        <v/>
      </c>
      <c r="P39" t="str">
        <f t="shared" si="21"/>
        <v/>
      </c>
      <c r="Q39" t="str">
        <f t="shared" si="22"/>
        <v/>
      </c>
      <c r="R39" t="str">
        <f t="shared" si="23"/>
        <v/>
      </c>
      <c r="S39" t="str">
        <f t="shared" si="24"/>
        <v/>
      </c>
      <c r="T39" t="str">
        <f t="shared" si="25"/>
        <v/>
      </c>
      <c r="U39" t="str">
        <f t="shared" si="26"/>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c r="K40" s="36"/>
      <c r="L40" s="45"/>
      <c r="M40" s="46" t="str">
        <f t="shared" si="18"/>
        <v/>
      </c>
      <c r="N40" s="46" t="str">
        <f t="shared" si="19"/>
        <v/>
      </c>
      <c r="O40" s="47" t="str">
        <f t="shared" si="20"/>
        <v/>
      </c>
      <c r="P40" t="str">
        <f t="shared" si="21"/>
        <v/>
      </c>
      <c r="Q40" t="str">
        <f t="shared" si="22"/>
        <v/>
      </c>
      <c r="R40" t="str">
        <f t="shared" si="23"/>
        <v/>
      </c>
      <c r="S40" t="str">
        <f t="shared" si="24"/>
        <v/>
      </c>
      <c r="T40" t="str">
        <f t="shared" si="25"/>
        <v/>
      </c>
      <c r="U40" t="str">
        <f t="shared" si="26"/>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18"/>
        <v/>
      </c>
      <c r="N41" s="46" t="str">
        <f t="shared" si="19"/>
        <v/>
      </c>
      <c r="O41" s="47" t="str">
        <f t="shared" si="20"/>
        <v/>
      </c>
      <c r="P41" t="str">
        <f t="shared" si="21"/>
        <v/>
      </c>
      <c r="Q41" t="str">
        <f t="shared" si="22"/>
        <v/>
      </c>
      <c r="R41" t="str">
        <f t="shared" si="23"/>
        <v/>
      </c>
      <c r="S41" t="str">
        <f t="shared" si="24"/>
        <v/>
      </c>
      <c r="T41" t="str">
        <f t="shared" si="25"/>
        <v/>
      </c>
      <c r="U41" t="str">
        <f t="shared" si="26"/>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c r="K42" s="36"/>
      <c r="L42" s="45"/>
      <c r="M42" s="46" t="str">
        <f t="shared" si="18"/>
        <v/>
      </c>
      <c r="N42" s="46" t="str">
        <f t="shared" si="19"/>
        <v/>
      </c>
      <c r="O42" s="47" t="str">
        <f t="shared" si="20"/>
        <v/>
      </c>
      <c r="P42" t="str">
        <f t="shared" si="21"/>
        <v/>
      </c>
      <c r="Q42" t="str">
        <f t="shared" si="22"/>
        <v/>
      </c>
      <c r="R42" t="str">
        <f t="shared" si="23"/>
        <v/>
      </c>
      <c r="S42" t="str">
        <f t="shared" si="24"/>
        <v/>
      </c>
      <c r="T42" t="str">
        <f t="shared" si="25"/>
        <v/>
      </c>
      <c r="U42" t="str">
        <f t="shared" si="26"/>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18"/>
        <v/>
      </c>
      <c r="N43" s="46" t="str">
        <f t="shared" si="19"/>
        <v/>
      </c>
      <c r="O43" s="47" t="str">
        <f t="shared" si="20"/>
        <v/>
      </c>
      <c r="P43" t="str">
        <f t="shared" si="21"/>
        <v/>
      </c>
      <c r="Q43" t="str">
        <f t="shared" si="22"/>
        <v/>
      </c>
      <c r="R43" t="str">
        <f t="shared" si="23"/>
        <v/>
      </c>
      <c r="S43" t="str">
        <f t="shared" si="24"/>
        <v/>
      </c>
      <c r="T43" t="str">
        <f t="shared" si="25"/>
        <v/>
      </c>
      <c r="U43" t="str">
        <f t="shared" si="26"/>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18"/>
        <v/>
      </c>
      <c r="N44" s="46" t="str">
        <f t="shared" si="19"/>
        <v/>
      </c>
      <c r="O44" s="47" t="str">
        <f t="shared" si="20"/>
        <v/>
      </c>
      <c r="P44" t="str">
        <f t="shared" si="21"/>
        <v/>
      </c>
      <c r="Q44" t="str">
        <f t="shared" si="22"/>
        <v/>
      </c>
      <c r="R44" t="str">
        <f t="shared" si="23"/>
        <v/>
      </c>
      <c r="S44" t="str">
        <f t="shared" si="24"/>
        <v/>
      </c>
      <c r="T44" t="str">
        <f t="shared" si="25"/>
        <v/>
      </c>
      <c r="U44" t="str">
        <f t="shared" si="26"/>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18"/>
        <v/>
      </c>
      <c r="N45" s="46" t="str">
        <f t="shared" si="19"/>
        <v/>
      </c>
      <c r="O45" s="47" t="str">
        <f t="shared" si="20"/>
        <v/>
      </c>
      <c r="P45" t="str">
        <f t="shared" si="21"/>
        <v/>
      </c>
      <c r="Q45" t="str">
        <f t="shared" si="22"/>
        <v/>
      </c>
      <c r="R45" t="str">
        <f t="shared" si="23"/>
        <v/>
      </c>
      <c r="S45" t="str">
        <f t="shared" si="24"/>
        <v/>
      </c>
      <c r="T45" t="str">
        <f t="shared" si="25"/>
        <v/>
      </c>
      <c r="U45" t="str">
        <f t="shared" si="26"/>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18"/>
        <v/>
      </c>
      <c r="N46" s="46" t="str">
        <f t="shared" si="19"/>
        <v/>
      </c>
      <c r="O46" s="47" t="str">
        <f t="shared" si="20"/>
        <v/>
      </c>
      <c r="P46" t="str">
        <f t="shared" si="21"/>
        <v/>
      </c>
      <c r="Q46" t="str">
        <f t="shared" si="22"/>
        <v/>
      </c>
      <c r="R46" t="str">
        <f t="shared" si="23"/>
        <v/>
      </c>
      <c r="S46" t="str">
        <f t="shared" si="24"/>
        <v/>
      </c>
      <c r="T46" t="str">
        <f t="shared" si="25"/>
        <v/>
      </c>
      <c r="U46" t="str">
        <f t="shared" si="26"/>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18"/>
        <v/>
      </c>
      <c r="N47" s="46" t="str">
        <f t="shared" si="19"/>
        <v/>
      </c>
      <c r="O47" s="47" t="str">
        <f t="shared" si="20"/>
        <v/>
      </c>
      <c r="P47" t="str">
        <f t="shared" si="21"/>
        <v/>
      </c>
      <c r="Q47" t="str">
        <f t="shared" si="22"/>
        <v/>
      </c>
      <c r="R47" t="str">
        <f t="shared" si="23"/>
        <v/>
      </c>
      <c r="S47" t="str">
        <f t="shared" si="24"/>
        <v/>
      </c>
      <c r="T47" t="str">
        <f t="shared" si="25"/>
        <v/>
      </c>
      <c r="U47" t="str">
        <f t="shared" si="26"/>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18"/>
        <v/>
      </c>
      <c r="N48" s="46" t="str">
        <f t="shared" si="19"/>
        <v/>
      </c>
      <c r="O48" s="47" t="str">
        <f t="shared" si="20"/>
        <v/>
      </c>
      <c r="P48" t="str">
        <f t="shared" si="21"/>
        <v/>
      </c>
      <c r="Q48" t="str">
        <f t="shared" si="22"/>
        <v/>
      </c>
      <c r="R48" t="str">
        <f t="shared" si="23"/>
        <v/>
      </c>
      <c r="S48" t="str">
        <f t="shared" si="24"/>
        <v/>
      </c>
      <c r="T48" t="str">
        <f t="shared" si="25"/>
        <v/>
      </c>
      <c r="U48" t="str">
        <f t="shared" si="26"/>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18"/>
        <v/>
      </c>
      <c r="N49" s="46" t="str">
        <f t="shared" si="19"/>
        <v/>
      </c>
      <c r="O49" s="47" t="str">
        <f t="shared" si="20"/>
        <v/>
      </c>
      <c r="P49" t="str">
        <f t="shared" si="21"/>
        <v/>
      </c>
      <c r="Q49" t="str">
        <f t="shared" si="22"/>
        <v/>
      </c>
      <c r="R49" t="str">
        <f t="shared" si="23"/>
        <v/>
      </c>
      <c r="S49" t="str">
        <f t="shared" si="24"/>
        <v/>
      </c>
      <c r="T49" t="str">
        <f t="shared" si="25"/>
        <v/>
      </c>
      <c r="U49" t="str">
        <f t="shared" si="26"/>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18"/>
        <v/>
      </c>
      <c r="N50" s="46" t="str">
        <f t="shared" si="19"/>
        <v/>
      </c>
      <c r="O50" s="47" t="str">
        <f t="shared" si="20"/>
        <v/>
      </c>
      <c r="P50" t="str">
        <f t="shared" si="21"/>
        <v/>
      </c>
      <c r="Q50" t="str">
        <f t="shared" si="22"/>
        <v/>
      </c>
      <c r="R50" t="str">
        <f t="shared" si="23"/>
        <v/>
      </c>
      <c r="S50" t="str">
        <f t="shared" si="24"/>
        <v/>
      </c>
      <c r="T50" t="str">
        <f t="shared" si="25"/>
        <v/>
      </c>
      <c r="U50" t="str">
        <f t="shared" si="26"/>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18"/>
        <v/>
      </c>
      <c r="N51" s="46" t="str">
        <f t="shared" si="19"/>
        <v/>
      </c>
      <c r="O51" s="47" t="str">
        <f t="shared" si="20"/>
        <v/>
      </c>
      <c r="P51" t="str">
        <f t="shared" si="21"/>
        <v/>
      </c>
      <c r="Q51" t="str">
        <f t="shared" si="22"/>
        <v/>
      </c>
      <c r="R51" t="str">
        <f t="shared" si="23"/>
        <v/>
      </c>
      <c r="S51" t="str">
        <f t="shared" si="24"/>
        <v/>
      </c>
      <c r="T51" t="str">
        <f t="shared" si="25"/>
        <v/>
      </c>
      <c r="U51" t="str">
        <f t="shared" si="26"/>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18"/>
        <v/>
      </c>
      <c r="N52" s="46" t="str">
        <f t="shared" si="19"/>
        <v/>
      </c>
      <c r="O52" s="47" t="str">
        <f t="shared" si="20"/>
        <v/>
      </c>
      <c r="P52" t="str">
        <f t="shared" si="21"/>
        <v/>
      </c>
      <c r="Q52" t="str">
        <f t="shared" si="22"/>
        <v/>
      </c>
      <c r="R52" t="str">
        <f t="shared" si="23"/>
        <v/>
      </c>
      <c r="S52" t="str">
        <f t="shared" si="24"/>
        <v/>
      </c>
      <c r="T52" t="str">
        <f t="shared" si="25"/>
        <v/>
      </c>
      <c r="U52" t="str">
        <f t="shared" si="26"/>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18"/>
        <v/>
      </c>
      <c r="N53" s="46" t="str">
        <f t="shared" si="19"/>
        <v/>
      </c>
      <c r="O53" s="47" t="str">
        <f t="shared" si="20"/>
        <v/>
      </c>
      <c r="P53" t="str">
        <f t="shared" si="21"/>
        <v/>
      </c>
      <c r="Q53" t="str">
        <f t="shared" si="22"/>
        <v/>
      </c>
      <c r="R53" t="str">
        <f t="shared" si="23"/>
        <v/>
      </c>
      <c r="S53" t="str">
        <f t="shared" si="24"/>
        <v/>
      </c>
      <c r="T53" t="str">
        <f t="shared" si="25"/>
        <v/>
      </c>
      <c r="U53" t="str">
        <f t="shared" si="26"/>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18"/>
        <v/>
      </c>
      <c r="N54" s="46" t="str">
        <f t="shared" si="19"/>
        <v/>
      </c>
      <c r="O54" s="47" t="str">
        <f t="shared" si="20"/>
        <v/>
      </c>
      <c r="P54" t="str">
        <f t="shared" si="21"/>
        <v/>
      </c>
      <c r="Q54" t="str">
        <f t="shared" si="22"/>
        <v/>
      </c>
      <c r="R54" t="str">
        <f t="shared" si="23"/>
        <v/>
      </c>
      <c r="S54" t="str">
        <f t="shared" si="24"/>
        <v/>
      </c>
      <c r="T54" t="str">
        <f t="shared" si="25"/>
        <v/>
      </c>
      <c r="U54" t="str">
        <f t="shared" si="26"/>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18"/>
        <v/>
      </c>
      <c r="N55" s="46" t="str">
        <f t="shared" si="19"/>
        <v/>
      </c>
      <c r="O55" s="47" t="str">
        <f t="shared" si="20"/>
        <v/>
      </c>
      <c r="P55" t="str">
        <f t="shared" si="21"/>
        <v/>
      </c>
      <c r="Q55" t="str">
        <f t="shared" si="22"/>
        <v/>
      </c>
      <c r="R55" t="str">
        <f t="shared" si="23"/>
        <v/>
      </c>
      <c r="S55" t="str">
        <f t="shared" si="24"/>
        <v/>
      </c>
      <c r="T55" t="str">
        <f t="shared" si="25"/>
        <v/>
      </c>
      <c r="U55" t="str">
        <f t="shared" si="26"/>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18"/>
        <v/>
      </c>
      <c r="N56" s="46" t="str">
        <f t="shared" si="19"/>
        <v/>
      </c>
      <c r="O56" s="47" t="str">
        <f t="shared" si="20"/>
        <v/>
      </c>
      <c r="P56" t="str">
        <f t="shared" si="21"/>
        <v/>
      </c>
      <c r="Q56" t="str">
        <f t="shared" si="22"/>
        <v/>
      </c>
      <c r="R56" t="str">
        <f t="shared" si="23"/>
        <v/>
      </c>
      <c r="S56" t="str">
        <f t="shared" si="24"/>
        <v/>
      </c>
      <c r="T56" t="str">
        <f t="shared" si="25"/>
        <v/>
      </c>
      <c r="U56" t="str">
        <f t="shared" si="26"/>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18"/>
        <v/>
      </c>
      <c r="N57" s="46" t="str">
        <f t="shared" si="19"/>
        <v/>
      </c>
      <c r="O57" s="47" t="str">
        <f t="shared" si="20"/>
        <v/>
      </c>
      <c r="P57" t="str">
        <f t="shared" si="21"/>
        <v/>
      </c>
      <c r="Q57" t="str">
        <f t="shared" si="22"/>
        <v/>
      </c>
      <c r="R57" t="str">
        <f t="shared" si="23"/>
        <v/>
      </c>
      <c r="S57" t="str">
        <f t="shared" si="24"/>
        <v/>
      </c>
      <c r="T57" t="str">
        <f t="shared" si="25"/>
        <v/>
      </c>
      <c r="U57" t="str">
        <f t="shared" si="26"/>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18"/>
        <v/>
      </c>
      <c r="N58" s="46" t="str">
        <f t="shared" si="19"/>
        <v/>
      </c>
      <c r="O58" s="47" t="str">
        <f t="shared" si="20"/>
        <v/>
      </c>
      <c r="P58" t="str">
        <f t="shared" si="21"/>
        <v/>
      </c>
      <c r="Q58" t="str">
        <f t="shared" si="22"/>
        <v/>
      </c>
      <c r="R58" t="str">
        <f t="shared" si="23"/>
        <v/>
      </c>
      <c r="S58" t="str">
        <f t="shared" si="24"/>
        <v/>
      </c>
      <c r="T58" t="str">
        <f t="shared" si="25"/>
        <v/>
      </c>
      <c r="U58" t="str">
        <f t="shared" si="26"/>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18"/>
        <v/>
      </c>
      <c r="N59" s="46" t="str">
        <f t="shared" si="19"/>
        <v/>
      </c>
      <c r="O59" s="47" t="str">
        <f t="shared" si="20"/>
        <v/>
      </c>
      <c r="P59" t="str">
        <f t="shared" si="21"/>
        <v/>
      </c>
      <c r="Q59" t="str">
        <f t="shared" si="22"/>
        <v/>
      </c>
      <c r="R59" t="str">
        <f t="shared" si="23"/>
        <v/>
      </c>
      <c r="S59" t="str">
        <f t="shared" si="24"/>
        <v/>
      </c>
      <c r="T59" t="str">
        <f t="shared" si="25"/>
        <v/>
      </c>
      <c r="U59" t="str">
        <f t="shared" si="26"/>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18"/>
        <v/>
      </c>
      <c r="N60" s="46" t="str">
        <f t="shared" si="19"/>
        <v/>
      </c>
      <c r="O60" s="47" t="str">
        <f t="shared" si="20"/>
        <v/>
      </c>
      <c r="P60" t="str">
        <f t="shared" si="21"/>
        <v/>
      </c>
      <c r="Q60" t="str">
        <f t="shared" si="22"/>
        <v/>
      </c>
      <c r="R60" t="str">
        <f t="shared" si="23"/>
        <v/>
      </c>
      <c r="S60" t="str">
        <f t="shared" si="24"/>
        <v/>
      </c>
      <c r="T60" t="str">
        <f t="shared" si="25"/>
        <v/>
      </c>
      <c r="U60" t="str">
        <f t="shared" si="26"/>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18"/>
        <v/>
      </c>
      <c r="N61" s="46" t="str">
        <f t="shared" si="19"/>
        <v/>
      </c>
      <c r="O61" s="47" t="str">
        <f t="shared" si="20"/>
        <v/>
      </c>
      <c r="P61" t="str">
        <f t="shared" si="21"/>
        <v/>
      </c>
      <c r="Q61" t="str">
        <f t="shared" si="22"/>
        <v/>
      </c>
      <c r="R61" t="str">
        <f t="shared" si="23"/>
        <v/>
      </c>
      <c r="S61" t="str">
        <f t="shared" si="24"/>
        <v/>
      </c>
      <c r="T61" t="str">
        <f t="shared" si="25"/>
        <v/>
      </c>
      <c r="U61" t="str">
        <f t="shared" si="26"/>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18"/>
        <v/>
      </c>
      <c r="N62" s="46" t="str">
        <f t="shared" si="19"/>
        <v/>
      </c>
      <c r="O62" s="47" t="str">
        <f t="shared" si="20"/>
        <v/>
      </c>
      <c r="P62" t="str">
        <f t="shared" si="21"/>
        <v/>
      </c>
      <c r="Q62" t="str">
        <f t="shared" si="22"/>
        <v/>
      </c>
      <c r="R62" t="str">
        <f t="shared" si="23"/>
        <v/>
      </c>
      <c r="S62" t="str">
        <f t="shared" si="24"/>
        <v/>
      </c>
      <c r="T62" t="str">
        <f t="shared" si="25"/>
        <v/>
      </c>
      <c r="U62" t="str">
        <f t="shared" si="26"/>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18"/>
        <v/>
      </c>
      <c r="N63" s="46" t="str">
        <f t="shared" si="19"/>
        <v/>
      </c>
      <c r="O63" s="47" t="str">
        <f t="shared" si="20"/>
        <v/>
      </c>
      <c r="P63" t="str">
        <f t="shared" si="21"/>
        <v/>
      </c>
      <c r="Q63" t="str">
        <f t="shared" si="22"/>
        <v/>
      </c>
      <c r="R63" t="str">
        <f t="shared" si="23"/>
        <v/>
      </c>
      <c r="S63" t="str">
        <f t="shared" si="24"/>
        <v/>
      </c>
      <c r="T63" t="str">
        <f t="shared" si="25"/>
        <v/>
      </c>
      <c r="U63" t="str">
        <f t="shared" si="26"/>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18"/>
        <v/>
      </c>
      <c r="N64" s="46" t="str">
        <f t="shared" si="19"/>
        <v/>
      </c>
      <c r="O64" s="47" t="str">
        <f t="shared" si="20"/>
        <v/>
      </c>
      <c r="P64" t="str">
        <f t="shared" si="21"/>
        <v/>
      </c>
      <c r="Q64" t="str">
        <f t="shared" si="22"/>
        <v/>
      </c>
      <c r="R64" t="str">
        <f t="shared" si="23"/>
        <v/>
      </c>
      <c r="S64" t="str">
        <f t="shared" si="24"/>
        <v/>
      </c>
      <c r="T64" t="str">
        <f t="shared" si="25"/>
        <v/>
      </c>
      <c r="U64" t="str">
        <f t="shared" si="26"/>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18"/>
        <v/>
      </c>
      <c r="N65" s="46" t="str">
        <f t="shared" si="19"/>
        <v/>
      </c>
      <c r="O65" s="47" t="str">
        <f t="shared" si="20"/>
        <v/>
      </c>
      <c r="P65" t="str">
        <f t="shared" si="21"/>
        <v/>
      </c>
      <c r="Q65" t="str">
        <f t="shared" si="22"/>
        <v/>
      </c>
      <c r="R65" t="str">
        <f t="shared" si="23"/>
        <v/>
      </c>
      <c r="S65" t="str">
        <f t="shared" si="24"/>
        <v/>
      </c>
      <c r="T65" t="str">
        <f t="shared" si="25"/>
        <v/>
      </c>
      <c r="U65" t="str">
        <f t="shared" si="26"/>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18"/>
        <v/>
      </c>
      <c r="N66" s="46" t="str">
        <f t="shared" si="19"/>
        <v/>
      </c>
      <c r="O66" s="47" t="str">
        <f t="shared" si="20"/>
        <v/>
      </c>
      <c r="P66" t="str">
        <f t="shared" si="21"/>
        <v/>
      </c>
      <c r="Q66" t="str">
        <f t="shared" si="22"/>
        <v/>
      </c>
      <c r="R66" t="str">
        <f t="shared" si="23"/>
        <v/>
      </c>
      <c r="S66" t="str">
        <f t="shared" si="24"/>
        <v/>
      </c>
      <c r="T66" t="str">
        <f t="shared" si="25"/>
        <v/>
      </c>
      <c r="U66" t="str">
        <f t="shared" si="26"/>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18"/>
        <v/>
      </c>
      <c r="N67" s="46" t="str">
        <f t="shared" si="19"/>
        <v/>
      </c>
      <c r="O67" s="47" t="str">
        <f t="shared" si="20"/>
        <v/>
      </c>
      <c r="P67" t="str">
        <f t="shared" si="21"/>
        <v/>
      </c>
      <c r="Q67" t="str">
        <f t="shared" si="22"/>
        <v/>
      </c>
      <c r="R67" t="str">
        <f t="shared" si="23"/>
        <v/>
      </c>
      <c r="S67" t="str">
        <f t="shared" si="24"/>
        <v/>
      </c>
      <c r="T67" t="str">
        <f t="shared" si="25"/>
        <v/>
      </c>
      <c r="U67" t="str">
        <f t="shared" si="26"/>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27">IF(ISBLANK(K68),"",IF(L68, "https://raw.githubusercontent.com/PatrickVibild/TellusAmazonPictures/master/pictures/"&amp;K68&amp;"/1.jpg","https://download.lenovo.com/Images/Parts/"&amp;K68&amp;"/"&amp;K68&amp;"_A.jpg"))</f>
        <v/>
      </c>
      <c r="N68" s="46" t="str">
        <f t="shared" ref="N68:N103" si="28">IF(ISBLANK(K68),"",IF(L68, "https://raw.githubusercontent.com/PatrickVibild/TellusAmazonPictures/master/pictures/"&amp;K68&amp;"/2.jpg","https://download.lenovo.com/Images/Parts/"&amp;K68&amp;"/"&amp;K68&amp;"_B.jpg"))</f>
        <v/>
      </c>
      <c r="O68" s="47" t="str">
        <f t="shared" ref="O68:O103" si="29">IF(ISBLANK(K68),"",IF(L68, "https://raw.githubusercontent.com/PatrickVibild/TellusAmazonPictures/master/pictures/"&amp;K68&amp;"/3.jpg","https://download.lenovo.com/Images/Parts/"&amp;K68&amp;"/"&amp;K68&amp;"_details.jpg"))</f>
        <v/>
      </c>
      <c r="P68" t="str">
        <f t="shared" ref="P68:P103" si="30">IF(ISBLANK(K68),"",IF(L68, "https://raw.githubusercontent.com/PatrickVibild/TellusAmazonPictures/master/pictures/"&amp;K68&amp;"/4.jpg", ""))</f>
        <v/>
      </c>
      <c r="Q68" t="str">
        <f t="shared" ref="Q68:Q103" si="31">IF(ISBLANK(K68),"",IF(L68, "https://raw.githubusercontent.com/PatrickVibild/TellusAmazonPictures/master/pictures/"&amp;K68&amp;"/5.jpg", ""))</f>
        <v/>
      </c>
      <c r="R68" t="str">
        <f t="shared" ref="R68:R103" si="32">IF(ISBLANK(K68),"",IF(L68, "https://raw.githubusercontent.com/PatrickVibild/TellusAmazonPictures/master/pictures/"&amp;K68&amp;"/6.jpg", ""))</f>
        <v/>
      </c>
      <c r="S68" t="str">
        <f t="shared" ref="S68:S103" si="33">IF(ISBLANK(K68),"",IF(L68, "https://raw.githubusercontent.com/PatrickVibild/TellusAmazonPictures/master/pictures/"&amp;K68&amp;"/7.jpg", ""))</f>
        <v/>
      </c>
      <c r="T68" t="str">
        <f t="shared" ref="T68:T103" si="34">IF(ISBLANK(K68),"",IF(L68, "https://raw.githubusercontent.com/PatrickVibild/TellusAmazonPictures/master/pictures/"&amp;K68&amp;"/8.jpg",""))</f>
        <v/>
      </c>
      <c r="U68" t="str">
        <f t="shared" ref="U68:U103" si="35">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27"/>
        <v/>
      </c>
      <c r="N69" s="46" t="str">
        <f t="shared" si="28"/>
        <v/>
      </c>
      <c r="O69" s="47" t="str">
        <f t="shared" si="29"/>
        <v/>
      </c>
      <c r="P69" t="str">
        <f t="shared" si="30"/>
        <v/>
      </c>
      <c r="Q69" t="str">
        <f t="shared" si="31"/>
        <v/>
      </c>
      <c r="R69" t="str">
        <f t="shared" si="32"/>
        <v/>
      </c>
      <c r="S69" t="str">
        <f t="shared" si="33"/>
        <v/>
      </c>
      <c r="T69" t="str">
        <f t="shared" si="34"/>
        <v/>
      </c>
      <c r="U69" t="str">
        <f t="shared" si="35"/>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27"/>
        <v/>
      </c>
      <c r="N70" s="46" t="str">
        <f t="shared" si="28"/>
        <v/>
      </c>
      <c r="O70" s="47" t="str">
        <f t="shared" si="29"/>
        <v/>
      </c>
      <c r="P70" t="str">
        <f t="shared" si="30"/>
        <v/>
      </c>
      <c r="Q70" t="str">
        <f t="shared" si="31"/>
        <v/>
      </c>
      <c r="R70" t="str">
        <f t="shared" si="32"/>
        <v/>
      </c>
      <c r="S70" t="str">
        <f t="shared" si="33"/>
        <v/>
      </c>
      <c r="T70" t="str">
        <f t="shared" si="34"/>
        <v/>
      </c>
      <c r="U70" t="str">
        <f t="shared" si="35"/>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27"/>
        <v/>
      </c>
      <c r="N71" s="46" t="str">
        <f t="shared" si="28"/>
        <v/>
      </c>
      <c r="O71" s="47" t="str">
        <f t="shared" si="29"/>
        <v/>
      </c>
      <c r="P71" t="str">
        <f t="shared" si="30"/>
        <v/>
      </c>
      <c r="Q71" t="str">
        <f t="shared" si="31"/>
        <v/>
      </c>
      <c r="R71" t="str">
        <f t="shared" si="32"/>
        <v/>
      </c>
      <c r="S71" t="str">
        <f t="shared" si="33"/>
        <v/>
      </c>
      <c r="T71" t="str">
        <f t="shared" si="34"/>
        <v/>
      </c>
      <c r="U71" t="str">
        <f t="shared" si="35"/>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27"/>
        <v/>
      </c>
      <c r="N72" s="46" t="str">
        <f t="shared" si="28"/>
        <v/>
      </c>
      <c r="O72" s="47" t="str">
        <f t="shared" si="29"/>
        <v/>
      </c>
      <c r="P72" t="str">
        <f t="shared" si="30"/>
        <v/>
      </c>
      <c r="Q72" t="str">
        <f t="shared" si="31"/>
        <v/>
      </c>
      <c r="R72" t="str">
        <f t="shared" si="32"/>
        <v/>
      </c>
      <c r="S72" t="str">
        <f t="shared" si="33"/>
        <v/>
      </c>
      <c r="T72" t="str">
        <f t="shared" si="34"/>
        <v/>
      </c>
      <c r="U72" t="str">
        <f t="shared" si="35"/>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27"/>
        <v/>
      </c>
      <c r="N73" s="46" t="str">
        <f t="shared" si="28"/>
        <v/>
      </c>
      <c r="O73" s="47" t="str">
        <f t="shared" si="29"/>
        <v/>
      </c>
      <c r="P73" t="str">
        <f t="shared" si="30"/>
        <v/>
      </c>
      <c r="Q73" t="str">
        <f t="shared" si="31"/>
        <v/>
      </c>
      <c r="R73" t="str">
        <f t="shared" si="32"/>
        <v/>
      </c>
      <c r="S73" t="str">
        <f t="shared" si="33"/>
        <v/>
      </c>
      <c r="T73" t="str">
        <f t="shared" si="34"/>
        <v/>
      </c>
      <c r="U73" t="str">
        <f t="shared" si="35"/>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27"/>
        <v/>
      </c>
      <c r="N74" s="46" t="str">
        <f t="shared" si="28"/>
        <v/>
      </c>
      <c r="O74" s="47" t="str">
        <f t="shared" si="29"/>
        <v/>
      </c>
      <c r="P74" t="str">
        <f t="shared" si="30"/>
        <v/>
      </c>
      <c r="Q74" t="str">
        <f t="shared" si="31"/>
        <v/>
      </c>
      <c r="R74" t="str">
        <f t="shared" si="32"/>
        <v/>
      </c>
      <c r="S74" t="str">
        <f t="shared" si="33"/>
        <v/>
      </c>
      <c r="T74" t="str">
        <f t="shared" si="34"/>
        <v/>
      </c>
      <c r="U74" t="str">
        <f t="shared" si="35"/>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27"/>
        <v/>
      </c>
      <c r="N75" s="46" t="str">
        <f t="shared" si="28"/>
        <v/>
      </c>
      <c r="O75" s="47" t="str">
        <f t="shared" si="29"/>
        <v/>
      </c>
      <c r="P75" t="str">
        <f t="shared" si="30"/>
        <v/>
      </c>
      <c r="Q75" t="str">
        <f t="shared" si="31"/>
        <v/>
      </c>
      <c r="R75" t="str">
        <f t="shared" si="32"/>
        <v/>
      </c>
      <c r="S75" t="str">
        <f t="shared" si="33"/>
        <v/>
      </c>
      <c r="T75" t="str">
        <f t="shared" si="34"/>
        <v/>
      </c>
      <c r="U75" t="str">
        <f t="shared" si="35"/>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27"/>
        <v/>
      </c>
      <c r="N76" s="46" t="str">
        <f t="shared" si="28"/>
        <v/>
      </c>
      <c r="O76" s="47" t="str">
        <f t="shared" si="29"/>
        <v/>
      </c>
      <c r="P76" t="str">
        <f t="shared" si="30"/>
        <v/>
      </c>
      <c r="Q76" t="str">
        <f t="shared" si="31"/>
        <v/>
      </c>
      <c r="R76" t="str">
        <f t="shared" si="32"/>
        <v/>
      </c>
      <c r="S76" t="str">
        <f t="shared" si="33"/>
        <v/>
      </c>
      <c r="T76" t="str">
        <f t="shared" si="34"/>
        <v/>
      </c>
      <c r="U76" t="str">
        <f t="shared" si="35"/>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27"/>
        <v/>
      </c>
      <c r="N77" s="46" t="str">
        <f t="shared" si="28"/>
        <v/>
      </c>
      <c r="O77" s="47" t="str">
        <f t="shared" si="29"/>
        <v/>
      </c>
      <c r="P77" t="str">
        <f t="shared" si="30"/>
        <v/>
      </c>
      <c r="Q77" t="str">
        <f t="shared" si="31"/>
        <v/>
      </c>
      <c r="R77" t="str">
        <f t="shared" si="32"/>
        <v/>
      </c>
      <c r="S77" t="str">
        <f t="shared" si="33"/>
        <v/>
      </c>
      <c r="T77" t="str">
        <f t="shared" si="34"/>
        <v/>
      </c>
      <c r="U77" t="str">
        <f t="shared" si="35"/>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27"/>
        <v/>
      </c>
      <c r="N78" s="46" t="str">
        <f t="shared" si="28"/>
        <v/>
      </c>
      <c r="O78" s="47" t="str">
        <f t="shared" si="29"/>
        <v/>
      </c>
      <c r="P78" t="str">
        <f t="shared" si="30"/>
        <v/>
      </c>
      <c r="Q78" t="str">
        <f t="shared" si="31"/>
        <v/>
      </c>
      <c r="R78" t="str">
        <f t="shared" si="32"/>
        <v/>
      </c>
      <c r="S78" t="str">
        <f t="shared" si="33"/>
        <v/>
      </c>
      <c r="T78" t="str">
        <f t="shared" si="34"/>
        <v/>
      </c>
      <c r="U78" t="str">
        <f t="shared" si="35"/>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27"/>
        <v/>
      </c>
      <c r="N79" s="46" t="str">
        <f t="shared" si="28"/>
        <v/>
      </c>
      <c r="O79" s="47" t="str">
        <f t="shared" si="29"/>
        <v/>
      </c>
      <c r="P79" t="str">
        <f t="shared" si="30"/>
        <v/>
      </c>
      <c r="Q79" t="str">
        <f t="shared" si="31"/>
        <v/>
      </c>
      <c r="R79" t="str">
        <f t="shared" si="32"/>
        <v/>
      </c>
      <c r="S79" t="str">
        <f t="shared" si="33"/>
        <v/>
      </c>
      <c r="T79" t="str">
        <f t="shared" si="34"/>
        <v/>
      </c>
      <c r="U79" t="str">
        <f t="shared" si="35"/>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27"/>
        <v/>
      </c>
      <c r="N80" s="46" t="str">
        <f t="shared" si="28"/>
        <v/>
      </c>
      <c r="O80" s="47" t="str">
        <f t="shared" si="29"/>
        <v/>
      </c>
      <c r="P80" t="str">
        <f t="shared" si="30"/>
        <v/>
      </c>
      <c r="Q80" t="str">
        <f t="shared" si="31"/>
        <v/>
      </c>
      <c r="R80" t="str">
        <f t="shared" si="32"/>
        <v/>
      </c>
      <c r="S80" t="str">
        <f t="shared" si="33"/>
        <v/>
      </c>
      <c r="T80" t="str">
        <f t="shared" si="34"/>
        <v/>
      </c>
      <c r="U80" t="str">
        <f t="shared" si="35"/>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27"/>
        <v/>
      </c>
      <c r="N81" s="46" t="str">
        <f t="shared" si="28"/>
        <v/>
      </c>
      <c r="O81" s="47" t="str">
        <f t="shared" si="29"/>
        <v/>
      </c>
      <c r="P81" t="str">
        <f t="shared" si="30"/>
        <v/>
      </c>
      <c r="Q81" t="str">
        <f t="shared" si="31"/>
        <v/>
      </c>
      <c r="R81" t="str">
        <f t="shared" si="32"/>
        <v/>
      </c>
      <c r="S81" t="str">
        <f t="shared" si="33"/>
        <v/>
      </c>
      <c r="T81" t="str">
        <f t="shared" si="34"/>
        <v/>
      </c>
      <c r="U81" t="str">
        <f t="shared" si="35"/>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27"/>
        <v/>
      </c>
      <c r="N82" s="46" t="str">
        <f t="shared" si="28"/>
        <v/>
      </c>
      <c r="O82" s="47" t="str">
        <f t="shared" si="29"/>
        <v/>
      </c>
      <c r="P82" t="str">
        <f t="shared" si="30"/>
        <v/>
      </c>
      <c r="Q82" t="str">
        <f t="shared" si="31"/>
        <v/>
      </c>
      <c r="R82" t="str">
        <f t="shared" si="32"/>
        <v/>
      </c>
      <c r="S82" t="str">
        <f t="shared" si="33"/>
        <v/>
      </c>
      <c r="T82" t="str">
        <f t="shared" si="34"/>
        <v/>
      </c>
      <c r="U82" t="str">
        <f t="shared" si="35"/>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27"/>
        <v/>
      </c>
      <c r="N83" s="46" t="str">
        <f t="shared" si="28"/>
        <v/>
      </c>
      <c r="O83" s="47" t="str">
        <f t="shared" si="29"/>
        <v/>
      </c>
      <c r="P83" t="str">
        <f t="shared" si="30"/>
        <v/>
      </c>
      <c r="Q83" t="str">
        <f t="shared" si="31"/>
        <v/>
      </c>
      <c r="R83" t="str">
        <f t="shared" si="32"/>
        <v/>
      </c>
      <c r="S83" t="str">
        <f t="shared" si="33"/>
        <v/>
      </c>
      <c r="T83" t="str">
        <f t="shared" si="34"/>
        <v/>
      </c>
      <c r="U83" t="str">
        <f t="shared" si="35"/>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27"/>
        <v/>
      </c>
      <c r="N84" s="46" t="str">
        <f t="shared" si="28"/>
        <v/>
      </c>
      <c r="O84" s="47" t="str">
        <f t="shared" si="29"/>
        <v/>
      </c>
      <c r="P84" t="str">
        <f t="shared" si="30"/>
        <v/>
      </c>
      <c r="Q84" t="str">
        <f t="shared" si="31"/>
        <v/>
      </c>
      <c r="R84" t="str">
        <f t="shared" si="32"/>
        <v/>
      </c>
      <c r="S84" t="str">
        <f t="shared" si="33"/>
        <v/>
      </c>
      <c r="T84" t="str">
        <f t="shared" si="34"/>
        <v/>
      </c>
      <c r="U84" t="str">
        <f t="shared" si="35"/>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27"/>
        <v/>
      </c>
      <c r="N85" s="46" t="str">
        <f t="shared" si="28"/>
        <v/>
      </c>
      <c r="O85" s="47" t="str">
        <f t="shared" si="29"/>
        <v/>
      </c>
      <c r="P85" t="str">
        <f t="shared" si="30"/>
        <v/>
      </c>
      <c r="Q85" t="str">
        <f t="shared" si="31"/>
        <v/>
      </c>
      <c r="R85" t="str">
        <f t="shared" si="32"/>
        <v/>
      </c>
      <c r="S85" t="str">
        <f t="shared" si="33"/>
        <v/>
      </c>
      <c r="T85" t="str">
        <f t="shared" si="34"/>
        <v/>
      </c>
      <c r="U85" t="str">
        <f t="shared" si="35"/>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27"/>
        <v/>
      </c>
      <c r="N86" s="46" t="str">
        <f t="shared" si="28"/>
        <v/>
      </c>
      <c r="O86" s="47" t="str">
        <f t="shared" si="29"/>
        <v/>
      </c>
      <c r="P86" t="str">
        <f t="shared" si="30"/>
        <v/>
      </c>
      <c r="Q86" t="str">
        <f t="shared" si="31"/>
        <v/>
      </c>
      <c r="R86" t="str">
        <f t="shared" si="32"/>
        <v/>
      </c>
      <c r="S86" t="str">
        <f t="shared" si="33"/>
        <v/>
      </c>
      <c r="T86" t="str">
        <f t="shared" si="34"/>
        <v/>
      </c>
      <c r="U86" t="str">
        <f t="shared" si="35"/>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27"/>
        <v/>
      </c>
      <c r="N87" s="46" t="str">
        <f t="shared" si="28"/>
        <v/>
      </c>
      <c r="O87" s="47" t="str">
        <f t="shared" si="29"/>
        <v/>
      </c>
      <c r="P87" t="str">
        <f t="shared" si="30"/>
        <v/>
      </c>
      <c r="Q87" t="str">
        <f t="shared" si="31"/>
        <v/>
      </c>
      <c r="R87" t="str">
        <f t="shared" si="32"/>
        <v/>
      </c>
      <c r="S87" t="str">
        <f t="shared" si="33"/>
        <v/>
      </c>
      <c r="T87" t="str">
        <f t="shared" si="34"/>
        <v/>
      </c>
      <c r="U87" t="str">
        <f t="shared" si="35"/>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27"/>
        <v/>
      </c>
      <c r="N88" s="46" t="str">
        <f t="shared" si="28"/>
        <v/>
      </c>
      <c r="O88" s="47" t="str">
        <f t="shared" si="29"/>
        <v/>
      </c>
      <c r="P88" t="str">
        <f t="shared" si="30"/>
        <v/>
      </c>
      <c r="Q88" t="str">
        <f t="shared" si="31"/>
        <v/>
      </c>
      <c r="R88" t="str">
        <f t="shared" si="32"/>
        <v/>
      </c>
      <c r="S88" t="str">
        <f t="shared" si="33"/>
        <v/>
      </c>
      <c r="T88" t="str">
        <f t="shared" si="34"/>
        <v/>
      </c>
      <c r="U88" t="str">
        <f t="shared" si="35"/>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27"/>
        <v/>
      </c>
      <c r="N89" s="46" t="str">
        <f t="shared" si="28"/>
        <v/>
      </c>
      <c r="O89" s="47" t="str">
        <f t="shared" si="29"/>
        <v/>
      </c>
      <c r="P89" t="str">
        <f t="shared" si="30"/>
        <v/>
      </c>
      <c r="Q89" t="str">
        <f t="shared" si="31"/>
        <v/>
      </c>
      <c r="R89" t="str">
        <f t="shared" si="32"/>
        <v/>
      </c>
      <c r="S89" t="str">
        <f t="shared" si="33"/>
        <v/>
      </c>
      <c r="T89" t="str">
        <f t="shared" si="34"/>
        <v/>
      </c>
      <c r="U89" t="str">
        <f t="shared" si="35"/>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27"/>
        <v/>
      </c>
      <c r="N90" s="46" t="str">
        <f t="shared" si="28"/>
        <v/>
      </c>
      <c r="O90" s="47" t="str">
        <f t="shared" si="29"/>
        <v/>
      </c>
      <c r="P90" t="str">
        <f t="shared" si="30"/>
        <v/>
      </c>
      <c r="Q90" t="str">
        <f t="shared" si="31"/>
        <v/>
      </c>
      <c r="R90" t="str">
        <f t="shared" si="32"/>
        <v/>
      </c>
      <c r="S90" t="str">
        <f t="shared" si="33"/>
        <v/>
      </c>
      <c r="T90" t="str">
        <f t="shared" si="34"/>
        <v/>
      </c>
      <c r="U90" t="str">
        <f t="shared" si="35"/>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27"/>
        <v/>
      </c>
      <c r="N91" s="46" t="str">
        <f t="shared" si="28"/>
        <v/>
      </c>
      <c r="O91" s="47" t="str">
        <f t="shared" si="29"/>
        <v/>
      </c>
      <c r="P91" t="str">
        <f t="shared" si="30"/>
        <v/>
      </c>
      <c r="Q91" t="str">
        <f t="shared" si="31"/>
        <v/>
      </c>
      <c r="R91" t="str">
        <f t="shared" si="32"/>
        <v/>
      </c>
      <c r="S91" t="str">
        <f t="shared" si="33"/>
        <v/>
      </c>
      <c r="T91" t="str">
        <f t="shared" si="34"/>
        <v/>
      </c>
      <c r="U91" t="str">
        <f t="shared" si="35"/>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27"/>
        <v/>
      </c>
      <c r="N92" s="46" t="str">
        <f t="shared" si="28"/>
        <v/>
      </c>
      <c r="O92" s="47" t="str">
        <f t="shared" si="29"/>
        <v/>
      </c>
      <c r="P92" t="str">
        <f t="shared" si="30"/>
        <v/>
      </c>
      <c r="Q92" t="str">
        <f t="shared" si="31"/>
        <v/>
      </c>
      <c r="R92" t="str">
        <f t="shared" si="32"/>
        <v/>
      </c>
      <c r="S92" t="str">
        <f t="shared" si="33"/>
        <v/>
      </c>
      <c r="T92" t="str">
        <f t="shared" si="34"/>
        <v/>
      </c>
      <c r="U92" t="str">
        <f t="shared" si="35"/>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27"/>
        <v/>
      </c>
      <c r="N93" s="46" t="str">
        <f t="shared" si="28"/>
        <v/>
      </c>
      <c r="O93" s="47" t="str">
        <f t="shared" si="29"/>
        <v/>
      </c>
      <c r="P93" t="str">
        <f t="shared" si="30"/>
        <v/>
      </c>
      <c r="Q93" t="str">
        <f t="shared" si="31"/>
        <v/>
      </c>
      <c r="R93" t="str">
        <f t="shared" si="32"/>
        <v/>
      </c>
      <c r="S93" t="str">
        <f t="shared" si="33"/>
        <v/>
      </c>
      <c r="T93" t="str">
        <f t="shared" si="34"/>
        <v/>
      </c>
      <c r="U93" t="str">
        <f t="shared" si="35"/>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27"/>
        <v/>
      </c>
      <c r="N94" s="46" t="str">
        <f t="shared" si="28"/>
        <v/>
      </c>
      <c r="O94" s="47" t="str">
        <f t="shared" si="29"/>
        <v/>
      </c>
      <c r="P94" t="str">
        <f t="shared" si="30"/>
        <v/>
      </c>
      <c r="Q94" t="str">
        <f t="shared" si="31"/>
        <v/>
      </c>
      <c r="R94" t="str">
        <f t="shared" si="32"/>
        <v/>
      </c>
      <c r="S94" t="str">
        <f t="shared" si="33"/>
        <v/>
      </c>
      <c r="T94" t="str">
        <f t="shared" si="34"/>
        <v/>
      </c>
      <c r="U94" t="str">
        <f t="shared" si="35"/>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27"/>
        <v/>
      </c>
      <c r="N95" s="46" t="str">
        <f t="shared" si="28"/>
        <v/>
      </c>
      <c r="O95" s="47" t="str">
        <f t="shared" si="29"/>
        <v/>
      </c>
      <c r="P95" t="str">
        <f t="shared" si="30"/>
        <v/>
      </c>
      <c r="Q95" t="str">
        <f t="shared" si="31"/>
        <v/>
      </c>
      <c r="R95" t="str">
        <f t="shared" si="32"/>
        <v/>
      </c>
      <c r="S95" t="str">
        <f t="shared" si="33"/>
        <v/>
      </c>
      <c r="T95" t="str">
        <f t="shared" si="34"/>
        <v/>
      </c>
      <c r="U95" t="str">
        <f t="shared" si="35"/>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27"/>
        <v/>
      </c>
      <c r="N96" s="46" t="str">
        <f t="shared" si="28"/>
        <v/>
      </c>
      <c r="O96" s="47" t="str">
        <f t="shared" si="29"/>
        <v/>
      </c>
      <c r="P96" t="str">
        <f t="shared" si="30"/>
        <v/>
      </c>
      <c r="Q96" t="str">
        <f t="shared" si="31"/>
        <v/>
      </c>
      <c r="R96" t="str">
        <f t="shared" si="32"/>
        <v/>
      </c>
      <c r="S96" t="str">
        <f t="shared" si="33"/>
        <v/>
      </c>
      <c r="T96" t="str">
        <f t="shared" si="34"/>
        <v/>
      </c>
      <c r="U96" t="str">
        <f t="shared" si="35"/>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27"/>
        <v/>
      </c>
      <c r="N97" s="46" t="str">
        <f t="shared" si="28"/>
        <v/>
      </c>
      <c r="O97" s="47" t="str">
        <f t="shared" si="29"/>
        <v/>
      </c>
      <c r="P97" t="str">
        <f t="shared" si="30"/>
        <v/>
      </c>
      <c r="Q97" t="str">
        <f t="shared" si="31"/>
        <v/>
      </c>
      <c r="R97" t="str">
        <f t="shared" si="32"/>
        <v/>
      </c>
      <c r="S97" t="str">
        <f t="shared" si="33"/>
        <v/>
      </c>
      <c r="T97" t="str">
        <f t="shared" si="34"/>
        <v/>
      </c>
      <c r="U97" t="str">
        <f t="shared" si="35"/>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27"/>
        <v/>
      </c>
      <c r="N98" s="46" t="str">
        <f t="shared" si="28"/>
        <v/>
      </c>
      <c r="O98" s="47" t="str">
        <f t="shared" si="29"/>
        <v/>
      </c>
      <c r="P98" t="str">
        <f t="shared" si="30"/>
        <v/>
      </c>
      <c r="Q98" t="str">
        <f t="shared" si="31"/>
        <v/>
      </c>
      <c r="R98" t="str">
        <f t="shared" si="32"/>
        <v/>
      </c>
      <c r="S98" t="str">
        <f t="shared" si="33"/>
        <v/>
      </c>
      <c r="T98" t="str">
        <f t="shared" si="34"/>
        <v/>
      </c>
      <c r="U98" t="str">
        <f t="shared" si="35"/>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27"/>
        <v/>
      </c>
      <c r="N99" s="46" t="str">
        <f t="shared" si="28"/>
        <v/>
      </c>
      <c r="O99" s="47" t="str">
        <f t="shared" si="29"/>
        <v/>
      </c>
      <c r="P99" t="str">
        <f t="shared" si="30"/>
        <v/>
      </c>
      <c r="Q99" t="str">
        <f t="shared" si="31"/>
        <v/>
      </c>
      <c r="R99" t="str">
        <f t="shared" si="32"/>
        <v/>
      </c>
      <c r="S99" t="str">
        <f t="shared" si="33"/>
        <v/>
      </c>
      <c r="T99" t="str">
        <f t="shared" si="34"/>
        <v/>
      </c>
      <c r="U99" t="str">
        <f t="shared" si="35"/>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36">IF(ISBLANK(K100),"",IF(L100, "https://raw.githubusercontent.com/PatrickVibild/TellusAmazonPictures/master/pictures/"&amp;K100&amp;"/1.jpg","https://download.lenovo.com/Images/Parts/"&amp;K100&amp;"/"&amp;K100&amp;"_A.jpg"))</f>
        <v/>
      </c>
      <c r="N100" s="46" t="str">
        <f t="shared" si="28"/>
        <v/>
      </c>
      <c r="O100" s="47" t="str">
        <f t="shared" si="29"/>
        <v/>
      </c>
      <c r="P100" t="str">
        <f t="shared" si="30"/>
        <v/>
      </c>
      <c r="Q100" t="str">
        <f t="shared" si="31"/>
        <v/>
      </c>
      <c r="R100" t="str">
        <f t="shared" si="32"/>
        <v/>
      </c>
      <c r="S100" t="str">
        <f t="shared" si="33"/>
        <v/>
      </c>
      <c r="T100" t="str">
        <f t="shared" si="34"/>
        <v/>
      </c>
      <c r="U100" t="str">
        <f t="shared" si="35"/>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36"/>
        <v/>
      </c>
      <c r="N101" s="46" t="str">
        <f t="shared" si="28"/>
        <v/>
      </c>
      <c r="O101" s="47" t="str">
        <f t="shared" si="29"/>
        <v/>
      </c>
      <c r="P101" t="str">
        <f t="shared" si="30"/>
        <v/>
      </c>
      <c r="Q101" t="str">
        <f t="shared" si="31"/>
        <v/>
      </c>
      <c r="R101" t="str">
        <f t="shared" si="32"/>
        <v/>
      </c>
      <c r="S101" t="str">
        <f t="shared" si="33"/>
        <v/>
      </c>
      <c r="T101" t="str">
        <f t="shared" si="34"/>
        <v/>
      </c>
      <c r="U101" t="str">
        <f t="shared" si="35"/>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36"/>
        <v/>
      </c>
      <c r="N102" s="46" t="str">
        <f t="shared" si="28"/>
        <v/>
      </c>
      <c r="O102" s="47" t="str">
        <f t="shared" si="29"/>
        <v/>
      </c>
      <c r="P102" t="str">
        <f t="shared" si="30"/>
        <v/>
      </c>
      <c r="Q102" t="str">
        <f t="shared" si="31"/>
        <v/>
      </c>
      <c r="R102" t="str">
        <f t="shared" si="32"/>
        <v/>
      </c>
      <c r="S102" t="str">
        <f t="shared" si="33"/>
        <v/>
      </c>
      <c r="T102" t="str">
        <f t="shared" si="34"/>
        <v/>
      </c>
      <c r="U102" t="str">
        <f t="shared" si="35"/>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36"/>
        <v/>
      </c>
      <c r="N103" s="46" t="str">
        <f t="shared" si="28"/>
        <v/>
      </c>
      <c r="O103" s="47" t="str">
        <f t="shared" si="29"/>
        <v/>
      </c>
      <c r="P103" t="str">
        <f t="shared" si="30"/>
        <v/>
      </c>
      <c r="Q103" t="str">
        <f t="shared" si="31"/>
        <v/>
      </c>
      <c r="R103" t="str">
        <f t="shared" si="32"/>
        <v/>
      </c>
      <c r="S103" t="str">
        <f t="shared" si="33"/>
        <v/>
      </c>
      <c r="T103" t="str">
        <f t="shared" si="34"/>
        <v/>
      </c>
      <c r="U103" t="str">
        <f t="shared" si="35"/>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2024-07-24T23:04:59Z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