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13/RG/"/>
    </mc:Choice>
  </mc:AlternateContent>
  <xr:revisionPtr revIDLastSave="0" documentId="13_ncr:1_{E24DFE98-AFAD-DB42-B6ED-2F21D9BF15C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4" i="2"/>
  <c r="D4" i="2"/>
  <c r="C5" i="2"/>
  <c r="D5" i="2"/>
  <c r="C6" i="2"/>
  <c r="D6" i="2"/>
  <c r="C7" i="2"/>
  <c r="D7" i="2"/>
  <c r="C8" i="2"/>
  <c r="D8" i="2"/>
  <c r="C9" i="2"/>
  <c r="D9" i="2"/>
  <c r="C10" i="2"/>
  <c r="D10" i="2"/>
  <c r="C11" i="2"/>
  <c r="D11" i="2"/>
  <c r="C12" i="2"/>
  <c r="D12" i="2"/>
  <c r="C13" i="2"/>
  <c r="D13" i="2"/>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AJ24" i="1" s="1"/>
  <c r="W23" i="2"/>
  <c r="T23" i="2"/>
  <c r="S23" i="2"/>
  <c r="O23" i="2"/>
  <c r="N23" i="2"/>
  <c r="M23" i="2"/>
  <c r="Q23" i="2" s="1"/>
  <c r="P24" i="1" s="1"/>
  <c r="K23" i="2"/>
  <c r="J23" i="2"/>
  <c r="I23" i="2"/>
  <c r="B23" i="2"/>
  <c r="AI8" i="1" s="1"/>
  <c r="W22" i="2"/>
  <c r="V22" i="2"/>
  <c r="U22" i="2"/>
  <c r="T22" i="2"/>
  <c r="S22" i="2"/>
  <c r="R22" i="2"/>
  <c r="Q22" i="2"/>
  <c r="P22" i="2"/>
  <c r="M22" i="2"/>
  <c r="N22" i="2" s="1"/>
  <c r="M23" i="1" s="1"/>
  <c r="K22" i="2"/>
  <c r="J22" i="2"/>
  <c r="I22" i="2"/>
  <c r="W21" i="2"/>
  <c r="I21" i="2" s="1"/>
  <c r="V21" i="2"/>
  <c r="R21" i="2"/>
  <c r="M21" i="2"/>
  <c r="T21" i="2" s="1"/>
  <c r="S22" i="1" s="1"/>
  <c r="K21" i="2"/>
  <c r="J21" i="2"/>
  <c r="W20" i="2"/>
  <c r="I20" i="2" s="1"/>
  <c r="S20" i="2"/>
  <c r="R20" i="2"/>
  <c r="N20" i="2"/>
  <c r="M20" i="2"/>
  <c r="P20" i="2" s="1"/>
  <c r="O21" i="1" s="1"/>
  <c r="K20" i="2"/>
  <c r="J20" i="2"/>
  <c r="W19" i="2"/>
  <c r="T19" i="2"/>
  <c r="S19" i="2"/>
  <c r="R19" i="2"/>
  <c r="Q19" i="2"/>
  <c r="P19" i="2"/>
  <c r="O19" i="2"/>
  <c r="N19" i="2"/>
  <c r="M20" i="1" s="1"/>
  <c r="V19" i="2"/>
  <c r="U20" i="1" s="1"/>
  <c r="K19" i="2"/>
  <c r="J19" i="2"/>
  <c r="I19" i="2"/>
  <c r="W18" i="2"/>
  <c r="V18" i="2"/>
  <c r="U18" i="2"/>
  <c r="T18" i="2"/>
  <c r="S19" i="1" s="1"/>
  <c r="P18" i="2"/>
  <c r="O19" i="1" s="1"/>
  <c r="O18" i="2"/>
  <c r="N19" i="1" s="1"/>
  <c r="N18" i="2"/>
  <c r="R18" i="2"/>
  <c r="Q19" i="1" s="1"/>
  <c r="K18" i="2"/>
  <c r="J18" i="2"/>
  <c r="I18" i="2"/>
  <c r="W17" i="2"/>
  <c r="V17" i="2"/>
  <c r="U17" i="2"/>
  <c r="T17" i="2"/>
  <c r="S17" i="2"/>
  <c r="R17" i="2"/>
  <c r="Q17" i="2"/>
  <c r="P17" i="2"/>
  <c r="M17" i="2"/>
  <c r="N17" i="2" s="1"/>
  <c r="M18" i="1" s="1"/>
  <c r="K17" i="2"/>
  <c r="J17" i="2"/>
  <c r="I17" i="2"/>
  <c r="AT18" i="1" s="1"/>
  <c r="W16" i="2"/>
  <c r="I16" i="2" s="1"/>
  <c r="V16" i="2"/>
  <c r="R16" i="2"/>
  <c r="T16" i="2"/>
  <c r="S17" i="1" s="1"/>
  <c r="K16" i="2"/>
  <c r="J16" i="2"/>
  <c r="W15" i="2"/>
  <c r="I15" i="2" s="1"/>
  <c r="S15" i="2"/>
  <c r="R15" i="2"/>
  <c r="N15" i="2"/>
  <c r="P15" i="2"/>
  <c r="O16" i="1" s="1"/>
  <c r="K15" i="2"/>
  <c r="J15" i="2"/>
  <c r="W14" i="2"/>
  <c r="T14" i="2"/>
  <c r="S14" i="2"/>
  <c r="R14" i="2"/>
  <c r="Q14" i="2"/>
  <c r="P14" i="2"/>
  <c r="O14" i="2"/>
  <c r="N14" i="2"/>
  <c r="V14" i="2"/>
  <c r="U15" i="1" s="1"/>
  <c r="K14" i="2"/>
  <c r="J14" i="2"/>
  <c r="I14" i="2"/>
  <c r="F15" i="1" s="1"/>
  <c r="W13" i="2"/>
  <c r="V13" i="2"/>
  <c r="U13" i="2"/>
  <c r="T13" i="2"/>
  <c r="P13" i="2"/>
  <c r="O13" i="2"/>
  <c r="N13" i="2"/>
  <c r="M13" i="2"/>
  <c r="R13" i="2" s="1"/>
  <c r="Q14" i="1" s="1"/>
  <c r="K13" i="2"/>
  <c r="J13" i="2"/>
  <c r="I13" i="2"/>
  <c r="W12" i="2"/>
  <c r="V12" i="2"/>
  <c r="U12" i="2"/>
  <c r="T12" i="2"/>
  <c r="S12" i="2"/>
  <c r="R12" i="2"/>
  <c r="Q12" i="2"/>
  <c r="P12" i="2"/>
  <c r="M12" i="2"/>
  <c r="N12" i="2" s="1"/>
  <c r="M13" i="1" s="1"/>
  <c r="K12" i="2"/>
  <c r="J12" i="2"/>
  <c r="I12" i="2"/>
  <c r="W11" i="2"/>
  <c r="I11" i="2" s="1"/>
  <c r="V11" i="2"/>
  <c r="R11" i="2"/>
  <c r="M11" i="2"/>
  <c r="T11" i="2" s="1"/>
  <c r="S12" i="1" s="1"/>
  <c r="K11" i="2"/>
  <c r="J11" i="2"/>
  <c r="W10" i="2"/>
  <c r="I10" i="2" s="1"/>
  <c r="S10" i="2"/>
  <c r="R10" i="2"/>
  <c r="N10" i="2"/>
  <c r="M10" i="2"/>
  <c r="P10" i="2" s="1"/>
  <c r="O11" i="1" s="1"/>
  <c r="K10" i="2"/>
  <c r="J10" i="2"/>
  <c r="W9" i="2"/>
  <c r="T9" i="2"/>
  <c r="S9" i="2"/>
  <c r="R9" i="2"/>
  <c r="Q9" i="2"/>
  <c r="P9" i="2"/>
  <c r="O9" i="2"/>
  <c r="N9" i="2"/>
  <c r="M9" i="2"/>
  <c r="V9" i="2" s="1"/>
  <c r="U10" i="1" s="1"/>
  <c r="K9" i="2"/>
  <c r="J9" i="2"/>
  <c r="I9" i="2"/>
  <c r="AL10" i="1" s="1"/>
  <c r="B9" i="2"/>
  <c r="W8" i="2"/>
  <c r="I8" i="2" s="1"/>
  <c r="V8" i="2"/>
  <c r="U8" i="2"/>
  <c r="Q8" i="2"/>
  <c r="P8" i="2"/>
  <c r="O8" i="2"/>
  <c r="M8" i="2"/>
  <c r="S8" i="2" s="1"/>
  <c r="R9" i="1" s="1"/>
  <c r="K8" i="2"/>
  <c r="J8" i="2"/>
  <c r="B8" i="2"/>
  <c r="W7" i="2"/>
  <c r="I7" i="2" s="1"/>
  <c r="S7" i="2"/>
  <c r="R7" i="2"/>
  <c r="N7" i="2"/>
  <c r="M7" i="2"/>
  <c r="P7" i="2" s="1"/>
  <c r="O8" i="1" s="1"/>
  <c r="K7" i="2"/>
  <c r="J7" i="2"/>
  <c r="B7" i="2"/>
  <c r="W6" i="2"/>
  <c r="U6" i="2"/>
  <c r="T6" i="2"/>
  <c r="S6" i="2"/>
  <c r="R6" i="2"/>
  <c r="Q6" i="2"/>
  <c r="P6" i="2"/>
  <c r="O6" i="2"/>
  <c r="M6" i="2"/>
  <c r="V6" i="2" s="1"/>
  <c r="U7" i="1" s="1"/>
  <c r="K6" i="2"/>
  <c r="J6" i="2"/>
  <c r="I6" i="2"/>
  <c r="W5" i="2"/>
  <c r="I5" i="2" s="1"/>
  <c r="V5" i="2"/>
  <c r="U5" i="2"/>
  <c r="Q5" i="2"/>
  <c r="P5" i="2"/>
  <c r="O5" i="2"/>
  <c r="M5" i="2"/>
  <c r="S5" i="2" s="1"/>
  <c r="R6" i="1" s="1"/>
  <c r="K5" i="2"/>
  <c r="J5" i="2"/>
  <c r="W4" i="2"/>
  <c r="I4" i="2" s="1"/>
  <c r="Q4" i="2"/>
  <c r="M4" i="2"/>
  <c r="O4" i="2" s="1"/>
  <c r="N5" i="1" s="1"/>
  <c r="K4" i="2"/>
  <c r="J4" i="2"/>
  <c r="B2" i="2"/>
  <c r="B1" i="2"/>
  <c r="F2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T24" i="1"/>
  <c r="AM24" i="1"/>
  <c r="AL24" i="1"/>
  <c r="AK24" i="1"/>
  <c r="AA24" i="1"/>
  <c r="Z24" i="1"/>
  <c r="Y24" i="1"/>
  <c r="X24" i="1"/>
  <c r="W24" i="1"/>
  <c r="S24" i="1"/>
  <c r="R24" i="1"/>
  <c r="N24" i="1"/>
  <c r="M24" i="1"/>
  <c r="K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J23" i="1"/>
  <c r="AA23" i="1"/>
  <c r="Z23" i="1"/>
  <c r="Y23" i="1"/>
  <c r="X23" i="1"/>
  <c r="W23" i="1"/>
  <c r="U23" i="1"/>
  <c r="T23" i="1"/>
  <c r="S23" i="1"/>
  <c r="R23" i="1"/>
  <c r="Q23" i="1"/>
  <c r="P23" i="1"/>
  <c r="O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J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K18" i="1"/>
  <c r="AJ18" i="1"/>
  <c r="AI18" i="1"/>
  <c r="AA18" i="1"/>
  <c r="Z18" i="1"/>
  <c r="Y18" i="1"/>
  <c r="X18" i="1"/>
  <c r="W18" i="1"/>
  <c r="U18" i="1"/>
  <c r="T18" i="1"/>
  <c r="S18" i="1"/>
  <c r="R18" i="1"/>
  <c r="Q18" i="1"/>
  <c r="P18" i="1"/>
  <c r="O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J16" i="1"/>
  <c r="AB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J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L14" i="1"/>
  <c r="AK14" i="1"/>
  <c r="AJ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K10" i="1"/>
  <c r="AJ10" i="1"/>
  <c r="AI10" i="1"/>
  <c r="AB10" i="1"/>
  <c r="AA10" i="1"/>
  <c r="Z10" i="1"/>
  <c r="Y10" i="1"/>
  <c r="X10" i="1"/>
  <c r="W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J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J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J5" i="1"/>
  <c r="AI5" i="1"/>
  <c r="AA5" i="1"/>
  <c r="Z5" i="1"/>
  <c r="Y5" i="1"/>
  <c r="X5" i="1"/>
  <c r="W5" i="1"/>
  <c r="P5" i="1"/>
  <c r="L5" i="1"/>
  <c r="K5" i="1"/>
  <c r="J5" i="1"/>
  <c r="I5" i="1"/>
  <c r="H5" i="1"/>
  <c r="G5" i="1"/>
  <c r="E5" i="1"/>
  <c r="D5" i="1"/>
  <c r="C5" i="1"/>
  <c r="B5" i="1"/>
  <c r="A5" i="1"/>
  <c r="AA4" i="1"/>
  <c r="J4" i="1"/>
  <c r="I4" i="1"/>
  <c r="H4" i="1"/>
  <c r="F4" i="1"/>
  <c r="D4" i="1"/>
  <c r="B4" i="1"/>
  <c r="A4" i="1"/>
  <c r="L13" i="1" l="1"/>
  <c r="AI9" i="1"/>
  <c r="AB21" i="1"/>
  <c r="AB23" i="1"/>
  <c r="AB11" i="1"/>
  <c r="F18" i="1"/>
  <c r="AI21" i="1"/>
  <c r="AI15" i="1"/>
  <c r="AL18" i="1"/>
  <c r="AI22" i="1"/>
  <c r="AB7" i="1"/>
  <c r="AB14" i="1"/>
  <c r="AB5" i="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<sst xmlns="http://schemas.openxmlformats.org/spreadsheetml/2006/main" count="796" uniqueCount="640">
  <si>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</si>
  <si>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</si>
  <si>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</si>
  <si>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</si>
  <si>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</si>
  <si>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</si>
  <si>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</si>
  <si>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</si>
  <si>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</si>
  <si>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</si>
  <si>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</si>
  <si>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</si>
  <si>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</si>
  <si>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</si>
  <si>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</si>
  <si>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</si>
  <si>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</si>
  <si>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</si>
  <si>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</si>
  <si>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</si>
  <si>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</si>
  <si>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</si>
  <si>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</si>
  <si>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</si>
  <si>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</si>
  <si>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</si>
  <si>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</si>
  <si>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</si>
  <si>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</si>
  <si>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</si>
  <si>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</si>
  <si>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</si>
  <si>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</si>
  <si>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</si>
  <si>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</si>
  <si>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</si>
  <si>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</si>
  <si>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</si>
  <si>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</si>
  <si>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</si>
  <si>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</si>
  <si>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</si>
  <si>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</si>
  <si>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</si>
  <si>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</si>
  <si>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</si>
  <si>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</si>
  <si>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</si>
  <si>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</si>
  <si>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</si>
  <si>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</si>
  <si>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</si>
  <si>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</si>
  <si>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</si>
  <si>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</si>
  <si>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</si>
  <si>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</si>
  <si>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</si>
  <si>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</si>
  <si>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</si>
  <si>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</si>
  <si>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</si>
  <si>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</si>
  <si>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</si>
  <si>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</si>
  <si>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</si>
  <si>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</si>
  <si>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</si>
  <si>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</si>
  <si>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</si>
  <si>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</si>
  <si>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</si>
  <si>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</si>
  <si>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</si>
  <si>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</si>
  <si>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</si>
  <si>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</si>
  <si>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</si>
  <si>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</si>
  <si>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</si>
  <si>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</si>
  <si>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</si>
  <si>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</si>
  <si>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</si>
  <si>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</si>
  <si>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</si>
  <si>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</si>
  <si>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</si>
  <si>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</si>
  <si>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</si>
  <si>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</si>
  <si>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</si>
  <si>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</si>
  <si>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</si>
  <si>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</si>
  <si>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</si>
  <si>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</si>
  <si>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</si>
  <si>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</si>
  <si>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</si>
  <si>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</si>
  <si>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</si>
  <si>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</si>
  <si>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</si>
  <si>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</si>
  <si>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</si>
  <si>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</si>
  <si>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</si>
  <si>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</si>
  <si>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</si>
  <si>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</si>
  <si>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</si>
  <si>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</si>
  <si>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</si>
  <si>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</si>
  <si>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</si>
  <si>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</si>
  <si>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</si>
  <si>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</si>
  <si>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</si>
  <si>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</si>
  <si>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</si>
  <si>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</si>
  <si>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</si>
  <si>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</si>
  <si>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</si>
  <si>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</si>
  <si>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</si>
  <si>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</si>
  <si>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</si>
  <si>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</si>
  <si>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</si>
  <si>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</si>
  <si>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</si>
  <si>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</si>
  <si>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</si>
  <si>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</si>
  <si>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</si>
  <si>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</si>
  <si>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</si>
  <si>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</si>
  <si>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</si>
  <si>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</si>
  <si>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</si>
  <si>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</si>
  <si>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</si>
  <si>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</si>
  <si>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</si>
  <si>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</si>
  <si>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</si>
  <si>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</si>
  <si>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</si>
  <si>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</si>
  <si>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</si>
  <si>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</si>
  <si>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</si>
  <si>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</si>
  <si>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</si>
  <si>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</si>
  <si>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</si>
  <si>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</si>
  <si>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</si>
  <si>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</si>
  <si>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</si>
  <si>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</si>
  <si>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</si>
  <si>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</si>
  <si>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</si>
  <si>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</si>
  <si>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</si>
  <si>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</si>
  <si>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</si>
  <si>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</si>
  <si>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</si>
  <si>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</si>
  <si>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</si>
  <si>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</si>
  <si>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</si>
  <si>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</si>
  <si>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</si>
  <si>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</si>
  <si>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</si>
  <si>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</si>
  <si>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</si>
  <si>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</si>
  <si>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</si>
  <si>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</si>
  <si>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</si>
  <si>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</si>
  <si>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</si>
  <si>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</si>
  <si>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</si>
  <si>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</si>
  <si>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</si>
  <si>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</si>
  <si>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</si>
  <si>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</si>
  <si>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</si>
  <si>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</si>
  <si>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</si>
  <si>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</si>
  <si>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</si>
  <si>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</si>
  <si>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</si>
  <si>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</si>
  <si>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</si>
  <si>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</si>
  <si>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</si>
  <si>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</si>
  <si>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</si>
  <si>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</si>
  <si>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</si>
  <si>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</si>
  <si>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</si>
  <si>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</si>
  <si>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</si>
  <si>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</si>
  <si>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</si>
  <si>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</si>
  <si>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</si>
  <si>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</si>
  <si>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</si>
  <si>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</si>
  <si>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</si>
  <si>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</si>
  <si>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</si>
  <si>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</si>
  <si>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</si>
  <si>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</si>
  <si>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</si>
  <si>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</si>
  <si>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</si>
  <si>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</si>
  <si>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</si>
  <si>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</si>
  <si>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</si>
  <si>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</si>
  <si>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</si>
  <si>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</si>
  <si>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</si>
  <si>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</si>
  <si>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</si>
  <si>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</si>
  <si>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</si>
  <si>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</si>
  <si>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</si>
  <si>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</si>
  <si>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</si>
  <si>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</si>
  <si>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</si>
  <si>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</si>
  <si>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</si>
  <si>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</si>
  <si>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</si>
  <si>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</si>
  <si>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</si>
  <si>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</si>
  <si>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</si>
  <si>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</si>
  <si>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</si>
  <si>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</si>
  <si>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</si>
  <si>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</si>
  <si>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</si>
  <si>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</si>
  <si>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</si>
  <si>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</si>
  <si>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</si>
  <si>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</si>
  <si>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</si>
  <si>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</si>
  <si>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</si>
  <si>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</si>
  <si>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</si>
  <si>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</si>
  <si>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</si>
  <si>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</si>
  <si>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</si>
  <si>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</si>
  <si>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</si>
  <si>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</si>
  <si>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</si>
  <si>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</si>
  <si>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</si>
  <si>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</si>
  <si>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</si>
  <si>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</si>
  <si>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</si>
  <si>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</si>
  <si>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</si>
  <si>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</si>
  <si>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</si>
  <si>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</si>
  <si>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</si>
  <si>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</si>
  <si>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</si>
  <si>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</si>
  <si>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</si>
  <si>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</si>
  <si>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</si>
  <si>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</si>
  <si>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</si>
  <si>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</si>
  <si>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</si>
  <si>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</si>
  <si>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</si>
  <si>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</si>
  <si>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</si>
  <si>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</si>
  <si>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</si>
  <si>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</si>
  <si>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</si>
  <si>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</si>
  <si>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</si>
  <si>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</si>
  <si>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</si>
  <si>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</si>
  <si>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</si>
  <si>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</si>
  <si>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</si>
  <si>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</si>
  <si>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</si>
  <si>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</si>
  <si>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</si>
  <si>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</si>
  <si>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</si>
  <si>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</si>
  <si>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</si>
  <si>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</si>
  <si>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</si>
  <si>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</si>
  <si>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</si>
  <si>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</si>
  <si>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</si>
  <si>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</si>
  <si>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</si>
  <si>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</si>
  <si>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</si>
  <si>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</si>
  <si>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</si>
  <si>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</si>
  <si>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</si>
  <si>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</si>
  <si>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</si>
  <si>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</si>
  <si>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</si>
  <si>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</si>
  <si>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</si>
  <si>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</si>
  <si>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</si>
  <si>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</si>
  <si>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</si>
  <si>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</si>
  <si>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</si>
  <si>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</si>
  <si>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</si>
  <si>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</si>
  <si>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</si>
  <si>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</si>
  <si>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</si>
  <si>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</si>
  <si>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</si>
  <si>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</si>
  <si>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</si>
  <si>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</si>
  <si>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</si>
  <si>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</si>
  <si>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</si>
  <si>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</si>
  <si>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</si>
  <si>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</si>
  <si>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</si>
  <si>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</si>
  <si>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13 G2 RG Silver - DE</t>
  </si>
  <si>
    <t>German</t>
  </si>
  <si>
    <t>01EN776</t>
  </si>
  <si>
    <t>Price – NON-Backlit</t>
  </si>
  <si>
    <t>Lenovo 13 G2 RG Silver - FR</t>
  </si>
  <si>
    <t>French</t>
  </si>
  <si>
    <t>01EN807</t>
  </si>
  <si>
    <t>Packing size</t>
  </si>
  <si>
    <t>Big</t>
  </si>
  <si>
    <t>Lenovo 13 G2 RG Silver - IT</t>
  </si>
  <si>
    <t>Italian</t>
  </si>
  <si>
    <t>01EN781</t>
  </si>
  <si>
    <t>Package height (CM)</t>
  </si>
  <si>
    <t>Lenovo 13 G2 RG Silver - ES</t>
  </si>
  <si>
    <t>Spanish</t>
  </si>
  <si>
    <t>01EN815</t>
  </si>
  <si>
    <t>Package width (CM)</t>
  </si>
  <si>
    <t>Lenovo 13 G2 RG Silver - UK</t>
  </si>
  <si>
    <t>UK</t>
  </si>
  <si>
    <t>01EN793</t>
  </si>
  <si>
    <t>Package length (CM)</t>
  </si>
  <si>
    <t>Lenovo 13 G2 RG Silver - NORDIC</t>
  </si>
  <si>
    <t>Scandinavian – Nordic</t>
  </si>
  <si>
    <t>01EN804</t>
  </si>
  <si>
    <t>Origin of Product</t>
  </si>
  <si>
    <t>Lenovo 13 G2 RG Silver - BE</t>
  </si>
  <si>
    <t>Belgian</t>
  </si>
  <si>
    <t>01EN811</t>
  </si>
  <si>
    <t>Package weight (GR)</t>
  </si>
  <si>
    <t>Lenovo 13 G2 RG Silver - Swiss</t>
  </si>
  <si>
    <t>Swiss</t>
  </si>
  <si>
    <t>01EN832</t>
  </si>
  <si>
    <t>Lenovo 13 G2 RG Silver - US int</t>
  </si>
  <si>
    <t>US International</t>
  </si>
  <si>
    <t>01EN794</t>
  </si>
  <si>
    <t>Parent sku</t>
  </si>
  <si>
    <t>Lenovo 13 2nd G</t>
  </si>
  <si>
    <t>Lenovo 13 G2 RG Silver - US</t>
  </si>
  <si>
    <t>US</t>
  </si>
  <si>
    <t>01EN764</t>
  </si>
  <si>
    <t>Parent EAN</t>
  </si>
  <si>
    <t>Item_type</t>
  </si>
  <si>
    <t>laptop-computer-replacement-parts</t>
  </si>
  <si>
    <t>Default quantity</t>
  </si>
  <si>
    <t>Format</t>
  </si>
  <si>
    <t>PartialUpdate</t>
  </si>
  <si>
    <t>Bullet Point 1:</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</si>
  <si>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</si>
  <si>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</si>
  <si>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</si>
  <si>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</si>
  <si>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</si>
  <si>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</si>
  <si>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</si>
  <si>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</si>
  <si>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</si>
  <si>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</si>
  <si>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</si>
  <si>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</si>
  <si>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</si>
  <si>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</si>
  <si>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</si>
  <si>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</si>
  <si>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</si>
  <si>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</si>
  <si>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</si>
  <si>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</si>
  <si>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</si>
  <si>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</si>
  <si>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</si>
  <si>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</si>
  <si>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</si>
  <si>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</si>
  <si>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</si>
  <si>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</si>
  <si>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</si>
  <si>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</si>
  <si>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</si>
  <si>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</si>
  <si>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</si>
  <si>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</si>
  <si>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</si>
  <si>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</si>
  <si>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</si>
  <si>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</si>
  <si>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</si>
  <si>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</si>
  <si>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</si>
  <si>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</si>
  <si>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</si>
  <si>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</si>
  <si>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</si>
  <si>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</si>
  <si>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</si>
  <si>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</si>
  <si>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</si>
  <si>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</si>
  <si>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</si>
  <si>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</si>
  <si>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</si>
  <si>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</si>
  <si>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</si>
  <si>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</si>
  <si>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</si>
  <si>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</si>
  <si>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</si>
  <si>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</si>
  <si>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</si>
  <si>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</si>
  <si>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</si>
  <si>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</si>
  <si>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</si>
  <si>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</si>
  <si>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</si>
  <si>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</si>
  <si>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</si>
  <si>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</si>
  <si>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</si>
  <si>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</si>
  <si>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</si>
  <si>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</si>
  <si>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</si>
  <si>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</si>
  <si>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</si>
  <si>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</si>
  <si>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</si>
  <si>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</si>
  <si>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</si>
  <si>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</si>
  <si>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</si>
  <si>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</si>
  <si>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</si>
  <si>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</si>
  <si>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</si>
  <si>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</si>
  <si>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</si>
  <si>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</si>
  <si>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</si>
  <si>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</si>
  <si>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</si>
  <si>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</si>
  <si>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</si>
  <si>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</si>
  <si>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</si>
  <si>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</si>
  <si>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</si>
  <si>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</si>
  <si>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</si>
  <si>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</si>
  <si>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</si>
  <si>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</si>
  <si>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</si>
  <si>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</si>
  <si>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</si>
  <si>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</si>
  <si>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</si>
  <si>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</si>
  <si>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</si>
  <si>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</si>
  <si>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</si>
  <si>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</si>
  <si>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</si>
  <si>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</si>
  <si>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</si>
  <si>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</si>
  <si>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</si>
  <si>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</si>
  <si>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</si>
  <si>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</si>
  <si>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</si>
  <si>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</si>
  <si>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</si>
  <si>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</si>
  <si>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</si>
  <si>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</si>
  <si>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</si>
  <si>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</si>
  <si>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</si>
  <si>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</si>
  <si>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</si>
  <si>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</si>
  <si>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</si>
  <si>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</si>
  <si>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</si>
  <si>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</si>
  <si>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</si>
  <si>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</si>
  <si>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</si>
  <si>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</si>
  <si>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</si>
  <si>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</si>
  <si>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</si>
  <si>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</si>
  <si>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</si>
  <si>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</si>
  <si>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</si>
  <si>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</si>
  <si>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</si>
  <si>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</si>
  <si>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</si>
  <si>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</si>
  <si>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</si>
  <si>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</si>
  <si>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</si>
  <si>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</si>
  <si>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</si>
  <si>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</si>
  <si>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</si>
  <si>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</si>
  <si>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</si>
  <si>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</si>
  <si>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</si>
  <si>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</si>
  <si>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</si>
  <si>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</si>
  <si>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</si>
  <si>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</si>
  <si>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</si>
  <si>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</si>
  <si>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</si>
  <si>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</si>
  <si>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</si>
  <si>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</si>
  <si>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</si>
  <si>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</si>
  <si>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</si>
  <si>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</si>
  <si>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</si>
  <si>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</si>
  <si>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</si>
  <si>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</si>
  <si>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</si>
  <si>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</si>
  <si>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</si>
  <si>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</si>
  <si>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</si>
  <si>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</si>
  <si>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</si>
  <si>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</si>
  <si>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</si>
  <si>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</si>
  <si>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</si>
  <si>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</si>
  <si>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</si>
  <si>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</si>
  <si>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</si>
  <si>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</si>
  <si>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</si>
  <si>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</si>
  <si>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</si>
  <si>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</si>
  <si>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</si>
  <si>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</si>
  <si>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</si>
  <si>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</si>
  <si>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</si>
  <si>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</si>
  <si>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</si>
  <si>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</si>
  <si>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</si>
  <si>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</si>
  <si>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</si>
  <si>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</si>
  <si>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</si>
  <si>
    <t>Lenovo/T13/BL/FR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</si>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</sst>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13/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638</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639</v>
      </c>
    </row>
    <row r="4" spans="1:193" ht="17" x14ac:dyDescent="0.2">
      <c r="A4" s="2" t="str">
        <f>IF(ISBLANK(Values!F3),"",IF(Values!$B$37="EU","computercomponent","computer"))</f>
        <v>computer</v>
      </c>
      <c r="B4" s="28" t="str">
        <f>Values!B13</f>
        <v>Lenovo 13 2nd G</v>
      </c>
      <c r="C4" s="28" t="s">
        <v>345</v>
      </c>
      <c r="D4" s="29">
        <f>Values!B14</f>
        <v>5714401130994</v>
      </c>
      <c r="E4" s="2" t="s">
        <v>346</v>
      </c>
      <c r="F4" s="28" t="str">
        <f>SUBSTITUTE(Values!B1, "{language}", "") &amp; " " &amp; Values!B3</f>
        <v>replacement  backlit keyboard for Lenovo Thinkpad  Thinkpad 13 Gen 2, T460s, T470s</v>
      </c>
      <c r="G4" s="28" t="s">
        <v>345</v>
      </c>
      <c r="H4" s="2" t="str">
        <f>Values!B16</f>
        <v>laptop-computer-replacement-parts</v>
      </c>
      <c r="I4" s="2" t="str">
        <f>IF(ISBLANK(Values!F3),"","4730574031")</f>
        <v>4730574031</v>
      </c>
      <c r="J4" s="30" t="str">
        <f>Values!B13</f>
        <v>Lenovo 13 2nd G</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48" x14ac:dyDescent="0.2">
      <c r="A5" s="2" t="str">
        <f>IF(ISBLANK(Values!F4),"",IF(Values!$B$37="EU","computercomponent","computer"))</f>
        <v>computer</v>
      </c>
      <c r="B5" s="34" t="str">
        <f>IF(ISBLANK(Values!F4),"",Values!G4)</f>
        <v>Lenovo 13 G2 RG Silver - DE</v>
      </c>
      <c r="C5" s="30" t="str">
        <f>IF(ISBLANK(Values!F4),"","TellusRem")</f>
        <v>TellusRem</v>
      </c>
      <c r="D5" s="29">
        <f>IF(ISBLANK(Values!F4),"",Values!F4)</f>
        <v>5714401130000</v>
      </c>
      <c r="E5" s="2" t="str">
        <f>IF(ISBLANK(Values!F4),"","EAN")</f>
        <v>EAN</v>
      </c>
      <c r="F5" s="28" t="str">
        <f>IF(ISBLANK(Values!F4),"",IF(Values!K4, SUBSTITUTE(Values!$B$1, "{language}", Values!I4) &amp; " " &amp;Values!$B$3, SUBSTITUTE(Values!$B$2, "{language}", Values!$I4) &amp; " " &amp;Values!$B$3))</f>
        <v>replacement German non-backlit keyboard for Lenovo Thinkpad  Thinkpad 13 Gen 2, T460s, T470s</v>
      </c>
      <c r="G5" s="30" t="str">
        <f>IF(ISBLANK(Values!F4),"","TellusRem")</f>
        <v>TellusRem</v>
      </c>
      <c r="H5" s="2" t="str">
        <f>IF(ISBLANK(Values!F4),"",Values!$B$16)</f>
        <v>laptop-computer-replacement-parts</v>
      </c>
      <c r="I5" s="2" t="str">
        <f>IF(ISBLANK(Values!F4),"","4730574031")</f>
        <v>4730574031</v>
      </c>
      <c r="J5" s="32" t="str">
        <f>IF(ISBLANK(Values!F4),"",Values!G4 )</f>
        <v>Lenovo 13 G2 RG Silver - DE</v>
      </c>
      <c r="K5" s="28">
        <f>IF(ISBLANK(Values!F4),"",IF(Values!K4, Values!$B$4, Values!$B$5))</f>
        <v>34.950000000000003</v>
      </c>
      <c r="L5" s="28">
        <f>IF(ISBLANK(Values!F4),"",IF($CO5="DEFAULT", Values!$B$18, ""))</f>
        <v>5</v>
      </c>
      <c r="M5" s="28" t="str">
        <f>IF(ISBLANK(Values!F4),"",Values!$N4)</f>
        <v>https://download.lenovo.com/Images/Parts/01EN776/01EN776_A.jpg</v>
      </c>
      <c r="N5" s="28" t="str">
        <f>IF(ISBLANK(Values!$G4),"",Values!O4)</f>
        <v>https://download.lenovo.com/Images/Parts/01EN776/01EN776_B.jpg</v>
      </c>
      <c r="O5" s="28" t="str">
        <f>IF(ISBLANK(Values!$G4),"",Values!P4)</f>
        <v>https://download.lenovo.com/Images/Parts/01EN776/01EN776_details.jpg</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Child</v>
      </c>
      <c r="X5" s="30" t="str">
        <f>IF(ISBLANK(Values!F4),"",Values!$B$13)</f>
        <v>Lenovo 13 2nd G</v>
      </c>
      <c r="Y5" s="32" t="str">
        <f>IF(ISBLANK(Values!F4),"","Size-Color")</f>
        <v>Size-Color</v>
      </c>
      <c r="Z5" s="30" t="str">
        <f>IF(ISBLANK(Values!F4),"","variation")</f>
        <v>variation</v>
      </c>
      <c r="AA5" s="2" t="str">
        <f>IF(ISBLANK(Values!F4),"",Values!$B$20)</f>
        <v>PartialUpdate</v>
      </c>
      <c r="AB5" s="2" t="str">
        <f>IF(ISBLANK(Values!F4),"",Values!$B$29)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IF(ISBLANK(Values!F4),"",IF(Values!J4,Values!$B$23,Values!$B$33))</f>
        <v>👉 REFURBISHED:  SAVE MONEY -  Replacement Lenovo laptop keyboard, same quality as OEM keyboards. TellusRem is the Leading keyboards distributor in the world since 2011. Perfect replacement keyboard, easy to replace and install.</v>
      </c>
      <c r="AJ5" s="33" t="str">
        <f>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5" s="2" t="str">
        <f>IF(ISBLANK(Values!F4),"",Values!$B$25)</f>
        <v>♻️ ECOFRIENDLY PRODUCT - Buy refurbished, BUY GREEN! Reduce more than 80% carbon dioxide by buying our refurbished keyboards, compared to getting a new keyboard! Perfect OEM replacement part for your keyboard.</v>
      </c>
      <c r="AL5" s="2" t="str">
        <f>IF(ISBLANK(Values!F4),"",SUBSTITUTE(SUBSTITUTE(IF(Values!$K4, Values!$B$26, Values!$B$33), "{language}", Values!$I4), "{flag}", INDEX(options!$E$1:$E$20, Values!$W4)))</f>
        <v>👉 LAYOUT -  🇩🇪 German NO backlit.</v>
      </c>
      <c r="AM5" s="2" t="str">
        <f>SUBSTITUTE(IF(ISBLANK(Values!F4),"",Values!$B$27), "{model}", Values!$B$3)</f>
        <v>👉 COMPATIBLE WITH - Lenovo Thinkpad 13 Gen 2, T460s, T470s. Please check the picture and description carefully before purchasing any keyboard. This ensures that you get the correct laptop keyboard for your computer. Super easy installation.</v>
      </c>
      <c r="AT5" s="28" t="str">
        <f>IF(ISBLANK(Values!F4),"",Values!I4)</f>
        <v>German</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DEFAULT</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Denmark</v>
      </c>
      <c r="CZ5" s="2" t="str">
        <f>IF(ISBLANK(Values!F4),"","No")</f>
        <v>No</v>
      </c>
      <c r="DA5" s="2" t="str">
        <f>IF(ISBLANK(Values!F4),"","No")</f>
        <v>No</v>
      </c>
      <c r="DO5" s="2" t="str">
        <f>IF(ISBLANK(Values!F4),"","Parts")</f>
        <v>Parts</v>
      </c>
      <c r="DP5" s="2" t="str">
        <f>IF(ISBLANK(Values!F4),"",Values!$B$31)</f>
        <v>6 month warranty after the delivery date. In case of any malfunction of the keyboard a new unit or a spare part for the keyboard of the product will be sent. In case of shortage of stock a full refund is issued.</v>
      </c>
      <c r="DY5" t="str">
        <f>IF(ISBLANK(Values!$F4), "", "not_applicable")</f>
        <v>not_applicable</v>
      </c>
      <c r="EI5" s="2" t="str">
        <f>IF(ISBLANK(Values!F4),"",Values!$B$31)</f>
        <v>6 month warranty after the delivery date. In case of any malfunction of the keyboard a new unit or a spare part for the keyboard of the product will be sent. In case of shortage of stock a full refund is issued.</v>
      </c>
      <c r="ES5" s="2" t="str">
        <f>IF(ISBLANK(Values!F4),"","Amazon Tellus UPS")</f>
        <v>Amazon Tellus UPS</v>
      </c>
      <c r="EV5" s="2" t="str">
        <f>IF(ISBLANK(Values!F4),"","New")</f>
        <v>New</v>
      </c>
      <c r="FE5" s="2">
        <f>IF(ISBLANK(Values!F4),"",IF(CO5&lt;&gt;"DEFAULT", "", 3))</f>
        <v>3</v>
      </c>
      <c r="FH5" s="2" t="str">
        <f>IF(ISBLANK(Values!F4),"","FALSE")</f>
        <v>FALSE</v>
      </c>
      <c r="FI5" s="2" t="str">
        <f>IF(ISBLANK(Values!F4),"","FALSE")</f>
        <v>FALSE</v>
      </c>
      <c r="FJ5" s="2" t="str">
        <f>IF(ISBLANK(Values!F4),"","FALSE")</f>
        <v>FALSE</v>
      </c>
      <c r="FM5" s="2" t="str">
        <f>IF(ISBLANK(Values!F4),"","1")</f>
        <v>1</v>
      </c>
      <c r="FO5" s="28">
        <f>IF(ISBLANK(Values!F4),"",IF(Values!K4, Values!$B$4, Values!$B$5))</f>
        <v>34.950000000000003</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2">
        <f>K5</f>
        <v>34.950000000000003</v>
      </c>
    </row>
    <row r="6" spans="1:193" ht="48" x14ac:dyDescent="0.2">
      <c r="A6" s="2" t="str">
        <f>IF(ISBLANK(Values!F5),"",IF(Values!$B$37="EU","computercomponent","computer"))</f>
        <v>computer</v>
      </c>
      <c r="B6" s="34" t="str">
        <f>IF(ISBLANK(Values!F5),"",Values!G5)</f>
        <v>Lenovo 13 G2 RG Silver - FR</v>
      </c>
      <c r="C6" s="30" t="str">
        <f>IF(ISBLANK(Values!F5),"","TellusRem")</f>
        <v>TellusRem</v>
      </c>
      <c r="D6" s="29">
        <f>IF(ISBLANK(Values!F5),"",Values!F5)</f>
        <v>5714401130017</v>
      </c>
      <c r="E6" s="2" t="str">
        <f>IF(ISBLANK(Values!F5),"","EAN")</f>
        <v>EAN</v>
      </c>
      <c r="F6" s="28" t="str">
        <f>IF(ISBLANK(Values!F5),"",IF(Values!K5, SUBSTITUTE(Values!$B$1, "{language}", Values!I5) &amp; " " &amp;Values!$B$3, SUBSTITUTE(Values!$B$2, "{language}", Values!$I5) &amp; " " &amp;Values!$B$3))</f>
        <v>replacement French non-backlit keyboard for Lenovo Thinkpad  Thinkpad 13 Gen 2, T460s, T470s</v>
      </c>
      <c r="G6" s="30" t="str">
        <f>IF(ISBLANK(Values!F5),"","TellusRem")</f>
        <v>TellusRem</v>
      </c>
      <c r="H6" s="2" t="str">
        <f>IF(ISBLANK(Values!F5),"",Values!$B$16)</f>
        <v>laptop-computer-replacement-parts</v>
      </c>
      <c r="I6" s="2" t="str">
        <f>IF(ISBLANK(Values!F5),"","4730574031")</f>
        <v>4730574031</v>
      </c>
      <c r="J6" s="32" t="str">
        <f>IF(ISBLANK(Values!F5),"",Values!G5 )</f>
        <v>Lenovo 13 G2 RG Silver - FR</v>
      </c>
      <c r="K6" s="28">
        <f>IF(ISBLANK(Values!F5),"",IF(Values!K5, Values!$B$4, Values!$B$5))</f>
        <v>34.950000000000003</v>
      </c>
      <c r="L6" s="28">
        <f>IF(ISBLANK(Values!F5),"",IF($CO6="DEFAULT", Values!$B$18, ""))</f>
        <v>5</v>
      </c>
      <c r="M6" s="28" t="str">
        <f>IF(ISBLANK(Values!F5),"",Values!$N5)</f>
        <v>https://download.lenovo.com/Images/Parts/01EN807/01EN807_A.jpg</v>
      </c>
      <c r="N6" s="28" t="str">
        <f>IF(ISBLANK(Values!$G5),"",Values!O5)</f>
        <v>https://download.lenovo.com/Images/Parts/01EN807/01EN807_B.jpg</v>
      </c>
      <c r="O6" s="28" t="str">
        <f>IF(ISBLANK(Values!$G5),"",Values!P5)</f>
        <v>https://download.lenovo.com/Images/Parts/01EN807/01EN807_details.jpg</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Child</v>
      </c>
      <c r="X6" s="30" t="str">
        <f>IF(ISBLANK(Values!F5),"",Values!$B$13)</f>
        <v>Lenovo 13 2nd G</v>
      </c>
      <c r="Y6" s="32" t="str">
        <f>IF(ISBLANK(Values!F5),"","Size-Color")</f>
        <v>Size-Color</v>
      </c>
      <c r="Z6" s="30" t="str">
        <f>IF(ISBLANK(Values!F5),"","variation")</f>
        <v>variation</v>
      </c>
      <c r="AA6" s="2" t="str">
        <f>IF(ISBLANK(Values!F5),"",Values!$B$20)</f>
        <v>PartialUpdate</v>
      </c>
      <c r="AB6" s="2" t="str">
        <f>IF(ISBLANK(Values!F5),"",Values!$B$29)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IF(ISBLANK(Values!F5),"",IF(Values!J5,Values!$B$23,Values!$B$33))</f>
        <v>👉 REFURBISHED:  SAVE MONEY -  Replacement Lenovo laptop keyboard, same quality as OEM keyboards. TellusRem is the Leading keyboards distributor in the world since 2011. Perfect replacement keyboard, easy to replace and install.</v>
      </c>
      <c r="AJ6" s="33" t="str">
        <f>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6" s="2" t="str">
        <f>IF(ISBLANK(Values!F5),"",Values!$B$25)</f>
        <v>♻️ ECOFRIENDLY PRODUCT - Buy refurbished, BUY GREEN! Reduce more than 80% carbon dioxide by buying our refurbished keyboards, compared to getting a new keyboard! Perfect OEM replacement part for your keyboard.</v>
      </c>
      <c r="AL6" s="2" t="str">
        <f>IF(ISBLANK(Values!F5),"",SUBSTITUTE(SUBSTITUTE(IF(Values!$K5, Values!$B$26, Values!$B$33), "{language}", Values!$I5), "{flag}", INDEX(options!$E$1:$E$20, Values!$W5)))</f>
        <v>👉 LAYOUT -  🇫🇷 French NO backlit.</v>
      </c>
      <c r="AM6" s="2" t="str">
        <f>SUBSTITUTE(IF(ISBLANK(Values!F5),"",Values!$B$27), "{model}", Values!$B$3)</f>
        <v>👉 COMPATIBLE WITH - Lenovo Thinkpad 13 Gen 2, T460s, T470s. Please check the picture and description carefully before purchasing any keyboard. This ensures that you get the correct laptop keyboard for your computer. Super easy installation.</v>
      </c>
      <c r="AT6" s="28" t="str">
        <f>IF(ISBLANK(Values!F5),"",Values!I5)</f>
        <v>French</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DEFAULT</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Denmark</v>
      </c>
      <c r="CZ6" s="2" t="str">
        <f>IF(ISBLANK(Values!F5),"","No")</f>
        <v>No</v>
      </c>
      <c r="DA6" s="2" t="str">
        <f>IF(ISBLANK(Values!F5),"","No")</f>
        <v>No</v>
      </c>
      <c r="DO6" s="2" t="str">
        <f>IF(ISBLANK(Values!F5),"","Parts")</f>
        <v>Parts</v>
      </c>
      <c r="DP6" s="2" t="str">
        <f>IF(ISBLANK(Values!F5),"",Values!$B$31)</f>
        <v>6 month warranty after the delivery date. In case of any malfunction of the keyboard a new unit or a spare part for the keyboard of the product will be sent. In case of shortage of stock a full refund is issued.</v>
      </c>
      <c r="DY6" t="str">
        <f>IF(ISBLANK(Values!$F5), "", "not_applicable")</f>
        <v>not_applicable</v>
      </c>
      <c r="EI6" s="2" t="str">
        <f>IF(ISBLANK(Values!F5),"",Values!$B$31)</f>
        <v>6 month warranty after the delivery date. In case of any malfunction of the keyboard a new unit or a spare part for the keyboard of the product will be sent. In case of shortage of stock a full refund is issued.</v>
      </c>
      <c r="ES6" s="2" t="str">
        <f>IF(ISBLANK(Values!F5),"","Amazon Tellus UPS")</f>
        <v>Amazon Tellus UPS</v>
      </c>
      <c r="EV6" s="2" t="str">
        <f>IF(ISBLANK(Values!F5),"","New")</f>
        <v>New</v>
      </c>
      <c r="FE6" s="2">
        <f>IF(ISBLANK(Values!F5),"",IF(CO6&lt;&gt;"DEFAULT", "", 3))</f>
        <v>3</v>
      </c>
      <c r="FH6" s="2" t="str">
        <f>IF(ISBLANK(Values!F5),"","FALSE")</f>
        <v>FALSE</v>
      </c>
      <c r="FI6" s="2" t="str">
        <f>IF(ISBLANK(Values!F5),"","FALSE")</f>
        <v>FALSE</v>
      </c>
      <c r="FJ6" s="2" t="str">
        <f>IF(ISBLANK(Values!F5),"","FALSE")</f>
        <v>FALSE</v>
      </c>
      <c r="FM6" s="2" t="str">
        <f>IF(ISBLANK(Values!F5),"","1")</f>
        <v>1</v>
      </c>
      <c r="FO6" s="28">
        <f>IF(ISBLANK(Values!F5),"",IF(Values!K5, Values!$B$4, Values!$B$5))</f>
        <v>34.950000000000003</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2">
        <f>K6</f>
        <v>34.950000000000003</v>
      </c>
    </row>
    <row r="7" spans="1:193" ht="48" x14ac:dyDescent="0.2">
      <c r="A7" s="2" t="str">
        <f>IF(ISBLANK(Values!F6),"",IF(Values!$B$37="EU","computercomponent","computer"))</f>
        <v>computer</v>
      </c>
      <c r="B7" s="34" t="str">
        <f>IF(ISBLANK(Values!F6),"",Values!G6)</f>
        <v>Lenovo 13 G2 RG Silver - IT</v>
      </c>
      <c r="C7" s="30" t="str">
        <f>IF(ISBLANK(Values!F6),"","TellusRem")</f>
        <v>TellusRem</v>
      </c>
      <c r="D7" s="29">
        <f>IF(ISBLANK(Values!F6),"",Values!F6)</f>
        <v>5714401130024</v>
      </c>
      <c r="E7" s="2" t="str">
        <f>IF(ISBLANK(Values!F6),"","EAN")</f>
        <v>EAN</v>
      </c>
      <c r="F7" s="28" t="str">
        <f>IF(ISBLANK(Values!F6),"",IF(Values!K6, SUBSTITUTE(Values!$B$1, "{language}", Values!I6) &amp; " " &amp;Values!$B$3, SUBSTITUTE(Values!$B$2, "{language}", Values!$I6) &amp; " " &amp;Values!$B$3))</f>
        <v>replacement Italian non-backlit keyboard for Lenovo Thinkpad  Thinkpad 13 Gen 2, T460s, T470s</v>
      </c>
      <c r="G7" s="30" t="str">
        <f>IF(ISBLANK(Values!F6),"","TellusRem")</f>
        <v>TellusRem</v>
      </c>
      <c r="H7" s="2" t="str">
        <f>IF(ISBLANK(Values!F6),"",Values!$B$16)</f>
        <v>laptop-computer-replacement-parts</v>
      </c>
      <c r="I7" s="2" t="str">
        <f>IF(ISBLANK(Values!F6),"","4730574031")</f>
        <v>4730574031</v>
      </c>
      <c r="J7" s="32" t="str">
        <f>IF(ISBLANK(Values!F6),"",Values!G6 )</f>
        <v>Lenovo 13 G2 RG Silver - IT</v>
      </c>
      <c r="K7" s="28">
        <f>IF(ISBLANK(Values!F6),"",IF(Values!K6, Values!$B$4, Values!$B$5))</f>
        <v>34.950000000000003</v>
      </c>
      <c r="L7" s="28">
        <f>IF(ISBLANK(Values!F6),"",IF($CO7="DEFAULT", Values!$B$18, ""))</f>
        <v>5</v>
      </c>
      <c r="M7" s="28" t="str">
        <f>IF(ISBLANK(Values!F6),"",Values!$N6)</f>
        <v>https://download.lenovo.com/Images/Parts/01EN781/01EN781_A.jpg</v>
      </c>
      <c r="N7" s="28" t="str">
        <f>IF(ISBLANK(Values!$G6),"",Values!O6)</f>
        <v>https://download.lenovo.com/Images/Parts/01EN781/01EN781_B.jpg</v>
      </c>
      <c r="O7" s="28" t="str">
        <f>IF(ISBLANK(Values!$G6),"",Values!P6)</f>
        <v>https://download.lenovo.com/Images/Parts/01EN781/01EN781_details.jpg</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Child</v>
      </c>
      <c r="X7" s="30" t="str">
        <f>IF(ISBLANK(Values!F6),"",Values!$B$13)</f>
        <v>Lenovo 13 2nd G</v>
      </c>
      <c r="Y7" s="32" t="str">
        <f>IF(ISBLANK(Values!F6),"","Size-Color")</f>
        <v>Size-Color</v>
      </c>
      <c r="Z7" s="30" t="str">
        <f>IF(ISBLANK(Values!F6),"","variation")</f>
        <v>variation</v>
      </c>
      <c r="AA7" s="2" t="str">
        <f>IF(ISBLANK(Values!F6),"",Values!$B$20)</f>
        <v>PartialUpdate</v>
      </c>
      <c r="AB7" s="2" t="str">
        <f>IF(ISBLANK(Values!F6),"",Values!$B$29)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IF(ISBLANK(Values!F6),"",IF(Values!J6,Values!$B$23,Values!$B$33))</f>
        <v>👉 REFURBISHED:  SAVE MONEY -  Replacement Lenovo laptop keyboard, same quality as OEM keyboards. TellusRem is the Leading keyboards distributor in the world since 2011. Perfect replacement keyboard, easy to replace and install.</v>
      </c>
      <c r="AJ7" s="33" t="str">
        <f>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7" s="2" t="str">
        <f>IF(ISBLANK(Values!F6),"",Values!$B$25)</f>
        <v>♻️ ECOFRIENDLY PRODUCT - Buy refurbished, BUY GREEN! Reduce more than 80% carbon dioxide by buying our refurbished keyboards, compared to getting a new keyboard! Perfect OEM replacement part for your keyboard.</v>
      </c>
      <c r="AL7" s="2" t="str">
        <f>IF(ISBLANK(Values!F6),"",SUBSTITUTE(SUBSTITUTE(IF(Values!$K6, Values!$B$26, Values!$B$33), "{language}", Values!$I6), "{flag}", INDEX(options!$E$1:$E$20, Values!$W6)))</f>
        <v>👉 LAYOUT -  🇮🇹 Italian NO backlit.</v>
      </c>
      <c r="AM7" s="2" t="str">
        <f>SUBSTITUTE(IF(ISBLANK(Values!F6),"",Values!$B$27), "{model}", Values!$B$3)</f>
        <v>👉 COMPATIBLE WITH - Lenovo Thinkpad 13 Gen 2, T460s, T470s. Please check the picture and description carefully before purchasing any keyboard. This ensures that you get the correct laptop keyboard for your computer. Super easy installation.</v>
      </c>
      <c r="AT7" s="28" t="str">
        <f>IF(ISBLANK(Values!F6),"",Values!I6)</f>
        <v>Italian</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DEFAULT</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Denmark</v>
      </c>
      <c r="CZ7" s="2" t="str">
        <f>IF(ISBLANK(Values!F6),"","No")</f>
        <v>No</v>
      </c>
      <c r="DA7" s="2" t="str">
        <f>IF(ISBLANK(Values!F6),"","No")</f>
        <v>No</v>
      </c>
      <c r="DO7" s="2" t="str">
        <f>IF(ISBLANK(Values!F6),"","Parts")</f>
        <v>Parts</v>
      </c>
      <c r="DP7" s="2" t="str">
        <f>IF(ISBLANK(Values!F6),"",Values!$B$31)</f>
        <v>6 month warranty after the delivery date. In case of any malfunction of the keyboard a new unit or a spare part for the keyboard of the product will be sent. In case of shortage of stock a full refund is issued.</v>
      </c>
      <c r="DY7" t="str">
        <f>IF(ISBLANK(Values!$F6), "", "not_applicable")</f>
        <v>not_applicable</v>
      </c>
      <c r="EI7" s="2" t="str">
        <f>IF(ISBLANK(Values!F6),"",Values!$B$31)</f>
        <v>6 month warranty after the delivery date. In case of any malfunction of the keyboard a new unit or a spare part for the keyboard of the product will be sent. In case of shortage of stock a full refund is issued.</v>
      </c>
      <c r="ES7" s="2" t="str">
        <f>IF(ISBLANK(Values!F6),"","Amazon Tellus UPS")</f>
        <v>Amazon Tellus UPS</v>
      </c>
      <c r="EV7" s="2" t="str">
        <f>IF(ISBLANK(Values!F6),"","New")</f>
        <v>New</v>
      </c>
      <c r="FE7" s="2">
        <f>IF(ISBLANK(Values!F6),"",IF(CO7&lt;&gt;"DEFAULT", "", 3))</f>
        <v>3</v>
      </c>
      <c r="FH7" s="2" t="str">
        <f>IF(ISBLANK(Values!F6),"","FALSE")</f>
        <v>FALSE</v>
      </c>
      <c r="FI7" s="2" t="str">
        <f>IF(ISBLANK(Values!F6),"","FALSE")</f>
        <v>FALSE</v>
      </c>
      <c r="FJ7" s="2" t="str">
        <f>IF(ISBLANK(Values!F6),"","FALSE")</f>
        <v>FALSE</v>
      </c>
      <c r="FM7" s="2" t="str">
        <f>IF(ISBLANK(Values!F6),"","1")</f>
        <v>1</v>
      </c>
      <c r="FO7" s="28">
        <f>IF(ISBLANK(Values!F6),"",IF(Values!K6, Values!$B$4, Values!$B$5))</f>
        <v>34.950000000000003</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2">
        <f>K7</f>
        <v>34.950000000000003</v>
      </c>
    </row>
    <row r="8" spans="1:193" ht="48" x14ac:dyDescent="0.2">
      <c r="A8" s="2" t="str">
        <f>IF(ISBLANK(Values!F7),"",IF(Values!$B$37="EU","computercomponent","computer"))</f>
        <v>computer</v>
      </c>
      <c r="B8" s="34" t="str">
        <f>IF(ISBLANK(Values!F7),"",Values!G7)</f>
        <v>Lenovo 13 G2 RG Silver - ES</v>
      </c>
      <c r="C8" s="30" t="str">
        <f>IF(ISBLANK(Values!F7),"","TellusRem")</f>
        <v>TellusRem</v>
      </c>
      <c r="D8" s="29">
        <f>IF(ISBLANK(Values!F7),"",Values!F7)</f>
        <v>5714401130031</v>
      </c>
      <c r="E8" s="2" t="str">
        <f>IF(ISBLANK(Values!F7),"","EAN")</f>
        <v>EAN</v>
      </c>
      <c r="F8" s="28" t="str">
        <f>IF(ISBLANK(Values!F7),"",IF(Values!K7, SUBSTITUTE(Values!$B$1, "{language}", Values!I7) &amp; " " &amp;Values!$B$3, SUBSTITUTE(Values!$B$2, "{language}", Values!$I7) &amp; " " &amp;Values!$B$3))</f>
        <v>replacement Spanish non-backlit keyboard for Lenovo Thinkpad  Thinkpad 13 Gen 2, T460s, T470s</v>
      </c>
      <c r="G8" s="30" t="str">
        <f>IF(ISBLANK(Values!F7),"","TellusRem")</f>
        <v>TellusRem</v>
      </c>
      <c r="H8" s="2" t="str">
        <f>IF(ISBLANK(Values!F7),"",Values!$B$16)</f>
        <v>laptop-computer-replacement-parts</v>
      </c>
      <c r="I8" s="2" t="str">
        <f>IF(ISBLANK(Values!F7),"","4730574031")</f>
        <v>4730574031</v>
      </c>
      <c r="J8" s="32" t="str">
        <f>IF(ISBLANK(Values!F7),"",Values!G7 )</f>
        <v>Lenovo 13 G2 RG Silver - ES</v>
      </c>
      <c r="K8" s="28">
        <f>IF(ISBLANK(Values!F7),"",IF(Values!K7, Values!$B$4, Values!$B$5))</f>
        <v>34.950000000000003</v>
      </c>
      <c r="L8" s="28">
        <f>IF(ISBLANK(Values!F7),"",IF($CO8="DEFAULT", Values!$B$18, ""))</f>
        <v>5</v>
      </c>
      <c r="M8" s="28" t="str">
        <f>IF(ISBLANK(Values!F7),"",Values!$N7)</f>
        <v>https://download.lenovo.com/Images/Parts/01EN815/01EN815_A.jpg</v>
      </c>
      <c r="N8" s="28" t="str">
        <f>IF(ISBLANK(Values!$G7),"",Values!O7)</f>
        <v>https://download.lenovo.com/Images/Parts/01EN815/01EN815_B.jpg</v>
      </c>
      <c r="O8" s="28" t="str">
        <f>IF(ISBLANK(Values!$G7),"",Values!P7)</f>
        <v>https://download.lenovo.com/Images/Parts/01EN815/01EN815_details.jpg</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Child</v>
      </c>
      <c r="X8" s="30" t="str">
        <f>IF(ISBLANK(Values!F7),"",Values!$B$13)</f>
        <v>Lenovo 13 2nd G</v>
      </c>
      <c r="Y8" s="32" t="str">
        <f>IF(ISBLANK(Values!F7),"","Size-Color")</f>
        <v>Size-Color</v>
      </c>
      <c r="Z8" s="30" t="str">
        <f>IF(ISBLANK(Values!F7),"","variation")</f>
        <v>variation</v>
      </c>
      <c r="AA8" s="2" t="str">
        <f>IF(ISBLANK(Values!F7),"",Values!$B$20)</f>
        <v>PartialUpdate</v>
      </c>
      <c r="AB8" s="2" t="str">
        <f>IF(ISBLANK(Values!F7),"",Values!$B$29)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IF(ISBLANK(Values!F7),"",IF(Values!J7,Values!$B$23,Values!$B$33))</f>
        <v>👉 REFURBISHED:  SAVE MONEY -  Replacement Lenovo laptop keyboard, same quality as OEM keyboards. TellusRem is the Leading keyboards distributor in the world since 2011. Perfect replacement keyboard, easy to replace and install.</v>
      </c>
      <c r="AJ8" s="33" t="str">
        <f>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8" s="2" t="str">
        <f>IF(ISBLANK(Values!F7),"",Values!$B$25)</f>
        <v>♻️ ECOFRIENDLY PRODUCT - Buy refurbished, BUY GREEN! Reduce more than 80% carbon dioxide by buying our refurbished keyboards, compared to getting a new keyboard! Perfect OEM replacement part for your keyboard.</v>
      </c>
      <c r="AL8" s="2" t="str">
        <f>IF(ISBLANK(Values!F7),"",SUBSTITUTE(SUBSTITUTE(IF(Values!$K7, Values!$B$26, Values!$B$33), "{language}", Values!$I7), "{flag}", INDEX(options!$E$1:$E$20, Values!$W7)))</f>
        <v>👉 LAYOUT -  🇪🇸 Spanish NO backlit.</v>
      </c>
      <c r="AM8" s="2" t="str">
        <f>SUBSTITUTE(IF(ISBLANK(Values!F7),"",Values!$B$27), "{model}", Values!$B$3)</f>
        <v>👉 COMPATIBLE WITH - Lenovo Thinkpad 13 Gen 2, T460s, T470s. Please check the picture and description carefully before purchasing any keyboard. This ensures that you get the correct laptop keyboard for your computer. Super easy installation.</v>
      </c>
      <c r="AT8" s="28" t="str">
        <f>IF(ISBLANK(Values!F7),"",Values!I7)</f>
        <v>Spanish</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DEFAULT</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Denmark</v>
      </c>
      <c r="CZ8" s="2" t="str">
        <f>IF(ISBLANK(Values!F7),"","No")</f>
        <v>No</v>
      </c>
      <c r="DA8" s="2" t="str">
        <f>IF(ISBLANK(Values!F7),"","No")</f>
        <v>No</v>
      </c>
      <c r="DO8" s="2" t="str">
        <f>IF(ISBLANK(Values!F7),"","Parts")</f>
        <v>Parts</v>
      </c>
      <c r="DP8" s="2" t="str">
        <f>IF(ISBLANK(Values!F7),"",Values!$B$31)</f>
        <v>6 month warranty after the delivery date. In case of any malfunction of the keyboard a new unit or a spare part for the keyboard of the product will be sent. In case of shortage of stock a full refund is issued.</v>
      </c>
      <c r="DY8" t="str">
        <f>IF(ISBLANK(Values!$F7), "", "not_applicable")</f>
        <v>not_applicable</v>
      </c>
      <c r="EI8" s="2" t="str">
        <f>IF(ISBLANK(Values!F7),"",Values!$B$31)</f>
        <v>6 month warranty after the delivery date. In case of any malfunction of the keyboard a new unit or a spare part for the keyboard of the product will be sent. In case of shortage of stock a full refund is issued.</v>
      </c>
      <c r="ES8" s="2" t="str">
        <f>IF(ISBLANK(Values!F7),"","Amazon Tellus UPS")</f>
        <v>Amazon Tellus UPS</v>
      </c>
      <c r="EV8" s="2" t="str">
        <f>IF(ISBLANK(Values!F7),"","New")</f>
        <v>New</v>
      </c>
      <c r="FE8" s="2">
        <f>IF(ISBLANK(Values!F7),"",IF(CO8&lt;&gt;"DEFAULT", "", 3))</f>
        <v>3</v>
      </c>
      <c r="FH8" s="2" t="str">
        <f>IF(ISBLANK(Values!F7),"","FALSE")</f>
        <v>FALSE</v>
      </c>
      <c r="FI8" s="2" t="str">
        <f>IF(ISBLANK(Values!F7),"","FALSE")</f>
        <v>FALSE</v>
      </c>
      <c r="FJ8" s="2" t="str">
        <f>IF(ISBLANK(Values!F7),"","FALSE")</f>
        <v>FALSE</v>
      </c>
      <c r="FM8" s="2" t="str">
        <f>IF(ISBLANK(Values!F7),"","1")</f>
        <v>1</v>
      </c>
      <c r="FO8" s="28">
        <f>IF(ISBLANK(Values!F7),"",IF(Values!K7, Values!$B$4, Values!$B$5))</f>
        <v>34.950000000000003</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2">
        <f>K8</f>
        <v>34.950000000000003</v>
      </c>
    </row>
    <row r="9" spans="1:193" ht="48" x14ac:dyDescent="0.2">
      <c r="A9" s="2" t="str">
        <f>IF(ISBLANK(Values!F8),"",IF(Values!$B$37="EU","computercomponent","computer"))</f>
        <v>computer</v>
      </c>
      <c r="B9" s="34" t="str">
        <f>IF(ISBLANK(Values!F8),"",Values!G8)</f>
        <v>Lenovo 13 G2 RG Silver - UK</v>
      </c>
      <c r="C9" s="30" t="str">
        <f>IF(ISBLANK(Values!F8),"","TellusRem")</f>
        <v>TellusRem</v>
      </c>
      <c r="D9" s="29">
        <f>IF(ISBLANK(Values!F8),"",Values!F8)</f>
        <v>5714401130048</v>
      </c>
      <c r="E9" s="2" t="str">
        <f>IF(ISBLANK(Values!F8),"","EAN")</f>
        <v>EAN</v>
      </c>
      <c r="F9" s="28" t="str">
        <f>IF(ISBLANK(Values!F8),"",IF(Values!K8, SUBSTITUTE(Values!$B$1, "{language}", Values!I8) &amp; " " &amp;Values!$B$3, SUBSTITUTE(Values!$B$2, "{language}", Values!$I8) &amp; " " &amp;Values!$B$3))</f>
        <v>replacement UK non-backlit keyboard for Lenovo Thinkpad  Thinkpad 13 Gen 2, T460s, T470s</v>
      </c>
      <c r="G9" s="30" t="str">
        <f>IF(ISBLANK(Values!F8),"","TellusRem")</f>
        <v>TellusRem</v>
      </c>
      <c r="H9" s="2" t="str">
        <f>IF(ISBLANK(Values!F8),"",Values!$B$16)</f>
        <v>laptop-computer-replacement-parts</v>
      </c>
      <c r="I9" s="2" t="str">
        <f>IF(ISBLANK(Values!F8),"","4730574031")</f>
        <v>4730574031</v>
      </c>
      <c r="J9" s="32" t="str">
        <f>IF(ISBLANK(Values!F8),"",Values!G8 )</f>
        <v>Lenovo 13 G2 RG Silver - UK</v>
      </c>
      <c r="K9" s="28">
        <f>IF(ISBLANK(Values!F8),"",IF(Values!K8, Values!$B$4, Values!$B$5))</f>
        <v>34.950000000000003</v>
      </c>
      <c r="L9" s="28">
        <f>IF(ISBLANK(Values!F8),"",IF($CO9="DEFAULT", Values!$B$18, ""))</f>
        <v>5</v>
      </c>
      <c r="M9" s="28" t="str">
        <f>IF(ISBLANK(Values!F8),"",Values!$N8)</f>
        <v>https://download.lenovo.com/Images/Parts/01EN793/01EN793_A.jpg</v>
      </c>
      <c r="N9" s="28" t="str">
        <f>IF(ISBLANK(Values!$G8),"",Values!O8)</f>
        <v>https://download.lenovo.com/Images/Parts/01EN793/01EN793_B.jpg</v>
      </c>
      <c r="O9" s="28" t="str">
        <f>IF(ISBLANK(Values!$G8),"",Values!P8)</f>
        <v>https://download.lenovo.com/Images/Parts/01EN793/01EN793_details.jpg</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Child</v>
      </c>
      <c r="X9" s="30" t="str">
        <f>IF(ISBLANK(Values!F8),"",Values!$B$13)</f>
        <v>Lenovo 13 2nd G</v>
      </c>
      <c r="Y9" s="32" t="str">
        <f>IF(ISBLANK(Values!F8),"","Size-Color")</f>
        <v>Size-Color</v>
      </c>
      <c r="Z9" s="30" t="str">
        <f>IF(ISBLANK(Values!F8),"","variation")</f>
        <v>variation</v>
      </c>
      <c r="AA9" s="2" t="str">
        <f>IF(ISBLANK(Values!F8),"",Values!$B$20)</f>
        <v>PartialUpdate</v>
      </c>
      <c r="AB9" s="2" t="str">
        <f>IF(ISBLANK(Values!F8),"",Values!$B$29)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IF(ISBLANK(Values!F8),"",IF(Values!J8,Values!$B$23,Values!$B$33))</f>
        <v>👉 REFURBISHED:  SAVE MONEY -  Replacement Lenovo laptop keyboard, same quality as OEM keyboards. TellusRem is the Leading keyboards distributor in the world since 2011. Perfect replacement keyboard, easy to replace and install.</v>
      </c>
      <c r="AJ9" s="33" t="str">
        <f>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9" s="2" t="str">
        <f>IF(ISBLANK(Values!F8),"",Values!$B$25)</f>
        <v>♻️ ECOFRIENDLY PRODUCT - Buy refurbished, BUY GREEN! Reduce more than 80% carbon dioxide by buying our refurbished keyboards, compared to getting a new keyboard! Perfect OEM replacement part for your keyboard.</v>
      </c>
      <c r="AL9" s="2" t="str">
        <f>IF(ISBLANK(Values!F8),"",SUBSTITUTE(SUBSTITUTE(IF(Values!$K8, Values!$B$26, Values!$B$33), "{language}", Values!$I8), "{flag}", INDEX(options!$E$1:$E$20, Values!$W8)))</f>
        <v>👉 LAYOUT -  🇬🇧 UK NO backlit.</v>
      </c>
      <c r="AM9" s="2" t="str">
        <f>SUBSTITUTE(IF(ISBLANK(Values!F8),"",Values!$B$27), "{model}", Values!$B$3)</f>
        <v>👉 COMPATIBLE WITH - Lenovo Thinkpad 13 Gen 2, T460s, T470s. Please check the picture and description carefully before purchasing any keyboard. This ensures that you get the correct laptop keyboard for your computer. Super easy installation.</v>
      </c>
      <c r="AT9" s="28" t="str">
        <f>IF(ISBLANK(Values!F8),"",Values!I8)</f>
        <v>UK</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DEFAULT</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Denmark</v>
      </c>
      <c r="CZ9" s="2" t="str">
        <f>IF(ISBLANK(Values!F8),"","No")</f>
        <v>No</v>
      </c>
      <c r="DA9" s="2" t="str">
        <f>IF(ISBLANK(Values!F8),"","No")</f>
        <v>No</v>
      </c>
      <c r="DO9" s="2" t="str">
        <f>IF(ISBLANK(Values!F8),"","Parts")</f>
        <v>Parts</v>
      </c>
      <c r="DP9" s="2" t="str">
        <f>IF(ISBLANK(Values!F8),"",Values!$B$31)</f>
        <v>6 month warranty after the delivery date. In case of any malfunction of the keyboard a new unit or a spare part for the keyboard of the product will be sent. In case of shortage of stock a full refund is issued.</v>
      </c>
      <c r="DY9" t="str">
        <f>IF(ISBLANK(Values!$F8), "", "not_applicable")</f>
        <v>not_applicable</v>
      </c>
      <c r="EI9" s="2" t="str">
        <f>IF(ISBLANK(Values!F8),"",Values!$B$31)</f>
        <v>6 month warranty after the delivery date. In case of any malfunction of the keyboard a new unit or a spare part for the keyboard of the product will be sent. In case of shortage of stock a full refund is issued.</v>
      </c>
      <c r="ES9" s="2" t="str">
        <f>IF(ISBLANK(Values!F8),"","Amazon Tellus UPS")</f>
        <v>Amazon Tellus UPS</v>
      </c>
      <c r="EV9" s="2" t="str">
        <f>IF(ISBLANK(Values!F8),"","New")</f>
        <v>New</v>
      </c>
      <c r="FE9" s="2">
        <f>IF(ISBLANK(Values!F8),"",IF(CO9&lt;&gt;"DEFAULT", "", 3))</f>
        <v>3</v>
      </c>
      <c r="FH9" s="2" t="str">
        <f>IF(ISBLANK(Values!F8),"","FALSE")</f>
        <v>FALSE</v>
      </c>
      <c r="FI9" s="2" t="str">
        <f>IF(ISBLANK(Values!F8),"","FALSE")</f>
        <v>FALSE</v>
      </c>
      <c r="FJ9" s="2" t="str">
        <f>IF(ISBLANK(Values!F8),"","FALSE")</f>
        <v>FALSE</v>
      </c>
      <c r="FM9" s="2" t="str">
        <f>IF(ISBLANK(Values!F8),"","1")</f>
        <v>1</v>
      </c>
      <c r="FO9" s="28">
        <f>IF(ISBLANK(Values!F8),"",IF(Values!K8, Values!$B$4, Values!$B$5))</f>
        <v>34.950000000000003</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2">
        <f>K9</f>
        <v>34.950000000000003</v>
      </c>
    </row>
    <row r="10" spans="1:193" ht="48" x14ac:dyDescent="0.2">
      <c r="A10" s="2" t="str">
        <f>IF(ISBLANK(Values!F9),"",IF(Values!$B$37="EU","computercomponent","computer"))</f>
        <v>computer</v>
      </c>
      <c r="B10" s="34" t="str">
        <f>IF(ISBLANK(Values!F9),"",Values!G9)</f>
        <v>Lenovo 13 G2 RG Silver - NORDIC</v>
      </c>
      <c r="C10" s="30" t="str">
        <f>IF(ISBLANK(Values!F9),"","TellusRem")</f>
        <v>TellusRem</v>
      </c>
      <c r="D10" s="29">
        <f>IF(ISBLANK(Values!F9),"",Values!F9)</f>
        <v>5714401130055</v>
      </c>
      <c r="E10" s="2" t="str">
        <f>IF(ISBLANK(Values!F9),"","EAN")</f>
        <v>EAN</v>
      </c>
      <c r="F10" s="28" t="str">
        <f>IF(ISBLANK(Values!F9),"",IF(Values!K9, SUBSTITUTE(Values!$B$1, "{language}", Values!I9) &amp; " " &amp;Values!$B$3, SUBSTITUTE(Values!$B$2, "{language}", Values!$I9) &amp; " " &amp;Values!$B$3))</f>
        <v>replacement Scandinavian – Nordic non-backlit keyboard for Lenovo Thinkpad  Thinkpad 13 Gen 2, T460s, T470s</v>
      </c>
      <c r="G10" s="30" t="str">
        <f>IF(ISBLANK(Values!F9),"","TellusRem")</f>
        <v>TellusRem</v>
      </c>
      <c r="H10" s="2" t="str">
        <f>IF(ISBLANK(Values!F9),"",Values!$B$16)</f>
        <v>laptop-computer-replacement-parts</v>
      </c>
      <c r="I10" s="2" t="str">
        <f>IF(ISBLANK(Values!F9),"","4730574031")</f>
        <v>4730574031</v>
      </c>
      <c r="J10" s="32" t="str">
        <f>IF(ISBLANK(Values!F9),"",Values!G9 )</f>
        <v>Lenovo 13 G2 RG Silver - NORDIC</v>
      </c>
      <c r="K10" s="28">
        <f>IF(ISBLANK(Values!F9),"",IF(Values!K9, Values!$B$4, Values!$B$5))</f>
        <v>34.950000000000003</v>
      </c>
      <c r="L10" s="28">
        <f>IF(ISBLANK(Values!F9),"",IF($CO10="DEFAULT", Values!$B$18, ""))</f>
        <v>5</v>
      </c>
      <c r="M10" s="28" t="str">
        <f>IF(ISBLANK(Values!F9),"",Values!$N9)</f>
        <v>https://download.lenovo.com/Images/Parts/01EN804/01EN804_A.jpg</v>
      </c>
      <c r="N10" s="28" t="str">
        <f>IF(ISBLANK(Values!$G9),"",Values!O9)</f>
        <v>https://download.lenovo.com/Images/Parts/01EN804/01EN804_B.jpg</v>
      </c>
      <c r="O10" s="28" t="str">
        <f>IF(ISBLANK(Values!$G9),"",Values!P9)</f>
        <v>https://download.lenovo.com/Images/Parts/01EN804/01EN804_details.jpg</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Child</v>
      </c>
      <c r="X10" s="30" t="str">
        <f>IF(ISBLANK(Values!F9),"",Values!$B$13)</f>
        <v>Lenovo 13 2nd G</v>
      </c>
      <c r="Y10" s="32" t="str">
        <f>IF(ISBLANK(Values!F9),"","Size-Color")</f>
        <v>Size-Color</v>
      </c>
      <c r="Z10" s="30" t="str">
        <f>IF(ISBLANK(Values!F9),"","variation")</f>
        <v>variation</v>
      </c>
      <c r="AA10" s="2" t="str">
        <f>IF(ISBLANK(Values!F9),"",Values!$B$20)</f>
        <v>PartialUpdate</v>
      </c>
      <c r="AB10" s="2" t="str">
        <f>IF(ISBLANK(Values!F9),"",Values!$B$29)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IF(ISBLANK(Values!F9),"",IF(Values!J9,Values!$B$23,Values!$B$33))</f>
        <v>👉 REFURBISHED:  SAVE MONEY -  Replacement Lenovo laptop keyboard, same quality as OEM keyboards. TellusRem is the Leading keyboards distributor in the world since 2011. Perfect replacement keyboard, easy to replace and install.</v>
      </c>
      <c r="AJ10" s="33" t="str">
        <f>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0" s="2" t="str">
        <f>IF(ISBLANK(Values!F9),"",Values!$B$25)</f>
        <v>♻️ ECOFRIENDLY PRODUCT - Buy refurbished, BUY GREEN! Reduce more than 80% carbon dioxide by buying our refurbished keyboards, compared to getting a new keyboard! Perfect OEM replacement part for your keyboard.</v>
      </c>
      <c r="AL10" s="2" t="str">
        <f>IF(ISBLANK(Values!F9),"",SUBSTITUTE(SUBSTITUTE(IF(Values!$K9, Values!$B$26, Values!$B$33), "{language}", Values!$I9), "{flag}", INDEX(options!$E$1:$E$20, Values!$W9)))</f>
        <v>👉 LAYOUT -  🇸🇪 🇫🇮 🇳🇴 🇩🇰 Scandinavian – Nordic NO backlit.</v>
      </c>
      <c r="AM10" s="2" t="str">
        <f>SUBSTITUTE(IF(ISBLANK(Values!F9),"",Values!$B$27), "{model}", Values!$B$3)</f>
        <v>👉 COMPATIBLE WITH - Lenovo Thinkpad 13 Gen 2, T460s, T470s. Please check the picture and description carefully before purchasing any keyboard. This ensures that you get the correct laptop keyboard for your computer. Super easy installation.</v>
      </c>
      <c r="AT10" s="28" t="str">
        <f>IF(ISBLANK(Values!F9),"",Values!I9)</f>
        <v>Scandinavian – Nordic</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DEFAULT</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Denmark</v>
      </c>
      <c r="CZ10" s="2" t="str">
        <f>IF(ISBLANK(Values!F9),"","No")</f>
        <v>No</v>
      </c>
      <c r="DA10" s="2" t="str">
        <f>IF(ISBLANK(Values!F9),"","No")</f>
        <v>No</v>
      </c>
      <c r="DO10" s="2" t="str">
        <f>IF(ISBLANK(Values!F9),"","Parts")</f>
        <v>Parts</v>
      </c>
      <c r="DP10" s="2" t="str">
        <f>IF(ISBLANK(Values!F9),"",Values!$B$31)</f>
        <v>6 month warranty after the delivery date. In case of any malfunction of the keyboard a new unit or a spare part for the keyboard of the product will be sent. In case of shortage of stock a full refund is issued.</v>
      </c>
      <c r="DY10" t="str">
        <f>IF(ISBLANK(Values!$F9), "", "not_applicable")</f>
        <v>not_applicable</v>
      </c>
      <c r="EI10" s="2" t="str">
        <f>IF(ISBLANK(Values!F9),"",Values!$B$31)</f>
        <v>6 month warranty after the delivery date. In case of any malfunction of the keyboard a new unit or a spare part for the keyboard of the product will be sent. In case of shortage of stock a full refund is issued.</v>
      </c>
      <c r="ES10" s="2" t="str">
        <f>IF(ISBLANK(Values!F9),"","Amazon Tellus UPS")</f>
        <v>Amazon Tellus UPS</v>
      </c>
      <c r="EV10" s="2" t="str">
        <f>IF(ISBLANK(Values!F9),"","New")</f>
        <v>New</v>
      </c>
      <c r="FE10" s="2">
        <f>IF(ISBLANK(Values!F9),"",IF(CO10&lt;&gt;"DEFAULT", "", 3))</f>
        <v>3</v>
      </c>
      <c r="FH10" s="2" t="str">
        <f>IF(ISBLANK(Values!F9),"","FALSE")</f>
        <v>FALSE</v>
      </c>
      <c r="FI10" s="2" t="str">
        <f>IF(ISBLANK(Values!F9),"","FALSE")</f>
        <v>FALSE</v>
      </c>
      <c r="FJ10" s="2" t="str">
        <f>IF(ISBLANK(Values!F9),"","FALSE")</f>
        <v>FALSE</v>
      </c>
      <c r="FM10" s="2" t="str">
        <f>IF(ISBLANK(Values!F9),"","1")</f>
        <v>1</v>
      </c>
      <c r="FO10" s="28">
        <f>IF(ISBLANK(Values!F9),"",IF(Values!K9, Values!$B$4, Values!$B$5))</f>
        <v>34.950000000000003</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2">
        <f>K10</f>
        <v>34.950000000000003</v>
      </c>
    </row>
    <row r="11" spans="1:193" ht="48" x14ac:dyDescent="0.2">
      <c r="A11" s="2" t="str">
        <f>IF(ISBLANK(Values!F10),"",IF(Values!$B$37="EU","computercomponent","computer"))</f>
        <v>computer</v>
      </c>
      <c r="B11" s="34" t="str">
        <f>IF(ISBLANK(Values!F10),"",Values!G10)</f>
        <v>Lenovo 13 G2 RG Silver - BE</v>
      </c>
      <c r="C11" s="30" t="str">
        <f>IF(ISBLANK(Values!F10),"","TellusRem")</f>
        <v>TellusRem</v>
      </c>
      <c r="D11" s="29">
        <f>IF(ISBLANK(Values!F10),"",Values!F10)</f>
        <v>5714401130062</v>
      </c>
      <c r="E11" s="2" t="str">
        <f>IF(ISBLANK(Values!F10),"","EAN")</f>
        <v>EAN</v>
      </c>
      <c r="F11" s="28" t="str">
        <f>IF(ISBLANK(Values!F10),"",IF(Values!K10, SUBSTITUTE(Values!$B$1, "{language}", Values!I10) &amp; " " &amp;Values!$B$3, SUBSTITUTE(Values!$B$2, "{language}", Values!$I10) &amp; " " &amp;Values!$B$3))</f>
        <v>replacement Belgian non-backlit keyboard for Lenovo Thinkpad  Thinkpad 13 Gen 2, T460s, T470s</v>
      </c>
      <c r="G11" s="30" t="str">
        <f>IF(ISBLANK(Values!F10),"","TellusRem")</f>
        <v>TellusRem</v>
      </c>
      <c r="H11" s="2" t="str">
        <f>IF(ISBLANK(Values!F10),"",Values!$B$16)</f>
        <v>laptop-computer-replacement-parts</v>
      </c>
      <c r="I11" s="2" t="str">
        <f>IF(ISBLANK(Values!F10),"","4730574031")</f>
        <v>4730574031</v>
      </c>
      <c r="J11" s="32" t="str">
        <f>IF(ISBLANK(Values!F10),"",Values!G10 )</f>
        <v>Lenovo 13 G2 RG Silver - BE</v>
      </c>
      <c r="K11" s="28">
        <f>IF(ISBLANK(Values!F10),"",IF(Values!K10, Values!$B$4, Values!$B$5))</f>
        <v>34.950000000000003</v>
      </c>
      <c r="L11" s="28">
        <f>IF(ISBLANK(Values!F10),"",IF($CO11="DEFAULT", Values!$B$18, ""))</f>
        <v>5</v>
      </c>
      <c r="M11" s="28" t="str">
        <f>IF(ISBLANK(Values!F10),"",Values!$N10)</f>
        <v>https://download.lenovo.com/Images/Parts/01EN811/01EN811_A.jpg</v>
      </c>
      <c r="N11" s="28" t="str">
        <f>IF(ISBLANK(Values!$G10),"",Values!O10)</f>
        <v>https://download.lenovo.com/Images/Parts/01EN811/01EN811_B.jpg</v>
      </c>
      <c r="O11" s="28" t="str">
        <f>IF(ISBLANK(Values!$G10),"",Values!P10)</f>
        <v>https://download.lenovo.com/Images/Parts/01EN811/01EN811_details.jpg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13 2nd G</v>
      </c>
      <c r="Y11" s="32" t="str">
        <f>IF(ISBLANK(Values!F10),"","Size-Color")</f>
        <v>Size-Color</v>
      </c>
      <c r="Z11" s="30" t="str">
        <f>IF(ISBLANK(Values!F10),"","variation")</f>
        <v>variation</v>
      </c>
      <c r="AA11" s="2" t="str">
        <f>IF(ISBLANK(Values!F10),"",Values!$B$20)</f>
        <v>PartialUpdate</v>
      </c>
      <c r="AB11" s="2" t="str">
        <f>IF(ISBLANK(Values!F10),"",Values!$B$29)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IF(ISBLANK(Values!F10),"",IF(Values!J10,Values!$B$23,Values!$B$33))</f>
        <v>👉 REFURBISHED:  SAVE MONEY -  Replacement Lenovo laptop keyboard, same quality as OEM keyboards. TellusRem is the Leading keyboards distributor in the world since 2011. Perfect replacement keyboard, easy to replace and install.</v>
      </c>
      <c r="AJ11" s="33" t="str">
        <f>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1" s="2" t="str">
        <f>IF(ISBLANK(Values!F10),"",Values!$B$25)</f>
        <v>♻️ ECOFRIENDLY PRODUCT - Buy refurbished, BUY GREEN! Reduce more than 80% carbon dioxide by buying our refurbished keyboards, compared to getting a new keyboard! Perfect OEM replacement part for your keyboard.</v>
      </c>
      <c r="AL11" s="2" t="str">
        <f>IF(ISBLANK(Values!F10),"",SUBSTITUTE(SUBSTITUTE(IF(Values!$K10, Values!$B$26, Values!$B$33), "{language}", Values!$I10), "{flag}", INDEX(options!$E$1:$E$20, Values!$W10)))</f>
        <v>👉 LAYOUT -  🇧🇪 Belgian NO backlit.</v>
      </c>
      <c r="AM11" s="2" t="str">
        <f>SUBSTITUTE(IF(ISBLANK(Values!F10),"",Values!$B$27), "{model}", Values!$B$3)</f>
        <v>👉 COMPATIBLE WITH - Lenovo Thinkpad 13 Gen 2, T460s, T470s. Please check the picture and description carefully before purchasing any keyboard. This ensures that you get the correct laptop keyboard for your computer. Super easy installation.</v>
      </c>
      <c r="AT11" s="28" t="str">
        <f>IF(ISBLANK(Values!F10),"",Values!I10)</f>
        <v>Belgian</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DEFAULT</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Denmark</v>
      </c>
      <c r="CZ11" s="2" t="str">
        <f>IF(ISBLANK(Values!F10),"","No")</f>
        <v>No</v>
      </c>
      <c r="DA11" s="2" t="str">
        <f>IF(ISBLANK(Values!F10),"","No")</f>
        <v>No</v>
      </c>
      <c r="DO11" s="2" t="str">
        <f>IF(ISBLANK(Values!F10),"","Parts")</f>
        <v>Parts</v>
      </c>
      <c r="DP11" s="2" t="str">
        <f>IF(ISBLANK(Values!F10),"",Values!$B$31)</f>
        <v>6 month warranty after the delivery date. In case of any malfunction of the keyboard a new unit or a spare part for the keyboard of the product will be sent. In case of shortage of stock a full refund is issued.</v>
      </c>
      <c r="DY11" t="str">
        <f>IF(ISBLANK(Values!$F10), "", "not_applicable")</f>
        <v>not_applicable</v>
      </c>
      <c r="EI11" s="2" t="str">
        <f>IF(ISBLANK(Values!F10),"",Values!$B$31)</f>
        <v>6 month warranty after the delivery date. In case of any malfunction of the keyboard a new unit or a spare part for the keyboard of the product will be sent. In case of shortage of stock a full refund is issued.</v>
      </c>
      <c r="ES11" s="2" t="str">
        <f>IF(ISBLANK(Values!F10),"","Amazon Tellus UPS")</f>
        <v>Amazon Tellus UPS</v>
      </c>
      <c r="EV11" s="2" t="str">
        <f>IF(ISBLANK(Values!F10),"","New")</f>
        <v>New</v>
      </c>
      <c r="FE11" s="2">
        <f>IF(ISBLANK(Values!F10),"",IF(CO11&lt;&gt;"DEFAULT", "", 3))</f>
        <v>3</v>
      </c>
      <c r="FH11" s="2" t="str">
        <f>IF(ISBLANK(Values!F10),"","FALSE")</f>
        <v>FALSE</v>
      </c>
      <c r="FI11" s="2" t="str">
        <f>IF(ISBLANK(Values!F10),"","FALSE")</f>
        <v>FALSE</v>
      </c>
      <c r="FJ11" s="2" t="str">
        <f>IF(ISBLANK(Values!F10),"","FALSE")</f>
        <v>FALSE</v>
      </c>
      <c r="FM11" s="2" t="str">
        <f>IF(ISBLANK(Values!F10),"","1")</f>
        <v>1</v>
      </c>
      <c r="FO11" s="28">
        <f>IF(ISBLANK(Values!F10),"",IF(Values!K10, Values!$B$4, Values!$B$5))</f>
        <v>34.950000000000003</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2">
        <f>K11</f>
        <v>34.950000000000003</v>
      </c>
    </row>
    <row r="12" spans="1:193" ht="48" x14ac:dyDescent="0.2">
      <c r="A12" s="2" t="str">
        <f>IF(ISBLANK(Values!F11),"",IF(Values!$B$37="EU","computercomponent","computer"))</f>
        <v>computer</v>
      </c>
      <c r="B12" s="34" t="str">
        <f>IF(ISBLANK(Values!F11),"",Values!G11)</f>
        <v>Lenovo 13 G2 RG Silver - Swiss</v>
      </c>
      <c r="C12" s="30" t="str">
        <f>IF(ISBLANK(Values!F11),"","TellusRem")</f>
        <v>TellusRem</v>
      </c>
      <c r="D12" s="29">
        <f>IF(ISBLANK(Values!F11),"",Values!F11)</f>
        <v>5714401130079</v>
      </c>
      <c r="E12" s="2" t="str">
        <f>IF(ISBLANK(Values!F11),"","EAN")</f>
        <v>EAN</v>
      </c>
      <c r="F12" s="28" t="str">
        <f>IF(ISBLANK(Values!F11),"",IF(Values!K11, SUBSTITUTE(Values!$B$1, "{language}", Values!I11) &amp; " " &amp;Values!$B$3, SUBSTITUTE(Values!$B$2, "{language}", Values!$I11) &amp; " " &amp;Values!$B$3))</f>
        <v>replacement Swiss non-backlit keyboard for Lenovo Thinkpad  Thinkpad 13 Gen 2, T460s, T470s</v>
      </c>
      <c r="G12" s="30" t="str">
        <f>IF(ISBLANK(Values!F11),"","TellusRem")</f>
        <v>TellusRem</v>
      </c>
      <c r="H12" s="2" t="str">
        <f>IF(ISBLANK(Values!F11),"",Values!$B$16)</f>
        <v>laptop-computer-replacement-parts</v>
      </c>
      <c r="I12" s="2" t="str">
        <f>IF(ISBLANK(Values!F11),"","4730574031")</f>
        <v>4730574031</v>
      </c>
      <c r="J12" s="32" t="str">
        <f>IF(ISBLANK(Values!F11),"",Values!G11 )</f>
        <v>Lenovo 13 G2 RG Silver - Swiss</v>
      </c>
      <c r="K12" s="28">
        <f>IF(ISBLANK(Values!F11),"",IF(Values!K11, Values!$B$4, Values!$B$5))</f>
        <v>34.950000000000003</v>
      </c>
      <c r="L12" s="28">
        <f>IF(ISBLANK(Values!F11),"",IF($CO12="DEFAULT", Values!$B$18, ""))</f>
        <v>5</v>
      </c>
      <c r="M12" s="28" t="str">
        <f>IF(ISBLANK(Values!F11),"",Values!$N11)</f>
        <v>https://download.lenovo.com/Images/Parts/01EN832/01EN832_A.jpg</v>
      </c>
      <c r="N12" s="28" t="str">
        <f>IF(ISBLANK(Values!$G11),"",Values!O11)</f>
        <v>https://download.lenovo.com/Images/Parts/01EN832/01EN832_B.jpg</v>
      </c>
      <c r="O12" s="28" t="str">
        <f>IF(ISBLANK(Values!$G11),"",Values!P11)</f>
        <v>https://download.lenovo.com/Images/Parts/01EN832/01EN832_details.jpg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13 2nd G</v>
      </c>
      <c r="Y12" s="32" t="str">
        <f>IF(ISBLANK(Values!F11),"","Size-Color")</f>
        <v>Size-Color</v>
      </c>
      <c r="Z12" s="30" t="str">
        <f>IF(ISBLANK(Values!F11),"","variation")</f>
        <v>variation</v>
      </c>
      <c r="AA12" s="2" t="str">
        <f>IF(ISBLANK(Values!F11),"",Values!$B$20)</f>
        <v>PartialUpdate</v>
      </c>
      <c r="AB12" s="2" t="str">
        <f>IF(ISBLANK(Values!F11),"",Values!$B$29)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IF(ISBLANK(Values!F11),"",IF(Values!J11,Values!$B$23,Values!$B$33))</f>
        <v>👉 REFURBISHED:  SAVE MONEY -  Replacement Lenovo laptop keyboard, same quality as OEM keyboards. TellusRem is the Leading keyboards distributor in the world since 2011. Perfect replacement keyboard, easy to replace and install.</v>
      </c>
      <c r="AJ12" s="33" t="str">
        <f>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2" s="2" t="str">
        <f>IF(ISBLANK(Values!F11),"",Values!$B$25)</f>
        <v>♻️ ECOFRIENDLY PRODUCT - Buy refurbished, BUY GREEN! Reduce more than 80% carbon dioxide by buying our refurbished keyboards, compared to getting a new keyboard! Perfect OEM replacement part for your keyboard.</v>
      </c>
      <c r="AL12" s="2" t="str">
        <f>IF(ISBLANK(Values!F11),"",SUBSTITUTE(SUBSTITUTE(IF(Values!$K11, Values!$B$26, Values!$B$33), "{language}", Values!$I11), "{flag}", INDEX(options!$E$1:$E$20, Values!$W11)))</f>
        <v>👉 LAYOUT -  🇨🇭 Swiss NO backlit.</v>
      </c>
      <c r="AM12" s="2" t="str">
        <f>SUBSTITUTE(IF(ISBLANK(Values!F11),"",Values!$B$27), "{model}", Values!$B$3)</f>
        <v>👉 COMPATIBLE WITH - Lenovo Thinkpad 13 Gen 2, T460s, T470s. Please check the picture and description carefully before purchasing any keyboard. This ensures that you get the correct laptop keyboard for your computer. Super easy installation.</v>
      </c>
      <c r="AT12" s="28" t="str">
        <f>IF(ISBLANK(Values!F11),"",Values!I11)</f>
        <v>Swiss</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DEFAULT</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Denmark</v>
      </c>
      <c r="CZ12" s="2" t="str">
        <f>IF(ISBLANK(Values!F11),"","No")</f>
        <v>No</v>
      </c>
      <c r="DA12" s="2" t="str">
        <f>IF(ISBLANK(Values!F11),"","No")</f>
        <v>No</v>
      </c>
      <c r="DO12" s="2" t="str">
        <f>IF(ISBLANK(Values!F11),"","Parts")</f>
        <v>Parts</v>
      </c>
      <c r="DP12" s="2" t="str">
        <f>IF(ISBLANK(Values!F11),"",Values!$B$31)</f>
        <v>6 month warranty after the delivery date. In case of any malfunction of the keyboard a new unit or a spare part for the keyboard of the product will be sent. In case of shortage of stock a full refund is issued.</v>
      </c>
      <c r="DY12" t="str">
        <f>IF(ISBLANK(Values!$F11), "", "not_applicable")</f>
        <v>not_applicable</v>
      </c>
      <c r="EI12" s="2" t="str">
        <f>IF(ISBLANK(Values!F11),"",Values!$B$31)</f>
        <v>6 month warranty after the delivery date. In case of any malfunction of the keyboard a new unit or a spare part for the keyboard of the product will be sent. In case of shortage of stock a full refund is issued.</v>
      </c>
      <c r="ES12" s="2" t="str">
        <f>IF(ISBLANK(Values!F11),"","Amazon Tellus UPS")</f>
        <v>Amazon Tellus UPS</v>
      </c>
      <c r="EV12" s="2" t="str">
        <f>IF(ISBLANK(Values!F11),"","New")</f>
        <v>New</v>
      </c>
      <c r="FE12" s="2">
        <f>IF(ISBLANK(Values!F11),"",IF(CO12&lt;&gt;"DEFAULT", "", 3))</f>
        <v>3</v>
      </c>
      <c r="FH12" s="2" t="str">
        <f>IF(ISBLANK(Values!F11),"","FALSE")</f>
        <v>FALSE</v>
      </c>
      <c r="FI12" s="2" t="str">
        <f>IF(ISBLANK(Values!F11),"","FALSE")</f>
        <v>FALSE</v>
      </c>
      <c r="FJ12" s="2" t="str">
        <f>IF(ISBLANK(Values!F11),"","FALSE")</f>
        <v>FALSE</v>
      </c>
      <c r="FM12" s="2" t="str">
        <f>IF(ISBLANK(Values!F11),"","1")</f>
        <v>1</v>
      </c>
      <c r="FO12" s="28">
        <f>IF(ISBLANK(Values!F11),"",IF(Values!K11, Values!$B$4, Values!$B$5))</f>
        <v>34.950000000000003</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2">
        <f>K12</f>
        <v>34.950000000000003</v>
      </c>
    </row>
    <row r="13" spans="1:193" ht="48" x14ac:dyDescent="0.2">
      <c r="A13" s="2" t="str">
        <f>IF(ISBLANK(Values!F12),"",IF(Values!$B$37="EU","computercomponent","computer"))</f>
        <v>computer</v>
      </c>
      <c r="B13" s="34" t="str">
        <f>IF(ISBLANK(Values!F12),"",Values!G12)</f>
        <v>Lenovo 13 G2 RG Silver - US int</v>
      </c>
      <c r="C13" s="30" t="str">
        <f>IF(ISBLANK(Values!F12),"","TellusRem")</f>
        <v>TellusRem</v>
      </c>
      <c r="D13" s="29">
        <f>IF(ISBLANK(Values!F12),"",Values!F12)</f>
        <v>5714401130086</v>
      </c>
      <c r="E13" s="2" t="str">
        <f>IF(ISBLANK(Values!F12),"","EAN")</f>
        <v>EAN</v>
      </c>
      <c r="F13" s="28" t="str">
        <f>IF(ISBLANK(Values!F12),"",IF(Values!K12, SUBSTITUTE(Values!$B$1, "{language}", Values!I12) &amp; " " &amp;Values!$B$3, SUBSTITUTE(Values!$B$2, "{language}", Values!$I12) &amp; " " &amp;Values!$B$3))</f>
        <v>replacement US International non-backlit keyboard for Lenovo Thinkpad  Thinkpad 13 Gen 2, T460s, T470s</v>
      </c>
      <c r="G13" s="30" t="str">
        <f>IF(ISBLANK(Values!F12),"","TellusRem")</f>
        <v>TellusRem</v>
      </c>
      <c r="H13" s="2" t="str">
        <f>IF(ISBLANK(Values!F12),"",Values!$B$16)</f>
        <v>laptop-computer-replacement-parts</v>
      </c>
      <c r="I13" s="2" t="str">
        <f>IF(ISBLANK(Values!F12),"","4730574031")</f>
        <v>4730574031</v>
      </c>
      <c r="J13" s="32" t="str">
        <f>IF(ISBLANK(Values!F12),"",Values!G12 )</f>
        <v>Lenovo 13 G2 RG Silver - US int</v>
      </c>
      <c r="K13" s="28">
        <f>IF(ISBLANK(Values!F12),"",IF(Values!K12, Values!$B$4, Values!$B$5))</f>
        <v>34.950000000000003</v>
      </c>
      <c r="L13" s="28">
        <f>IF(ISBLANK(Values!F12),"",IF($CO13="DEFAULT", Values!$B$18, ""))</f>
        <v>5</v>
      </c>
      <c r="M13" s="28" t="str">
        <f>IF(ISBLANK(Values!F12),"",Values!$N12)</f>
        <v>https://download.lenovo.com/Images/Parts/01EN794/01EN794_A.jpg</v>
      </c>
      <c r="N13" s="28" t="str">
        <f>IF(ISBLANK(Values!$G12),"",Values!O12)</f>
        <v>https://download.lenovo.com/Images/Parts/01EN794/01EN794_B.jpg</v>
      </c>
      <c r="O13" s="28" t="str">
        <f>IF(ISBLANK(Values!$G12),"",Values!P12)</f>
        <v>https://download.lenovo.com/Images/Parts/01EN794/01EN794_details.jpg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13 2nd G</v>
      </c>
      <c r="Y13" s="32" t="str">
        <f>IF(ISBLANK(Values!F12),"","Size-Color")</f>
        <v>Size-Color</v>
      </c>
      <c r="Z13" s="30" t="str">
        <f>IF(ISBLANK(Values!F12),"","variation")</f>
        <v>variation</v>
      </c>
      <c r="AA13" s="2" t="str">
        <f>IF(ISBLANK(Values!F12),"",Values!$B$20)</f>
        <v>PartialUpdate</v>
      </c>
      <c r="AB13" s="2" t="str">
        <f>IF(ISBLANK(Values!F12),"",Values!$B$29)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IF(ISBLANK(Values!F12),"",IF(Values!J12,Values!$B$23,Values!$B$33))</f>
        <v>👉 REFURBISHED:  SAVE MONEY -  Replacement Lenovo laptop keyboard, same quality as OEM keyboards. TellusRem is the Leading keyboards distributor in the world since 2011. Perfect replacement keyboard, easy to replace and install.</v>
      </c>
      <c r="AJ13" s="33" t="str">
        <f>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3" s="2" t="str">
        <f>IF(ISBLANK(Values!F12),"",Values!$B$25)</f>
        <v>♻️ ECOFRIENDLY PRODUCT - Buy refurbished, BUY GREEN! Reduce more than 80% carbon dioxide by buying our refurbished keyboards, compared to getting a new keyboard! Perfect OEM replacement part for your keyboard.</v>
      </c>
      <c r="AL13" s="2" t="str">
        <f>IF(ISBLANK(Values!F12),"",SUBSTITUTE(SUBSTITUTE(IF(Values!$K12, Values!$B$26, Values!$B$33), "{language}", Values!$I12), "{flag}", INDEX(options!$E$1:$E$20, Values!$W12)))</f>
        <v>👉 LAYOUT -  🇺🇸 with € symbol US International NO backlit.</v>
      </c>
      <c r="AM13" s="2" t="str">
        <f>SUBSTITUTE(IF(ISBLANK(Values!F12),"",Values!$B$27), "{model}", Values!$B$3)</f>
        <v>👉 COMPATIBLE WITH - Lenovo Thinkpad 13 Gen 2, T460s, T470s. Please check the picture and description carefully before purchasing any keyboard. This ensures that you get the correct laptop keyboard for your computer. Super easy installation.</v>
      </c>
      <c r="AT13" s="28" t="str">
        <f>IF(ISBLANK(Values!F12),"",Values!I12)</f>
        <v>US International</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DEFAULT</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Denmark</v>
      </c>
      <c r="CZ13" s="2" t="str">
        <f>IF(ISBLANK(Values!F12),"","No")</f>
        <v>No</v>
      </c>
      <c r="DA13" s="2" t="str">
        <f>IF(ISBLANK(Values!F12),"","No")</f>
        <v>No</v>
      </c>
      <c r="DO13" s="2" t="str">
        <f>IF(ISBLANK(Values!F12),"","Parts")</f>
        <v>Parts</v>
      </c>
      <c r="DP13" s="2" t="str">
        <f>IF(ISBLANK(Values!F12),"",Values!$B$31)</f>
        <v>6 month warranty after the delivery date. In case of any malfunction of the keyboard a new unit or a spare part for the keyboard of the product will be sent. In case of shortage of stock a full refund is issued.</v>
      </c>
      <c r="DY13" t="str">
        <f>IF(ISBLANK(Values!$F12), "", "not_applicable")</f>
        <v>not_applicable</v>
      </c>
      <c r="EI13" s="2" t="str">
        <f>IF(ISBLANK(Values!F12),"",Values!$B$31)</f>
        <v>6 month warranty after the delivery date. In case of any malfunction of the keyboard a new unit or a spare part for the keyboard of the product will be sent. In case of shortage of stock a full refund is issued.</v>
      </c>
      <c r="ES13" s="2" t="str">
        <f>IF(ISBLANK(Values!F12),"","Amazon Tellus UPS")</f>
        <v>Amazon Tellus UPS</v>
      </c>
      <c r="EV13" s="2" t="str">
        <f>IF(ISBLANK(Values!F12),"","New")</f>
        <v>New</v>
      </c>
      <c r="FE13" s="2">
        <f>IF(ISBLANK(Values!F12),"",IF(CO13&lt;&gt;"DEFAULT", "", 3))</f>
        <v>3</v>
      </c>
      <c r="FH13" s="2" t="str">
        <f>IF(ISBLANK(Values!F12),"","FALSE")</f>
        <v>FALSE</v>
      </c>
      <c r="FI13" s="2" t="str">
        <f>IF(ISBLANK(Values!F12),"","FALSE")</f>
        <v>FALSE</v>
      </c>
      <c r="FJ13" s="2" t="str">
        <f>IF(ISBLANK(Values!F12),"","FALSE")</f>
        <v>FALSE</v>
      </c>
      <c r="FM13" s="2" t="str">
        <f>IF(ISBLANK(Values!F12),"","1")</f>
        <v>1</v>
      </c>
      <c r="FO13" s="28">
        <f>IF(ISBLANK(Values!F12),"",IF(Values!K12, Values!$B$4, Values!$B$5))</f>
        <v>34.950000000000003</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2">
        <f>K13</f>
        <v>34.950000000000003</v>
      </c>
    </row>
    <row r="14" spans="1:193" ht="48" x14ac:dyDescent="0.2">
      <c r="A14" s="2" t="str">
        <f>IF(ISBLANK(Values!F13),"",IF(Values!$B$37="EU","computercomponent","computer"))</f>
        <v>computer</v>
      </c>
      <c r="B14" s="34" t="str">
        <f>IF(ISBLANK(Values!F13),"",Values!G13)</f>
        <v>Lenovo 13 G2 RG Silver - US</v>
      </c>
      <c r="C14" s="30" t="str">
        <f>IF(ISBLANK(Values!F13),"","TellusRem")</f>
        <v>TellusRem</v>
      </c>
      <c r="D14" s="29">
        <f>IF(ISBLANK(Values!F13),"",Values!F13)</f>
        <v>5714401130093</v>
      </c>
      <c r="E14" s="2" t="str">
        <f>IF(ISBLANK(Values!F13),"","EAN")</f>
        <v>EAN</v>
      </c>
      <c r="F14" s="28" t="str">
        <f>IF(ISBLANK(Values!F13),"",IF(Values!K13, SUBSTITUTE(Values!$B$1, "{language}", Values!I13) &amp; " " &amp;Values!$B$3, SUBSTITUTE(Values!$B$2, "{language}", Values!$I13) &amp; " " &amp;Values!$B$3))</f>
        <v>replacement US non-backlit keyboard for Lenovo Thinkpad  Thinkpad 13 Gen 2, T460s, T470s</v>
      </c>
      <c r="G14" s="30" t="str">
        <f>IF(ISBLANK(Values!F13),"","TellusRem")</f>
        <v>TellusRem</v>
      </c>
      <c r="H14" s="2" t="str">
        <f>IF(ISBLANK(Values!F13),"",Values!$B$16)</f>
        <v>laptop-computer-replacement-parts</v>
      </c>
      <c r="I14" s="2" t="str">
        <f>IF(ISBLANK(Values!F13),"","4730574031")</f>
        <v>4730574031</v>
      </c>
      <c r="J14" s="32" t="str">
        <f>IF(ISBLANK(Values!F13),"",Values!G13 )</f>
        <v>Lenovo 13 G2 RG Silver - US</v>
      </c>
      <c r="K14" s="28">
        <f>IF(ISBLANK(Values!F13),"",IF(Values!K13, Values!$B$4, Values!$B$5))</f>
        <v>34.950000000000003</v>
      </c>
      <c r="L14" s="28" t="str">
        <f>IF(ISBLANK(Values!F13),"",IF($CO14="DEFAULT", Values!$B$18, ""))</f>
        <v/>
      </c>
      <c r="M14" s="28" t="str">
        <f>IF(ISBLANK(Values!F13),"",Values!$N13)</f>
        <v>https://download.lenovo.com/Images/Parts/01EN764/01EN764_A.jpg</v>
      </c>
      <c r="N14" s="28" t="str">
        <f>IF(ISBLANK(Values!$G13),"",Values!O13)</f>
        <v>https://download.lenovo.com/Images/Parts/01EN764/01EN764_B.jpg</v>
      </c>
      <c r="O14" s="28" t="str">
        <f>IF(ISBLANK(Values!$G13),"",Values!P13)</f>
        <v>https://download.lenovo.com/Images/Parts/01EN764/01EN764_details.jpg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13 2nd G</v>
      </c>
      <c r="Y14" s="32" t="str">
        <f>IF(ISBLANK(Values!F13),"","Size-Color")</f>
        <v>Size-Color</v>
      </c>
      <c r="Z14" s="30" t="str">
        <f>IF(ISBLANK(Values!F13),"","variation")</f>
        <v>variation</v>
      </c>
      <c r="AA14" s="2" t="str">
        <f>IF(ISBLANK(Values!F13),"",Values!$B$20)</f>
        <v>PartialUpdate</v>
      </c>
      <c r="AB14" s="2" t="str">
        <f>IF(ISBLANK(Values!F13),"",Values!$B$29)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IF(ISBLANK(Values!F13),"",IF(Values!J13,Values!$B$23,Values!$B$33))</f>
        <v>👉 REFURBISHED:  SAVE MONEY -  Replacement Lenovo laptop keyboard, same quality as OEM keyboards. TellusRem is the Leading keyboards distributor in the world since 2011. Perfect replacement keyboard, easy to replace and install.</v>
      </c>
      <c r="AJ14" s="33" t="str">
        <f>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Thinkpad 13 Gen 2, T460s, T470s</v>
      </c>
      <c r="AK14" s="2" t="str">
        <f>IF(ISBLANK(Values!F13),"",Values!$B$25)</f>
        <v>♻️ ECOFRIENDLY PRODUCT - Buy refurbished, BUY GREEN! Reduce more than 80% carbon dioxide by buying our refurbished keyboards, compared to getting a new keyboard! Perfect OEM replacement part for your keyboard.</v>
      </c>
      <c r="AL14" s="2" t="str">
        <f>IF(ISBLANK(Values!F13),"",SUBSTITUTE(SUBSTITUTE(IF(Values!$K13, Values!$B$26, Values!$B$33), "{language}", Values!$I13), "{flag}", INDEX(options!$E$1:$E$20, Values!$W13)))</f>
        <v>👉 LAYOUT -  🇺🇸 US NO backlit.</v>
      </c>
      <c r="AM14" s="2" t="str">
        <f>SUBSTITUTE(IF(ISBLANK(Values!F13),"",Values!$B$27), "{model}", Values!$B$3)</f>
        <v>👉 COMPATIBLE WITH - Lenovo Thinkpad 13 Gen 2, T460s, T470s. Please check the picture and description carefully before purchasing any keyboard. This ensures that you get the correct laptop keyboard for your computer. Super easy installation.</v>
      </c>
      <c r="AT14" s="28" t="str">
        <f>IF(ISBLANK(Values!F13),"",Values!I13)</f>
        <v>US</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AMAZON_NA</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Denmark</v>
      </c>
      <c r="CZ14" s="2" t="str">
        <f>IF(ISBLANK(Values!F13),"","No")</f>
        <v>No</v>
      </c>
      <c r="DA14" s="2" t="str">
        <f>IF(ISBLANK(Values!F13),"","No")</f>
        <v>No</v>
      </c>
      <c r="DO14" s="2" t="str">
        <f>IF(ISBLANK(Values!F13),"","Parts")</f>
        <v>Parts</v>
      </c>
      <c r="DP14" s="2" t="str">
        <f>IF(ISBLANK(Values!F13),"",Values!$B$31)</f>
        <v>6 month warranty after the delivery date. In case of any malfunction of the keyboard a new unit or a spare part for the keyboard of the product will be sent. In case of shortage of stock a full refund is issued.</v>
      </c>
      <c r="DY14" t="str">
        <f>IF(ISBLANK(Values!$F13), "", "not_applicable")</f>
        <v>not_applicable</v>
      </c>
      <c r="EI14" s="2" t="str">
        <f>IF(ISBLANK(Values!F13),"",Values!$B$31)</f>
        <v>6 month warranty after the delivery date. In case of any malfunction of the keyboard a new unit or a spare part for the keyboard of the product will be sent. In case of shortage of stock a full refund is issued.</v>
      </c>
      <c r="ES14" s="2" t="str">
        <f>IF(ISBLANK(Values!F13),"","Amazon Tellus UPS")</f>
        <v>Amazon Tellus UPS</v>
      </c>
      <c r="EV14" s="2" t="str">
        <f>IF(ISBLANK(Values!F13),"","New")</f>
        <v>New</v>
      </c>
      <c r="FE14" s="2" t="str">
        <f>IF(ISBLANK(Values!F13),"",IF(CO14&lt;&gt;"DEFAULT", "", 3))</f>
        <v/>
      </c>
      <c r="FH14" s="2" t="str">
        <f>IF(ISBLANK(Values!F13),"","FALSE")</f>
        <v>FALSE</v>
      </c>
      <c r="FI14" s="2" t="str">
        <f>IF(ISBLANK(Values!F13),"","FALSE")</f>
        <v>FALSE</v>
      </c>
      <c r="FJ14" s="2" t="str">
        <f>IF(ISBLANK(Values!F13),"","FALSE")</f>
        <v>FALSE</v>
      </c>
      <c r="FM14" s="2" t="str">
        <f>IF(ISBLANK(Values!F13),"","1")</f>
        <v>1</v>
      </c>
      <c r="FO14" s="28">
        <f>IF(ISBLANK(Values!F13),"",IF(Values!K13, Values!$B$4, Values!$B$5))</f>
        <v>34.950000000000003</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2">
        <f>K14</f>
        <v>34.950000000000003</v>
      </c>
    </row>
    <row r="15" spans="1:193" ht="17"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c r="GK15" s="62" t="str">
        <f>K15</f>
        <v/>
      </c>
    </row>
    <row r="16" spans="1:193" ht="17"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c r="GK16" s="62" t="str">
        <f>K16</f>
        <v/>
      </c>
    </row>
    <row r="17" spans="1:193" ht="17"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c r="GK17" s="62" t="str">
        <f>K17</f>
        <v/>
      </c>
    </row>
    <row r="18" spans="1:193" ht="17"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c r="GK18" s="62" t="str">
        <f>K18</f>
        <v/>
      </c>
    </row>
    <row r="19" spans="1:193" ht="17"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c r="GK19" s="62" t="str">
        <f>K19</f>
        <v/>
      </c>
    </row>
    <row r="20" spans="1:193" ht="17"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c r="GK20" s="62" t="str">
        <f>K20</f>
        <v/>
      </c>
    </row>
    <row r="21" spans="1:193" ht="17"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c r="GK21" s="62" t="str">
        <f>K21</f>
        <v/>
      </c>
    </row>
    <row r="22" spans="1:193" ht="17"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tr">
        <f>IF(ISBLANK(Values!F21),"",Values!G21 )</f>
        <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c r="GK22" s="62" t="str">
        <f>K22</f>
        <v/>
      </c>
    </row>
    <row r="23" spans="1:193" s="36" customFormat="1" ht="17"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c r="GK23" s="63" t="str">
        <f>K23</f>
        <v/>
      </c>
    </row>
    <row r="24" spans="1:193"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7" t="s">
        <v>351</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c r="GK24" s="63" t="str">
        <f>K24</f>
        <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3" t="str">
        <f>K32</f>
        <v/>
      </c>
    </row>
    <row r="33" spans="1:193"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3">
        <f>K33</f>
        <v>0</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3"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2"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2"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2"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2"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2"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2"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2"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2"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0">
      <formula>IF(LEN(B4)&gt;0,1,0)</formula>
    </cfRule>
    <cfRule type="expression" dxfId="526" priority="991">
      <formula>IF(VLOOKUP($B$3,#NAME?,MATCH($A4,#NAME?,0)+1,0)&gt;0,1,0)</formula>
    </cfRule>
    <cfRule type="expression" dxfId="525"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4" priority="17">
      <formula>AND(IF(IFERROR(VLOOKUP($B$3,#NAME?,MATCH($A4,#NAME?,0)+1,0),0)&gt;0,0,1),IF(IFERROR(VLOOKUP($B$3,#NAME?,MATCH($A4,#NAME?,0)+1,0),0)&gt;0,0,1),IF(IFERROR(VLOOKUP($B$3,#NAME?,MATCH($A4,#NAME?,0)+1,0),0)&gt;0,0,1),IF(IFERROR(MATCH($A4,#NAME?,0),0)&gt;0,1,0))</formula>
    </cfRule>
    <cfRule type="expression" dxfId="523" priority="13">
      <formula>IF(LEN(B4)&gt;0,1,0)</formula>
    </cfRule>
    <cfRule type="expression" dxfId="522" priority="14">
      <formula>IF(VLOOKUP($B$3,#NAME?,MATCH($A4,#NAME?,0)+1,0)&gt;0,1,0)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18">
      <formula>IF(LEN(C5)&gt;0,1,0)</formula>
    </cfRule>
    <cfRule type="expression" dxfId="517" priority="19">
      <formula>IF(VLOOKUP($C$3,#NAME?,MATCH($A5,#NAME?,0)+1,0)&gt;0,1,0)</formula>
    </cfRule>
    <cfRule type="expression" dxfId="516" priority="22">
      <formula>AND(IF(IFERROR(VLOOKUP($C$3,#NAME?,MATCH($A5,#NAME?,0)+1,0),0)&gt;0,0,1),IF(IFERROR(VLOOKUP($C$3,#NAME?,MATCH($A5,#NAME?,0)+1,0),0)&gt;0,0,1),IF(IFERROR(VLOOKUP($C$3,#NAME?,MATCH($A5,#NAME?,0)+1,0),0)&gt;0,0,1),IF(IFERROR(MATCH($A5,#NAME?,0),0)&gt;0,1,0))</formula>
    </cfRule>
  </conditionalFormatting>
  <conditionalFormatting sqref="D4:D1048576">
    <cfRule type="expression" dxfId="515" priority="24">
      <formula>IF(VLOOKUP($D$3,#NAME?,MATCH($A4,#NAME?,0)+1,0)&gt;0,1,0)</formula>
    </cfRule>
    <cfRule type="expression" dxfId="514" priority="27">
      <formula>AND(IF(IFERROR(VLOOKUP($D$3,#NAME?,MATCH($A4,#NAME?,0)+1,0),0)&gt;0,0,1),IF(IFERROR(VLOOKUP($D$3,#NAME?,MATCH($A4,#NAME?,0)+1,0),0)&gt;0,0,1),IF(IFERROR(VLOOKUP($D$3,#NAME?,MATCH($A4,#NAME?,0)+1,0),0)&gt;0,0,1),IF(IFERROR(MATCH($A4,#NAME?,0),0)&gt;0,1,0))</formula>
    </cfRule>
  </conditionalFormatting>
  <conditionalFormatting sqref="D4:E1048576">
    <cfRule type="expression" dxfId="513" priority="23">
      <formula>IF(LEN(D4)&gt;0,1,0)</formula>
    </cfRule>
  </conditionalFormatting>
  <conditionalFormatting sqref="E4:E1048576">
    <cfRule type="expression" dxfId="512" priority="29">
      <formula>IF(VLOOKUP($E$3,#NAME?,MATCH($A4,#NAME?,0)+1,0)&gt;0,1,0)</formula>
    </cfRule>
    <cfRule type="expression" dxfId="511" priority="32">
      <formula>AND(IF(IFERROR(VLOOKUP($E$3,#NAME?,MATCH($A4,#NAME?,0)+1,0),0)&gt;0,0,1),IF(IFERROR(VLOOKUP($E$3,#NAME?,MATCH($A4,#NAME?,0)+1,0),0)&gt;0,0,1),IF(IFERROR(VLOOKUP($E$3,#NAME?,MATCH($A4,#NAME?,0)+1,0),0)&gt;0,0,1),IF(IFERROR(MATCH($A4,#NAME?,0),0)&gt;0,1,0))</formula>
    </cfRule>
  </conditionalFormatting>
  <conditionalFormatting sqref="F4:F243">
    <cfRule type="expression" dxfId="510" priority="1014">
      <formula>AND(IF(IFERROR(VLOOKUP($F$3,#NAME?,MATCH($A4,#NAME?,0)+1,0),0)&gt;0,0,1),IF(IFERROR(VLOOKUP($F$3,#NAME?,MATCH($A4,#NAME?,0)+1,0),0)&gt;0,0,1),IF(IFERROR(VLOOKUP($F$3,#NAME?,MATCH($A4,#NAME?,0)+1,0),0)&gt;0,0,1),IF(IFERROR(MATCH($A4,#NAME?,0),0)&gt;0,1,0))</formula>
    </cfRule>
    <cfRule type="expression" dxfId="509" priority="1011">
      <formula>IF(VLOOKUP($F$3,#NAME?,MATCH($A4,#NAME?,0)+1,0)&gt;0,1,0)</formula>
    </cfRule>
    <cfRule type="expression" dxfId="508" priority="1010">
      <formula>IF(LEN(F4)&gt;0,1,0)</formula>
    </cfRule>
  </conditionalFormatting>
  <conditionalFormatting sqref="F5:F1048576">
    <cfRule type="expression" dxfId="507" priority="33">
      <formula>IF(LEN(F5)&gt;0,1,0)</formula>
    </cfRule>
    <cfRule type="expression" dxfId="506" priority="34">
      <formula>IF(VLOOKUP($F$3,#NAME?,MATCH($A5,#NAME?,0)+1,0)&gt;0,1,0)</formula>
    </cfRule>
    <cfRule type="expression" dxfId="505" priority="37">
      <formula>AND(IF(IFERROR(VLOOKUP($F$3,#NAME?,MATCH($A5,#NAME?,0)+1,0),0)&gt;0,0,1),IF(IFERROR(VLOOKUP($F$3,#NAME?,MATCH($A5,#NAME?,0)+1,0),0)&gt;0,0,1),IF(IFERROR(VLOOKUP($F$3,#NAME?,MATCH($A5,#NAME?,0)+1,0),0)&gt;0,0,1),IF(IFERROR(MATCH($A5,#NAME?,0),0)&gt;0,1,0))</formula>
    </cfRule>
  </conditionalFormatting>
  <conditionalFormatting sqref="G4:G23">
    <cfRule type="expression" dxfId="504" priority="1015">
      <formula>IF(LEN(G4)&gt;0,1,0)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6">
      <formula>IF(VLOOKUP($G$3,#NAME?,MATCH($A4,#NAME?,0)+1,0)&gt;0,1,0)</formula>
    </cfRule>
  </conditionalFormatting>
  <conditionalFormatting sqref="G5:G23 G25:G1048576">
    <cfRule type="expression" dxfId="501" priority="39">
      <formula>IF(VLOOKUP($G$3,#NAME?,MATCH($A5,#NAME?,0)+1,0)&gt;0,1,0)</formula>
    </cfRule>
    <cfRule type="expression" dxfId="500" priority="38">
      <formula>IF(LEN(G5)&gt;0,1,0)</formula>
    </cfRule>
    <cfRule type="expression" dxfId="499" priority="42">
      <formula>AND(IF(IFERROR(VLOOKUP($G$3,#NAME?,MATCH($A5,#NAME?,0)+1,0),0)&gt;0,0,1),IF(IFERROR(VLOOKUP($G$3,#NAME?,MATCH($A5,#NAME?,0)+1,0),0)&gt;0,0,1),IF(IFERROR(VLOOKUP($G$3,#NAME?,MATCH($A5,#NAME?,0)+1,0),0)&gt;0,0,1),IF(IFERROR(MATCH($A5,#NAME?,0),0)&gt;0,1,0))</formula>
    </cfRule>
  </conditionalFormatting>
  <conditionalFormatting sqref="G25:G204">
    <cfRule type="expression" dxfId="498" priority="1024">
      <formula>AND(IF(IFERROR(VLOOKUP($G$3,#NAME?,MATCH($A25,#NAME?,0)+1,0),0)&gt;0,0,1),IF(IFERROR(VLOOKUP($G$3,#NAME?,MATCH($A25,#NAME?,0)+1,0),0)&gt;0,0,1),IF(IFERROR(VLOOKUP($G$3,#NAME?,MATCH($A25,#NAME?,0)+1,0),0)&gt;0,0,1),IF(IFERROR(MATCH($A25,#NAME?,0),0)&gt;0,1,0))</formula>
    </cfRule>
    <cfRule type="expression" dxfId="497" priority="1021">
      <formula>IF(VLOOKUP($G$3,#NAME?,MATCH($A25,#NAME?,0)+1,0)&gt;0,1,0)</formula>
    </cfRule>
    <cfRule type="expression" dxfId="496" priority="1020">
      <formula>IF(LEN(G25)&gt;0,1,0)</formula>
    </cfRule>
  </conditionalFormatting>
  <conditionalFormatting sqref="H4:I1048576">
    <cfRule type="expression" dxfId="495" priority="47">
      <formula>AND(IF(IFERROR(VLOOKUP($H$3,#NAME?,MATCH($A4,#NAME?,0)+1,0),0)&gt;0,0,1),IF(IFERROR(VLOOKUP($H$3,#NAME?,MATCH($A4,#NAME?,0)+1,0),0)&gt;0,0,1),IF(IFERROR(VLOOKUP($H$3,#NAME?,MATCH($A4,#NAME?,0)+1,0),0)&gt;0,0,1),IF(IFERROR(MATCH($A4,#NAME?,0),0)&gt;0,1,0))</formula>
    </cfRule>
    <cfRule type="expression" dxfId="494" priority="44">
      <formula>IF(VLOOKUP($H$3,#NAME?,MATCH($A4,#NAME?,0)+1,0)&gt;0,1,0)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52">
      <formula>AND(IF(IFERROR(VLOOKUP($J$3,#NAME?,MATCH($A5,#NAME?,0)+1,0),0)&gt;0,0,1),IF(IFERROR(VLOOKUP($J$3,#NAME?,MATCH($A5,#NAME?,0)+1,0),0)&gt;0,0,1),IF(IFERROR(VLOOKUP($J$3,#NAME?,MATCH($A5,#NAME?,0)+1,0),0)&gt;0,0,1),IF(IFERROR(MATCH($A5,#NAME?,0),0)&gt;0,1,0))</formula>
    </cfRule>
    <cfRule type="expression" dxfId="489" priority="49">
      <formula>IF(VLOOKUP($J$3,#NAME?,MATCH($A5,#NAME?,0)+1,0)&gt;0,1,0)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9">
      <formula>IF(VLOOKUP($L$3,#NAME?,MATCH($A5,#NAME?,0)+1,0)&gt;0,1,0)</formula>
    </cfRule>
    <cfRule type="expression" dxfId="483" priority="58">
      <formula>IF(LEN(L6)&gt;0,1,0)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7">
      <formula>AND(IF(IFERROR(VLOOKUP($Y$3,#NAME?,MATCH($A5,#NAME?,0)+1,0),0)&gt;0,0,1),IF(IFERROR(VLOOKUP($Y$3,#NAME?,MATCH($A5,#NAME?,0)+1,0),0)&gt;0,0,1),IF(IFERROR(VLOOKUP($Y$3,#NAME?,MATCH($A5,#NAME?,0)+1,0),0)&gt;0,0,1),IF(IFERROR(MATCH($A5,#NAME?,0),0)&gt;0,1,0))</formula>
    </cfRule>
    <cfRule type="expression" dxfId="442" priority="124">
      <formula>IF(VLOOKUP($Y$3,#NAME?,MATCH($A5,#NAME?,0)+1,0)&gt;0,1,0)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4">
      <formula>IF(VLOOKUP($AA$3,#NAME?,MATCH($A4,#NAME?,0)+1,0)&gt;0,1,0)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6">
      <formula>IF(VLOOKUP($AC$3,#NAME?,MATCH(#REF!,#NAME?,0)+1,0)&gt;0,1,0)</formula>
    </cfRule>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9">
      <formula>IF(VLOOKUP($AT$3,#NAME?,MATCH($A4,#NAME?,0)+1,0)&gt;0,1,0)</formula>
    </cfRule>
    <cfRule type="expression" dxfId="389" priority="228">
      <formula>IF(LEN(AT4)&gt;0,1,0)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4">
      <formula>IF(VLOOKUP($CO$3,#NAME?,MATCH($A4,#NAME?,0)+1,0)&gt;0,1,0)</formula>
    </cfRule>
    <cfRule type="expression" dxfId="287"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499">
      <formula>IF(VLOOKUP($CW$3,#NAME?,MATCH($A4,#NAME?,0)+1,0)&gt;0,1,0)</formula>
    </cfRule>
    <cfRule type="expression" dxfId="268"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5">
      <formula>IF(LEN(CZ4)&gt;0,1,0)</formula>
    </cfRule>
    <cfRule type="expression" dxfId="259" priority="516">
      <formula>IF(VLOOKUP($CZ$3,#NAME?,MATCH($A4,#NAME?,0)+1,0)&gt;0,1,0)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6">
      <formula>IF(VLOOKUP($DE$3,#NAME?,MATCH($A4,#NAME?,0)+1,0)&gt;0,1,0)</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4">
      <formula>IF(VLOOKUP($DH$3,#NAME?,MATCH($A4,#NAME?,0)+1,0)&gt;0,1,0)</formula>
    </cfRule>
    <cfRule type="expression" dxfId="228" priority="567">
      <formula>AND(IF(IFERROR(VLOOKUP($DH$3,#NAME?,MATCH($A4,#NAME?,0)+1,0),0)&gt;0,0,1),IF(IFERROR(VLOOKUP($DH$3,#NAME?,MATCH($A4,#NAME?,0)+1,0),0)&gt;0,0,1),IF(IFERROR(VLOOKUP($DH$3,#NAME?,MATCH($A4,#NAME?,0)+1,0),0)&gt;0,0,1),IF(IFERROR(MATCH($A4,#NAME?,0),0)&gt;0,1,0))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69">
      <formula>IF(LEN(DI4)&gt;0,1,0)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8">
      <formula>IF(VLOOKUP($DL$3,#NAME?,MATCH($A4,#NAME?,0)+1,0)&gt;0,1,0)</formula>
    </cfRule>
    <cfRule type="expression" dxfId="21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2">
      <formula>AND(AND(OR(AND(OR(OR(NOT(DY4&lt;&gt;"Not Applicable"),DY4=""))),AND(OR(OR(NOT(DZ4&lt;&gt;"Not Applicable"),DZ4=""))),AND(OR(OR(NOT(EA4&lt;&gt;"Not Applicable"),EA4=""))),AND(OR(OR(NOT(EB4&lt;&gt;"Not Applicable"),EB4=""))),AND(OR(OR(NOT(EC4&lt;&gt;"Not Applicable"),EC4="")))),A4&lt;&gt;""))</formula>
    </cfRule>
    <cfRule type="expression" dxfId="199" priority="613">
      <formula>IF(LEN(DQ4)&gt;0,1,0)</formula>
    </cfRule>
    <cfRule type="expression" dxfId="198" priority="614">
      <formula>IF(VLOOKUP($DQ$3,#NAME?,MATCH($A4,#NAME?,0)+1,0)&gt;0,1,0)</formula>
    </cfRule>
    <cfRule type="expression" dxfId="19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6" priority="623">
      <formula>AND(IF(IFERROR(VLOOKUP($DR$3,#NAME?,MATCH($A4,#NAME?,0)+1,0),0)&gt;0,0,1),IF(IFERROR(VLOOKUP($DR$3,#NAME?,MATCH($A4,#NAME?,0)+1,0),0)&gt;0,0,1),IF(IFERROR(VLOOKUP($DR$3,#NAME?,MATCH($A4,#NAME?,0)+1,0),0)&gt;0,0,1),IF(IFERROR(MATCH($A4,#NAME?,0),0)&gt;0,1,0))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1">
      <formula>IF(LEN(DV4)&gt;0,1,0)</formula>
    </cfRule>
    <cfRule type="expression" dxfId="18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5">
      <formula>IF(LEN(DZ4)&gt;0,1,0)</formula>
    </cfRule>
    <cfRule type="expression" dxfId="165" priority="664">
      <formula>AND(AND(OR(AND(OR(OR(NOT(CO4&lt;&gt;"DEFAULT"),CO4="")))),A4&lt;&gt;""))</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9">
      <formula>IF(LEN(ED4)&gt;0,1,0)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8">
      <formula>IF(VLOOKUP($EG$3,#NAME?,MATCH($A4,#NAME?,0)+1,0)&gt;0,1,0)</formula>
    </cfRule>
    <cfRule type="expression" dxfId="137" priority="706">
      <formula>AND(AND(OR(AND(OR(OR(NOT(DY4&lt;&gt;"Not Applicable"),DY4=""))),AND(OR(OR(NOT(DZ4&lt;&gt;"Not Applicable"),DZ4=""))),AND(OR(OR(NOT(EA4&lt;&gt;"Not Applicable"),EA4=""))),AND(OR(OR(NOT(EB4&lt;&gt;"Not Applicable"),EB4=""))),AND(OR(OR(NOT(EC4&lt;&gt;"Not Applicable"),EC4="")))),A4&lt;&gt;""))</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28">
      <formula>AND(AND(OR(AND(AND(OR(NOT(DY4="GHS"),DY4=""))),AND(AND(OR(NOT(DZ4="GHS"),DZ4=""))),AND(AND(OR(NOT(EA4="GHS"),EA4=""))),AND(AND(OR(NOT(EB4="GHS"),EB4=""))),AND(AND(OR(NOT(EC4="GHS"),EC4="")))),A4&lt;&gt;""))</formula>
    </cfRule>
    <cfRule type="expression" dxfId="125" priority="729">
      <formula>IF(LEN(EK4)&gt;0,1,0)</formula>
    </cfRule>
    <cfRule type="expression" dxfId="124" priority="730">
      <formula>IF(VLOOKUP($EK$3,#NAME?,MATCH($A4,#NAME?,0)+1,0)&gt;0,1,0)</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4">
      <formula>AND(AND(OR(AND(AND(OR(NOT(DY4="GHS"),DY4=""))),AND(AND(OR(NOT(DZ4="GHS"),DZ4=""))),AND(AND(OR(NOT(EA4="GHS"),EA4=""))),AND(AND(OR(NOT(EB4="GHS"),EB4=""))),AND(AND(OR(NOT(EC4="GHS"),EC4="")))),A4&lt;&gt;""))</formula>
    </cfRule>
    <cfRule type="expression" dxfId="120" priority="736">
      <formula>IF(VLOOKUP($EL$3,#NAME?,MATCH($A4,#NAME?,0)+1,0)&gt;0,1,0)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4">
      <formula>AND(IF(IFERROR(VLOOKUP($FM$3,#NAME?,MATCH($A4,#NAME?,0)+1,0),0)&gt;0,0,1),IF(IFERROR(VLOOKUP($FM$3,#NAME?,MATCH($A4,#NAME?,0)+1,0),0)&gt;0,0,1),IF(IFERROR(VLOOKUP($FM$3,#NAME?,MATCH($A4,#NAME?,0)+1,0),0)&gt;0,0,1),IF(IFERROR(MATCH($A4,#NAME?,0),0)&gt;0,1,0))</formula>
    </cfRule>
    <cfRule type="expression" dxfId="61" priority="871">
      <formula>IF(VLOOKUP($FM$3,#NAME?,MATCH($A4,#NAME?,0)+1,0)&gt;0,1,0)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4">
      <formula>AND(IF(IFERROR(VLOOKUP($FY$3,#NAME?,MATCH($A4,#NAME?,0)+1,0),0)&gt;0,0,1),IF(IFERROR(VLOOKUP($FY$3,#NAME?,MATCH($A4,#NAME?,0)+1,0),0)&gt;0,0,1),IF(IFERROR(VLOOKUP($FY$3,#NAME?,MATCH($A4,#NAME?,0)+1,0),0)&gt;0,0,1),IF(IFERROR(MATCH($A4,#NAME?,0),0)&gt;0,1,0))</formula>
    </cfRule>
    <cfRule type="expression" dxfId="30" priority="931">
      <formula>IF(VLOOKUP($FY$3,#NAME?,MATCH($A4,#NAME?,0)+1,0)&gt;0,1,0)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1" zoomScaleNormal="100" workbookViewId="0">
      <selection activeCell="C14" sqref="C14:G23"/>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F1" s="61" t="s">
        <v>353</v>
      </c>
      <c r="G1" s="61"/>
      <c r="H1" s="61"/>
      <c r="I1" s="1"/>
      <c r="J1" s="1"/>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3" x14ac:dyDescent="0.15">
      <c r="A3" s="40" t="s">
        <v>355</v>
      </c>
      <c r="B3" s="42"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3">
        <v>44.95</v>
      </c>
      <c r="C4" s="44" t="b">
        <f>FALSE()</f>
        <v>0</v>
      </c>
      <c r="D4" s="44" t="b">
        <f>TRUE()</f>
        <v>1</v>
      </c>
      <c r="E4" s="44"/>
      <c r="F4" s="39">
        <v>5714401130000</v>
      </c>
      <c r="G4" s="39" t="s">
        <v>373</v>
      </c>
      <c r="H4" s="45" t="s">
        <v>374</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46" t="b">
        <f>TRUE()</f>
        <v>1</v>
      </c>
      <c r="K4" s="47" t="b">
        <f>FALSE()</f>
        <v>0</v>
      </c>
      <c r="L4" s="39" t="s">
        <v>375</v>
      </c>
      <c r="M4" s="48" t="b">
        <f>FALSE()</f>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376</v>
      </c>
      <c r="B5" s="43">
        <v>34.950000000000003</v>
      </c>
      <c r="C5" s="44" t="b">
        <f>FALSE()</f>
        <v>0</v>
      </c>
      <c r="D5" s="44" t="b">
        <f>TRUE()</f>
        <v>1</v>
      </c>
      <c r="E5" s="44"/>
      <c r="F5" s="39">
        <v>5714401130017</v>
      </c>
      <c r="G5" s="39" t="s">
        <v>377</v>
      </c>
      <c r="H5" s="45" t="s">
        <v>378</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46" t="b">
        <f>TRUE()</f>
        <v>1</v>
      </c>
      <c r="K5" s="47" t="b">
        <f>FALSE()</f>
        <v>0</v>
      </c>
      <c r="L5" s="39" t="s">
        <v>379</v>
      </c>
      <c r="M5" s="48" t="b">
        <f>FALSE()</f>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380</v>
      </c>
      <c r="B6" s="51" t="s">
        <v>381</v>
      </c>
      <c r="C6" s="44" t="b">
        <f>FALSE()</f>
        <v>0</v>
      </c>
      <c r="D6" s="44" t="b">
        <f>TRUE()</f>
        <v>1</v>
      </c>
      <c r="E6" s="44"/>
      <c r="F6" s="39">
        <v>5714401130024</v>
      </c>
      <c r="G6" s="39" t="s">
        <v>382</v>
      </c>
      <c r="H6" s="45" t="s">
        <v>383</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46" t="b">
        <f>TRUE()</f>
        <v>1</v>
      </c>
      <c r="K6" s="47" t="b">
        <f>FALSE()</f>
        <v>0</v>
      </c>
      <c r="L6" s="39" t="s">
        <v>384</v>
      </c>
      <c r="M6" s="48" t="b">
        <f>FALSE()</f>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385</v>
      </c>
      <c r="B7" s="52" t="str">
        <f>IF(B6=options!C1,"41","41")</f>
        <v>41</v>
      </c>
      <c r="C7" s="44" t="b">
        <f>FALSE()</f>
        <v>0</v>
      </c>
      <c r="D7" s="44" t="b">
        <f>TRUE()</f>
        <v>1</v>
      </c>
      <c r="E7" s="44"/>
      <c r="F7" s="39">
        <v>5714401130031</v>
      </c>
      <c r="G7" s="39" t="s">
        <v>386</v>
      </c>
      <c r="H7" s="45" t="s">
        <v>387</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46" t="b">
        <f>TRUE()</f>
        <v>1</v>
      </c>
      <c r="K7" s="47" t="b">
        <f>FALSE()</f>
        <v>0</v>
      </c>
      <c r="L7" s="39" t="s">
        <v>388</v>
      </c>
      <c r="M7" s="48" t="b">
        <f>FALSE()</f>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389</v>
      </c>
      <c r="B8" s="52" t="str">
        <f>IF(B6=options!C1,"17","17")</f>
        <v>17</v>
      </c>
      <c r="C8" s="44" t="b">
        <f>FALSE()</f>
        <v>0</v>
      </c>
      <c r="D8" s="44" t="b">
        <f>TRUE()</f>
        <v>1</v>
      </c>
      <c r="E8" s="44"/>
      <c r="F8" s="39">
        <v>5714401130048</v>
      </c>
      <c r="G8" s="39" t="s">
        <v>390</v>
      </c>
      <c r="H8" s="45" t="s">
        <v>391</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FALSE()</f>
        <v>0</v>
      </c>
      <c r="L8" s="39" t="s">
        <v>392</v>
      </c>
      <c r="M8" s="48" t="b">
        <f>FALSE()</f>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393</v>
      </c>
      <c r="B9" s="52" t="str">
        <f>IF(B6=options!C1,"5","5")</f>
        <v>5</v>
      </c>
      <c r="C9" s="44" t="b">
        <f>FALSE()</f>
        <v>0</v>
      </c>
      <c r="D9" s="44" t="b">
        <f>TRUE()</f>
        <v>1</v>
      </c>
      <c r="E9" s="44"/>
      <c r="F9" s="39">
        <v>5714401130055</v>
      </c>
      <c r="G9" s="39" t="s">
        <v>394</v>
      </c>
      <c r="H9" s="45" t="s">
        <v>395</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46" t="b">
        <f>TRUE()</f>
        <v>1</v>
      </c>
      <c r="K9" s="47" t="b">
        <f>FALSE()</f>
        <v>0</v>
      </c>
      <c r="L9" s="39" t="s">
        <v>396</v>
      </c>
      <c r="M9" s="48" t="b">
        <f>FALSE()</f>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397</v>
      </c>
      <c r="B10" s="53"/>
      <c r="C10" s="44" t="b">
        <f>FALSE()</f>
        <v>0</v>
      </c>
      <c r="D10" s="44" t="b">
        <f>TRUE()</f>
        <v>1</v>
      </c>
      <c r="E10" s="44"/>
      <c r="F10" s="39">
        <v>5714401130062</v>
      </c>
      <c r="G10" s="39" t="s">
        <v>398</v>
      </c>
      <c r="H10" s="45" t="s">
        <v>399</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46" t="b">
        <f>TRUE()</f>
        <v>1</v>
      </c>
      <c r="K10" s="47" t="b">
        <f>FALSE()</f>
        <v>0</v>
      </c>
      <c r="L10" s="39" t="s">
        <v>400</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401</v>
      </c>
      <c r="B11" s="43">
        <v>150</v>
      </c>
      <c r="C11" s="44" t="b">
        <f>FALSE()</f>
        <v>0</v>
      </c>
      <c r="D11" s="44" t="b">
        <f>TRUE()</f>
        <v>1</v>
      </c>
      <c r="E11" s="44"/>
      <c r="F11" s="39">
        <v>5714401130079</v>
      </c>
      <c r="G11" s="39" t="s">
        <v>402</v>
      </c>
      <c r="H11" s="45" t="s">
        <v>403</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46" t="b">
        <f>TRUE()</f>
        <v>1</v>
      </c>
      <c r="K11" s="47" t="b">
        <f>FALSE()</f>
        <v>0</v>
      </c>
      <c r="L11" s="39" t="s">
        <v>404</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t="b">
        <f>FALSE()</f>
        <v>0</v>
      </c>
      <c r="D12" s="44" t="b">
        <f>TRUE()</f>
        <v>1</v>
      </c>
      <c r="E12" s="44"/>
      <c r="F12" s="39">
        <v>5714401130086</v>
      </c>
      <c r="G12" s="39" t="s">
        <v>405</v>
      </c>
      <c r="H12" s="45" t="s">
        <v>406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FALSE()</f>
        <v>0</v>
      </c>
      <c r="L12" s="39" t="s">
        <v>407</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408</v>
      </c>
      <c r="B13" s="39" t="s">
        <v>409</v>
      </c>
      <c r="C13" s="44" t="b">
        <f>TRUE()</f>
        <v>1</v>
      </c>
      <c r="D13" s="44" t="b">
        <f>FALSE()</f>
        <v>0</v>
      </c>
      <c r="E13" s="44"/>
      <c r="F13" s="39">
        <v>5714401130093</v>
      </c>
      <c r="G13" s="39" t="s">
        <v>410</v>
      </c>
      <c r="H13" s="45" t="s">
        <v>411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FALSE()</f>
        <v>0</v>
      </c>
      <c r="L13" s="39" t="s">
        <v>412</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28" x14ac:dyDescent="0.15">
      <c r="A14" s="40" t="s">
        <v>413</v>
      </c>
      <c r="B14" s="39">
        <v>5714401130994</v>
      </c>
      <c r="C14" s="44"/>
      <c r="D14" s="44"/>
      <c r="E14" s="44"/>
      <c r="F14" s="39"/>
      <c r="G14" s="39"/>
      <c r="H14" s="45" t="s">
        <v>374</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46" t="b">
        <f>TRUE()</f>
        <v>1</v>
      </c>
      <c r="K14" s="47" t="b">
        <f>TRUE()</f>
        <v>1</v>
      </c>
      <c r="L14" s="39" t="s">
        <v>633</v>
      </c>
      <c r="M14" s="48" t="b">
        <v>1</v>
      </c>
      <c r="N14" s="49" t="str">
        <f t="shared" si="0"/>
        <v>https://raw.githubusercontent.com/PatrickVibild/TellusAmazonPictures/master/pictures/Lenovo/T13/BL/DE/1.jpg</v>
      </c>
      <c r="O14" s="49" t="str">
        <f t="shared" si="1"/>
        <v>https://raw.githubusercontent.com/PatrickVibild/TellusAmazonPictures/master/pictures/Lenovo/T13/BL/DE/2.jpg</v>
      </c>
      <c r="P14" s="50" t="str">
        <f t="shared" si="2"/>
        <v>https://raw.githubusercontent.com/PatrickVibild/TellusAmazonPictures/master/pictures/Lenovo/T13/BL/DE/3.jpg</v>
      </c>
      <c r="Q14" t="str">
        <f t="shared" si="3"/>
        <v>https://raw.githubusercontent.com/PatrickVibild/TellusAmazonPictures/master/pictures/Lenovo/T13/BL/DE/4.jpg</v>
      </c>
      <c r="R14" t="str">
        <f t="shared" si="4"/>
        <v>https://raw.githubusercontent.com/PatrickVibild/TellusAmazonPictures/master/pictures/Lenovo/T13/BL/DE/5.jpg</v>
      </c>
      <c r="S14" t="str">
        <f t="shared" si="5"/>
        <v>https://raw.githubusercontent.com/PatrickVibild/TellusAmazonPictures/master/pictures/Lenovo/T13/BL/DE/6.jpg</v>
      </c>
      <c r="T14" t="str">
        <f t="shared" si="6"/>
        <v>https://raw.githubusercontent.com/PatrickVibild/TellusAmazonPictures/master/pictures/Lenovo/T13/BL/DE/7.jpg</v>
      </c>
      <c r="U14" t="str">
        <f t="shared" si="7"/>
        <v>https://raw.githubusercontent.com/PatrickVibild/TellusAmazonPictures/master/pictures/Lenovo/T13/BL/DE/8.jpg</v>
      </c>
      <c r="V14" t="str">
        <f t="shared" si="8"/>
        <v>https://raw.githubusercontent.com/PatrickVibild/TellusAmazonPictures/master/pictures/Lenovo/T13/BL/DE/9.jpg</v>
      </c>
      <c r="W14" s="45">
        <f>MATCH(H14,options!$D$1:$D$20,0)</f>
        <v>1</v>
      </c>
    </row>
    <row r="15" spans="1:23" ht="28" x14ac:dyDescent="0.15">
      <c r="B15" s="53"/>
      <c r="C15" s="44"/>
      <c r="D15" s="44"/>
      <c r="E15" s="44"/>
      <c r="F15" s="39"/>
      <c r="G15" s="39"/>
      <c r="H15" s="45" t="s">
        <v>378</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46" t="b">
        <f>TRUE()</f>
        <v>1</v>
      </c>
      <c r="K15" s="47" t="b">
        <f>TRUE()</f>
        <v>1</v>
      </c>
      <c r="L15" s="39" t="s">
        <v>637</v>
      </c>
      <c r="M15" s="48" t="b">
        <v>1</v>
      </c>
      <c r="N15" s="49" t="str">
        <f t="shared" si="0"/>
        <v>https://raw.githubusercontent.com/PatrickVibild/TellusAmazonPictures/master/pictures/Lenovo/T13/BL/FR/1.jpg</v>
      </c>
      <c r="O15" s="49" t="str">
        <f t="shared" si="1"/>
        <v>https://raw.githubusercontent.com/PatrickVibild/TellusAmazonPictures/master/pictures/Lenovo/T13/BL/FR/2.jpg</v>
      </c>
      <c r="P15" s="50" t="str">
        <f t="shared" si="2"/>
        <v>https://raw.githubusercontent.com/PatrickVibild/TellusAmazonPictures/master/pictures/Lenovo/T13/BL/FR/3.jpg</v>
      </c>
      <c r="Q15" t="str">
        <f t="shared" si="3"/>
        <v>https://raw.githubusercontent.com/PatrickVibild/TellusAmazonPictures/master/pictures/Lenovo/T13/BL/FR/4.jpg</v>
      </c>
      <c r="R15" t="str">
        <f t="shared" si="4"/>
        <v>https://raw.githubusercontent.com/PatrickVibild/TellusAmazonPictures/master/pictures/Lenovo/T13/BL/FR/5.jpg</v>
      </c>
      <c r="S15" t="str">
        <f t="shared" si="5"/>
        <v>https://raw.githubusercontent.com/PatrickVibild/TellusAmazonPictures/master/pictures/Lenovo/T13/BL/FR/6.jpg</v>
      </c>
      <c r="T15" t="str">
        <f t="shared" si="6"/>
        <v>https://raw.githubusercontent.com/PatrickVibild/TellusAmazonPictures/master/pictures/Lenovo/T13/BL/FR/7.jpg</v>
      </c>
      <c r="U15" t="str">
        <f t="shared" si="7"/>
        <v>https://raw.githubusercontent.com/PatrickVibild/TellusAmazonPictures/master/pictures/Lenovo/T13/BL/FR/8.jpg</v>
      </c>
      <c r="V15" t="str">
        <f t="shared" si="8"/>
        <v>https://raw.githubusercontent.com/PatrickVibild/TellusAmazonPictures/master/pictures/Lenovo/T13/BL/FR/9.jpg</v>
      </c>
      <c r="W15" s="45">
        <f>MATCH(H15,options!$D$1:$D$20,0)</f>
        <v>2</v>
      </c>
    </row>
    <row r="16" spans="1:23" ht="28" x14ac:dyDescent="0.15">
      <c r="A16" s="40" t="s">
        <v>414</v>
      </c>
      <c r="B16" s="41" t="s">
        <v>415</v>
      </c>
      <c r="C16" s="44"/>
      <c r="D16" s="44"/>
      <c r="E16" s="44"/>
      <c r="F16" s="39"/>
      <c r="G16" s="39"/>
      <c r="H16" s="45" t="s">
        <v>383</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46" t="b">
        <f>TRUE()</f>
        <v>1</v>
      </c>
      <c r="K16" s="47" t="b">
        <f>TRUE()</f>
        <v>1</v>
      </c>
      <c r="L16" s="39" t="s">
        <v>634</v>
      </c>
      <c r="M16" s="48" t="b">
        <v>1</v>
      </c>
      <c r="N16" s="49" t="str">
        <f t="shared" si="0"/>
        <v>https://raw.githubusercontent.com/PatrickVibild/TellusAmazonPictures/master/pictures/Lenovo/T13/BL/IT/1.jpg</v>
      </c>
      <c r="O16" s="49" t="str">
        <f t="shared" si="1"/>
        <v>https://raw.githubusercontent.com/PatrickVibild/TellusAmazonPictures/master/pictures/Lenovo/T13/BL/IT/2.jpg</v>
      </c>
      <c r="P16" s="50"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5">
        <f>MATCH(H16,options!$D$1:$D$20,0)</f>
        <v>3</v>
      </c>
    </row>
    <row r="17" spans="1:23" ht="14" x14ac:dyDescent="0.15">
      <c r="B17" s="53"/>
      <c r="C17" s="44"/>
      <c r="D17" s="44"/>
      <c r="E17" s="44"/>
      <c r="F17" s="39"/>
      <c r="G17" s="39"/>
      <c r="H17" s="45" t="s">
        <v>387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46" t="b">
        <f>TRUE()</f>
        <v>1</v>
      </c>
      <c r="K17" s="47" t="b">
        <f>TRUE()</f>
        <v>1</v>
      </c>
      <c r="L17" s="39" t="s">
        <v>388</v>
      </c>
      <c r="M17" s="48" t="b">
        <f>FALSE()</f>
        <v>0</v>
      </c>
      <c r="N17" s="49" t="str">
        <f t="shared" si="0"/>
        <v>https://download.lenovo.com/Images/Parts/01EN815/01EN815_A.jpg</v>
      </c>
      <c r="O17" s="49" t="str">
        <f t="shared" si="1"/>
        <v>https://download.lenovo.com/Images/Parts/01EN815/01EN815_B.jpg</v>
      </c>
      <c r="P17" s="50" t="str">
        <f t="shared" si="2"/>
        <v>https://download.lenovo.com/Images/Parts/01EN815/01EN815_details.jpg</v>
      </c>
      <c r="Q17" t="str">
        <f t="shared" si="3"/>
        <v/>
      </c>
      <c r="R17" t="str">
        <f t="shared" si="4"/>
        <v/>
      </c>
      <c r="S17" t="str">
        <f t="shared" si="5"/>
        <v/>
      </c>
      <c r="T17" t="str">
        <f t="shared" si="6"/>
        <v/>
      </c>
      <c r="U17" t="str">
        <f t="shared" si="7"/>
        <v/>
      </c>
      <c r="V17" t="str">
        <f t="shared" si="8"/>
        <v/>
      </c>
      <c r="W17" s="45">
        <f>MATCH(H17,options!$D$1:$D$20,0)</f>
        <v>4</v>
      </c>
    </row>
    <row r="18" spans="1:23" ht="28" x14ac:dyDescent="0.15">
      <c r="A18" s="40" t="s">
        <v>416</v>
      </c>
      <c r="B18" s="43">
        <v>5</v>
      </c>
      <c r="C18" s="44"/>
      <c r="D18" s="44"/>
      <c r="E18" s="44"/>
      <c r="F18" s="39"/>
      <c r="G18" s="39"/>
      <c r="H18" s="45" t="s">
        <v>391</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TRUE()</f>
        <v>1</v>
      </c>
      <c r="L18" s="39" t="s">
        <v>635</v>
      </c>
      <c r="M18" s="48" t="b">
        <v>1</v>
      </c>
      <c r="N18" s="49" t="str">
        <f t="shared" si="0"/>
        <v>https://raw.githubusercontent.com/PatrickVibild/TellusAmazonPictures/master/pictures/Lenovo/T13/BL/UK/1.jpg</v>
      </c>
      <c r="O18" s="49" t="str">
        <f t="shared" si="1"/>
        <v>https://raw.githubusercontent.com/PatrickVibild/TellusAmazonPictures/master/pictures/Lenovo/T13/BL/UK/2.jpg</v>
      </c>
      <c r="P18" s="50"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5">
        <f>MATCH(H18,options!$D$1:$D$20,0)</f>
        <v>5</v>
      </c>
    </row>
    <row r="19" spans="1:23" ht="28" x14ac:dyDescent="0.15">
      <c r="B19" s="53"/>
      <c r="C19" s="44"/>
      <c r="D19" s="44"/>
      <c r="E19" s="44"/>
      <c r="F19" s="39"/>
      <c r="G19" s="39"/>
      <c r="H19" s="45" t="s">
        <v>395</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46" t="b">
        <f>TRUE()</f>
        <v>1</v>
      </c>
      <c r="K19" s="47" t="b">
        <f>TRUE()</f>
        <v>1</v>
      </c>
      <c r="L19" s="39" t="s">
        <v>636</v>
      </c>
      <c r="M19" s="48" t="b">
        <v>1</v>
      </c>
      <c r="N19" s="49" t="str">
        <f t="shared" si="0"/>
        <v>https://raw.githubusercontent.com/PatrickVibild/TellusAmazonPictures/master/pictures/Lenovo/T13/BL/NOR/1.jpg</v>
      </c>
      <c r="O19" s="49" t="str">
        <f t="shared" si="1"/>
        <v>https://raw.githubusercontent.com/PatrickVibild/TellusAmazonPictures/master/pictures/Lenovo/T13/BL/NOR/2.jpg</v>
      </c>
      <c r="P19" s="50"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5">
        <f>MATCH(H19,options!$D$1:$D$20,0)</f>
        <v>6</v>
      </c>
    </row>
    <row r="20" spans="1:23" ht="14" x14ac:dyDescent="0.15">
      <c r="A20" s="40" t="s">
        <v>417</v>
      </c>
      <c r="B20" s="55" t="s">
        <v>418</v>
      </c>
      <c r="C20" s="44"/>
      <c r="D20" s="44"/>
      <c r="E20" s="44"/>
      <c r="F20" s="39"/>
      <c r="G20" s="39"/>
      <c r="H20" s="45" t="s">
        <v>399</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Belgian</v>
      </c>
      <c r="J20" s="46" t="b">
        <f>TRUE()</f>
        <v>1</v>
      </c>
      <c r="K20" s="47" t="b">
        <f>TRUE()</f>
        <v>1</v>
      </c>
      <c r="L20" s="39" t="s">
        <v>400</v>
      </c>
      <c r="M20" s="48" t="b">
        <f>FALSE()</f>
        <v>0</v>
      </c>
      <c r="N20" s="49" t="str">
        <f t="shared" si="0"/>
        <v>https://download.lenovo.com/Images/Parts/01EN811/01EN811_A.jpg</v>
      </c>
      <c r="O20" s="49" t="str">
        <f t="shared" si="1"/>
        <v>https://download.lenovo.com/Images/Parts/01EN811/01EN811_B.jpg</v>
      </c>
      <c r="P20" s="50" t="str">
        <f t="shared" si="2"/>
        <v>https://download.lenovo.com/Images/Parts/01EN811/01EN811_details.jpg</v>
      </c>
      <c r="Q20" t="str">
        <f t="shared" si="3"/>
        <v/>
      </c>
      <c r="R20" t="str">
        <f t="shared" si="4"/>
        <v/>
      </c>
      <c r="S20" t="str">
        <f t="shared" si="5"/>
        <v/>
      </c>
      <c r="T20" t="str">
        <f t="shared" si="6"/>
        <v/>
      </c>
      <c r="U20" t="str">
        <f t="shared" si="7"/>
        <v/>
      </c>
      <c r="V20" t="str">
        <f t="shared" si="8"/>
        <v/>
      </c>
      <c r="W20" s="45">
        <f>MATCH(H20,options!$D$1:$D$20,0)</f>
        <v>7</v>
      </c>
    </row>
    <row r="21" spans="1:23" ht="14" x14ac:dyDescent="0.15">
      <c r="B21" s="53"/>
      <c r="C21" s="44"/>
      <c r="D21" s="44"/>
      <c r="E21" s="44"/>
      <c r="F21" s="39"/>
      <c r="G21" s="39"/>
      <c r="H21" s="45" t="s">
        <v>403</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Swiss</v>
      </c>
      <c r="J21" s="46" t="b">
        <f>TRUE()</f>
        <v>1</v>
      </c>
      <c r="K21" s="47" t="b">
        <f>TRUE()</f>
        <v>1</v>
      </c>
      <c r="L21" s="39" t="s">
        <v>404</v>
      </c>
      <c r="M21" s="48" t="b">
        <f>FALSE()</f>
        <v>0</v>
      </c>
      <c r="N21" s="49" t="str">
        <f t="shared" si="0"/>
        <v>https://download.lenovo.com/Images/Parts/01EN832/01EN832_A.jpg</v>
      </c>
      <c r="O21" s="49" t="str">
        <f t="shared" si="1"/>
        <v>https://download.lenovo.com/Images/Parts/01EN832/01EN832_B.jpg</v>
      </c>
      <c r="P21" s="50" t="str">
        <f t="shared" si="2"/>
        <v>https://download.lenovo.com/Images/Parts/01EN832/01EN832_details.jpg</v>
      </c>
      <c r="Q21" t="str">
        <f t="shared" si="3"/>
        <v/>
      </c>
      <c r="R21" t="str">
        <f t="shared" si="4"/>
        <v/>
      </c>
      <c r="S21" t="str">
        <f t="shared" si="5"/>
        <v/>
      </c>
      <c r="T21" t="str">
        <f t="shared" si="6"/>
        <v/>
      </c>
      <c r="U21" t="str">
        <f t="shared" si="7"/>
        <v/>
      </c>
      <c r="V21" t="str">
        <f t="shared" si="8"/>
        <v/>
      </c>
      <c r="W21" s="45">
        <f>MATCH(H21,options!$D$1:$D$20,0)</f>
        <v>15</v>
      </c>
    </row>
    <row r="22" spans="1:23" ht="14" x14ac:dyDescent="0.15">
      <c r="B22" s="53"/>
      <c r="C22" s="44"/>
      <c r="D22" s="44"/>
      <c r="E22" s="44"/>
      <c r="F22" s="39"/>
      <c r="G22" s="39"/>
      <c r="H22" s="45" t="s">
        <v>406</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6" t="b">
        <f>TRUE()</f>
        <v>1</v>
      </c>
      <c r="K22" s="47" t="b">
        <f>TRUE()</f>
        <v>1</v>
      </c>
      <c r="L22" s="39" t="s">
        <v>407</v>
      </c>
      <c r="M22" s="48" t="b">
        <f>FALSE()</f>
        <v>0</v>
      </c>
      <c r="N22" s="49" t="str">
        <f t="shared" si="0"/>
        <v>https://download.lenovo.com/Images/Parts/01EN794/01EN794_A.jpg</v>
      </c>
      <c r="O22" s="49" t="str">
        <f t="shared" si="1"/>
        <v>https://download.lenovo.com/Images/Parts/01EN794/01EN794_B.jpg</v>
      </c>
      <c r="P22" s="50" t="str">
        <f t="shared" si="2"/>
        <v>https://download.lenovo.com/Images/Parts/01EN794/01EN794_details.jpg</v>
      </c>
      <c r="Q22" t="str">
        <f t="shared" si="3"/>
        <v/>
      </c>
      <c r="R22" t="str">
        <f t="shared" si="4"/>
        <v/>
      </c>
      <c r="S22" t="str">
        <f t="shared" si="5"/>
        <v/>
      </c>
      <c r="T22" t="str">
        <f t="shared" si="6"/>
        <v/>
      </c>
      <c r="U22" t="str">
        <f t="shared" si="7"/>
        <v/>
      </c>
      <c r="V22" t="str">
        <f t="shared" si="8"/>
        <v/>
      </c>
      <c r="W22" s="45">
        <f>MATCH(H22,options!$D$1:$D$20,0)</f>
        <v>16</v>
      </c>
    </row>
    <row r="23" spans="1:23" ht="56" x14ac:dyDescent="0.15">
      <c r="A23" s="40" t="s">
        <v>419</v>
      </c>
      <c r="B23" s="41"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4"/>
      <c r="D23" s="44"/>
      <c r="E23" s="44"/>
      <c r="F23" s="39"/>
      <c r="G23" s="39"/>
      <c r="H23" s="45" t="s">
        <v>411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TRUE()</f>
        <v>1</v>
      </c>
      <c r="L23" s="39" t="s">
        <v>412</v>
      </c>
      <c r="M23" s="48" t="b">
        <f>FALSE()</f>
        <v>0</v>
      </c>
      <c r="N23" s="49" t="str">
        <f t="shared" si="0"/>
        <v>https://download.lenovo.com/Images/Parts/01EN764/01EN764_A.jpg</v>
      </c>
      <c r="O23" s="49" t="str">
        <f t="shared" si="1"/>
        <v>https://download.lenovo.com/Images/Parts/01EN764/01EN764_B.jpg</v>
      </c>
      <c r="P23" s="50" t="str">
        <f t="shared" si="2"/>
        <v>https://download.lenovo.com/Images/Parts/01EN764/01EN764_details.jpg</v>
      </c>
      <c r="Q23" t="str">
        <f t="shared" si="3"/>
        <v/>
      </c>
      <c r="R23" t="str">
        <f t="shared" si="4"/>
        <v/>
      </c>
      <c r="S23" t="str">
        <f t="shared" si="5"/>
        <v/>
      </c>
      <c r="T23" t="str">
        <f t="shared" si="6"/>
        <v/>
      </c>
      <c r="U23" t="str">
        <f t="shared" si="7"/>
        <v/>
      </c>
      <c r="V23" t="str">
        <f t="shared" si="8"/>
        <v/>
      </c>
      <c r="W23" s="45">
        <f>MATCH(H23,options!$D$1:$D$20,0)</f>
        <v>18</v>
      </c>
    </row>
    <row r="24" spans="1:23" ht="56" x14ac:dyDescent="0.15">
      <c r="A24" s="40" t="s">
        <v>420</v>
      </c>
      <c r="B24" s="41"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4"/>
      <c r="D24" s="44"/>
      <c r="E24" s="44"/>
      <c r="F24" s="39"/>
      <c r="G24" s="39"/>
      <c r="H24" s="45" t="s">
        <v>374</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46" t="b">
        <f>TRUE()</f>
        <v>1</v>
      </c>
      <c r="K24" s="47" t="b">
        <f>TRUE()</f>
        <v>1</v>
      </c>
      <c r="L24" s="39" t="s">
        <v>421</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42" x14ac:dyDescent="0.15">
      <c r="A25" s="40" t="s">
        <v>422</v>
      </c>
      <c r="B25" s="41"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4"/>
      <c r="D25" s="44"/>
      <c r="E25" s="44"/>
      <c r="F25" s="39"/>
      <c r="G25" s="39"/>
      <c r="H25" s="45" t="s">
        <v>378</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46" t="b">
        <f>TRUE()</f>
        <v>1</v>
      </c>
      <c r="K25" s="47" t="b">
        <f>TRUE()</f>
        <v>1</v>
      </c>
      <c r="L25" s="39" t="s">
        <v>423</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424</v>
      </c>
      <c r="B26" s="41" t="str">
        <f>IF(Values!$B$36=English!$B$2,English!B6, IF(Values!$B$36=German!$B$2,German!B6, IF(Values!$B$36=Italian!$B$2,Italian!B6, IF(Values!$B$36=Spanish!$B$2, Spanish!B6, IF(Values!$B$36=French!$B$2, French!B6, IF(Values!$B$36=Dutch!$B$2,Dutch!B6, IF(Values!$B$36=English!$D$32, English!D36, 0)))))))</f>
        <v>👉 LAYOUT – {flag} {language} backlit.</v>
      </c>
      <c r="C26" s="44"/>
      <c r="D26" s="44"/>
      <c r="E26" s="44"/>
      <c r="F26" s="39"/>
      <c r="G26" s="39"/>
      <c r="H26" s="45" t="s">
        <v>383</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46" t="b">
        <f>TRUE()</f>
        <v>1</v>
      </c>
      <c r="K26" s="47" t="b">
        <f>TRUE()</f>
        <v>1</v>
      </c>
      <c r="L26" s="39" t="s">
        <v>425</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42" x14ac:dyDescent="0.15">
      <c r="A27" s="40" t="s">
        <v>422</v>
      </c>
      <c r="B27" s="41"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44"/>
      <c r="D27" s="44"/>
      <c r="E27" s="44"/>
      <c r="F27" s="39"/>
      <c r="G27" s="39"/>
      <c r="H27" s="45" t="s">
        <v>387</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46" t="b">
        <f>TRUE()</f>
        <v>1</v>
      </c>
      <c r="K27" s="47" t="b">
        <f>TRUE()</f>
        <v>1</v>
      </c>
      <c r="L27" s="39" t="s">
        <v>426</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391</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9" t="s">
        <v>427</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428</v>
      </c>
      <c r="B29" s="41"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4"/>
      <c r="D29" s="44"/>
      <c r="E29" s="44"/>
      <c r="F29" s="39"/>
      <c r="G29" s="39"/>
      <c r="H29" s="45" t="s">
        <v>395</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46" t="b">
        <f>TRUE()</f>
        <v>1</v>
      </c>
      <c r="K29" s="47" t="b">
        <f>TRUE()</f>
        <v>1</v>
      </c>
      <c r="L29" s="39" t="s">
        <v>429</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399</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46" t="b">
        <f>TRUE()</f>
        <v>1</v>
      </c>
      <c r="K30" s="47" t="b">
        <f>TRUE()</f>
        <v>1</v>
      </c>
      <c r="L30" s="39" t="s">
        <v>430</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42" x14ac:dyDescent="0.15">
      <c r="A31" s="40" t="s">
        <v>431</v>
      </c>
      <c r="B31" s="41"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4"/>
      <c r="D31" s="44"/>
      <c r="E31" s="44"/>
      <c r="F31" s="39"/>
      <c r="G31" s="39"/>
      <c r="H31" s="45" t="s">
        <v>432</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46" t="b">
        <f>TRUE()</f>
        <v>1</v>
      </c>
      <c r="K31" s="47" t="b">
        <f>TRUE()</f>
        <v>1</v>
      </c>
      <c r="L31" s="39" t="s">
        <v>433</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434</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46" t="b">
        <f>TRUE()</f>
        <v>1</v>
      </c>
      <c r="K32" s="47" t="b">
        <f>TRUE()</f>
        <v>1</v>
      </c>
      <c r="L32" s="39" t="s">
        <v>435</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436</v>
      </c>
      <c r="B33" s="41" t="str">
        <f>IF(Values!$B$36=English!$B$2,English!B14, IF(Values!$B$36=German!$B$2,German!B14, IF(Values!$B$36=Italian!$B$2,Italian!B14, IF(Values!$B$36=Spanish!$B$2, Spanish!B14, IF(Values!$B$36=French!$B$2, French!B14, IF(Values!$B$36=Dutch!$B$2,Dutch!B14, IF(Values!$B$36=English!$D$32, English!B14, 0)))))))</f>
        <v>👉 LAYOUT -  {flag} {language} NO backlit.</v>
      </c>
      <c r="C33" s="44"/>
      <c r="D33" s="44"/>
      <c r="E33" s="44"/>
      <c r="F33" s="39"/>
      <c r="G33" s="39"/>
      <c r="H33" s="45" t="s">
        <v>437</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46" t="b">
        <f>TRUE()</f>
        <v>1</v>
      </c>
      <c r="K33" s="47" t="b">
        <f>TRUE()</f>
        <v>1</v>
      </c>
      <c r="L33" s="39" t="s">
        <v>438</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439</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46" t="b">
        <f>TRUE()</f>
        <v>1</v>
      </c>
      <c r="K34" s="47" t="b">
        <f>TRUE()</f>
        <v>1</v>
      </c>
      <c r="L34" s="39" t="s">
        <v>440</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441</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46" t="b">
        <f>TRUE()</f>
        <v>1</v>
      </c>
      <c r="K35" s="47" t="b">
        <f>TRUE()</f>
        <v>1</v>
      </c>
      <c r="L35" s="39" t="s">
        <v>442</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443</v>
      </c>
      <c r="B36" s="55" t="s">
        <v>461</v>
      </c>
      <c r="C36" s="44"/>
      <c r="D36" s="44"/>
      <c r="E36" s="44"/>
      <c r="F36" s="39"/>
      <c r="G36" s="39"/>
      <c r="H36" s="45" t="s">
        <v>444</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46" t="b">
        <f>TRUE()</f>
        <v>1</v>
      </c>
      <c r="K36" s="47" t="b">
        <f>TRUE()</f>
        <v>1</v>
      </c>
      <c r="L36" s="39" t="s">
        <v>445</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446</v>
      </c>
      <c r="B37" s="55" t="s">
        <v>411</v>
      </c>
      <c r="C37" s="44"/>
      <c r="D37" s="44"/>
      <c r="E37" s="44"/>
      <c r="F37" s="39"/>
      <c r="G37" s="39"/>
      <c r="H37" s="45" t="s">
        <v>448</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449</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46" t="b">
        <f>TRUE()</f>
        <v>1</v>
      </c>
      <c r="K38" s="47" t="b">
        <f>TRUE()</f>
        <v>1</v>
      </c>
      <c r="L38" s="39" t="s">
        <v>450</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451</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46" t="b">
        <f>TRUE()</f>
        <v>1</v>
      </c>
      <c r="K39" s="47" t="b">
        <f>TRUE()</f>
        <v>1</v>
      </c>
      <c r="L39" s="39" t="s">
        <v>452</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403</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46" t="b">
        <f>TRUE()</f>
        <v>1</v>
      </c>
      <c r="K40" s="47" t="b">
        <f>TRUE()</f>
        <v>1</v>
      </c>
      <c r="L40" s="39" t="s">
        <v>453</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406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9" t="s">
        <v>454</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455</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46" t="b">
        <f>TRUE()</f>
        <v>1</v>
      </c>
      <c r="K42" s="47" t="b">
        <f>TRUE()</f>
        <v>1</v>
      </c>
      <c r="L42" s="39" t="s">
        <v>456</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411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9" t="s">
        <v>457</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458</v>
      </c>
      <c r="B1" s="44" t="b">
        <f>TRUE()</f>
        <v>1</v>
      </c>
      <c r="C1" t="s">
        <v>459</v>
      </c>
      <c r="D1" s="45" t="s">
        <v>374</v>
      </c>
      <c r="E1" t="s">
        <v>460</v>
      </c>
      <c r="F1" t="s">
        <v>461</v>
      </c>
      <c r="G1" t="s">
        <v>447</v>
      </c>
    </row>
    <row r="2" spans="1:7" x14ac:dyDescent="0.15">
      <c r="A2" t="s">
        <v>418</v>
      </c>
      <c r="B2" s="44" t="b">
        <f>FALSE()</f>
        <v>0</v>
      </c>
      <c r="C2" t="s">
        <v>381</v>
      </c>
      <c r="D2" s="45" t="s">
        <v>378</v>
      </c>
      <c r="E2" t="s">
        <v>462</v>
      </c>
      <c r="F2" t="s">
        <v>378</v>
      </c>
      <c r="G2" t="s">
        <v>411</v>
      </c>
    </row>
    <row r="3" spans="1:7" x14ac:dyDescent="0.15">
      <c r="A3" t="s">
        <v>463</v>
      </c>
      <c r="D3" s="45" t="s">
        <v>383</v>
      </c>
      <c r="E3" t="s">
        <v>464</v>
      </c>
      <c r="F3" t="s">
        <v>374</v>
      </c>
    </row>
    <row r="4" spans="1:7" x14ac:dyDescent="0.15">
      <c r="D4" s="45" t="s">
        <v>387</v>
      </c>
      <c r="E4" t="s">
        <v>465</v>
      </c>
      <c r="F4" t="s">
        <v>383</v>
      </c>
    </row>
    <row r="5" spans="1:7" x14ac:dyDescent="0.15">
      <c r="D5" s="45" t="s">
        <v>391</v>
      </c>
      <c r="E5" t="s">
        <v>466</v>
      </c>
      <c r="F5" t="s">
        <v>387</v>
      </c>
    </row>
    <row r="6" spans="1:7" x14ac:dyDescent="0.15">
      <c r="D6" s="45" t="s">
        <v>395</v>
      </c>
      <c r="E6" t="s">
        <v>467</v>
      </c>
      <c r="F6" t="s">
        <v>441</v>
      </c>
    </row>
    <row r="7" spans="1:7" x14ac:dyDescent="0.15">
      <c r="D7" s="45" t="s">
        <v>399</v>
      </c>
      <c r="E7" t="s">
        <v>468</v>
      </c>
    </row>
    <row r="8" spans="1:7" x14ac:dyDescent="0.15">
      <c r="D8" s="45" t="s">
        <v>432</v>
      </c>
      <c r="E8" t="s">
        <v>469</v>
      </c>
    </row>
    <row r="9" spans="1:7" x14ac:dyDescent="0.15">
      <c r="D9" s="45" t="s">
        <v>437</v>
      </c>
      <c r="E9" t="s">
        <v>470</v>
      </c>
    </row>
    <row r="10" spans="1:7" x14ac:dyDescent="0.15">
      <c r="D10" s="45" t="s">
        <v>441</v>
      </c>
      <c r="E10" t="s">
        <v>471</v>
      </c>
    </row>
    <row r="11" spans="1:7" x14ac:dyDescent="0.15">
      <c r="D11" s="45" t="s">
        <v>444</v>
      </c>
      <c r="E11" t="s">
        <v>472</v>
      </c>
    </row>
    <row r="12" spans="1:7" x14ac:dyDescent="0.15">
      <c r="D12" s="45" t="s">
        <v>448</v>
      </c>
      <c r="E12" t="s">
        <v>473</v>
      </c>
    </row>
    <row r="13" spans="1:7" x14ac:dyDescent="0.15">
      <c r="D13" s="45" t="s">
        <v>449</v>
      </c>
      <c r="E13" t="s">
        <v>474</v>
      </c>
    </row>
    <row r="14" spans="1:7" x14ac:dyDescent="0.15">
      <c r="D14" s="45" t="s">
        <v>451</v>
      </c>
      <c r="E14" t="s">
        <v>475</v>
      </c>
    </row>
    <row r="15" spans="1:7" x14ac:dyDescent="0.15">
      <c r="D15" s="45" t="s">
        <v>403</v>
      </c>
      <c r="E15" t="s">
        <v>476</v>
      </c>
    </row>
    <row r="16" spans="1:7" x14ac:dyDescent="0.15">
      <c r="D16" s="45" t="s">
        <v>406</v>
      </c>
      <c r="E16" s="59" t="s">
        <v>477</v>
      </c>
    </row>
    <row r="17" spans="4:5" x14ac:dyDescent="0.15">
      <c r="D17" s="45" t="s">
        <v>455</v>
      </c>
      <c r="E17" t="s">
        <v>478</v>
      </c>
    </row>
    <row r="18" spans="4:5" x14ac:dyDescent="0.15">
      <c r="D18" s="45" t="s">
        <v>411</v>
      </c>
      <c r="E18" t="s">
        <v>479</v>
      </c>
    </row>
    <row r="19" spans="4:5" x14ac:dyDescent="0.15">
      <c r="D19" s="45" t="s">
        <v>439</v>
      </c>
      <c r="E19" t="s">
        <v>480</v>
      </c>
    </row>
    <row r="20" spans="4:5" x14ac:dyDescent="0.15">
      <c r="D20" s="45" t="s">
        <v>434</v>
      </c>
      <c r="E20" t="s">
        <v>481</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461</v>
      </c>
    </row>
    <row r="3" spans="1:2" x14ac:dyDescent="0.15">
      <c r="B3" s="42" t="s">
        <v>482</v>
      </c>
    </row>
    <row r="4" spans="1:2" x14ac:dyDescent="0.15">
      <c r="B4" s="42" t="s">
        <v>483</v>
      </c>
    </row>
    <row r="5" spans="1:2" x14ac:dyDescent="0.15">
      <c r="B5" s="42" t="s">
        <v>484</v>
      </c>
    </row>
    <row r="6" spans="1:2" x14ac:dyDescent="0.15">
      <c r="A6" t="s">
        <v>485</v>
      </c>
      <c r="B6" s="42" t="s">
        <v>486</v>
      </c>
    </row>
    <row r="7" spans="1:2" x14ac:dyDescent="0.15">
      <c r="B7" s="42" t="s">
        <v>487</v>
      </c>
    </row>
    <row r="8" spans="1:2" x14ac:dyDescent="0.15">
      <c r="A8" t="s">
        <v>40</v>
      </c>
      <c r="B8" s="42" t="s">
        <v>488</v>
      </c>
    </row>
    <row r="9" spans="1:2" x14ac:dyDescent="0.15">
      <c r="A9" t="s">
        <v>489</v>
      </c>
      <c r="B9" s="42" t="s">
        <v>490</v>
      </c>
    </row>
    <row r="10" spans="1:2" x14ac:dyDescent="0.15">
      <c r="B10" t="s">
        <v>491</v>
      </c>
    </row>
    <row r="11" spans="1:2" x14ac:dyDescent="0.15">
      <c r="B11" t="s">
        <v>492</v>
      </c>
    </row>
    <row r="14" spans="1:2" x14ac:dyDescent="0.15">
      <c r="B14" s="42" t="s">
        <v>493</v>
      </c>
    </row>
    <row r="20" spans="2:2" x14ac:dyDescent="0.15">
      <c r="B20" s="45" t="s">
        <v>374</v>
      </c>
    </row>
    <row r="21" spans="2:2" x14ac:dyDescent="0.15">
      <c r="B21" s="45" t="s">
        <v>378</v>
      </c>
    </row>
    <row r="22" spans="2:2" x14ac:dyDescent="0.15">
      <c r="B22" s="45" t="s">
        <v>383</v>
      </c>
    </row>
    <row r="23" spans="2:2" x14ac:dyDescent="0.15">
      <c r="B23" s="45" t="s">
        <v>387</v>
      </c>
    </row>
    <row r="24" spans="2:2" x14ac:dyDescent="0.15">
      <c r="B24" s="45" t="s">
        <v>391</v>
      </c>
    </row>
    <row r="25" spans="2:2" x14ac:dyDescent="0.15">
      <c r="B25" s="45" t="s">
        <v>395</v>
      </c>
    </row>
    <row r="26" spans="2:2" x14ac:dyDescent="0.15">
      <c r="B26" s="45" t="s">
        <v>399</v>
      </c>
    </row>
    <row r="27" spans="2:2" x14ac:dyDescent="0.15">
      <c r="B27" s="45" t="s">
        <v>432</v>
      </c>
    </row>
    <row r="28" spans="2:2" x14ac:dyDescent="0.15">
      <c r="B28" s="45" t="s">
        <v>437</v>
      </c>
    </row>
    <row r="29" spans="2:2" x14ac:dyDescent="0.15">
      <c r="B29" s="45" t="s">
        <v>441</v>
      </c>
    </row>
    <row r="30" spans="2:2" x14ac:dyDescent="0.15">
      <c r="B30" s="45" t="s">
        <v>444</v>
      </c>
    </row>
    <row r="31" spans="2:2" x14ac:dyDescent="0.15">
      <c r="B31" s="45" t="s">
        <v>448</v>
      </c>
    </row>
    <row r="32" spans="2:2" x14ac:dyDescent="0.15">
      <c r="B32" s="45" t="s">
        <v>449</v>
      </c>
    </row>
    <row r="33" spans="2:4" x14ac:dyDescent="0.15">
      <c r="B33" s="45" t="s">
        <v>451</v>
      </c>
    </row>
    <row r="34" spans="2:4" x14ac:dyDescent="0.15">
      <c r="B34" s="45" t="s">
        <v>403</v>
      </c>
      <c r="D34" s="42"/>
    </row>
    <row r="35" spans="2:4" x14ac:dyDescent="0.15">
      <c r="B35" s="45" t="s">
        <v>406</v>
      </c>
      <c r="D35" s="42"/>
    </row>
    <row r="36" spans="2:4" x14ac:dyDescent="0.15">
      <c r="B36" s="45" t="s">
        <v>455</v>
      </c>
      <c r="D36" s="42"/>
    </row>
    <row r="37" spans="2:4" x14ac:dyDescent="0.15">
      <c r="B37" s="45" t="s">
        <v>411</v>
      </c>
      <c r="D37" s="42"/>
    </row>
    <row r="38" spans="2:4" x14ac:dyDescent="0.15">
      <c r="B38" s="45" t="s">
        <v>439</v>
      </c>
      <c r="D38" s="42"/>
    </row>
    <row r="39" spans="2:4" x14ac:dyDescent="0.15">
      <c r="B39" s="45" t="s">
        <v>434</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0" t="s">
        <v>494</v>
      </c>
    </row>
    <row r="4" spans="1:2" ht="16" x14ac:dyDescent="0.2">
      <c r="B4" s="60" t="s">
        <v>495</v>
      </c>
    </row>
    <row r="5" spans="1:2" ht="16" x14ac:dyDescent="0.2">
      <c r="B5" s="60" t="s">
        <v>496</v>
      </c>
    </row>
    <row r="6" spans="1:2" ht="16" x14ac:dyDescent="0.2">
      <c r="B6" s="60" t="s">
        <v>497</v>
      </c>
    </row>
    <row r="7" spans="1:2" ht="16" x14ac:dyDescent="0.2">
      <c r="B7" s="60" t="s">
        <v>498</v>
      </c>
    </row>
    <row r="8" spans="1:2" x14ac:dyDescent="0.15">
      <c r="A8" t="s">
        <v>499</v>
      </c>
      <c r="B8" t="s">
        <v>500</v>
      </c>
    </row>
    <row r="9" spans="1:2" x14ac:dyDescent="0.15">
      <c r="A9" t="s">
        <v>501</v>
      </c>
      <c r="B9" t="s">
        <v>502</v>
      </c>
    </row>
    <row r="10" spans="1:2" x14ac:dyDescent="0.15">
      <c r="B10" t="s">
        <v>503</v>
      </c>
    </row>
    <row r="11" spans="1:2" x14ac:dyDescent="0.15">
      <c r="B11" t="s">
        <v>504</v>
      </c>
    </row>
    <row r="14" spans="1:2" x14ac:dyDescent="0.15">
      <c r="B14" t="s">
        <v>505</v>
      </c>
    </row>
    <row r="20" spans="2:2" x14ac:dyDescent="0.15">
      <c r="B20" t="s">
        <v>506</v>
      </c>
    </row>
    <row r="21" spans="2:2" x14ac:dyDescent="0.15">
      <c r="B21" t="s">
        <v>507</v>
      </c>
    </row>
    <row r="22" spans="2:2" x14ac:dyDescent="0.15">
      <c r="B22" t="s">
        <v>508</v>
      </c>
    </row>
    <row r="23" spans="2:2" x14ac:dyDescent="0.15">
      <c r="B23" t="s">
        <v>509</v>
      </c>
    </row>
    <row r="24" spans="2:2" x14ac:dyDescent="0.15">
      <c r="B24" t="s">
        <v>391</v>
      </c>
    </row>
    <row r="25" spans="2:2" x14ac:dyDescent="0.15">
      <c r="B25" t="s">
        <v>510</v>
      </c>
    </row>
    <row r="26" spans="2:2" x14ac:dyDescent="0.15">
      <c r="B26" t="s">
        <v>511</v>
      </c>
    </row>
    <row r="27" spans="2:2" x14ac:dyDescent="0.15">
      <c r="B27" t="s">
        <v>512</v>
      </c>
    </row>
    <row r="28" spans="2:2" x14ac:dyDescent="0.15">
      <c r="B28" t="s">
        <v>513</v>
      </c>
    </row>
    <row r="29" spans="2:2" x14ac:dyDescent="0.15">
      <c r="B29" t="s">
        <v>514</v>
      </c>
    </row>
    <row r="30" spans="2:2" x14ac:dyDescent="0.15">
      <c r="B30" t="s">
        <v>515</v>
      </c>
    </row>
    <row r="31" spans="2:2" x14ac:dyDescent="0.15">
      <c r="B31" t="s">
        <v>516</v>
      </c>
    </row>
    <row r="32" spans="2:2" x14ac:dyDescent="0.15">
      <c r="B32" t="s">
        <v>517</v>
      </c>
    </row>
    <row r="33" spans="2:2" x14ac:dyDescent="0.15">
      <c r="B33" t="s">
        <v>518</v>
      </c>
    </row>
    <row r="34" spans="2:2" x14ac:dyDescent="0.15">
      <c r="B34" t="s">
        <v>519</v>
      </c>
    </row>
    <row r="35" spans="2:2" x14ac:dyDescent="0.15">
      <c r="B35" t="s">
        <v>406</v>
      </c>
    </row>
    <row r="36" spans="2:2" x14ac:dyDescent="0.15">
      <c r="B36" t="s">
        <v>520</v>
      </c>
    </row>
    <row r="37" spans="2:2" x14ac:dyDescent="0.15">
      <c r="B37" t="s">
        <v>521</v>
      </c>
    </row>
    <row r="38" spans="2:2" x14ac:dyDescent="0.15">
      <c r="B38" t="s">
        <v>522</v>
      </c>
    </row>
    <row r="39" spans="2:2" x14ac:dyDescent="0.15">
      <c r="B39" t="s">
        <v>523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387</v>
      </c>
    </row>
    <row r="3" spans="1:2" x14ac:dyDescent="0.15">
      <c r="B3" s="42" t="s">
        <v>524</v>
      </c>
    </row>
    <row r="4" spans="1:2" x14ac:dyDescent="0.15">
      <c r="B4" s="42" t="s">
        <v>525</v>
      </c>
    </row>
    <row r="5" spans="1:2" x14ac:dyDescent="0.15">
      <c r="B5" s="42" t="s">
        <v>526</v>
      </c>
    </row>
    <row r="6" spans="1:2" x14ac:dyDescent="0.15">
      <c r="B6" s="42" t="s">
        <v>527</v>
      </c>
    </row>
    <row r="7" spans="1:2" x14ac:dyDescent="0.15">
      <c r="B7" s="42" t="s">
        <v>528</v>
      </c>
    </row>
    <row r="8" spans="1:2" x14ac:dyDescent="0.15">
      <c r="A8" t="s">
        <v>499</v>
      </c>
      <c r="B8" s="42" t="s">
        <v>529</v>
      </c>
    </row>
    <row r="9" spans="1:2" x14ac:dyDescent="0.15">
      <c r="A9" t="s">
        <v>501</v>
      </c>
      <c r="B9" s="42" t="s">
        <v>530</v>
      </c>
    </row>
    <row r="10" spans="1:2" x14ac:dyDescent="0.15">
      <c r="B10" s="42" t="s">
        <v>531</v>
      </c>
    </row>
    <row r="11" spans="1:2" x14ac:dyDescent="0.15">
      <c r="B11" s="42" t="s">
        <v>532</v>
      </c>
    </row>
    <row r="12" spans="1:2" x14ac:dyDescent="0.15">
      <c r="B12" s="42"/>
    </row>
    <row r="13" spans="1:2" x14ac:dyDescent="0.15">
      <c r="B13" s="42"/>
    </row>
    <row r="14" spans="1:2" x14ac:dyDescent="0.15">
      <c r="B14" s="42" t="s">
        <v>533</v>
      </c>
    </row>
    <row r="15" spans="1:2" x14ac:dyDescent="0.15">
      <c r="B15" s="42"/>
    </row>
    <row r="20" spans="2:2" x14ac:dyDescent="0.15">
      <c r="B20" t="s">
        <v>534</v>
      </c>
    </row>
    <row r="21" spans="2:2" x14ac:dyDescent="0.15">
      <c r="B21" t="s">
        <v>535</v>
      </c>
    </row>
    <row r="22" spans="2:2" x14ac:dyDescent="0.15">
      <c r="B22" t="s">
        <v>536</v>
      </c>
    </row>
    <row r="23" spans="2:2" x14ac:dyDescent="0.15">
      <c r="B23" t="s">
        <v>537</v>
      </c>
    </row>
    <row r="24" spans="2:2" x14ac:dyDescent="0.15">
      <c r="B24" t="s">
        <v>538</v>
      </c>
    </row>
    <row r="25" spans="2:2" x14ac:dyDescent="0.15">
      <c r="B25" t="s">
        <v>539</v>
      </c>
    </row>
    <row r="26" spans="2:2" x14ac:dyDescent="0.15">
      <c r="B26" t="s">
        <v>540</v>
      </c>
    </row>
    <row r="27" spans="2:2" x14ac:dyDescent="0.15">
      <c r="B27" t="s">
        <v>541</v>
      </c>
    </row>
    <row r="28" spans="2:2" x14ac:dyDescent="0.15">
      <c r="B28" t="s">
        <v>542</v>
      </c>
    </row>
    <row r="29" spans="2:2" x14ac:dyDescent="0.15">
      <c r="B29" t="s">
        <v>543</v>
      </c>
    </row>
    <row r="30" spans="2:2" x14ac:dyDescent="0.15">
      <c r="B30" t="s">
        <v>544</v>
      </c>
    </row>
    <row r="31" spans="2:2" x14ac:dyDescent="0.15">
      <c r="B31" t="s">
        <v>545</v>
      </c>
    </row>
    <row r="32" spans="2:2" x14ac:dyDescent="0.15">
      <c r="B32" t="s">
        <v>546</v>
      </c>
    </row>
    <row r="33" spans="2:2" x14ac:dyDescent="0.15">
      <c r="B33" t="s">
        <v>547</v>
      </c>
    </row>
    <row r="34" spans="2:2" x14ac:dyDescent="0.15">
      <c r="B34" t="s">
        <v>548</v>
      </c>
    </row>
    <row r="35" spans="2:2" x14ac:dyDescent="0.15">
      <c r="B35" t="s">
        <v>549</v>
      </c>
    </row>
    <row r="36" spans="2:2" x14ac:dyDescent="0.15">
      <c r="B36" t="s">
        <v>550</v>
      </c>
    </row>
    <row r="37" spans="2:2" x14ac:dyDescent="0.15">
      <c r="B37" t="s">
        <v>411</v>
      </c>
    </row>
    <row r="38" spans="2:2" x14ac:dyDescent="0.15">
      <c r="B38" t="s">
        <v>551</v>
      </c>
    </row>
    <row r="39" spans="2:2" x14ac:dyDescent="0.15">
      <c r="B39" t="s">
        <v>552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553</v>
      </c>
    </row>
    <row r="4" spans="2:2" x14ac:dyDescent="0.15">
      <c r="B4" t="s">
        <v>554</v>
      </c>
    </row>
    <row r="5" spans="2:2" x14ac:dyDescent="0.15">
      <c r="B5" t="s">
        <v>555</v>
      </c>
    </row>
    <row r="6" spans="2:2" x14ac:dyDescent="0.15">
      <c r="B6" t="s">
        <v>556</v>
      </c>
    </row>
    <row r="7" spans="2:2" x14ac:dyDescent="0.15">
      <c r="B7" t="s">
        <v>557</v>
      </c>
    </row>
    <row r="8" spans="2:2" ht="16" x14ac:dyDescent="0.2">
      <c r="B8" s="60" t="s">
        <v>558</v>
      </c>
    </row>
    <row r="9" spans="2:2" x14ac:dyDescent="0.15">
      <c r="B9" t="s">
        <v>559</v>
      </c>
    </row>
    <row r="10" spans="2:2" x14ac:dyDescent="0.15">
      <c r="B10" s="42" t="s">
        <v>560</v>
      </c>
    </row>
    <row r="11" spans="2:2" x14ac:dyDescent="0.15">
      <c r="B11" s="42" t="s">
        <v>561</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391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578</v>
      </c>
    </row>
    <row r="37" spans="2:2" x14ac:dyDescent="0.15">
      <c r="B37" t="s">
        <v>411</v>
      </c>
    </row>
    <row r="38" spans="2:2" x14ac:dyDescent="0.15">
      <c r="B38" t="s">
        <v>579</v>
      </c>
    </row>
    <row r="39" spans="2:2" x14ac:dyDescent="0.15">
      <c r="B39" t="s">
        <v>580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0" t="s">
        <v>581</v>
      </c>
    </row>
    <row r="4" spans="2:2" ht="16" x14ac:dyDescent="0.2">
      <c r="B4" s="60" t="s">
        <v>582</v>
      </c>
    </row>
    <row r="5" spans="2:2" x14ac:dyDescent="0.15">
      <c r="B5" t="s">
        <v>583</v>
      </c>
    </row>
    <row r="6" spans="2:2" ht="16" x14ac:dyDescent="0.2">
      <c r="B6" s="60" t="s">
        <v>584</v>
      </c>
    </row>
    <row r="7" spans="2:2" ht="16" x14ac:dyDescent="0.2">
      <c r="B7" s="60" t="s">
        <v>585</v>
      </c>
    </row>
    <row r="8" spans="2:2" x14ac:dyDescent="0.15">
      <c r="B8" t="s">
        <v>586</v>
      </c>
    </row>
    <row r="9" spans="2:2" x14ac:dyDescent="0.15">
      <c r="B9" t="s">
        <v>587</v>
      </c>
    </row>
    <row r="10" spans="2:2" x14ac:dyDescent="0.15">
      <c r="B10" t="s">
        <v>588</v>
      </c>
    </row>
    <row r="11" spans="2:2" x14ac:dyDescent="0.15">
      <c r="B11" t="s">
        <v>589</v>
      </c>
    </row>
    <row r="14" spans="2:2" ht="16" x14ac:dyDescent="0.2">
      <c r="B14" s="60" t="s">
        <v>590</v>
      </c>
    </row>
    <row r="20" spans="2:2" x14ac:dyDescent="0.15">
      <c r="B20" t="s">
        <v>591</v>
      </c>
    </row>
    <row r="21" spans="2:2" x14ac:dyDescent="0.15">
      <c r="B21" t="s">
        <v>592</v>
      </c>
    </row>
    <row r="22" spans="2:2" x14ac:dyDescent="0.15">
      <c r="B22" t="s">
        <v>536</v>
      </c>
    </row>
    <row r="23" spans="2:2" x14ac:dyDescent="0.15">
      <c r="B23" t="s">
        <v>593</v>
      </c>
    </row>
    <row r="24" spans="2:2" x14ac:dyDescent="0.15">
      <c r="B24" t="s">
        <v>391</v>
      </c>
    </row>
    <row r="25" spans="2:2" x14ac:dyDescent="0.15">
      <c r="B25" t="s">
        <v>594</v>
      </c>
    </row>
    <row r="26" spans="2:2" x14ac:dyDescent="0.15">
      <c r="B26" t="s">
        <v>540</v>
      </c>
    </row>
    <row r="27" spans="2:2" x14ac:dyDescent="0.15">
      <c r="B27" t="s">
        <v>595</v>
      </c>
    </row>
    <row r="28" spans="2:2" x14ac:dyDescent="0.15">
      <c r="B28" t="s">
        <v>596</v>
      </c>
    </row>
    <row r="29" spans="2:2" x14ac:dyDescent="0.15">
      <c r="B29" t="s">
        <v>597</v>
      </c>
    </row>
    <row r="30" spans="2:2" x14ac:dyDescent="0.15">
      <c r="B30" t="s">
        <v>598</v>
      </c>
    </row>
    <row r="31" spans="2:2" x14ac:dyDescent="0.15">
      <c r="B31" t="s">
        <v>599</v>
      </c>
    </row>
    <row r="32" spans="2:2" x14ac:dyDescent="0.15">
      <c r="B32" t="s">
        <v>600</v>
      </c>
    </row>
    <row r="33" spans="2:2" x14ac:dyDescent="0.15">
      <c r="B33" t="s">
        <v>601</v>
      </c>
    </row>
    <row r="34" spans="2:2" x14ac:dyDescent="0.15">
      <c r="B34" t="s">
        <v>602</v>
      </c>
    </row>
    <row r="35" spans="2:2" x14ac:dyDescent="0.15">
      <c r="B35" t="s">
        <v>577</v>
      </c>
    </row>
    <row r="36" spans="2:2" x14ac:dyDescent="0.15">
      <c r="B36" t="s">
        <v>603</v>
      </c>
    </row>
    <row r="37" spans="2:2" x14ac:dyDescent="0.15">
      <c r="B37" t="s">
        <v>521</v>
      </c>
    </row>
    <row r="38" spans="2:2" x14ac:dyDescent="0.15">
      <c r="B38" t="s">
        <v>604</v>
      </c>
    </row>
    <row r="39" spans="2:2" x14ac:dyDescent="0.15">
      <c r="B39" t="s">
        <v>605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441</v>
      </c>
    </row>
    <row r="3" spans="2:2" x14ac:dyDescent="0.15">
      <c r="B3" t="s">
        <v>606</v>
      </c>
    </row>
    <row r="4" spans="2:2" x14ac:dyDescent="0.15">
      <c r="B4" t="s">
        <v>607</v>
      </c>
    </row>
    <row r="5" spans="2:2" x14ac:dyDescent="0.15">
      <c r="B5" t="s">
        <v>608</v>
      </c>
    </row>
    <row r="6" spans="2:2" x14ac:dyDescent="0.15">
      <c r="B6" t="s">
        <v>609</v>
      </c>
    </row>
    <row r="7" spans="2:2" x14ac:dyDescent="0.15">
      <c r="B7" t="s">
        <v>610</v>
      </c>
    </row>
    <row r="8" spans="2:2" x14ac:dyDescent="0.15">
      <c r="B8" t="s">
        <v>611</v>
      </c>
    </row>
    <row r="9" spans="2:2" x14ac:dyDescent="0.15">
      <c r="B9" t="s">
        <v>612</v>
      </c>
    </row>
    <row r="10" spans="2:2" x14ac:dyDescent="0.15">
      <c r="B10" t="s">
        <v>613</v>
      </c>
    </row>
    <row r="11" spans="2:2" x14ac:dyDescent="0.15">
      <c r="B11" t="s">
        <v>614</v>
      </c>
    </row>
    <row r="14" spans="2:2" x14ac:dyDescent="0.15">
      <c r="B14" t="s">
        <v>615</v>
      </c>
    </row>
    <row r="20" spans="2:2" x14ac:dyDescent="0.15">
      <c r="B20" t="s">
        <v>616</v>
      </c>
    </row>
    <row r="21" spans="2:2" x14ac:dyDescent="0.15">
      <c r="B21" t="s">
        <v>617</v>
      </c>
    </row>
    <row r="22" spans="2:2" x14ac:dyDescent="0.15">
      <c r="B22" t="s">
        <v>618</v>
      </c>
    </row>
    <row r="23" spans="2:2" x14ac:dyDescent="0.15">
      <c r="B23" t="s">
        <v>619</v>
      </c>
    </row>
    <row r="24" spans="2:2" x14ac:dyDescent="0.15">
      <c r="B24" t="s">
        <v>391</v>
      </c>
    </row>
    <row r="25" spans="2:2" x14ac:dyDescent="0.15">
      <c r="B25" t="s">
        <v>620</v>
      </c>
    </row>
    <row r="26" spans="2:2" x14ac:dyDescent="0.15">
      <c r="B26" t="s">
        <v>621</v>
      </c>
    </row>
    <row r="27" spans="2:2" x14ac:dyDescent="0.15">
      <c r="B27" t="s">
        <v>622</v>
      </c>
    </row>
    <row r="28" spans="2:2" x14ac:dyDescent="0.15">
      <c r="B28" t="s">
        <v>623</v>
      </c>
    </row>
    <row r="29" spans="2:2" x14ac:dyDescent="0.15">
      <c r="B29" t="s">
        <v>624</v>
      </c>
    </row>
    <row r="30" spans="2:2" x14ac:dyDescent="0.15">
      <c r="B30" t="s">
        <v>625</v>
      </c>
    </row>
    <row r="31" spans="2:2" x14ac:dyDescent="0.15">
      <c r="B31" t="s">
        <v>626</v>
      </c>
    </row>
    <row r="32" spans="2:2" x14ac:dyDescent="0.15">
      <c r="B32" t="s">
        <v>627</v>
      </c>
    </row>
    <row r="33" spans="2:2" x14ac:dyDescent="0.15">
      <c r="B33" t="s">
        <v>628</v>
      </c>
    </row>
    <row r="34" spans="2:2" x14ac:dyDescent="0.15">
      <c r="B34" t="s">
        <v>629</v>
      </c>
    </row>
    <row r="35" spans="2:2" x14ac:dyDescent="0.15">
      <c r="B35" t="s">
        <v>630</v>
      </c>
    </row>
    <row r="36" spans="2:2" x14ac:dyDescent="0.15">
      <c r="B36" t="s">
        <v>520</v>
      </c>
    </row>
    <row r="37" spans="2:2" x14ac:dyDescent="0.15">
      <c r="B37" t="s">
        <v>411</v>
      </c>
    </row>
    <row r="38" spans="2:2" x14ac:dyDescent="0.15">
      <c r="B38" t="s">
        <v>631</v>
      </c>
    </row>
    <row r="39" spans="2:2" x14ac:dyDescent="0.15">
      <c r="B39" t="s">
        <v>632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158</cp:revision>
  <dcterms:created xsi:type="dcterms:W3CDTF">2020-07-27T15:42:24Z</dcterms:created>
  <dcterms:modified xsi:type="dcterms:W3CDTF">2024-07-24T21:48:17Z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