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P/ZbookG3G4/"/>
    </mc:Choice>
  </mc:AlternateContent>
  <xr:revisionPtr revIDLastSave="0" documentId="13_ncr:1_{7EA2CDDB-1B9E-D242-82D1-1B659F81C64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A11" i="1" l="1"/>
  <c r="B11" i="1"/>
  <c r="C11" i="1"/>
  <c r="D11" i="1"/>
  <c r="E11" i="1"/>
  <c r="F11" i="1"/>
  <c r="G11" i="1"/>
  <c r="H11" i="1"/>
  <c r="I11" i="1"/>
  <c r="J11" i="1"/>
  <c r="K11" i="1"/>
  <c r="L11" i="1"/>
  <c r="M11" i="1"/>
  <c r="N11" i="1"/>
  <c r="O11" i="1"/>
  <c r="P11" i="1"/>
  <c r="Q11" i="1"/>
  <c r="R11" i="1"/>
  <c r="S11" i="1"/>
  <c r="T11" i="1"/>
  <c r="U11" i="1"/>
  <c r="W11" i="1"/>
  <c r="X11" i="1"/>
  <c r="Y11" i="1"/>
  <c r="Z11" i="1"/>
  <c r="AA11" i="1"/>
  <c r="AB11" i="1"/>
  <c r="AI11" i="1"/>
  <c r="AJ11" i="1"/>
  <c r="AK11" i="1"/>
  <c r="AL11" i="1"/>
  <c r="AM11" i="1"/>
  <c r="AT11" i="1"/>
  <c r="AV11" i="1"/>
  <c r="BE11" i="1"/>
  <c r="BF11" i="1"/>
  <c r="BG11" i="1"/>
  <c r="BH11" i="1"/>
  <c r="CG11" i="1"/>
  <c r="CH11" i="1"/>
  <c r="CI11" i="1"/>
  <c r="CJ11" i="1"/>
  <c r="CK11" i="1"/>
  <c r="CL11" i="1"/>
  <c r="CO11" i="1"/>
  <c r="CP11" i="1"/>
  <c r="CQ11" i="1"/>
  <c r="CR11" i="1"/>
  <c r="CS11" i="1"/>
  <c r="CT11" i="1"/>
  <c r="CU11" i="1"/>
  <c r="CV11" i="1"/>
  <c r="CZ11" i="1"/>
  <c r="DA11" i="1"/>
  <c r="A12" i="1"/>
  <c r="B12" i="1"/>
  <c r="C12" i="1"/>
  <c r="D12" i="1"/>
  <c r="E12" i="1"/>
  <c r="F12" i="1"/>
  <c r="G12" i="1"/>
  <c r="H12" i="1"/>
  <c r="I12" i="1"/>
  <c r="J12" i="1"/>
  <c r="K12" i="1"/>
  <c r="L12" i="1"/>
  <c r="M12" i="1"/>
  <c r="N12" i="1"/>
  <c r="O12" i="1"/>
  <c r="P12" i="1"/>
  <c r="Q12" i="1"/>
  <c r="R12" i="1"/>
  <c r="S12" i="1"/>
  <c r="T12" i="1"/>
  <c r="U12" i="1"/>
  <c r="W12" i="1"/>
  <c r="X12" i="1"/>
  <c r="Y12" i="1"/>
  <c r="Z12" i="1"/>
  <c r="AA12" i="1"/>
  <c r="AB12" i="1"/>
  <c r="AI12" i="1"/>
  <c r="AJ12" i="1"/>
  <c r="AK12" i="1"/>
  <c r="AL12" i="1"/>
  <c r="AM12" i="1"/>
  <c r="AT12" i="1"/>
  <c r="AV12" i="1"/>
  <c r="BE12" i="1"/>
  <c r="BF12" i="1"/>
  <c r="BG12" i="1"/>
  <c r="BH12" i="1"/>
  <c r="CG12" i="1"/>
  <c r="CH12" i="1"/>
  <c r="CI12" i="1"/>
  <c r="CJ12" i="1"/>
  <c r="CK12" i="1"/>
  <c r="CL12" i="1"/>
  <c r="CO12" i="1"/>
  <c r="CP12" i="1"/>
  <c r="CQ12" i="1"/>
  <c r="CR12" i="1"/>
  <c r="CS12" i="1"/>
  <c r="CT12" i="1"/>
  <c r="CU12" i="1"/>
  <c r="CV12" i="1"/>
  <c r="CZ12" i="1"/>
  <c r="DA12" i="1"/>
  <c r="A13" i="1"/>
  <c r="B13" i="1"/>
  <c r="C13" i="1"/>
  <c r="D13" i="1"/>
  <c r="E13" i="1"/>
  <c r="F13" i="1"/>
  <c r="G13" i="1"/>
  <c r="H13" i="1"/>
  <c r="I13" i="1"/>
  <c r="J13" i="1"/>
  <c r="K13" i="1"/>
  <c r="L13" i="1"/>
  <c r="M13" i="1"/>
  <c r="N13" i="1"/>
  <c r="O13" i="1"/>
  <c r="P13" i="1"/>
  <c r="Q13" i="1"/>
  <c r="R13" i="1"/>
  <c r="S13" i="1"/>
  <c r="T13" i="1"/>
  <c r="U13" i="1"/>
  <c r="W13" i="1"/>
  <c r="X13" i="1"/>
  <c r="Y13" i="1"/>
  <c r="Z13" i="1"/>
  <c r="AA13" i="1"/>
  <c r="AB13" i="1"/>
  <c r="AI13" i="1"/>
  <c r="AJ13" i="1"/>
  <c r="AK13" i="1"/>
  <c r="AL13" i="1"/>
  <c r="AM13" i="1"/>
  <c r="AT13" i="1"/>
  <c r="AV13" i="1"/>
  <c r="BE13" i="1"/>
  <c r="BF13" i="1"/>
  <c r="BG13" i="1"/>
  <c r="BH13" i="1"/>
  <c r="CG13" i="1"/>
  <c r="CH13" i="1"/>
  <c r="CI13" i="1"/>
  <c r="CJ13" i="1"/>
  <c r="CK13" i="1"/>
  <c r="CL13" i="1"/>
  <c r="CO13" i="1"/>
  <c r="CP13" i="1"/>
  <c r="CQ13" i="1"/>
  <c r="CR13" i="1"/>
  <c r="CS13" i="1"/>
  <c r="CT13" i="1"/>
  <c r="CU13" i="1"/>
  <c r="CV13" i="1"/>
  <c r="CZ13" i="1"/>
  <c r="DA13" i="1"/>
  <c r="A14" i="1"/>
  <c r="B14" i="1"/>
  <c r="C14" i="1"/>
  <c r="D14" i="1"/>
  <c r="E14" i="1"/>
  <c r="F14" i="1"/>
  <c r="G14" i="1"/>
  <c r="H14" i="1"/>
  <c r="I14" i="1"/>
  <c r="J14" i="1"/>
  <c r="K14" i="1"/>
  <c r="M14" i="1"/>
  <c r="N14" i="1"/>
  <c r="O14" i="1"/>
  <c r="P14" i="1"/>
  <c r="Q14" i="1"/>
  <c r="R14" i="1"/>
  <c r="S14" i="1"/>
  <c r="T14" i="1"/>
  <c r="U14" i="1"/>
  <c r="W14" i="1"/>
  <c r="X14" i="1"/>
  <c r="Y14" i="1"/>
  <c r="Z14" i="1"/>
  <c r="AA14" i="1"/>
  <c r="AB14" i="1"/>
  <c r="AI14" i="1"/>
  <c r="AJ14" i="1"/>
  <c r="AK14" i="1"/>
  <c r="AL14" i="1"/>
  <c r="AM14" i="1"/>
  <c r="AT14" i="1"/>
  <c r="AV14" i="1"/>
  <c r="BE14" i="1"/>
  <c r="BF14" i="1"/>
  <c r="BG14" i="1"/>
  <c r="BH14" i="1"/>
  <c r="CG14" i="1"/>
  <c r="CH14" i="1"/>
  <c r="CI14" i="1"/>
  <c r="CJ14" i="1"/>
  <c r="CK14" i="1"/>
  <c r="CL14" i="1"/>
  <c r="CO14" i="1"/>
  <c r="L14" i="1" s="1"/>
  <c r="CP14" i="1"/>
  <c r="CQ14" i="1"/>
  <c r="CR14" i="1"/>
  <c r="CS14" i="1"/>
  <c r="CT14" i="1"/>
  <c r="CU14" i="1"/>
  <c r="CV14" i="1"/>
  <c r="CZ14" i="1"/>
  <c r="DA14" i="1"/>
  <c r="CV6" i="1"/>
  <c r="CV7" i="1"/>
  <c r="CV8" i="1"/>
  <c r="CV9" i="1"/>
  <c r="CV10"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B24" i="2"/>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CQ9" i="1" s="1"/>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O13" i="2"/>
  <c r="I13" i="2"/>
  <c r="D13" i="2"/>
  <c r="V12" i="2"/>
  <c r="H12" i="2" s="1"/>
  <c r="U12" i="2"/>
  <c r="I12" i="2"/>
  <c r="C12" i="2"/>
  <c r="V11" i="2"/>
  <c r="H11" i="2" s="1"/>
  <c r="U11" i="2"/>
  <c r="T11" i="2"/>
  <c r="S11" i="2"/>
  <c r="R11" i="2"/>
  <c r="Q11" i="2"/>
  <c r="P11" i="2"/>
  <c r="O11" i="2"/>
  <c r="N11" i="2"/>
  <c r="M11" i="2"/>
  <c r="I11" i="2"/>
  <c r="V10" i="2"/>
  <c r="H10" i="2" s="1"/>
  <c r="T10" i="2"/>
  <c r="S10" i="2"/>
  <c r="R10" i="2"/>
  <c r="Q10" i="2"/>
  <c r="O10" i="2"/>
  <c r="N10" i="2"/>
  <c r="M10" i="2"/>
  <c r="I10" i="2"/>
  <c r="V9" i="2"/>
  <c r="U9" i="2"/>
  <c r="U10" i="1" s="1"/>
  <c r="T9" i="2"/>
  <c r="T10" i="1" s="1"/>
  <c r="S9" i="2"/>
  <c r="R9" i="2"/>
  <c r="R10" i="1" s="1"/>
  <c r="Q9" i="2"/>
  <c r="Q10" i="1" s="1"/>
  <c r="P9" i="2"/>
  <c r="P10" i="1" s="1"/>
  <c r="O9" i="2"/>
  <c r="O10" i="1" s="1"/>
  <c r="N9" i="2"/>
  <c r="N10" i="1" s="1"/>
  <c r="M9" i="2"/>
  <c r="M10" i="1" s="1"/>
  <c r="I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FV13" i="1"/>
  <c r="FU13" i="1"/>
  <c r="FT13" i="1"/>
  <c r="FS13" i="1"/>
  <c r="FR13" i="1"/>
  <c r="FQ13" i="1"/>
  <c r="FP13" i="1"/>
  <c r="FO13" i="1"/>
  <c r="FM13" i="1"/>
  <c r="FJ13" i="1"/>
  <c r="FI13" i="1"/>
  <c r="FH13" i="1"/>
  <c r="EV13" i="1"/>
  <c r="ES13" i="1"/>
  <c r="EI13" i="1"/>
  <c r="DY13" i="1"/>
  <c r="DP13" i="1"/>
  <c r="DO13" i="1"/>
  <c r="FV12" i="1"/>
  <c r="FU12" i="1"/>
  <c r="FT12" i="1"/>
  <c r="FS12" i="1"/>
  <c r="FR12" i="1"/>
  <c r="FQ12" i="1"/>
  <c r="FP12" i="1"/>
  <c r="FO12" i="1"/>
  <c r="FM12" i="1"/>
  <c r="FJ12" i="1"/>
  <c r="FI12" i="1"/>
  <c r="FH12" i="1"/>
  <c r="EV12" i="1"/>
  <c r="ES12" i="1"/>
  <c r="EI12" i="1"/>
  <c r="DY12" i="1"/>
  <c r="DP12" i="1"/>
  <c r="DO12" i="1"/>
  <c r="FV11" i="1"/>
  <c r="FU11" i="1"/>
  <c r="FT11" i="1"/>
  <c r="FS11" i="1"/>
  <c r="FR11" i="1"/>
  <c r="FQ11" i="1"/>
  <c r="FP11" i="1"/>
  <c r="FO11" i="1"/>
  <c r="FM11" i="1"/>
  <c r="FJ11" i="1"/>
  <c r="FI11" i="1"/>
  <c r="FH11" i="1"/>
  <c r="EV11" i="1"/>
  <c r="ES11" i="1"/>
  <c r="EI11" i="1"/>
  <c r="DY11" i="1"/>
  <c r="DP11" i="1"/>
  <c r="DO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B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O9" i="1"/>
  <c r="L9" i="1" s="1"/>
  <c r="CL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B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J10" i="1" l="1"/>
  <c r="CI10" i="1"/>
  <c r="CI9" i="1"/>
  <c r="CK10" i="1"/>
  <c r="CP7" i="1"/>
  <c r="CI5" i="1"/>
  <c r="CR7" i="1"/>
  <c r="CR9" i="1"/>
  <c r="CJ5" i="1"/>
  <c r="CP6" i="1"/>
  <c r="CI8" i="1"/>
  <c r="CP5" i="1"/>
  <c r="CP8" i="1"/>
  <c r="CK9" i="1"/>
  <c r="CP9" i="1"/>
  <c r="CK5" i="1"/>
  <c r="CR6" i="1"/>
  <c r="CK8" i="1"/>
  <c r="CR5" i="1"/>
  <c r="CI7" i="1"/>
  <c r="CR8" i="1"/>
  <c r="AJ9" i="1"/>
  <c r="AJ16" i="1"/>
  <c r="AJ24" i="1"/>
  <c r="AJ20" i="1"/>
  <c r="AJ17" i="1"/>
  <c r="AJ8" i="1"/>
  <c r="AJ7" i="1"/>
  <c r="AJ22" i="1"/>
  <c r="AJ23" i="1"/>
  <c r="AJ6" i="1"/>
  <c r="L18" i="1"/>
  <c r="FE11" i="1"/>
  <c r="AI8" i="1"/>
  <c r="AI5" i="1"/>
  <c r="AJ5" i="1"/>
  <c r="AI18" i="1"/>
  <c r="AJ19" i="1"/>
  <c r="AI19" i="1"/>
  <c r="AI9" i="1"/>
  <c r="AJ15" i="1"/>
  <c r="AJ18" i="1"/>
  <c r="AI10" i="1"/>
  <c r="AI20" i="1"/>
  <c r="AI21" i="1"/>
  <c r="AI16" i="1"/>
  <c r="AI24" i="1"/>
  <c r="AK21" i="1"/>
  <c r="AK15" i="1"/>
  <c r="AK18" i="1"/>
  <c r="AK19" i="1"/>
  <c r="AK24" i="1"/>
  <c r="AK22" i="1"/>
  <c r="AK9" i="1"/>
  <c r="AK16" i="1"/>
  <c r="AK23" i="1"/>
  <c r="AK6" i="1"/>
  <c r="AK7" i="1"/>
  <c r="AK10" i="1"/>
  <c r="AK20" i="1"/>
  <c r="AK8" i="1"/>
  <c r="AK5" i="1"/>
  <c r="AK17" i="1"/>
  <c r="AT20" i="1"/>
  <c r="AM8" i="1"/>
  <c r="AM16" i="1"/>
  <c r="AL23" i="1"/>
  <c r="AL21" i="1"/>
  <c r="AL8" i="1"/>
  <c r="AL7" i="1"/>
  <c r="AL16" i="1"/>
  <c r="AL18" i="1"/>
  <c r="AL22" i="1"/>
  <c r="AI15" i="1"/>
  <c r="F7" i="1"/>
  <c r="AI7" i="1"/>
  <c r="AM10" i="1"/>
  <c r="AM22" i="1"/>
  <c r="F17" i="1"/>
  <c r="AM15" i="1"/>
  <c r="AM20" i="1"/>
  <c r="AM18" i="1"/>
  <c r="F21" i="1"/>
  <c r="F16" i="1"/>
  <c r="AM19" i="1"/>
  <c r="AM21" i="1"/>
  <c r="F23" i="1"/>
  <c r="AM24" i="1"/>
  <c r="AM5" i="1"/>
  <c r="AM6" i="1"/>
  <c r="AL17" i="1"/>
  <c r="AM23" i="1"/>
  <c r="F18" i="1"/>
  <c r="AM9" i="1"/>
  <c r="AM17" i="1"/>
  <c r="AT8" i="1"/>
  <c r="F10" i="1"/>
  <c r="F8" i="1"/>
  <c r="F22" i="1"/>
  <c r="L22" i="1"/>
  <c r="L15" i="1"/>
  <c r="L8" i="1"/>
  <c r="L10" i="1"/>
  <c r="FE20" i="1"/>
  <c r="L5" i="1"/>
  <c r="L16" i="1"/>
  <c r="FE9" i="1"/>
  <c r="L6" i="1"/>
  <c r="FE21" i="1"/>
  <c r="L19" i="1"/>
  <c r="FE19" i="1"/>
  <c r="L17" i="1"/>
  <c r="FE17" i="1"/>
  <c r="F9" i="1"/>
  <c r="AT9" i="1"/>
  <c r="AL9" i="1"/>
  <c r="FE12" i="1"/>
  <c r="AL15" i="1"/>
  <c r="F15" i="1"/>
  <c r="AT15" i="1"/>
  <c r="F6" i="1"/>
  <c r="AT6" i="1"/>
  <c r="AL6" i="1"/>
  <c r="AL5" i="1"/>
  <c r="F5" i="1"/>
  <c r="AT5" i="1"/>
  <c r="L7" i="1"/>
  <c r="FE7" i="1"/>
  <c r="AT24" i="1"/>
  <c r="AL24" i="1"/>
  <c r="F24" i="1"/>
  <c r="F19" i="1"/>
  <c r="AT19" i="1"/>
  <c r="AL19" i="1"/>
  <c r="CQ7" i="1"/>
  <c r="CQ17" i="1"/>
  <c r="CJ22" i="1"/>
  <c r="M4" i="2"/>
  <c r="M5" i="1" s="1"/>
  <c r="M12" i="2"/>
  <c r="CJ9" i="1"/>
  <c r="CJ19" i="1"/>
  <c r="AT22" i="1"/>
  <c r="CQ24" i="1"/>
  <c r="N4" i="2"/>
  <c r="N5" i="1" s="1"/>
  <c r="R5" i="2"/>
  <c r="R6" i="1" s="1"/>
  <c r="O7" i="2"/>
  <c r="O8" i="1" s="1"/>
  <c r="R8" i="2"/>
  <c r="R9" i="1" s="1"/>
  <c r="P10" i="2"/>
  <c r="N12" i="2"/>
  <c r="R13" i="2"/>
  <c r="O17" i="2"/>
  <c r="O18" i="1" s="1"/>
  <c r="S18" i="2"/>
  <c r="S19" i="1" s="1"/>
  <c r="M19" i="2"/>
  <c r="M20" i="1" s="1"/>
  <c r="Q20" i="2"/>
  <c r="Q21" i="1" s="1"/>
  <c r="P22" i="2"/>
  <c r="P23" i="1" s="1"/>
  <c r="S23" i="2"/>
  <c r="S24" i="1" s="1"/>
  <c r="CJ6" i="1"/>
  <c r="FE13" i="1"/>
  <c r="CJ16" i="1"/>
  <c r="CQ21" i="1"/>
  <c r="FE23" i="1"/>
  <c r="O4" i="2"/>
  <c r="O5" i="1" s="1"/>
  <c r="S5" i="2"/>
  <c r="S6" i="1" s="1"/>
  <c r="S8" i="2"/>
  <c r="S9" i="1" s="1"/>
  <c r="O12" i="2"/>
  <c r="S13" i="2"/>
  <c r="T18" i="2"/>
  <c r="T19" i="1" s="1"/>
  <c r="N19" i="2"/>
  <c r="N20" i="1" s="1"/>
  <c r="T23" i="2"/>
  <c r="T24" i="1" s="1"/>
  <c r="CQ8" i="1"/>
  <c r="AL10" i="1"/>
  <c r="CQ18" i="1"/>
  <c r="K20" i="1"/>
  <c r="AL20" i="1"/>
  <c r="CJ23" i="1"/>
  <c r="P4" i="2"/>
  <c r="P5" i="1" s="1"/>
  <c r="T5" i="2"/>
  <c r="T6" i="1" s="1"/>
  <c r="T8" i="2"/>
  <c r="T9" i="1" s="1"/>
  <c r="P12" i="2"/>
  <c r="T13" i="2"/>
  <c r="U18" i="2"/>
  <c r="U19" i="1" s="1"/>
  <c r="O19" i="2"/>
  <c r="O20" i="1" s="1"/>
  <c r="U23" i="2"/>
  <c r="U24" i="1" s="1"/>
  <c r="CQ5" i="1"/>
  <c r="CJ10" i="1"/>
  <c r="CQ15" i="1"/>
  <c r="CJ20" i="1"/>
  <c r="Q4" i="2"/>
  <c r="Q5" i="1" s="1"/>
  <c r="U5" i="2"/>
  <c r="U6" i="1" s="1"/>
  <c r="U8" i="2"/>
  <c r="U9" i="1" s="1"/>
  <c r="Q12" i="2"/>
  <c r="U13" i="2"/>
  <c r="P19" i="2"/>
  <c r="P20" i="1" s="1"/>
  <c r="CJ7" i="1"/>
  <c r="AT10" i="1"/>
  <c r="FE14" i="1"/>
  <c r="CJ17" i="1"/>
  <c r="CQ22" i="1"/>
  <c r="FE24" i="1"/>
  <c r="R4" i="2"/>
  <c r="R5" i="1" s="1"/>
  <c r="R12" i="2"/>
  <c r="Q19" i="2"/>
  <c r="Q20" i="1" s="1"/>
  <c r="M8" i="2"/>
  <c r="M9" i="1" s="1"/>
  <c r="U10" i="2"/>
  <c r="S12" i="2"/>
  <c r="M13" i="2"/>
  <c r="Q14" i="2"/>
  <c r="Q15" i="1" s="1"/>
  <c r="N18" i="2"/>
  <c r="N19" i="1" s="1"/>
  <c r="R19" i="2"/>
  <c r="R20" i="1" s="1"/>
  <c r="U22" i="2"/>
  <c r="U23" i="1" s="1"/>
  <c r="N23" i="2"/>
  <c r="N24" i="1" s="1"/>
  <c r="S4" i="2"/>
  <c r="S5" i="1" s="1"/>
  <c r="CQ6" i="1"/>
  <c r="CQ16" i="1"/>
  <c r="CJ21" i="1"/>
  <c r="T4" i="2"/>
  <c r="T5" i="1" s="1"/>
  <c r="N5" i="2"/>
  <c r="N6" i="1" s="1"/>
  <c r="R6" i="2"/>
  <c r="R7" i="1" s="1"/>
  <c r="N8" i="2"/>
  <c r="N9" i="1" s="1"/>
  <c r="T12" i="2"/>
  <c r="N13" i="2"/>
  <c r="R14" i="2"/>
  <c r="R15" i="1" s="1"/>
  <c r="O18" i="2"/>
  <c r="O19" i="1" s="1"/>
  <c r="S19" i="2"/>
  <c r="S20" i="1" s="1"/>
  <c r="M20" i="2"/>
  <c r="M21" i="1" s="1"/>
  <c r="O23" i="2"/>
  <c r="O24" i="1" s="1"/>
  <c r="CJ8"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<sst xmlns="http://schemas.openxmlformats.org/spreadsheetml/2006/main" count="863" uniqueCount="694">
  <si>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</si>
  <si>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</si>
  <si>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</si>
  <si>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</si>
  <si>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</si>
  <si>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</si>
  <si>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</si>
  <si>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</si>
  <si>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</si>
  <si>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</si>
  <si>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</si>
  <si>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</si>
  <si>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</si>
  <si>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</si>
  <si>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</si>
  <si>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</si>
  <si>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</si>
  <si>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</si>
  <si>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</si>
  <si>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</si>
  <si>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</si>
  <si>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</si>
  <si>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</si>
  <si>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</si>
  <si>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</si>
  <si>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</si>
  <si>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</si>
  <si>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</si>
  <si>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</si>
  <si>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</si>
  <si>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</si>
  <si>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</si>
  <si>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</si>
  <si>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</si>
  <si>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</si>
  <si>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</si>
  <si>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</si>
  <si>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</si>
  <si>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</si>
  <si>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</si>
  <si>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</si>
  <si>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</si>
  <si>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</si>
  <si>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</si>
  <si>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</si>
  <si>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</si>
  <si>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</si>
  <si>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</si>
  <si>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</si>
  <si>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</si>
  <si>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</si>
  <si>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</si>
  <si>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</si>
  <si>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</si>
  <si>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</si>
  <si>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</si>
  <si>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</si>
  <si>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</si>
  <si>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</si>
  <si>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</si>
  <si>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</si>
  <si>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</si>
  <si>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</si>
  <si>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</si>
  <si>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</si>
  <si>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</si>
  <si>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</si>
  <si>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</si>
  <si>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</si>
  <si>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</si>
  <si>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</si>
  <si>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</si>
  <si>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</si>
  <si>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</si>
  <si>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</si>
  <si>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</si>
  <si>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</si>
  <si>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</si>
  <si>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</si>
  <si>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</si>
  <si>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</si>
  <si>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</si>
  <si>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</si>
  <si>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</si>
  <si>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</si>
  <si>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</si>
  <si>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</si>
  <si>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</si>
  <si>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</si>
  <si>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</si>
  <si>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</si>
  <si>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</si>
  <si>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</si>
  <si>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</si>
  <si>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</si>
  <si>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</si>
  <si>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</si>
  <si>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</si>
  <si>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</si>
  <si>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</si>
  <si>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</si>
  <si>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</si>
  <si>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</si>
  <si>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</si>
  <si>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</si>
  <si>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</si>
  <si>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</si>
  <si>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</si>
  <si>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</si>
  <si>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</si>
  <si>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</si>
  <si>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</si>
  <si>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</si>
  <si>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</si>
  <si>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</si>
  <si>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</si>
  <si>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</si>
  <si>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</si>
  <si>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</si>
  <si>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</si>
  <si>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</si>
  <si>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</si>
  <si>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</si>
  <si>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</si>
  <si>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</si>
  <si>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</si>
  <si>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</si>
  <si>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</si>
  <si>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</si>
  <si>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</si>
  <si>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</si>
  <si>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</si>
  <si>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</si>
  <si>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</si>
  <si>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</si>
  <si>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</si>
  <si>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</si>
  <si>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</si>
  <si>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</si>
  <si>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</si>
  <si>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</si>
  <si>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</si>
  <si>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</si>
  <si>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</si>
  <si>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</si>
  <si>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</si>
  <si>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</si>
  <si>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</si>
  <si>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</si>
  <si>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</si>
  <si>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</si>
  <si>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</si>
  <si>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</si>
  <si>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</si>
  <si>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</si>
  <si>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</si>
  <si>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</si>
  <si>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</si>
  <si>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</si>
  <si>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</si>
  <si>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</si>
  <si>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</si>
  <si>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</si>
  <si>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</si>
  <si>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</si>
  <si>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</si>
  <si>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</si>
  <si>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</si>
  <si>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</si>
  <si>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</si>
  <si>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</si>
  <si>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</si>
  <si>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</si>
  <si>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</si>
  <si>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</si>
  <si>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</si>
  <si>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</si>
  <si>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</si>
  <si>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</si>
  <si>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</si>
  <si>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</si>
  <si>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</si>
  <si>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</si>
  <si>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</si>
  <si>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</si>
  <si>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</si>
  <si>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</si>
  <si>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</si>
  <si>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</si>
  <si>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</si>
  <si>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</si>
  <si>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</si>
  <si>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</si>
  <si>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</si>
  <si>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</si>
  <si>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</si>
  <si>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</si>
  <si>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</si>
  <si>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</si>
  <si>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</si>
  <si>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</si>
  <si>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</si>
  <si>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</si>
  <si>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</si>
  <si>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</si>
  <si>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</si>
  <si>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</si>
  <si>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</si>
  <si>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</si>
  <si>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</si>
  <si>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</si>
  <si>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</si>
  <si>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</si>
  <si>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</si>
  <si>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</si>
  <si>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</si>
  <si>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</si>
  <si>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</si>
  <si>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</si>
  <si>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</si>
  <si>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</si>
  <si>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</si>
  <si>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</si>
  <si>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</si>
  <si>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</si>
  <si>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</si>
  <si>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</si>
  <si>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</si>
  <si>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</si>
  <si>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</si>
  <si>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</si>
  <si>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</si>
  <si>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</si>
  <si>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</si>
  <si>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</si>
  <si>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</si>
  <si>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</si>
  <si>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</si>
  <si>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</si>
  <si>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</si>
  <si>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</si>
  <si>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</si>
  <si>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</si>
  <si>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</si>
  <si>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</si>
  <si>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</si>
  <si>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</si>
  <si>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</si>
  <si>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</si>
  <si>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</si>
  <si>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</si>
  <si>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</si>
  <si>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</si>
  <si>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</si>
  <si>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</si>
  <si>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</si>
  <si>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</si>
  <si>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</si>
  <si>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</si>
  <si>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</si>
  <si>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</si>
  <si>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</si>
  <si>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</si>
  <si>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</si>
  <si>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</si>
  <si>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</si>
  <si>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</si>
  <si>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</si>
  <si>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</si>
  <si>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</si>
  <si>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</si>
  <si>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</si>
  <si>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</si>
  <si>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</si>
  <si>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</si>
  <si>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</si>
  <si>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</si>
  <si>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</si>
  <si>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</si>
  <si>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</si>
  <si>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</si>
  <si>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</si>
  <si>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</si>
  <si>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</si>
  <si>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</si>
  <si>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</si>
  <si>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</si>
  <si>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</si>
  <si>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</si>
  <si>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</si>
  <si>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</si>
  <si>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</si>
  <si>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</si>
  <si>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</si>
  <si>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</si>
  <si>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</si>
  <si>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</si>
  <si>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</si>
  <si>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</si>
  <si>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</si>
  <si>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</si>
  <si>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</si>
  <si>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</si>
  <si>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</si>
  <si>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</si>
  <si>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</si>
  <si>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</si>
  <si>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</si>
  <si>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</si>
  <si>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</si>
  <si>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</si>
  <si>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</si>
  <si>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</si>
  <si>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</si>
  <si>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</si>
  <si>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</si>
  <si>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</si>
  <si>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</si>
  <si>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</si>
  <si>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</si>
  <si>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</si>
  <si>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</si>
  <si>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</si>
  <si>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</si>
  <si>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</si>
  <si>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</si>
  <si>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</si>
  <si>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</si>
  <si>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</si>
  <si>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</si>
  <si>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</si>
  <si>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</si>
  <si>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</si>
  <si>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</si>
  <si>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</si>
  <si>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</si>
  <si>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</si>
  <si>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</si>
  <si>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</si>
  <si>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</si>
  <si>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</si>
  <si>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</si>
  <si>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</si>
  <si>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</si>
  <si>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</si>
  <si>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</si>
  <si>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</si>
  <si>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</si>
  <si>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</si>
  <si>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</si>
  <si>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</si>
  <si>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</si>
  <si>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</si>
  <si>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</si>
  <si>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</si>
  <si>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</si>
  <si>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</si>
  <si>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</si>
  <si>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</si>
  <si>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</si>
  <si>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</si>
  <si>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</si>
  <si>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</si>
  <si>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</si>
  <si>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</si>
  <si>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</si>
  <si>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</si>
  <si>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</si>
  <si>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</si>
  <si>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</si>
  <si>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</si>
  <si>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</si>
  <si>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</si>
  <si>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</si>
  <si>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</si>
  <si>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</si>
  <si>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</si>
  <si>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</si>
  <si>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</si>
  <si>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</si>
  <si>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</si>
  <si>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</si>
  <si>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</si>
  <si>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</si>
  <si>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</si>
  <si>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</si>
  <si>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</si>
  <si>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</si>
  <si>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</si>
  <si>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</si>
  <si>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</si>
  <si>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</si>
  <si>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</si>
  <si>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</si>
  <si>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</si>
  <si>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</si>
  <si>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</si>
  <si>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</si>
  <si>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</si>
  <si>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</si>
  <si>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</si>
  <si>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</si>
  <si>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</si>
  <si>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</si>
  <si>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</si>
  <si>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</si>
  <si>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</si>
  <si>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</si>
  <si>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</si>
  <si>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</si>
  <si>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</si>
  <si>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</si>
  <si>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</si>
  <si>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</si>
  <si>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</si>
  <si>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</si>
  <si>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</si>
  <si>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</si>
  <si>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</si>
  <si>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</si>
  <si>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</si>
  <si>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</si>
  <si>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</si>
  <si>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</si>
  <si>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</si>
  <si>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</si>
  <si>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</si>
  <si>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</si>
  <si>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</si>
  <si>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</si>
  <si>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</si>
  <si>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</si>
  <si>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</si>
  <si>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</si>
  <si>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</si>
  <si>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</si>
  <si>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</si>
  <si>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</si>
  <si>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</si>
  <si>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</si>
  <si>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</si>
  <si>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</si>
  <si>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</si>
  <si>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</si>
  <si>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</si>
  <si>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</si>
  <si>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</si>
  <si>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</si>
  <si>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</si>
  <si>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</si>
  <si>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</si>
  <si>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</si>
  <si>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</si>
  <si>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</si>
  <si>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</si>
  <si>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</si>
  <si>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</si>
  <si>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</si>
  <si>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</si>
  <si>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</si>
  <si>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</si>
  <si>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</si>
  <si>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</si>
  <si>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</si>
  <si>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</si>
  <si>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</si>
  <si>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</si>
  <si>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</si>
  <si>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</si>
  <si>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</si>
  <si>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</si>
  <si>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</si>
  <si>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</si>
  <si>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</si>
  <si>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</si>
  <si>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</si>
  <si>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</si>
  <si>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</si>
  <si>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</si>
  <si>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</si>
  <si>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</si>
  <si>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</si>
  <si>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</si>
  <si>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</si>
  <si>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</si>
  <si>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</si>
  <si>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</si>
  <si>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</si>
  <si>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</si>
  <si>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</si>
  <si>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</si>
  <si>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</si>
  <si>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</si>
  <si>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</si>
  <si>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</si>
  <si>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</si>
  <si>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</si>
  <si>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</si>
  <si>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</si>
  <si>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</si>
  <si>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</si>
  <si>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</si>
  <si>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</si>
  <si>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</si>
  <si>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</si>
  <si>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</si>
  <si>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</si>
  <si>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</si>
  <si>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</si>
  <si>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</si>
  <si>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</si>
  <si>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</si>
  <si>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</si>
  <si>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</si>
  <si>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</si>
  <si>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</si>
  <si>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</si>
  <si>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</si>
  <si>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</si>
  <si>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</si>
  <si>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</si>
  <si>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</si>
  <si>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</si>
  <si>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</si>
  <si>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</si>
  <si>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</si>
  <si>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</si>
  <si>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</si>
  <si>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</si>
  <si>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</si>
  <si>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</si>
  <si>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</si>
  <si>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</si>
  <si>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</si>
  <si>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</si>
  <si>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</si>
  <si>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</si>
  <si>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</si>
  <si>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</si>
  <si>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</si>
  <si>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</si>
  <si>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</si>
  <si>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</si>
  <si>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</si>
  <si>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</si>
  <si>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</si>
  <si>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</si>
  <si>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</si>
  <si>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</si>
  <si>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</si>
  <si>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</si>
  <si>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</si>
  <si>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</si>
  <si>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</si>
  <si>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</si>
  <si>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</si>
  <si>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</si>
  <si>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</si>
  <si>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</si>
  <si>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</si>
  <si>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</si>
  <si>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</si>
  <si>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</si>
  <si>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</si>
  <si>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</si>
  <si>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</si>
  <si>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</si>
  <si>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</si>
  <si>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</si>
  <si>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</si>
  <si>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</si>
  <si>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</si>
  <si>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</si>
  <si>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</si>
  <si>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</si>
  <si>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</si>
  <si>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</si>
  <si>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</si>
  <si>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</si>
  <si>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</si>
  <si>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</si>
  <si>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</si>
  <si>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</si>
  <si>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</si>
  <si>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</si>
  <si>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</si>
  <si>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</si>
  <si>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</si>
  <si>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</si>
  <si>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</si>
  <si>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</si>
  <si>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</si>
  <si>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</si>
  <si>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</si>
  <si>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</si>
  <si>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</si>
  <si>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</si>
  <si>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</si>
  <si>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</si>
  <si>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</si>
  <si>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</si>
  <si>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</si>
  <si>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</si>
  <si>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</si>
  <si>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</si>
  <si>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</si>
  <si>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</si>
  <si>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</si>
  <si>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</si>
  <si>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</si>
  <si>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</si>
  <si>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</si>
  <si>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</si>
  <si>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</si>
  <si>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</si>
  <si>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</si>
  <si>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</si>
  <si>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</si>
  <si>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</si>
  <si>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</si>
  <si>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</si>
  <si>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</si>
  <si>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</si>
  <si>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</si>
  <si>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</si>
  <si>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</si>
  <si>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</si>
  <si>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</si>
  <si>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</si>
  <si>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</si>
  <si>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</si>
  <si>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</si>
  <si>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</si>
  <si>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</si>
  <si>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</si>
  <si>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</si>
  <si>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</si>
  <si>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</si>
  <si>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</si>
  <si>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</si>
  <si>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</si>
  <si>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</si>
  <si>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</si>
  <si>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</si>
  <si>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</si>
  <si>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</si>
  <si>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</si>
  <si>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</si>
  <si>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</si>
  <si>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</si>
  <si>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</si>
  <si>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</si>
  <si>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</si>
  <si>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</si>
  <si>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</si>
  <si>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</si>
  <si>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</si>
  <si>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</si>
  <si>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</si>
  <si>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</si>
  <si>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</si>
  <si>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</si>
  <si>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</si>
  <si>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</si>
  <si>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</si>
  <si>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</si>
  <si>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</si>
  <si>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</si>
  <si>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</si>
  <si>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</si>
  <si>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</si>
  <si>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</si>
  <si>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</si>
  <si>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</si>
  <si>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</si>
  <si>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</si>
  <si>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G3G4 parent</t>
  </si>
  <si>
    <t>HP/W. PS/Zbook 15-17 G3-G4/DE</t>
  </si>
  <si>
    <t>HP/W. PS/Zbook 15-17 G3-G4/FR</t>
  </si>
  <si>
    <t>HP/W. PS/Zbook 15-17 G3-G4/IT</t>
  </si>
  <si>
    <t>HP/W. PS/Zbook 15-17 G3-G4/ES</t>
  </si>
  <si>
    <t>HP/W. PS/Zbook 15-17 G3-G4/UK</t>
  </si>
  <si>
    <t>HP/W. PS/Zbook 15-17 G3-G4/NOR</t>
  </si>
  <si>
    <t>HP/W. PS/Zbook 15-17 G3-G4/USI</t>
  </si>
  <si>
    <t>HP/W. PS/Zbook 15-17 G3-G4/US</t>
  </si>
  <si>
    <t>Zbook 15 G3, Zbook 17 G3, Zbook 15 G4, Zbook 17 G4</t>
  </si>
  <si>
    <t>HP zbook 1517 G3G4 BL - DE</t>
  </si>
  <si>
    <t>HP zbook 1517 G3G4 BL - FR</t>
  </si>
  <si>
    <t>HP zbook 1517 G3G4 BL - IT</t>
  </si>
  <si>
    <t>HP zbook 1517 G3G4 BL - ES</t>
  </si>
  <si>
    <t>HP zbook 1517 G3G4 BL - UK</t>
  </si>
  <si>
    <t>HP zbook 1517 G3G4 BL - NORDIC</t>
  </si>
  <si>
    <t>HP zbook 1517 G3G4 BL - US int</t>
  </si>
  <si>
    <t>HP zbook 1517 G3G4 BL -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</si>
</sst>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8">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9" fillId="0" borderId="0" xfId="0" applyFont="1"/>
    <xf numFmtId="0" fontId="10"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10" sqref="A10:DB14"/>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zbook 1517 G3G4 parent</v>
      </c>
      <c r="C4" s="29" t="s">
        <v>345</v>
      </c>
      <c r="D4" s="30">
        <f>Values!B14</f>
        <v>5714401153986</v>
      </c>
      <c r="E4" s="31" t="s">
        <v>346</v>
      </c>
      <c r="F4" s="28" t="str">
        <f>SUBSTITUTE(Values!B1, "{language}", "") &amp; " " &amp; Values!B3</f>
        <v>ersatztastatur  Hintergrundbeleuchtung für HP   Zbook 15 G3, Zbook 17 G3, Zbook 15 G4, Zbook 17 G4</v>
      </c>
      <c r="G4" s="29" t="s">
        <v>345</v>
      </c>
      <c r="H4" s="27" t="str">
        <f>Values!B16</f>
        <v>computer-keyboards</v>
      </c>
      <c r="I4" s="27" t="str">
        <f>IF(ISBLANK(Values!E3),"","4730574031")</f>
        <v>4730574031</v>
      </c>
      <c r="J4" s="32" t="str">
        <f>Values!B13</f>
        <v>HP zbook 1517 G3G4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zbook 1517 G3G4 BL - DE</v>
      </c>
      <c r="C5" s="32" t="str">
        <f>IF(ISBLANK(Values!E4),"","TellusRem")</f>
        <v>TellusRem</v>
      </c>
      <c r="D5" s="30">
        <f>IF(ISBLANK(Values!E4),"",Values!E4)</f>
        <v>5714401153115</v>
      </c>
      <c r="E5" s="31" t="str">
        <f>IF(ISBLANK(Values!E4),"","EAN")</f>
        <v>EAN</v>
      </c>
      <c r="F5" s="28" t="str">
        <f>IF(ISBLANK(Values!E4),"",IF(Values!J4, SUBSTITUTE(Values!$B$1, "{language}", Values!H4) &amp; " " &amp;Values!$B$3, SUBSTITUTE(Values!$B$2, "{language}", Values!$H4) &amp; " " &amp;Values!$B$3))</f>
        <v>ersatztastatur Deutsche Hintergrundbeleuchtung für HP   Zbook 15 G3, Zbook 17 G3, Zbook 15 G4, Zbook 17 G4</v>
      </c>
      <c r="G5" s="32" t="str">
        <f>IF(ISBLANK(Values!E4),"","TellusRem")</f>
        <v>TellusRem</v>
      </c>
      <c r="H5" s="27" t="str">
        <f>IF(ISBLANK(Values!E4),"",Values!$B$16)</f>
        <v>computer-keyboards</v>
      </c>
      <c r="I5" s="27" t="str">
        <f>IF(ISBLANK(Values!E4),"","4730574031")</f>
        <v>4730574031</v>
      </c>
      <c r="J5" s="39" t="str">
        <f>IF(ISBLANK(Values!E4),"",Values!F4 )</f>
        <v>HP zbook 1517 G3G4 BL - DE</v>
      </c>
      <c r="K5" s="28">
        <f>IF(ISBLANK(Values!E4),"",IF(Values!J4, Values!$B$4, Values!$B$5))</f>
        <v>52.99</v>
      </c>
      <c r="L5" s="40" t="str">
        <f>IF(ISBLANK(Values!E4),"",IF($CO5="DEFAULT", Values!$B$18, ""))</f>
        <v/>
      </c>
      <c r="M5" s="28" t="str">
        <f>IF(ISBLANK(Values!E4),"",Values!$M4)</f>
        <v>https://raw.githubusercontent.com/PatrickVibild/TellusAmazonPictures/master/pictures/HP/W. PS/Zbook 15-17 G3-G4/DE/1.jpg</v>
      </c>
      <c r="N5" s="28" t="str">
        <f>IF(ISBLANK(Values!$F4),"",Values!N4)</f>
        <v>https://raw.githubusercontent.com/PatrickVibild/TellusAmazonPictures/master/pictures/HP/W. PS/Zbook 15-17 G3-G4/DE/2.jpg</v>
      </c>
      <c r="O5" s="28" t="str">
        <f>IF(ISBLANK(Values!$F4),"",Values!O4)</f>
        <v>https://raw.githubusercontent.com/PatrickVibild/TellusAmazonPictures/master/pictures/HP/W. PS/Zbook 15-17 G3-G4/DE/3.jpg</v>
      </c>
      <c r="P5" s="28" t="str">
        <f>IF(ISBLANK(Values!$F4),"",Values!P4)</f>
        <v>https://raw.githubusercontent.com/PatrickVibild/TellusAmazonPictures/master/pictures/HP/W. PS/Zbook 15-17 G3-G4/DE/4.jpg</v>
      </c>
      <c r="Q5" s="28" t="str">
        <f>IF(ISBLANK(Values!$F4),"",Values!Q4)</f>
        <v>https://raw.githubusercontent.com/PatrickVibild/TellusAmazonPictures/master/pictures/HP/W. PS/Zbook 15-17 G3-G4/DE/5.jpg</v>
      </c>
      <c r="R5" s="28" t="str">
        <f>IF(ISBLANK(Values!$F4),"",Values!R4)</f>
        <v>https://raw.githubusercontent.com/PatrickVibild/TellusAmazonPictures/master/pictures/HP/W. PS/Zbook 15-17 G3-G4/DE/6.jpg</v>
      </c>
      <c r="S5" s="28" t="str">
        <f>IF(ISBLANK(Values!$F4),"",Values!S4)</f>
        <v>https://raw.githubusercontent.com/PatrickVibild/TellusAmazonPictures/master/pictures/HP/W. PS/Zbook 15-17 G3-G4/DE/7.jpg</v>
      </c>
      <c r="T5" s="28" t="str">
        <f>IF(ISBLANK(Values!$F4),"",Values!T4)</f>
        <v>https://raw.githubusercontent.com/PatrickVibild/TellusAmazonPictures/master/pictures/HP/W. PS/Zbook 15-17 G3-G4/DE/8.jpg</v>
      </c>
      <c r="U5" s="28" t="str">
        <f>IF(ISBLANK(Values!$F4),"",Values!U4)</f>
        <v>https://raw.githubusercontent.com/PatrickVibild/TellusAmazonPictures/master/pictures/HP/W. PS/Zbook 15-17 G3-G4/DE/9.jpg</v>
      </c>
      <c r="W5" s="32" t="str">
        <f>IF(ISBLANK(Values!E4),"","Child")</f>
        <v>Child</v>
      </c>
      <c r="X5" s="32" t="str">
        <f>IF(ISBLANK(Values!E4),"",Values!$B$13)</f>
        <v>HP zbook 1517 G3G4 parent</v>
      </c>
      <c r="Y5" s="39" t="str">
        <f>IF(ISBLANK(Values!E4),"","Size-Color")</f>
        <v>Size-Color</v>
      </c>
      <c r="Z5" s="32" t="str">
        <f>IF(ISBLANK(Values!E4),"","variation")</f>
        <v>variation</v>
      </c>
      <c r="AA5" s="36"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Zbook 15 G3, Zbook 17 G3, Zbook 15 G4, Zbook 17 G4</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HP Zbook 15 G3, Zbook 17 G3, Zbook 15 G4, Zbook 17 G4.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zbook 1517 G3G4 BL - FR</v>
      </c>
      <c r="C6" s="32" t="str">
        <f>IF(ISBLANK(Values!E5),"","TellusRem")</f>
        <v>TellusRem</v>
      </c>
      <c r="D6" s="30">
        <f>IF(ISBLANK(Values!E5),"",Values!E5)</f>
        <v>5714401153023</v>
      </c>
      <c r="E6" s="31" t="str">
        <f>IF(ISBLANK(Values!E5),"","EAN")</f>
        <v>EAN</v>
      </c>
      <c r="F6" s="28" t="str">
        <f>IF(ISBLANK(Values!E5),"",IF(Values!J5, SUBSTITUTE(Values!$B$1, "{language}", Values!H5) &amp; " " &amp;Values!$B$3, SUBSTITUTE(Values!$B$2, "{language}", Values!$H5) &amp; " " &amp;Values!$B$3))</f>
        <v>ersatztastatur Französisch Hintergrundbeleuchtung für HP   Zbook 15 G3, Zbook 17 G3, Zbook 15 G4, Zbook 17 G4</v>
      </c>
      <c r="G6" s="32" t="str">
        <f>IF(ISBLANK(Values!E5),"","TellusRem")</f>
        <v>TellusRem</v>
      </c>
      <c r="H6" s="27" t="str">
        <f>IF(ISBLANK(Values!E5),"",Values!$B$16)</f>
        <v>computer-keyboards</v>
      </c>
      <c r="I6" s="27" t="str">
        <f>IF(ISBLANK(Values!E5),"","4730574031")</f>
        <v>4730574031</v>
      </c>
      <c r="J6" s="39" t="str">
        <f>IF(ISBLANK(Values!E5),"",Values!F5 )</f>
        <v>HP zbook 1517 G3G4 BL - FR</v>
      </c>
      <c r="K6" s="28">
        <f>IF(ISBLANK(Values!E5),"",IF(Values!J5, Values!$B$4, Values!$B$5))</f>
        <v>52.99</v>
      </c>
      <c r="L6" s="40" t="str">
        <f>IF(ISBLANK(Values!E5),"",IF($CO6="DEFAULT", Values!$B$18, ""))</f>
        <v/>
      </c>
      <c r="M6" s="28" t="str">
        <f>IF(ISBLANK(Values!E5),"",Values!$M5)</f>
        <v>https://raw.githubusercontent.com/PatrickVibild/TellusAmazonPictures/master/pictures/HP/W. PS/Zbook 15-17 G3-G4/FR/1.jpg</v>
      </c>
      <c r="N6" s="28" t="str">
        <f>IF(ISBLANK(Values!$F5),"",Values!N5)</f>
        <v>https://raw.githubusercontent.com/PatrickVibild/TellusAmazonPictures/master/pictures/HP/W. PS/Zbook 15-17 G3-G4/FR/2.jpg</v>
      </c>
      <c r="O6" s="28" t="str">
        <f>IF(ISBLANK(Values!$F5),"",Values!O5)</f>
        <v>https://raw.githubusercontent.com/PatrickVibild/TellusAmazonPictures/master/pictures/HP/W. PS/Zbook 15-17 G3-G4/FR/3.jpg</v>
      </c>
      <c r="P6" s="28" t="str">
        <f>IF(ISBLANK(Values!$F5),"",Values!P5)</f>
        <v>https://raw.githubusercontent.com/PatrickVibild/TellusAmazonPictures/master/pictures/HP/W. PS/Zbook 15-17 G3-G4/FR/4.jpg</v>
      </c>
      <c r="Q6" s="28" t="str">
        <f>IF(ISBLANK(Values!$F5),"",Values!Q5)</f>
        <v>https://raw.githubusercontent.com/PatrickVibild/TellusAmazonPictures/master/pictures/HP/W. PS/Zbook 15-17 G3-G4/FR/5.jpg</v>
      </c>
      <c r="R6" s="28" t="str">
        <f>IF(ISBLANK(Values!$F5),"",Values!R5)</f>
        <v>https://raw.githubusercontent.com/PatrickVibild/TellusAmazonPictures/master/pictures/HP/W. PS/Zbook 15-17 G3-G4/FR/6.jpg</v>
      </c>
      <c r="S6" s="28" t="str">
        <f>IF(ISBLANK(Values!$F5),"",Values!S5)</f>
        <v>https://raw.githubusercontent.com/PatrickVibild/TellusAmazonPictures/master/pictures/HP/W. PS/Zbook 15-17 G3-G4/FR/7.jpg</v>
      </c>
      <c r="T6" s="28" t="str">
        <f>IF(ISBLANK(Values!$F5),"",Values!T5)</f>
        <v>https://raw.githubusercontent.com/PatrickVibild/TellusAmazonPictures/master/pictures/HP/W. PS/Zbook 15-17 G3-G4/FR/8.jpg</v>
      </c>
      <c r="U6" s="28" t="str">
        <f>IF(ISBLANK(Values!$F5),"",Values!U5)</f>
        <v>https://raw.githubusercontent.com/PatrickVibild/TellusAmazonPictures/master/pictures/HP/W. PS/Zbook 15-17 G3-G4/FR/9.jpg</v>
      </c>
      <c r="W6" s="32" t="str">
        <f>IF(ISBLANK(Values!E5),"","Child")</f>
        <v>Child</v>
      </c>
      <c r="X6" s="32" t="str">
        <f>IF(ISBLANK(Values!E5),"",Values!$B$13)</f>
        <v>HP zbook 1517 G3G4 parent</v>
      </c>
      <c r="Y6" s="39" t="str">
        <f>IF(ISBLANK(Values!E5),"","Size-Color")</f>
        <v>Size-Color</v>
      </c>
      <c r="Z6" s="32" t="str">
        <f>IF(ISBLANK(Values!E5),"","variation")</f>
        <v>variation</v>
      </c>
      <c r="AA6" s="36"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Zbook 15 G3, Zbook 17 G3, Zbook 15 G4, Zbook 17 G4</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HP Zbook 15 G3, Zbook 17 G3, Zbook 15 G4, Zbook 17 G4.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zbook 1517 G3G4 BL - IT</v>
      </c>
      <c r="C7" s="32" t="str">
        <f>IF(ISBLANK(Values!E6),"","TellusRem")</f>
        <v>TellusRem</v>
      </c>
      <c r="D7" s="30">
        <f>IF(ISBLANK(Values!E6),"",Values!E6)</f>
        <v>5714401153122</v>
      </c>
      <c r="E7" s="31" t="str">
        <f>IF(ISBLANK(Values!E6),"","EAN")</f>
        <v>EAN</v>
      </c>
      <c r="F7" s="28" t="str">
        <f>IF(ISBLANK(Values!E6),"",IF(Values!J6, SUBSTITUTE(Values!$B$1, "{language}", Values!H6) &amp; " " &amp;Values!$B$3, SUBSTITUTE(Values!$B$2, "{language}", Values!$H6) &amp; " " &amp;Values!$B$3))</f>
        <v>ersatztastatur Italienisch Hintergrundbeleuchtung für HP   Zbook 15 G3, Zbook 17 G3, Zbook 15 G4, Zbook 17 G4</v>
      </c>
      <c r="G7" s="32" t="str">
        <f>IF(ISBLANK(Values!E6),"","TellusRem")</f>
        <v>TellusRem</v>
      </c>
      <c r="H7" s="27" t="str">
        <f>IF(ISBLANK(Values!E6),"",Values!$B$16)</f>
        <v>computer-keyboards</v>
      </c>
      <c r="I7" s="27" t="str">
        <f>IF(ISBLANK(Values!E6),"","4730574031")</f>
        <v>4730574031</v>
      </c>
      <c r="J7" s="39" t="str">
        <f>IF(ISBLANK(Values!E6),"",Values!F6 )</f>
        <v>HP zbook 1517 G3G4 BL - IT</v>
      </c>
      <c r="K7" s="28">
        <f>IF(ISBLANK(Values!E6),"",IF(Values!J6, Values!$B$4, Values!$B$5))</f>
        <v>52.99</v>
      </c>
      <c r="L7" s="40" t="str">
        <f>IF(ISBLANK(Values!E6),"",IF($CO7="DEFAULT", Values!$B$18, ""))</f>
        <v/>
      </c>
      <c r="M7" s="28" t="str">
        <f>IF(ISBLANK(Values!E6),"",Values!$M6)</f>
        <v>https://raw.githubusercontent.com/PatrickVibild/TellusAmazonPictures/master/pictures/HP/W. PS/Zbook 15-17 G3-G4/IT/1.jpg</v>
      </c>
      <c r="N7" s="28" t="str">
        <f>IF(ISBLANK(Values!$F6),"",Values!N6)</f>
        <v>https://raw.githubusercontent.com/PatrickVibild/TellusAmazonPictures/master/pictures/HP/W. PS/Zbook 15-17 G3-G4/IT/2.jpg</v>
      </c>
      <c r="O7" s="28" t="str">
        <f>IF(ISBLANK(Values!$F6),"",Values!O6)</f>
        <v>https://raw.githubusercontent.com/PatrickVibild/TellusAmazonPictures/master/pictures/HP/W. PS/Zbook 15-17 G3-G4/IT/3.jpg</v>
      </c>
      <c r="P7" s="28" t="str">
        <f>IF(ISBLANK(Values!$F6),"",Values!P6)</f>
        <v>https://raw.githubusercontent.com/PatrickVibild/TellusAmazonPictures/master/pictures/HP/W. PS/Zbook 15-17 G3-G4/IT/4.jpg</v>
      </c>
      <c r="Q7" s="28" t="str">
        <f>IF(ISBLANK(Values!$F6),"",Values!Q6)</f>
        <v>https://raw.githubusercontent.com/PatrickVibild/TellusAmazonPictures/master/pictures/HP/W. PS/Zbook 15-17 G3-G4/IT/5.jpg</v>
      </c>
      <c r="R7" s="28" t="str">
        <f>IF(ISBLANK(Values!$F6),"",Values!R6)</f>
        <v>https://raw.githubusercontent.com/PatrickVibild/TellusAmazonPictures/master/pictures/HP/W. PS/Zbook 15-17 G3-G4/IT/6.jpg</v>
      </c>
      <c r="S7" s="28" t="str">
        <f>IF(ISBLANK(Values!$F6),"",Values!S6)</f>
        <v>https://raw.githubusercontent.com/PatrickVibild/TellusAmazonPictures/master/pictures/HP/W. PS/Zbook 15-17 G3-G4/IT/7.jpg</v>
      </c>
      <c r="T7" s="28" t="str">
        <f>IF(ISBLANK(Values!$F6),"",Values!T6)</f>
        <v>https://raw.githubusercontent.com/PatrickVibild/TellusAmazonPictures/master/pictures/HP/W. PS/Zbook 15-17 G3-G4/IT/8.jpg</v>
      </c>
      <c r="U7" s="28" t="str">
        <f>IF(ISBLANK(Values!$F6),"",Values!U6)</f>
        <v>https://raw.githubusercontent.com/PatrickVibild/TellusAmazonPictures/master/pictures/HP/W. PS/Zbook 15-17 G3-G4/IT/9.jpg</v>
      </c>
      <c r="W7" s="32" t="str">
        <f>IF(ISBLANK(Values!E6),"","Child")</f>
        <v>Child</v>
      </c>
      <c r="X7" s="32" t="str">
        <f>IF(ISBLANK(Values!E6),"",Values!$B$13)</f>
        <v>HP zbook 1517 G3G4 parent</v>
      </c>
      <c r="Y7" s="39" t="str">
        <f>IF(ISBLANK(Values!E6),"","Size-Color")</f>
        <v>Size-Color</v>
      </c>
      <c r="Z7" s="32" t="str">
        <f>IF(ISBLANK(Values!E6),"","variation")</f>
        <v>variation</v>
      </c>
      <c r="AA7" s="36"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Zbook 15 G3, Zbook 17 G3, Zbook 15 G4, Zbook 17 G4</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HP Zbook 15 G3, Zbook 17 G3, Zbook 15 G4, Zbook 17 G4.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zbook 1517 G3G4 BL - ES</v>
      </c>
      <c r="C8" s="32" t="str">
        <f>IF(ISBLANK(Values!E7),"","TellusRem")</f>
        <v>TellusRem</v>
      </c>
      <c r="D8" s="30">
        <f>IF(ISBLANK(Values!E7),"",Values!E7)</f>
        <v>5714401153047</v>
      </c>
      <c r="E8" s="31" t="str">
        <f>IF(ISBLANK(Values!E7),"","EAN")</f>
        <v>EAN</v>
      </c>
      <c r="F8" s="28" t="str">
        <f>IF(ISBLANK(Values!E7),"",IF(Values!J7, SUBSTITUTE(Values!$B$1, "{language}", Values!H7) &amp; " " &amp;Values!$B$3, SUBSTITUTE(Values!$B$2, "{language}", Values!$H7) &amp; " " &amp;Values!$B$3))</f>
        <v>ersatztastatur Spanisch Hintergrundbeleuchtung für HP   Zbook 15 G3, Zbook 17 G3, Zbook 15 G4, Zbook 17 G4</v>
      </c>
      <c r="G8" s="32" t="str">
        <f>IF(ISBLANK(Values!E7),"","TellusRem")</f>
        <v>TellusRem</v>
      </c>
      <c r="H8" s="27" t="str">
        <f>IF(ISBLANK(Values!E7),"",Values!$B$16)</f>
        <v>computer-keyboards</v>
      </c>
      <c r="I8" s="27" t="str">
        <f>IF(ISBLANK(Values!E7),"","4730574031")</f>
        <v>4730574031</v>
      </c>
      <c r="J8" s="39" t="str">
        <f>IF(ISBLANK(Values!E7),"",Values!F7 )</f>
        <v>HP zbook 1517 G3G4 BL - ES</v>
      </c>
      <c r="K8" s="28">
        <f>IF(ISBLANK(Values!E7),"",IF(Values!J7, Values!$B$4, Values!$B$5))</f>
        <v>52.99</v>
      </c>
      <c r="L8" s="40" t="str">
        <f>IF(ISBLANK(Values!E7),"",IF($CO8="DEFAULT", Values!$B$18, ""))</f>
        <v/>
      </c>
      <c r="M8" s="28" t="str">
        <f>IF(ISBLANK(Values!E7),"",Values!$M7)</f>
        <v>https://raw.githubusercontent.com/PatrickVibild/TellusAmazonPictures/master/pictures/HP/W. PS/Zbook 15-17 G3-G4/ES/1.jpg</v>
      </c>
      <c r="N8" s="28" t="str">
        <f>IF(ISBLANK(Values!$F7),"",Values!N7)</f>
        <v>https://raw.githubusercontent.com/PatrickVibild/TellusAmazonPictures/master/pictures/HP/W. PS/Zbook 15-17 G3-G4/ES/2.jpg</v>
      </c>
      <c r="O8" s="28" t="str">
        <f>IF(ISBLANK(Values!$F7),"",Values!O7)</f>
        <v>https://raw.githubusercontent.com/PatrickVibild/TellusAmazonPictures/master/pictures/HP/W. PS/Zbook 15-17 G3-G4/ES/3.jpg</v>
      </c>
      <c r="P8" s="28" t="str">
        <f>IF(ISBLANK(Values!$F7),"",Values!P7)</f>
        <v>https://raw.githubusercontent.com/PatrickVibild/TellusAmazonPictures/master/pictures/HP/W. PS/Zbook 15-17 G3-G4/ES/4.jpg</v>
      </c>
      <c r="Q8" s="28" t="str">
        <f>IF(ISBLANK(Values!$F7),"",Values!Q7)</f>
        <v>https://raw.githubusercontent.com/PatrickVibild/TellusAmazonPictures/master/pictures/HP/W. PS/Zbook 15-17 G3-G4/ES/5.jpg</v>
      </c>
      <c r="R8" s="28" t="str">
        <f>IF(ISBLANK(Values!$F7),"",Values!R7)</f>
        <v>https://raw.githubusercontent.com/PatrickVibild/TellusAmazonPictures/master/pictures/HP/W. PS/Zbook 15-17 G3-G4/ES/6.jpg</v>
      </c>
      <c r="S8" s="28" t="str">
        <f>IF(ISBLANK(Values!$F7),"",Values!S7)</f>
        <v>https://raw.githubusercontent.com/PatrickVibild/TellusAmazonPictures/master/pictures/HP/W. PS/Zbook 15-17 G3-G4/ES/7.jpg</v>
      </c>
      <c r="T8" s="28" t="str">
        <f>IF(ISBLANK(Values!$F7),"",Values!T7)</f>
        <v>https://raw.githubusercontent.com/PatrickVibild/TellusAmazonPictures/master/pictures/HP/W. PS/Zbook 15-17 G3-G4/ES/8.jpg</v>
      </c>
      <c r="U8" s="28" t="str">
        <f>IF(ISBLANK(Values!$F7),"",Values!U7)</f>
        <v>https://raw.githubusercontent.com/PatrickVibild/TellusAmazonPictures/master/pictures/HP/W. PS/Zbook 15-17 G3-G4/ES/9.jpg</v>
      </c>
      <c r="W8" s="32" t="str">
        <f>IF(ISBLANK(Values!E7),"","Child")</f>
        <v>Child</v>
      </c>
      <c r="X8" s="32" t="str">
        <f>IF(ISBLANK(Values!E7),"",Values!$B$13)</f>
        <v>HP zbook 1517 G3G4 parent</v>
      </c>
      <c r="Y8" s="39" t="str">
        <f>IF(ISBLANK(Values!E7),"","Size-Color")</f>
        <v>Size-Color</v>
      </c>
      <c r="Z8" s="32" t="str">
        <f>IF(ISBLANK(Values!E7),"","variation")</f>
        <v>variation</v>
      </c>
      <c r="AA8" s="36"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Zbook 15 G3, Zbook 17 G3, Zbook 15 G4, Zbook 17 G4</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HP Zbook 15 G3, Zbook 17 G3, Zbook 15 G4, Zbook 17 G4.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zbook 1517 G3G4 BL - UK</v>
      </c>
      <c r="C9" s="32" t="str">
        <f>IF(ISBLANK(Values!E8),"","TellusRem")</f>
        <v>TellusRem</v>
      </c>
      <c r="D9" s="30">
        <f>IF(ISBLANK(Values!E8),"",Values!E8)</f>
        <v>5714401153054</v>
      </c>
      <c r="E9" s="31" t="str">
        <f>IF(ISBLANK(Values!E8),"","EAN")</f>
        <v>EAN</v>
      </c>
      <c r="F9" s="28" t="str">
        <f>IF(ISBLANK(Values!E8),"",IF(Values!J8, SUBSTITUTE(Values!$B$1, "{language}", Values!H8) &amp; " " &amp;Values!$B$3, SUBSTITUTE(Values!$B$2, "{language}", Values!$H8) &amp; " " &amp;Values!$B$3))</f>
        <v>ersatztastatur UK Hintergrundbeleuchtung für HP   Zbook 15 G3, Zbook 17 G3, Zbook 15 G4, Zbook 17 G4</v>
      </c>
      <c r="G9" s="32" t="str">
        <f>IF(ISBLANK(Values!E8),"","TellusRem")</f>
        <v>TellusRem</v>
      </c>
      <c r="H9" s="27" t="str">
        <f>IF(ISBLANK(Values!E8),"",Values!$B$16)</f>
        <v>computer-keyboards</v>
      </c>
      <c r="I9" s="27" t="str">
        <f>IF(ISBLANK(Values!E8),"","4730574031")</f>
        <v>4730574031</v>
      </c>
      <c r="J9" s="39" t="str">
        <f>IF(ISBLANK(Values!E8),"",Values!F8 )</f>
        <v>HP zbook 1517 G3G4 BL - UK</v>
      </c>
      <c r="K9" s="28">
        <f>IF(ISBLANK(Values!E8),"",IF(Values!J8, Values!$B$4, Values!$B$5))</f>
        <v>52.99</v>
      </c>
      <c r="L9" s="40" t="str">
        <f>IF(ISBLANK(Values!E8),"",IF($CO9="DEFAULT", Values!$B$18, ""))</f>
        <v/>
      </c>
      <c r="M9" s="28" t="str">
        <f>IF(ISBLANK(Values!E8),"",Values!$M8)</f>
        <v>https://raw.githubusercontent.com/PatrickVibild/TellusAmazonPictures/master/pictures/HP/W. PS/Zbook 15-17 G3-G4/UK/1.jpg</v>
      </c>
      <c r="N9" s="28" t="str">
        <f>IF(ISBLANK(Values!$F8),"",Values!N8)</f>
        <v>https://raw.githubusercontent.com/PatrickVibild/TellusAmazonPictures/master/pictures/HP/W. PS/Zbook 15-17 G3-G4/UK/2.jpg</v>
      </c>
      <c r="O9" s="28" t="str">
        <f>IF(ISBLANK(Values!$F8),"",Values!O8)</f>
        <v>https://raw.githubusercontent.com/PatrickVibild/TellusAmazonPictures/master/pictures/HP/W. PS/Zbook 15-17 G3-G4/UK/3.jpg</v>
      </c>
      <c r="P9" s="28" t="str">
        <f>IF(ISBLANK(Values!$F8),"",Values!P8)</f>
        <v>https://raw.githubusercontent.com/PatrickVibild/TellusAmazonPictures/master/pictures/HP/W. PS/Zbook 15-17 G3-G4/UK/4.jpg</v>
      </c>
      <c r="Q9" s="28" t="str">
        <f>IF(ISBLANK(Values!$F8),"",Values!Q8)</f>
        <v>https://raw.githubusercontent.com/PatrickVibild/TellusAmazonPictures/master/pictures/HP/W. PS/Zbook 15-17 G3-G4/UK/5.jpg</v>
      </c>
      <c r="R9" s="28" t="str">
        <f>IF(ISBLANK(Values!$F8),"",Values!R8)</f>
        <v>https://raw.githubusercontent.com/PatrickVibild/TellusAmazonPictures/master/pictures/HP/W. PS/Zbook 15-17 G3-G4/UK/6.jpg</v>
      </c>
      <c r="S9" s="28" t="str">
        <f>IF(ISBLANK(Values!$F8),"",Values!S8)</f>
        <v>https://raw.githubusercontent.com/PatrickVibild/TellusAmazonPictures/master/pictures/HP/W. PS/Zbook 15-17 G3-G4/UK/7.jpg</v>
      </c>
      <c r="T9" s="28" t="str">
        <f>IF(ISBLANK(Values!$F8),"",Values!T8)</f>
        <v>https://raw.githubusercontent.com/PatrickVibild/TellusAmazonPictures/master/pictures/HP/W. PS/Zbook 15-17 G3-G4/UK/8.jpg</v>
      </c>
      <c r="U9" s="28" t="str">
        <f>IF(ISBLANK(Values!$F8),"",Values!U8)</f>
        <v>https://raw.githubusercontent.com/PatrickVibild/TellusAmazonPictures/master/pictures/HP/W. PS/Zbook 15-17 G3-G4/UK/9.jpg</v>
      </c>
      <c r="W9" s="32" t="str">
        <f>IF(ISBLANK(Values!E8),"","Child")</f>
        <v>Child</v>
      </c>
      <c r="X9" s="32" t="str">
        <f>IF(ISBLANK(Values!E8),"",Values!$B$13)</f>
        <v>HP zbook 1517 G3G4 parent</v>
      </c>
      <c r="Y9" s="39" t="str">
        <f>IF(ISBLANK(Values!E8),"","Size-Color")</f>
        <v>Size-Color</v>
      </c>
      <c r="Z9" s="32" t="str">
        <f>IF(ISBLANK(Values!E8),"","variation")</f>
        <v>variation</v>
      </c>
      <c r="AA9" s="36"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Zbook 15 G3, Zbook 17 G3, Zbook 15 G4, Zbook 17 G4</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HP Zbook 15 G3, Zbook 17 G3, Zbook 15 G4, Zbook 17 G4.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zbook 1517 G3G4 BL - NORDIC</v>
      </c>
      <c r="C10" s="32" t="str">
        <f>IF(ISBLANK(Values!E9),"","TellusRem")</f>
        <v>TellusRem</v>
      </c>
      <c r="D10" s="30">
        <f>IF(ISBLANK(Values!E9),"",Values!E9)</f>
        <v>5714401153061</v>
      </c>
      <c r="E10" s="31" t="str">
        <f>IF(ISBLANK(Values!E9),"","EAN")</f>
        <v>EAN</v>
      </c>
      <c r="F10" s="28" t="str">
        <f>IF(ISBLANK(Values!E9),"",IF(Values!J9, SUBSTITUTE(Values!$B$1, "{language}", Values!H9) &amp; " " &amp;Values!$B$3, SUBSTITUTE(Values!$B$2, "{language}", Values!$H9) &amp; " " &amp;Values!$B$3))</f>
        <v>ersatztastatur Skandinavisch – Nordisch Hintergrundbeleuchtung für HP   Zbook 15 G3, Zbook 17 G3, Zbook 15 G4, Zbook 17 G4</v>
      </c>
      <c r="G10" s="32" t="str">
        <f>IF(ISBLANK(Values!E9),"","TellusRem")</f>
        <v>TellusRem</v>
      </c>
      <c r="H10" s="27" t="str">
        <f>IF(ISBLANK(Values!E9),"",Values!$B$16)</f>
        <v>computer-keyboards</v>
      </c>
      <c r="I10" s="27" t="str">
        <f>IF(ISBLANK(Values!E9),"","4730574031")</f>
        <v>4730574031</v>
      </c>
      <c r="J10" s="39" t="str">
        <f>IF(ISBLANK(Values!E9),"",Values!F9 )</f>
        <v>HP zbook 1517 G3G4 BL - NORDIC</v>
      </c>
      <c r="K10" s="28">
        <f>IF(ISBLANK(Values!E9),"",IF(Values!J9, Values!$B$4, Values!$B$5))</f>
        <v>52.99</v>
      </c>
      <c r="L10" s="40" t="str">
        <f>IF(ISBLANK(Values!E9),"",IF($CO10="DEFAULT", Values!$B$18, ""))</f>
        <v/>
      </c>
      <c r="M10" s="28" t="str">
        <f>IF(ISBLANK(Values!E9),"",Values!$M9)</f>
        <v>https://raw.githubusercontent.com/PatrickVibild/TellusAmazonPictures/master/pictures/HP/W. PS/Zbook 15-17 G3-G4/NOR/1.jpg</v>
      </c>
      <c r="N10" s="28" t="str">
        <f>IF(ISBLANK(Values!$F9),"",Values!N9)</f>
        <v>https://raw.githubusercontent.com/PatrickVibild/TellusAmazonPictures/master/pictures/HP/W. PS/Zbook 15-17 G3-G4/NOR/2.jpg</v>
      </c>
      <c r="O10" s="28" t="str">
        <f>IF(ISBLANK(Values!$F9),"",Values!O9)</f>
        <v>https://raw.githubusercontent.com/PatrickVibild/TellusAmazonPictures/master/pictures/HP/W. PS/Zbook 15-17 G3-G4/NOR/3.jpg</v>
      </c>
      <c r="P10" s="28" t="str">
        <f>IF(ISBLANK(Values!$F9),"",Values!P9)</f>
        <v>https://raw.githubusercontent.com/PatrickVibild/TellusAmazonPictures/master/pictures/HP/W. PS/Zbook 15-17 G3-G4/NOR/4.jpg</v>
      </c>
      <c r="Q10" s="28" t="str">
        <f>IF(ISBLANK(Values!$F9),"",Values!Q9)</f>
        <v>https://raw.githubusercontent.com/PatrickVibild/TellusAmazonPictures/master/pictures/HP/W. PS/Zbook 15-17 G3-G4/NOR/5.jpg</v>
      </c>
      <c r="R10" s="28" t="str">
        <f>IF(ISBLANK(Values!$F9),"",Values!R9)</f>
        <v>https://raw.githubusercontent.com/PatrickVibild/TellusAmazonPictures/master/pictures/HP/W. PS/Zbook 15-17 G3-G4/NOR/6.jpg</v>
      </c>
      <c r="S10" s="28" t="str">
        <f>IF(ISBLANK(Values!$F9),"",Values!S9)</f>
        <v>https://raw.githubusercontent.com/PatrickVibild/TellusAmazonPictures/master/pictures/HP/W. PS/Zbook 15-17 G3-G4/NOR/7.jpg</v>
      </c>
      <c r="T10" s="28" t="str">
        <f>IF(ISBLANK(Values!$F9),"",Values!T9)</f>
        <v>https://raw.githubusercontent.com/PatrickVibild/TellusAmazonPictures/master/pictures/HP/W. PS/Zbook 15-17 G3-G4/NOR/8.jpg</v>
      </c>
      <c r="U10" s="28" t="str">
        <f>IF(ISBLANK(Values!$F9),"",Values!U9)</f>
        <v>https://raw.githubusercontent.com/PatrickVibild/TellusAmazonPictures/master/pictures/HP/W. PS/Zbook 15-17 G3-G4/NOR/9.jpg</v>
      </c>
      <c r="W10" s="32" t="str">
        <f>IF(ISBLANK(Values!E9),"","Child")</f>
        <v>Child</v>
      </c>
      <c r="X10" s="32" t="str">
        <f>IF(ISBLANK(Values!E9),"",Values!$B$13)</f>
        <v>HP zbook 1517 G3G4 parent</v>
      </c>
      <c r="Y10" s="39" t="str">
        <f>IF(ISBLANK(Values!E9),"","Size-Color")</f>
        <v>Size-Color</v>
      </c>
      <c r="Z10" s="32" t="str">
        <f>IF(ISBLANK(Values!E9),"","variation")</f>
        <v>variation</v>
      </c>
      <c r="AA10" s="36"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Zbook 15 G3, Zbook 17 G3, Zbook 15 G4, Zbook 17 G4</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HP Zbook 15 G3, Zbook 17 G3, Zbook 15 G4, Zbook 17 G4.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31" t="str">
        <f>IF(ISBLANK(Values!E10),"",IF(Values!$B$37="EU","computercomponent","computer"))</f>
        <v/>
      </c>
      <c r="B11" s="38" t="str">
        <f>IF(ISBLANK(Values!E10),"",Values!F10)</f>
        <v/>
      </c>
      <c r="C11" s="32" t="str">
        <f>IF(ISBLANK(Values!E10),"","TellusRem")</f>
        <v/>
      </c>
      <c r="D11" s="30" t="str">
        <f>IF(ISBLANK(Values!E10),"",Values!E10)</f>
        <v/>
      </c>
      <c r="E11" s="31" t="str">
        <f>IF(ISBLANK(Values!E10),"","EAN")</f>
        <v/>
      </c>
      <c r="F11" s="29" t="str">
        <f>IF(ISBLANK(Values!E10),"",IF(Values!J10, SUBSTITUTE(Values!$B$1, "{language}", Values!H10) &amp; " " &amp;Values!$B$3, SUBSTITUTE(Values!$B$2, "{language}", Values!$H10) &amp; " " &amp;Values!$B$3))</f>
        <v/>
      </c>
      <c r="G11" s="32" t="str">
        <f>IF(ISBLANK(Values!E10),"","TellusRem")</f>
        <v/>
      </c>
      <c r="H11" s="31" t="str">
        <f>IF(ISBLANK(Values!E10),"",Values!$B$16)</f>
        <v/>
      </c>
      <c r="I11" s="31" t="str">
        <f>IF(ISBLANK(Values!E10),"","4730574031")</f>
        <v/>
      </c>
      <c r="J11" s="39" t="str">
        <f>IF(ISBLANK(Values!E10),"",Values!F10 )</f>
        <v/>
      </c>
      <c r="K11" s="29" t="str">
        <f>IF(ISBLANK(Values!E10),"",IF(Values!J10, Values!$B$4, Values!$B$5))</f>
        <v/>
      </c>
      <c r="L11" s="40" t="str">
        <f>IF(ISBLANK(Values!E10),"",IF($CO11="DEFAULT", Values!$B$18, ""))</f>
        <v/>
      </c>
      <c r="M11" s="29" t="str">
        <f>IF(ISBLANK(Values!E10),"",Values!$M10)</f>
        <v/>
      </c>
      <c r="N11" s="29" t="str">
        <f>IF(ISBLANK(Values!$F10),"",Values!N10)</f>
        <v/>
      </c>
      <c r="O11" s="29" t="str">
        <f>IF(ISBLANK(Values!$F10),"",Values!O10)</f>
        <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V11" s="36"/>
      <c r="W11" s="32" t="str">
        <f>IF(ISBLANK(Values!E10),"","Child")</f>
        <v/>
      </c>
      <c r="X11" s="32" t="str">
        <f>IF(ISBLANK(Values!E10),"",Values!$B$13)</f>
        <v/>
      </c>
      <c r="Y11" s="39" t="str">
        <f>IF(ISBLANK(Values!E10),"","Size-Color")</f>
        <v/>
      </c>
      <c r="Z11" s="32" t="str">
        <f>IF(ISBLANK(Values!E10),"","variation")</f>
        <v/>
      </c>
      <c r="AA11" s="36" t="str">
        <f>IF(ISBLANK(Values!E10),"",Values!$B$20)</f>
        <v/>
      </c>
      <c r="AB11" s="36" t="str">
        <f>IF(ISBLANK(Values!E10),"",Values!$B$29)</f>
        <v/>
      </c>
      <c r="AC11" s="36"/>
      <c r="AD11" s="36"/>
      <c r="AE11" s="36"/>
      <c r="AF11" s="36"/>
      <c r="AG11" s="36"/>
      <c r="AH11" s="36"/>
      <c r="AI11" s="41" t="str">
        <f>IF(ISBLANK(Values!E10),"",IF(Values!I10,Values!$B$23,Values!$B$33))</f>
        <v/>
      </c>
      <c r="AJ11" s="42" t="str">
        <f>IF(ISBLANK(Values!E10),"",Values!$B$24 &amp;" "&amp;Values!$B$3)</f>
        <v/>
      </c>
      <c r="AK11" s="36" t="str">
        <f>IF(ISBLANK(Values!E10),"",Values!$B$25)</f>
        <v/>
      </c>
      <c r="AL11" s="36" t="str">
        <f>IF(ISBLANK(Values!E10),"",SUBSTITUTE(SUBSTITUTE(IF(Values!$J10, Values!$B$26, Values!$B$33), "{language}", Values!$H10), "{flag}", INDEX(options!$E$1:$E$20, Values!$V10)))</f>
        <v/>
      </c>
      <c r="AM11" s="36" t="str">
        <f>SUBSTITUTE(IF(ISBLANK(Values!E10),"",Values!$B$27), "{model}", Values!$B$3)</f>
        <v/>
      </c>
      <c r="AN11" s="36"/>
      <c r="AO11" s="36"/>
      <c r="AP11" s="36"/>
      <c r="AQ11" s="36"/>
      <c r="AR11" s="36"/>
      <c r="AS11" s="36"/>
      <c r="AT11" s="29" t="str">
        <f>IF(ISBLANK(Values!E10),"",Values!H10)</f>
        <v/>
      </c>
      <c r="AU11" s="36"/>
      <c r="AV11" s="36" t="str">
        <f>IF(ISBLANK(Values!E10),"",IF(Values!J10,"Backlit", "Non-Backlit"))</f>
        <v/>
      </c>
      <c r="AW11"/>
      <c r="AX11" s="36"/>
      <c r="AY11" s="36"/>
      <c r="AZ11" s="36"/>
      <c r="BA11" s="36"/>
      <c r="BB11" s="36"/>
      <c r="BC11" s="36"/>
      <c r="BD11" s="36"/>
      <c r="BE11" s="31" t="str">
        <f>IF(ISBLANK(Values!E10),"","Professional Audience")</f>
        <v/>
      </c>
      <c r="BF11" s="31" t="str">
        <f>IF(ISBLANK(Values!E10),"","Consumer Audience")</f>
        <v/>
      </c>
      <c r="BG11" s="31" t="str">
        <f>IF(ISBLANK(Values!E10),"","Adults")</f>
        <v/>
      </c>
      <c r="BH11" s="31" t="str">
        <f>IF(ISBLANK(Values!E10),"","People")</f>
        <v/>
      </c>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t="str">
        <f>IF(ISBLANK(Values!E10),"",Values!$B$11)</f>
        <v/>
      </c>
      <c r="CH11" s="36" t="str">
        <f>IF(ISBLANK(Values!E10),"","GR")</f>
        <v/>
      </c>
      <c r="CI11" s="36" t="str">
        <f>IF(ISBLANK(Values!E10),"",Values!$B$7)</f>
        <v/>
      </c>
      <c r="CJ11" s="36" t="str">
        <f>IF(ISBLANK(Values!E10),"",Values!$B$8)</f>
        <v/>
      </c>
      <c r="CK11" s="36" t="str">
        <f>IF(ISBLANK(Values!E10),"",Values!$B$9)</f>
        <v/>
      </c>
      <c r="CL11" s="36" t="str">
        <f>IF(ISBLANK(Values!E10),"","CM")</f>
        <v/>
      </c>
      <c r="CM11" s="36"/>
      <c r="CN11" s="36"/>
      <c r="CO11" s="36" t="str">
        <f>IF(ISBLANK(Values!E10), "", IF(AND(Values!$B$37=options!$G$2, Values!$C10), "AMAZON_NA", IF(AND(Values!$B$37=options!$G$1, Values!$D10), "AMAZON_EU", "DEFAULT")))</f>
        <v/>
      </c>
      <c r="CP11" s="36" t="str">
        <f>IF(ISBLANK(Values!E10),"",Values!$B$7)</f>
        <v/>
      </c>
      <c r="CQ11" s="36" t="str">
        <f>IF(ISBLANK(Values!E10),"",Values!$B$8)</f>
        <v/>
      </c>
      <c r="CR11" s="36" t="str">
        <f>IF(ISBLANK(Values!E10),"",Values!$B$9)</f>
        <v/>
      </c>
      <c r="CS11" s="36" t="str">
        <f>IF(ISBLANK(Values!E10),"",Values!$B$11)</f>
        <v/>
      </c>
      <c r="CT11" s="36" t="str">
        <f>IF(ISBLANK(Values!E10),"","GR")</f>
        <v/>
      </c>
      <c r="CU11" s="36"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11" s="36"/>
      <c r="CX11" s="36"/>
      <c r="CY11" s="36"/>
      <c r="CZ11" s="36" t="str">
        <f>IF(ISBLANK(Values!E10),"","No")</f>
        <v/>
      </c>
      <c r="DA11" s="36" t="str">
        <f>IF(ISBLANK(Values!E10),"","No")</f>
        <v/>
      </c>
      <c r="DB11" s="36"/>
      <c r="DO11" s="27" t="str">
        <f>IF(ISBLANK(Values!E12),"","Parts")</f>
        <v>Parts</v>
      </c>
      <c r="DP11"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1" s="31"/>
      <c r="DY11" t="str">
        <f>IF(ISBLANK(Values!$E12), "", "not_applicable")</f>
        <v>not_applicable</v>
      </c>
      <c r="DZ11" s="31"/>
      <c r="EA11" s="31"/>
      <c r="EB11" s="31"/>
      <c r="EC11" s="31"/>
      <c r="EI11"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IF(ISBLANK(Values!E12),"","Amazon Tellus UPS")</f>
        <v>Amazon Tellus UPS</v>
      </c>
      <c r="EV11" s="31" t="str">
        <f>IF(ISBLANK(Values!E12),"","New")</f>
        <v>New</v>
      </c>
      <c r="FE11" s="1" t="str">
        <f>IF(ISBLANK(Values!E12),"",IF(CO11&lt;&gt;"DEFAULT", "", 3))</f>
        <v/>
      </c>
      <c r="FH11" s="1" t="str">
        <f>IF(ISBLANK(Values!E12),"","FALSE")</f>
        <v>FALSE</v>
      </c>
      <c r="FI11" s="1" t="str">
        <f>IF(ISBLANK(Values!E12),"","FALSE")</f>
        <v>FALSE</v>
      </c>
      <c r="FJ11" s="1" t="str">
        <f>IF(ISBLANK(Values!E12),"","FALSE")</f>
        <v>FALSE</v>
      </c>
      <c r="FM11" s="1" t="str">
        <f>IF(ISBLANK(Values!E12),"","1")</f>
        <v>1</v>
      </c>
      <c r="FO11" s="28">
        <f>IF(ISBLANK(Values!E12),"",IF(Values!J10, Values!$B$4, Values!$B$5))</f>
        <v>52.99</v>
      </c>
      <c r="FP11" s="1" t="str">
        <f>IF(ISBLANK(Values!E12),"","Percent")</f>
        <v>Percent</v>
      </c>
      <c r="FQ11" s="1" t="str">
        <f>IF(ISBLANK(Values!E12),"","2")</f>
        <v>2</v>
      </c>
      <c r="FR11" s="1" t="str">
        <f>IF(ISBLANK(Values!E12),"","3")</f>
        <v>3</v>
      </c>
      <c r="FS11" s="1" t="str">
        <f>IF(ISBLANK(Values!E12),"","5")</f>
        <v>5</v>
      </c>
      <c r="FT11" s="1" t="str">
        <f>IF(ISBLANK(Values!E12),"","6")</f>
        <v>6</v>
      </c>
      <c r="FU11" s="1" t="str">
        <f>IF(ISBLANK(Values!E12),"","10")</f>
        <v>10</v>
      </c>
      <c r="FV11" s="1" t="str">
        <f>IF(ISBLANK(Values!E12),"","10")</f>
        <v>10</v>
      </c>
    </row>
    <row r="12" spans="1:192" ht="48" x14ac:dyDescent="0.2">
      <c r="A12" s="31" t="str">
        <f>IF(ISBLANK(Values!E11),"",IF(Values!$B$37="EU","computercomponent","computer"))</f>
        <v/>
      </c>
      <c r="B12" s="38" t="str">
        <f>IF(ISBLANK(Values!E11),"",Values!F11)</f>
        <v/>
      </c>
      <c r="C12" s="32" t="str">
        <f>IF(ISBLANK(Values!E11),"","TellusRem")</f>
        <v/>
      </c>
      <c r="D12" s="30" t="str">
        <f>IF(ISBLANK(Values!E11),"",Values!E11)</f>
        <v/>
      </c>
      <c r="E12" s="31" t="str">
        <f>IF(ISBLANK(Values!E11),"","EAN")</f>
        <v/>
      </c>
      <c r="F12" s="29" t="str">
        <f>IF(ISBLANK(Values!E11),"",IF(Values!J11, SUBSTITUTE(Values!$B$1, "{language}", Values!H11) &amp; " " &amp;Values!$B$3, SUBSTITUTE(Values!$B$2, "{language}", Values!$H11) &amp; " " &amp;Values!$B$3))</f>
        <v/>
      </c>
      <c r="G12" s="32" t="str">
        <f>IF(ISBLANK(Values!E11),"","TellusRem")</f>
        <v/>
      </c>
      <c r="H12" s="31" t="str">
        <f>IF(ISBLANK(Values!E11),"",Values!$B$16)</f>
        <v/>
      </c>
      <c r="I12" s="31" t="str">
        <f>IF(ISBLANK(Values!E11),"","4730574031")</f>
        <v/>
      </c>
      <c r="J12" s="39" t="str">
        <f>IF(ISBLANK(Values!E11),"",Values!F11 )</f>
        <v/>
      </c>
      <c r="K12" s="29" t="str">
        <f>IF(ISBLANK(Values!E11),"",IF(Values!J11, Values!$B$4, Values!$B$5))</f>
        <v/>
      </c>
      <c r="L12" s="40" t="str">
        <f>IF(ISBLANK(Values!E11),"",IF($CO12="DEFAULT", Values!$B$18, ""))</f>
        <v/>
      </c>
      <c r="M12" s="29" t="str">
        <f>IF(ISBLANK(Values!E11),"",Values!$M11)</f>
        <v/>
      </c>
      <c r="N12" s="29" t="str">
        <f>IF(ISBLANK(Values!$F11),"",Values!N11)</f>
        <v/>
      </c>
      <c r="O12" s="29" t="str">
        <f>IF(ISBLANK(Values!$F11),"",Values!O11)</f>
        <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V12" s="36"/>
      <c r="W12" s="32" t="str">
        <f>IF(ISBLANK(Values!E11),"","Child")</f>
        <v/>
      </c>
      <c r="X12" s="32" t="str">
        <f>IF(ISBLANK(Values!E11),"",Values!$B$13)</f>
        <v/>
      </c>
      <c r="Y12" s="39" t="str">
        <f>IF(ISBLANK(Values!E11),"","Size-Color")</f>
        <v/>
      </c>
      <c r="Z12" s="32" t="str">
        <f>IF(ISBLANK(Values!E11),"","variation")</f>
        <v/>
      </c>
      <c r="AA12" s="36" t="str">
        <f>IF(ISBLANK(Values!E11),"",Values!$B$20)</f>
        <v/>
      </c>
      <c r="AB12" s="36" t="str">
        <f>IF(ISBLANK(Values!E11),"",Values!$B$29)</f>
        <v/>
      </c>
      <c r="AC12" s="36"/>
      <c r="AD12" s="36"/>
      <c r="AE12" s="36"/>
      <c r="AF12" s="36"/>
      <c r="AG12" s="36"/>
      <c r="AH12" s="36"/>
      <c r="AI12" s="41" t="str">
        <f>IF(ISBLANK(Values!E11),"",IF(Values!I11,Values!$B$23,Values!$B$33))</f>
        <v/>
      </c>
      <c r="AJ12" s="42" t="str">
        <f>IF(ISBLANK(Values!E11),"",Values!$B$24 &amp;" "&amp;Values!$B$3)</f>
        <v/>
      </c>
      <c r="AK12" s="36" t="str">
        <f>IF(ISBLANK(Values!E11),"",Values!$B$25)</f>
        <v/>
      </c>
      <c r="AL12" s="36" t="str">
        <f>IF(ISBLANK(Values!E11),"",SUBSTITUTE(SUBSTITUTE(IF(Values!$J11, Values!$B$26, Values!$B$33), "{language}", Values!$H11), "{flag}", INDEX(options!$E$1:$E$20, Values!$V11)))</f>
        <v/>
      </c>
      <c r="AM12" s="36" t="str">
        <f>SUBSTITUTE(IF(ISBLANK(Values!E11),"",Values!$B$27), "{model}", Values!$B$3)</f>
        <v/>
      </c>
      <c r="AN12" s="36"/>
      <c r="AO12" s="36"/>
      <c r="AP12" s="36"/>
      <c r="AQ12" s="36"/>
      <c r="AR12" s="36"/>
      <c r="AS12" s="36"/>
      <c r="AT12" s="29" t="str">
        <f>IF(ISBLANK(Values!E11),"",Values!H11)</f>
        <v/>
      </c>
      <c r="AU12" s="36"/>
      <c r="AV12" s="36" t="str">
        <f>IF(ISBLANK(Values!E11),"",IF(Values!J11,"Backlit", "Non-Backlit"))</f>
        <v/>
      </c>
      <c r="AW12"/>
      <c r="AX12" s="36"/>
      <c r="AY12" s="36"/>
      <c r="AZ12" s="36"/>
      <c r="BA12" s="36"/>
      <c r="BB12" s="36"/>
      <c r="BC12" s="36"/>
      <c r="BD12" s="36"/>
      <c r="BE12" s="31" t="str">
        <f>IF(ISBLANK(Values!E11),"","Professional Audience")</f>
        <v/>
      </c>
      <c r="BF12" s="31" t="str">
        <f>IF(ISBLANK(Values!E11),"","Consumer Audience")</f>
        <v/>
      </c>
      <c r="BG12" s="31" t="str">
        <f>IF(ISBLANK(Values!E11),"","Adults")</f>
        <v/>
      </c>
      <c r="BH12" s="31" t="str">
        <f>IF(ISBLANK(Values!E11),"","People")</f>
        <v/>
      </c>
      <c r="BI12" s="36"/>
      <c r="BJ12" s="36"/>
      <c r="BK12" s="36"/>
      <c r="BL12" s="36"/>
      <c r="BM12" s="36"/>
      <c r="BN12" s="36"/>
      <c r="BO12" s="36"/>
      <c r="BP12" s="36"/>
      <c r="BQ12" s="36"/>
      <c r="BR12" s="36"/>
      <c r="BS12" s="36"/>
      <c r="BT12" s="36"/>
      <c r="BU12" s="36"/>
      <c r="BV12" s="36"/>
      <c r="BW12" s="36"/>
      <c r="BX12" s="36"/>
      <c r="BY12" s="36"/>
      <c r="BZ12" s="36"/>
      <c r="CA12" s="36"/>
      <c r="CB12" s="36"/>
      <c r="CC12" s="36"/>
      <c r="CD12" s="36"/>
      <c r="CE12" s="36"/>
      <c r="CF12" s="36"/>
      <c r="CG12" s="36" t="str">
        <f>IF(ISBLANK(Values!E11),"",Values!$B$11)</f>
        <v/>
      </c>
      <c r="CH12" s="36" t="str">
        <f>IF(ISBLANK(Values!E11),"","GR")</f>
        <v/>
      </c>
      <c r="CI12" s="36" t="str">
        <f>IF(ISBLANK(Values!E11),"",Values!$B$7)</f>
        <v/>
      </c>
      <c r="CJ12" s="36" t="str">
        <f>IF(ISBLANK(Values!E11),"",Values!$B$8)</f>
        <v/>
      </c>
      <c r="CK12" s="36" t="str">
        <f>IF(ISBLANK(Values!E11),"",Values!$B$9)</f>
        <v/>
      </c>
      <c r="CL12" s="36" t="str">
        <f>IF(ISBLANK(Values!E11),"","CM")</f>
        <v/>
      </c>
      <c r="CM12" s="36"/>
      <c r="CN12" s="36"/>
      <c r="CO12" s="36" t="str">
        <f>IF(ISBLANK(Values!E11), "", IF(AND(Values!$B$37=options!$G$2, Values!$C11), "AMAZON_NA", IF(AND(Values!$B$37=options!$G$1, Values!$D11), "AMAZON_EU", "DEFAULT")))</f>
        <v/>
      </c>
      <c r="CP12" s="36" t="str">
        <f>IF(ISBLANK(Values!E11),"",Values!$B$7)</f>
        <v/>
      </c>
      <c r="CQ12" s="36" t="str">
        <f>IF(ISBLANK(Values!E11),"",Values!$B$8)</f>
        <v/>
      </c>
      <c r="CR12" s="36" t="str">
        <f>IF(ISBLANK(Values!E11),"",Values!$B$9)</f>
        <v/>
      </c>
      <c r="CS12" s="36" t="str">
        <f>IF(ISBLANK(Values!E11),"",Values!$B$11)</f>
        <v/>
      </c>
      <c r="CT12" s="36" t="str">
        <f>IF(ISBLANK(Values!E11),"","GR")</f>
        <v/>
      </c>
      <c r="CU12" s="36"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12" s="36"/>
      <c r="CX12" s="36"/>
      <c r="CY12" s="36"/>
      <c r="CZ12" s="36" t="str">
        <f>IF(ISBLANK(Values!E11),"","No")</f>
        <v/>
      </c>
      <c r="DA12" s="36" t="str">
        <f>IF(ISBLANK(Values!E11),"","No")</f>
        <v/>
      </c>
      <c r="DB12" s="36"/>
      <c r="DO12" s="27" t="str">
        <f>IF(ISBLANK(Values!E13),"","Parts")</f>
        <v>Parts</v>
      </c>
      <c r="DP12"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2" s="31"/>
      <c r="DY12" t="str">
        <f>IF(ISBLANK(Values!$E13), "", "not_applicable")</f>
        <v>not_applicable</v>
      </c>
      <c r="DZ12" s="31"/>
      <c r="EA12" s="31"/>
      <c r="EB12" s="31"/>
      <c r="EC12" s="31"/>
      <c r="EI12"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IF(ISBLANK(Values!E13),"","Amazon Tellus UPS")</f>
        <v>Amazon Tellus UPS</v>
      </c>
      <c r="EV12" s="31" t="str">
        <f>IF(ISBLANK(Values!E13),"","New")</f>
        <v>New</v>
      </c>
      <c r="FE12" s="1" t="str">
        <f>IF(ISBLANK(Values!E13),"",IF(CO12&lt;&gt;"DEFAULT", "", 3))</f>
        <v/>
      </c>
      <c r="FH12" s="1" t="str">
        <f>IF(ISBLANK(Values!E13),"","FALSE")</f>
        <v>FALSE</v>
      </c>
      <c r="FI12" s="1" t="str">
        <f>IF(ISBLANK(Values!E13),"","FALSE")</f>
        <v>FALSE</v>
      </c>
      <c r="FJ12" s="1" t="str">
        <f>IF(ISBLANK(Values!E13),"","FALSE")</f>
        <v>FALSE</v>
      </c>
      <c r="FM12" s="1" t="str">
        <f>IF(ISBLANK(Values!E13),"","1")</f>
        <v>1</v>
      </c>
      <c r="FO12" s="28">
        <f>IF(ISBLANK(Values!E13),"",IF(Values!J11, Values!$B$4, Values!$B$5))</f>
        <v>52.99</v>
      </c>
      <c r="FP12" s="1" t="str">
        <f>IF(ISBLANK(Values!E13),"","Percent")</f>
        <v>Percent</v>
      </c>
      <c r="FQ12" s="1" t="str">
        <f>IF(ISBLANK(Values!E13),"","2")</f>
        <v>2</v>
      </c>
      <c r="FR12" s="1" t="str">
        <f>IF(ISBLANK(Values!E13),"","3")</f>
        <v>3</v>
      </c>
      <c r="FS12" s="1" t="str">
        <f>IF(ISBLANK(Values!E13),"","5")</f>
        <v>5</v>
      </c>
      <c r="FT12" s="1" t="str">
        <f>IF(ISBLANK(Values!E13),"","6")</f>
        <v>6</v>
      </c>
      <c r="FU12" s="1" t="str">
        <f>IF(ISBLANK(Values!E13),"","10")</f>
        <v>10</v>
      </c>
      <c r="FV12" s="1" t="str">
        <f>IF(ISBLANK(Values!E13),"","10")</f>
        <v>10</v>
      </c>
    </row>
    <row r="13" spans="1:192" ht="48" x14ac:dyDescent="0.2">
      <c r="A13" s="31" t="str">
        <f>IF(ISBLANK(Values!E12),"",IF(Values!$B$37="EU","computercomponent","computer"))</f>
        <v>computercomponent</v>
      </c>
      <c r="B13" s="38" t="str">
        <f>IF(ISBLANK(Values!E12),"",Values!F12)</f>
        <v>HP zbook 1517 G3G4 BL - US int</v>
      </c>
      <c r="C13" s="32" t="str">
        <f>IF(ISBLANK(Values!E12),"","TellusRem")</f>
        <v>TellusRem</v>
      </c>
      <c r="D13" s="30">
        <f>IF(ISBLANK(Values!E12),"",Values!E12)</f>
        <v>5714401153078</v>
      </c>
      <c r="E13" s="31" t="str">
        <f>IF(ISBLANK(Values!E12),"","EAN")</f>
        <v>EAN</v>
      </c>
      <c r="F13" s="29" t="str">
        <f>IF(ISBLANK(Values!E12),"",IF(Values!J12, SUBSTITUTE(Values!$B$1, "{language}", Values!H12) &amp; " " &amp;Values!$B$3, SUBSTITUTE(Values!$B$2, "{language}", Values!$H12) &amp; " " &amp;Values!$B$3))</f>
        <v>ersatztastatur US International Hintergrundbeleuchtung für HP   Zbook 15 G3, Zbook 17 G3, Zbook 15 G4, Zbook 17 G4</v>
      </c>
      <c r="G13" s="32" t="str">
        <f>IF(ISBLANK(Values!E12),"","TellusRem")</f>
        <v>TellusRem</v>
      </c>
      <c r="H13" s="31" t="str">
        <f>IF(ISBLANK(Values!E12),"",Values!$B$16)</f>
        <v>computer-keyboards</v>
      </c>
      <c r="I13" s="31" t="str">
        <f>IF(ISBLANK(Values!E12),"","4730574031")</f>
        <v>4730574031</v>
      </c>
      <c r="J13" s="39" t="str">
        <f>IF(ISBLANK(Values!E12),"",Values!F12 )</f>
        <v>HP zbook 1517 G3G4 BL - US int</v>
      </c>
      <c r="K13" s="29">
        <f>IF(ISBLANK(Values!E12),"",IF(Values!J12, Values!$B$4, Values!$B$5))</f>
        <v>52.99</v>
      </c>
      <c r="L13" s="40" t="str">
        <f>IF(ISBLANK(Values!E12),"",IF($CO13="DEFAULT", Values!$B$18, ""))</f>
        <v/>
      </c>
      <c r="M13" s="29" t="str">
        <f>IF(ISBLANK(Values!E12),"",Values!$M12)</f>
        <v>https://raw.githubusercontent.com/PatrickVibild/TellusAmazonPictures/master/pictures/HP/W. PS/Zbook 15-17 G3-G4/USI/1.jpg</v>
      </c>
      <c r="N13" s="29" t="str">
        <f>IF(ISBLANK(Values!$F12),"",Values!N12)</f>
        <v>https://raw.githubusercontent.com/PatrickVibild/TellusAmazonPictures/master/pictures/HP/W. PS/Zbook 15-17 G3-G4/USI/2.jpg</v>
      </c>
      <c r="O13" s="29" t="str">
        <f>IF(ISBLANK(Values!$F12),"",Values!O12)</f>
        <v>https://raw.githubusercontent.com/PatrickVibild/TellusAmazonPictures/master/pictures/HP/W. PS/Zbook 15-17 G3-G4/USI/3.jpg</v>
      </c>
      <c r="P13" s="29" t="str">
        <f>IF(ISBLANK(Values!$F12),"",Values!P12)</f>
        <v>https://raw.githubusercontent.com/PatrickVibild/TellusAmazonPictures/master/pictures/HP/W. PS/Zbook 15-17 G3-G4/USI/4.jpg</v>
      </c>
      <c r="Q13" s="29" t="str">
        <f>IF(ISBLANK(Values!$F12),"",Values!Q12)</f>
        <v>https://raw.githubusercontent.com/PatrickVibild/TellusAmazonPictures/master/pictures/HP/W. PS/Zbook 15-17 G3-G4/USI/5.jpg</v>
      </c>
      <c r="R13" s="29" t="str">
        <f>IF(ISBLANK(Values!$F12),"",Values!R12)</f>
        <v>https://raw.githubusercontent.com/PatrickVibild/TellusAmazonPictures/master/pictures/HP/W. PS/Zbook 15-17 G3-G4/USI/6.jpg</v>
      </c>
      <c r="S13" s="29" t="str">
        <f>IF(ISBLANK(Values!$F12),"",Values!S12)</f>
        <v>https://raw.githubusercontent.com/PatrickVibild/TellusAmazonPictures/master/pictures/HP/W. PS/Zbook 15-17 G3-G4/USI/7.jpg</v>
      </c>
      <c r="T13" s="29" t="str">
        <f>IF(ISBLANK(Values!$F12),"",Values!T12)</f>
        <v>https://raw.githubusercontent.com/PatrickVibild/TellusAmazonPictures/master/pictures/HP/W. PS/Zbook 15-17 G3-G4/USI/8.jpg</v>
      </c>
      <c r="U13" s="29" t="str">
        <f>IF(ISBLANK(Values!$F12),"",Values!U12)</f>
        <v>https://raw.githubusercontent.com/PatrickVibild/TellusAmazonPictures/master/pictures/HP/W. PS/Zbook 15-17 G3-G4/USI/9.jpg</v>
      </c>
      <c r="V13" s="36"/>
      <c r="W13" s="32" t="str">
        <f>IF(ISBLANK(Values!E12),"","Child")</f>
        <v>Child</v>
      </c>
      <c r="X13" s="32" t="str">
        <f>IF(ISBLANK(Values!E12),"",Values!$B$13)</f>
        <v>HP zbook 1517 G3G4 parent</v>
      </c>
      <c r="Y13" s="39" t="str">
        <f>IF(ISBLANK(Values!E12),"","Size-Color")</f>
        <v>Size-Color</v>
      </c>
      <c r="Z13" s="32" t="str">
        <f>IF(ISBLANK(Values!E12),"","variation")</f>
        <v>variation</v>
      </c>
      <c r="AA13" s="36" t="str">
        <f>IF(ISBLANK(Values!E12),"",Values!$B$20)</f>
        <v>Update</v>
      </c>
      <c r="AB13" s="36"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13" s="36"/>
      <c r="AD13" s="36"/>
      <c r="AE13" s="36"/>
      <c r="AF13" s="36"/>
      <c r="AG13" s="36"/>
      <c r="AH13" s="36"/>
      <c r="AI13" s="41"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Zbook 15 G3, Zbook 17 G3, Zbook 15 G4, Zbook 17 G4</v>
      </c>
      <c r="AK13" s="36" t="str">
        <f>IF(ISBLANK(Values!E12),"",Values!$B$25)</f>
        <v xml:space="preserve">♻️ ÖFFENTLICHES PRODUKT - Kaufen Sie renoviert, KAUFEN SIE GRÜN! Reduzieren Sie mehr als 80% Kohlendioxid, indem Sie unsere überholten Tastaturen kaufen, im Vergleich zu einer neuen Tastatur! </v>
      </c>
      <c r="AL13" s="36" t="str">
        <f>IF(ISBLANK(Values!E12),"",SUBSTITUTE(SUBSTITUTE(IF(Values!$J12, Values!$B$26, Values!$B$33), "{language}", Values!$H12), "{flag}", INDEX(options!$E$1:$E$20, Values!$V12)))</f>
        <v xml:space="preserve">👉 LAYOUT - 🇺🇸 with € symbol US International mit Hintergrundbeleuchtung </v>
      </c>
      <c r="AM13" s="36" t="str">
        <f>SUBSTITUTE(IF(ISBLANK(Values!E12),"",Values!$B$27), "{model}", Values!$B$3)</f>
        <v xml:space="preserve">👉 KOMPATIBEL MIT - HP Zbook 15 G3, Zbook 17 G3, Zbook 15 G4, Zbook 17 G4. Bitte überprüfen Sie das Bild und die Beschreibung sorgfältig, bevor Sie eine Tastatur kaufen. Dies stellt sicher, dass Sie die richtige Laptop-Tastatur für Ihren Computer erhalten. Super einfache Installation. </v>
      </c>
      <c r="AN13" s="36"/>
      <c r="AO13" s="36"/>
      <c r="AP13" s="36"/>
      <c r="AQ13" s="36"/>
      <c r="AR13" s="36"/>
      <c r="AS13" s="36"/>
      <c r="AT13" s="29" t="str">
        <f>IF(ISBLANK(Values!E12),"",Values!H12)</f>
        <v>US International</v>
      </c>
      <c r="AU13" s="36"/>
      <c r="AV13" s="36" t="str">
        <f>IF(ISBLANK(Values!E12),"",IF(Values!J12,"Backlit", "Non-Backlit"))</f>
        <v>Backlit</v>
      </c>
      <c r="AW13"/>
      <c r="AX13" s="36"/>
      <c r="AY13" s="36"/>
      <c r="AZ13" s="36"/>
      <c r="BA13" s="36"/>
      <c r="BB13" s="36"/>
      <c r="BC13" s="36"/>
      <c r="BD13" s="36"/>
      <c r="BE13" s="31" t="str">
        <f>IF(ISBLANK(Values!E12),"","Professional Audience")</f>
        <v>Professional Audience</v>
      </c>
      <c r="BF13" s="31" t="str">
        <f>IF(ISBLANK(Values!E12),"","Consumer Audience")</f>
        <v>Consumer Audience</v>
      </c>
      <c r="BG13" s="31" t="str">
        <f>IF(ISBLANK(Values!E12),"","Adults")</f>
        <v>Adults</v>
      </c>
      <c r="BH13" s="31" t="str">
        <f>IF(ISBLANK(Values!E12),"","People")</f>
        <v>People</v>
      </c>
      <c r="BI13" s="36"/>
      <c r="BJ13" s="36"/>
      <c r="BK13" s="36"/>
      <c r="BL13" s="36"/>
      <c r="BM13" s="36"/>
      <c r="BN13" s="36"/>
      <c r="BO13" s="36"/>
      <c r="BP13" s="36"/>
      <c r="BQ13" s="36"/>
      <c r="BR13" s="36"/>
      <c r="BS13" s="36"/>
      <c r="BT13" s="36"/>
      <c r="BU13" s="36"/>
      <c r="BV13" s="36"/>
      <c r="BW13" s="36"/>
      <c r="BX13" s="36"/>
      <c r="BY13" s="36"/>
      <c r="BZ13" s="36"/>
      <c r="CA13" s="36"/>
      <c r="CB13" s="36"/>
      <c r="CC13" s="36"/>
      <c r="CD13" s="36"/>
      <c r="CE13" s="36"/>
      <c r="CF13" s="36"/>
      <c r="CG13" s="36">
        <f>IF(ISBLANK(Values!E12),"",Values!$B$11)</f>
        <v>150</v>
      </c>
      <c r="CH13" s="36" t="str">
        <f>IF(ISBLANK(Values!E12),"","GR")</f>
        <v>GR</v>
      </c>
      <c r="CI13" s="36" t="str">
        <f>IF(ISBLANK(Values!E12),"",Values!$B$7)</f>
        <v>32</v>
      </c>
      <c r="CJ13" s="36" t="str">
        <f>IF(ISBLANK(Values!E12),"",Values!$B$8)</f>
        <v>18</v>
      </c>
      <c r="CK13" s="36" t="str">
        <f>IF(ISBLANK(Values!E12),"",Values!$B$9)</f>
        <v>2</v>
      </c>
      <c r="CL13" s="36" t="str">
        <f>IF(ISBLANK(Values!E12),"","CM")</f>
        <v>CM</v>
      </c>
      <c r="CM13" s="36"/>
      <c r="CN13" s="36"/>
      <c r="CO13" s="36" t="str">
        <f>IF(ISBLANK(Values!E12), "", IF(AND(Values!$B$37=options!$G$2, Values!$C12), "AMAZON_NA", IF(AND(Values!$B$37=options!$G$1, Values!$D12), "AMAZON_EU", "DEFAULT")))</f>
        <v>AMAZON_EU</v>
      </c>
      <c r="CP13" s="36" t="str">
        <f>IF(ISBLANK(Values!E12),"",Values!$B$7)</f>
        <v>32</v>
      </c>
      <c r="CQ13" s="36" t="str">
        <f>IF(ISBLANK(Values!E12),"",Values!$B$8)</f>
        <v>18</v>
      </c>
      <c r="CR13" s="36" t="str">
        <f>IF(ISBLANK(Values!E12),"",Values!$B$9)</f>
        <v>2</v>
      </c>
      <c r="CS13" s="36">
        <f>IF(ISBLANK(Values!E12),"",Values!$B$11)</f>
        <v>150</v>
      </c>
      <c r="CT13" s="36" t="str">
        <f>IF(ISBLANK(Values!E12),"","GR")</f>
        <v>GR</v>
      </c>
      <c r="CU13" s="36"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13" s="36"/>
      <c r="CX13" s="36"/>
      <c r="CY13" s="36"/>
      <c r="CZ13" s="36" t="str">
        <f>IF(ISBLANK(Values!E12),"","No")</f>
        <v>No</v>
      </c>
      <c r="DA13" s="36" t="str">
        <f>IF(ISBLANK(Values!E12),"","No")</f>
        <v>No</v>
      </c>
      <c r="DB13" s="36"/>
      <c r="DO13" s="27" t="str">
        <f>IF(ISBLANK(Values!#REF!),"","Parts")</f>
        <v>Parts</v>
      </c>
      <c r="DP13" s="27" t="str">
        <f>IF(ISBLANK(Values!#REF!),"",Values!$B$31)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IF(ISBLANK(Values!#REF!), "", "not_applicable")</f>
        <v>not_applicable</v>
      </c>
      <c r="DZ13" s="31"/>
      <c r="EA13" s="31"/>
      <c r="EB13" s="31"/>
      <c r="EC13" s="31"/>
      <c r="EI13" s="1" t="str">
        <f>IF(ISBLANK(Values!#REF!),"",Values!$B$31)</f>
        <v>6 Monate Garantie nach dem Liefertermin. Im Falle einer Fehlfunktion der Tastatur wird ein neues Gerät oder ein Ersatzteil für die Tastatur des Produkts gesendet. Bei Sortierung des Bestands wird eine volle Rückerstattung gewährt.</v>
      </c>
      <c r="ES13" s="1" t="str">
        <f>IF(ISBLANK(Values!#REF!),"","Amazon Tellus UPS")</f>
        <v>Amazon Tellus UPS</v>
      </c>
      <c r="EV13" s="31" t="str">
        <f>IF(ISBLANK(Values!#REF!),"","New")</f>
        <v>New</v>
      </c>
      <c r="FE13" s="1" t="str">
        <f>IF(ISBLANK(Values!#REF!),"",IF(CO13&lt;&gt;"DEFAULT", "", 3))</f>
        <v/>
      </c>
      <c r="FH13" s="1" t="str">
        <f>IF(ISBLANK(Values!#REF!),"","FALSE")</f>
        <v>FALSE</v>
      </c>
      <c r="FI13" s="1" t="str">
        <f>IF(ISBLANK(Values!#REF!),"","FALSE")</f>
        <v>FALSE</v>
      </c>
      <c r="FJ13" s="1" t="str">
        <f>IF(ISBLANK(Values!#REF!),"","FALSE")</f>
        <v>FALSE</v>
      </c>
      <c r="FM13" s="1" t="str">
        <f>IF(ISBLANK(Values!#REF!),"","1")</f>
        <v>1</v>
      </c>
      <c r="FO13" s="28">
        <f>IF(ISBLANK(Values!#REF!),"",IF(Values!J12, Values!$B$4, Values!$B$5))</f>
        <v>52.99</v>
      </c>
      <c r="FP13" s="1" t="str">
        <f>IF(ISBLANK(Values!#REF!),"","Percent")</f>
        <v>Percent</v>
      </c>
      <c r="FQ13" s="1" t="str">
        <f>IF(ISBLANK(Values!#REF!),"","2")</f>
        <v>2</v>
      </c>
      <c r="FR13" s="1" t="str">
        <f>IF(ISBLANK(Values!#REF!),"","3")</f>
        <v>3</v>
      </c>
      <c r="FS13" s="1" t="str">
        <f>IF(ISBLANK(Values!#REF!),"","5")</f>
        <v>5</v>
      </c>
      <c r="FT13" s="1" t="str">
        <f>IF(ISBLANK(Values!#REF!),"","6")</f>
        <v>6</v>
      </c>
      <c r="FU13" s="1" t="str">
        <f>IF(ISBLANK(Values!#REF!),"","10")</f>
        <v>10</v>
      </c>
      <c r="FV13" s="1" t="str">
        <f>IF(ISBLANK(Values!#REF!),"","10")</f>
        <v>10</v>
      </c>
    </row>
    <row r="14" spans="1:192" ht="48" x14ac:dyDescent="0.2">
      <c r="A14" s="31" t="str">
        <f>IF(ISBLANK(Values!E13),"",IF(Values!$B$37="EU","computercomponent","computer"))</f>
        <v>computercomponent</v>
      </c>
      <c r="B14" s="38" t="str">
        <f>IF(ISBLANK(Values!E13),"",Values!F13)</f>
        <v>HP zbook 1517 G3G4 BL - US</v>
      </c>
      <c r="C14" s="32" t="str">
        <f>IF(ISBLANK(Values!E13),"","TellusRem")</f>
        <v>TellusRem</v>
      </c>
      <c r="D14" s="30">
        <f>IF(ISBLANK(Values!E13),"",Values!E13)</f>
        <v>5714401153085</v>
      </c>
      <c r="E14" s="31" t="str">
        <f>IF(ISBLANK(Values!E13),"","EAN")</f>
        <v>EAN</v>
      </c>
      <c r="F14" s="29" t="str">
        <f>IF(ISBLANK(Values!E13),"",IF(Values!J13, SUBSTITUTE(Values!$B$1, "{language}", Values!H13) &amp; " " &amp;Values!$B$3, SUBSTITUTE(Values!$B$2, "{language}", Values!$H13) &amp; " " &amp;Values!$B$3))</f>
        <v>ersatztastatur US  Hintergrundbeleuchtung für HP   Zbook 15 G3, Zbook 17 G3, Zbook 15 G4, Zbook 17 G4</v>
      </c>
      <c r="G14" s="32" t="str">
        <f>IF(ISBLANK(Values!E13),"","TellusRem")</f>
        <v>TellusRem</v>
      </c>
      <c r="H14" s="31" t="str">
        <f>IF(ISBLANK(Values!E13),"",Values!$B$16)</f>
        <v>computer-keyboards</v>
      </c>
      <c r="I14" s="31" t="str">
        <f>IF(ISBLANK(Values!E13),"","4730574031")</f>
        <v>4730574031</v>
      </c>
      <c r="J14" s="39" t="str">
        <f>IF(ISBLANK(Values!E13),"",Values!F13 )</f>
        <v>HP zbook 1517 G3G4 BL - US</v>
      </c>
      <c r="K14" s="29">
        <f>IF(ISBLANK(Values!E13),"",IF(Values!J13, Values!$B$4, Values!$B$5))</f>
        <v>52.99</v>
      </c>
      <c r="L14" s="40">
        <f>IF(ISBLANK(Values!E13),"",IF($CO14="DEFAULT", Values!$B$18, ""))</f>
        <v>5</v>
      </c>
      <c r="M14" s="29" t="str">
        <f>IF(ISBLANK(Values!E13),"",Values!$M13)</f>
        <v>https://raw.githubusercontent.com/PatrickVibild/TellusAmazonPictures/master/pictures/HP/W. PS/Zbook 15-17 G3-G4/US/1.jpg</v>
      </c>
      <c r="N14" s="29" t="str">
        <f>IF(ISBLANK(Values!$F13),"",Values!N13)</f>
        <v>https://raw.githubusercontent.com/PatrickVibild/TellusAmazonPictures/master/pictures/HP/W. PS/Zbook 15-17 G3-G4/US/2.jpg</v>
      </c>
      <c r="O14" s="29" t="str">
        <f>IF(ISBLANK(Values!$F13),"",Values!O13)</f>
        <v>https://raw.githubusercontent.com/PatrickVibild/TellusAmazonPictures/master/pictures/HP/W. PS/Zbook 15-17 G3-G4/US/3.jpg</v>
      </c>
      <c r="P14" s="29" t="str">
        <f>IF(ISBLANK(Values!$F13),"",Values!P13)</f>
        <v>https://raw.githubusercontent.com/PatrickVibild/TellusAmazonPictures/master/pictures/HP/W. PS/Zbook 15-17 G3-G4/US/4.jpg</v>
      </c>
      <c r="Q14" s="29" t="str">
        <f>IF(ISBLANK(Values!$F13),"",Values!Q13)</f>
        <v>https://raw.githubusercontent.com/PatrickVibild/TellusAmazonPictures/master/pictures/HP/W. PS/Zbook 15-17 G3-G4/US/5.jpg</v>
      </c>
      <c r="R14" s="29" t="str">
        <f>IF(ISBLANK(Values!$F13),"",Values!R13)</f>
        <v>https://raw.githubusercontent.com/PatrickVibild/TellusAmazonPictures/master/pictures/HP/W. PS/Zbook 15-17 G3-G4/US/6.jpg</v>
      </c>
      <c r="S14" s="29" t="str">
        <f>IF(ISBLANK(Values!$F13),"",Values!S13)</f>
        <v>https://raw.githubusercontent.com/PatrickVibild/TellusAmazonPictures/master/pictures/HP/W. PS/Zbook 15-17 G3-G4/US/7.jpg</v>
      </c>
      <c r="T14" s="29" t="str">
        <f>IF(ISBLANK(Values!$F13),"",Values!T13)</f>
        <v>https://raw.githubusercontent.com/PatrickVibild/TellusAmazonPictures/master/pictures/HP/W. PS/Zbook 15-17 G3-G4/US/8.jpg</v>
      </c>
      <c r="U14" s="29" t="str">
        <f>IF(ISBLANK(Values!$F13),"",Values!U13)</f>
        <v>https://raw.githubusercontent.com/PatrickVibild/TellusAmazonPictures/master/pictures/HP/W. PS/Zbook 15-17 G3-G4/US/9.jpg</v>
      </c>
      <c r="V14" s="36"/>
      <c r="W14" s="32" t="str">
        <f>IF(ISBLANK(Values!E13),"","Child")</f>
        <v>Child</v>
      </c>
      <c r="X14" s="32" t="str">
        <f>IF(ISBLANK(Values!E13),"",Values!$B$13)</f>
        <v>HP zbook 1517 G3G4 parent</v>
      </c>
      <c r="Y14" s="39" t="str">
        <f>IF(ISBLANK(Values!E13),"","Size-Color")</f>
        <v>Size-Color</v>
      </c>
      <c r="Z14" s="32" t="str">
        <f>IF(ISBLANK(Values!E13),"","variation")</f>
        <v>variation</v>
      </c>
      <c r="AA14" s="36" t="str">
        <f>IF(ISBLANK(Values!E13),"",Values!$B$20)</f>
        <v>Update</v>
      </c>
      <c r="AB14" s="36"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14" s="36"/>
      <c r="AD14" s="36"/>
      <c r="AE14" s="36"/>
      <c r="AF14" s="36"/>
      <c r="AG14" s="36"/>
      <c r="AH14" s="36"/>
      <c r="AI14" s="41"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Zbook 15 G3, Zbook 17 G3, Zbook 15 G4, Zbook 17 G4</v>
      </c>
      <c r="AK14" s="36" t="str">
        <f>IF(ISBLANK(Values!E13),"",Values!$B$25)</f>
        <v xml:space="preserve">♻️ ÖFFENTLICHES PRODUKT - Kaufen Sie renoviert, KAUFEN SIE GRÜN! Reduzieren Sie mehr als 80% Kohlendioxid, indem Sie unsere überholten Tastaturen kaufen, im Vergleich zu einer neuen Tastatur! </v>
      </c>
      <c r="AL14" s="36" t="str">
        <f>IF(ISBLANK(Values!E13),"",SUBSTITUTE(SUBSTITUTE(IF(Values!$J13, Values!$B$26, Values!$B$33), "{language}", Values!$H13), "{flag}", INDEX(options!$E$1:$E$20, Values!$V13)))</f>
        <v xml:space="preserve">👉 LAYOUT - 🇺🇸 US  mit Hintergrundbeleuchtung </v>
      </c>
      <c r="AM14" s="36" t="str">
        <f>SUBSTITUTE(IF(ISBLANK(Values!E13),"",Values!$B$27), "{model}", Values!$B$3)</f>
        <v xml:space="preserve">👉 KOMPATIBEL MIT - HP Zbook 15 G3, Zbook 17 G3, Zbook 15 G4, Zbook 17 G4. Bitte überprüfen Sie das Bild und die Beschreibung sorgfältig, bevor Sie eine Tastatur kaufen. Dies stellt sicher, dass Sie die richtige Laptop-Tastatur für Ihren Computer erhalten. Super einfache Installation. </v>
      </c>
      <c r="AN14" s="36"/>
      <c r="AO14" s="36"/>
      <c r="AP14" s="36"/>
      <c r="AQ14" s="36"/>
      <c r="AR14" s="36"/>
      <c r="AS14" s="36"/>
      <c r="AT14" s="29" t="str">
        <f>IF(ISBLANK(Values!E13),"",Values!H13)</f>
        <v xml:space="preserve">US </v>
      </c>
      <c r="AU14" s="36"/>
      <c r="AV14" s="36" t="str">
        <f>IF(ISBLANK(Values!E13),"",IF(Values!J13,"Backlit", "Non-Backlit"))</f>
        <v>Backlit</v>
      </c>
      <c r="AW14"/>
      <c r="AX14" s="36"/>
      <c r="AY14" s="36"/>
      <c r="AZ14" s="36"/>
      <c r="BA14" s="36"/>
      <c r="BB14" s="36"/>
      <c r="BC14" s="36"/>
      <c r="BD14" s="36"/>
      <c r="BE14" s="31" t="str">
        <f>IF(ISBLANK(Values!E13),"","Professional Audience")</f>
        <v>Professional Audience</v>
      </c>
      <c r="BF14" s="31" t="str">
        <f>IF(ISBLANK(Values!E13),"","Consumer Audience")</f>
        <v>Consumer Audience</v>
      </c>
      <c r="BG14" s="31" t="str">
        <f>IF(ISBLANK(Values!E13),"","Adults")</f>
        <v>Adults</v>
      </c>
      <c r="BH14" s="31" t="str">
        <f>IF(ISBLANK(Values!E13),"","People")</f>
        <v>People</v>
      </c>
      <c r="BI14" s="36"/>
      <c r="BJ14" s="36"/>
      <c r="BK14" s="36"/>
      <c r="BL14" s="36"/>
      <c r="BM14" s="36"/>
      <c r="BN14" s="36"/>
      <c r="BO14" s="36"/>
      <c r="BP14" s="36"/>
      <c r="BQ14" s="36"/>
      <c r="BR14" s="36"/>
      <c r="BS14" s="36"/>
      <c r="BT14" s="36"/>
      <c r="BU14" s="36"/>
      <c r="BV14" s="36"/>
      <c r="BW14" s="36"/>
      <c r="BX14" s="36"/>
      <c r="BY14" s="36"/>
      <c r="BZ14" s="36"/>
      <c r="CA14" s="36"/>
      <c r="CB14" s="36"/>
      <c r="CC14" s="36"/>
      <c r="CD14" s="36"/>
      <c r="CE14" s="36"/>
      <c r="CF14" s="36"/>
      <c r="CG14" s="36">
        <f>IF(ISBLANK(Values!E13),"",Values!$B$11)</f>
        <v>150</v>
      </c>
      <c r="CH14" s="36" t="str">
        <f>IF(ISBLANK(Values!E13),"","GR")</f>
        <v>GR</v>
      </c>
      <c r="CI14" s="36" t="str">
        <f>IF(ISBLANK(Values!E13),"",Values!$B$7)</f>
        <v>32</v>
      </c>
      <c r="CJ14" s="36" t="str">
        <f>IF(ISBLANK(Values!E13),"",Values!$B$8)</f>
        <v>18</v>
      </c>
      <c r="CK14" s="36" t="str">
        <f>IF(ISBLANK(Values!E13),"",Values!$B$9)</f>
        <v>2</v>
      </c>
      <c r="CL14" s="36" t="str">
        <f>IF(ISBLANK(Values!E13),"","CM")</f>
        <v>CM</v>
      </c>
      <c r="CM14" s="36"/>
      <c r="CN14" s="36"/>
      <c r="CO14" s="36" t="str">
        <f>IF(ISBLANK(Values!E13), "", IF(AND(Values!$B$37=options!$G$2, Values!$C13), "AMAZON_NA", IF(AND(Values!$B$37=options!$G$1, Values!$D13), "AMAZON_EU", "DEFAULT")))</f>
        <v>DEFAULT</v>
      </c>
      <c r="CP14" s="36" t="str">
        <f>IF(ISBLANK(Values!E13),"",Values!$B$7)</f>
        <v>32</v>
      </c>
      <c r="CQ14" s="36" t="str">
        <f>IF(ISBLANK(Values!E13),"",Values!$B$8)</f>
        <v>18</v>
      </c>
      <c r="CR14" s="36" t="str">
        <f>IF(ISBLANK(Values!E13),"",Values!$B$9)</f>
        <v>2</v>
      </c>
      <c r="CS14" s="36">
        <f>IF(ISBLANK(Values!E13),"",Values!$B$11)</f>
        <v>150</v>
      </c>
      <c r="CT14" s="36" t="str">
        <f>IF(ISBLANK(Values!E13),"","GR")</f>
        <v>GR</v>
      </c>
      <c r="CU14" s="36"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14" s="36"/>
      <c r="CX14" s="36"/>
      <c r="CY14" s="36"/>
      <c r="CZ14" s="36" t="str">
        <f>IF(ISBLANK(Values!E13),"","No")</f>
        <v>No</v>
      </c>
      <c r="DA14" s="36" t="str">
        <f>IF(ISBLANK(Values!E13),"","No")</f>
        <v>No</v>
      </c>
      <c r="DB14" s="36"/>
      <c r="DO14" s="27" t="str">
        <f>IF(ISBLANK(Values!#REF!),"","Parts")</f>
        <v>Parts</v>
      </c>
      <c r="DP14" s="27" t="str">
        <f>IF(ISBLANK(Values!#REF!),"",Values!$B$31)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IF(ISBLANK(Values!#REF!), "", "not_applicable")</f>
        <v>not_applicable</v>
      </c>
      <c r="DZ14" s="31"/>
      <c r="EA14" s="31"/>
      <c r="EB14" s="31"/>
      <c r="EC14" s="31"/>
      <c r="EI14" s="1" t="str">
        <f>IF(ISBLANK(Values!#REF!),"",Values!$B$31)</f>
        <v>6 Monate Garantie nach dem Liefertermin. Im Falle einer Fehlfunktion der Tastatur wird ein neues Gerät oder ein Ersatzteil für die Tastatur des Produkts gesendet. Bei Sortierung des Bestands wird eine volle Rückerstattung gewährt.</v>
      </c>
      <c r="ES14" s="1" t="str">
        <f>IF(ISBLANK(Values!#REF!),"","Amazon Tellus UPS")</f>
        <v>Amazon Tellus UPS</v>
      </c>
      <c r="EV14" s="31" t="str">
        <f>IF(ISBLANK(Values!#REF!),"","New")</f>
        <v>New</v>
      </c>
      <c r="FE14" s="1">
        <f>IF(ISBLANK(Values!#REF!),"",IF(CO14&lt;&gt;"DEFAULT", "", 3))</f>
        <v>3</v>
      </c>
      <c r="FH14" s="1" t="str">
        <f>IF(ISBLANK(Values!#REF!),"","FALSE")</f>
        <v>FALSE</v>
      </c>
      <c r="FI14" s="1" t="str">
        <f>IF(ISBLANK(Values!#REF!),"","FALSE")</f>
        <v>FALSE</v>
      </c>
      <c r="FJ14" s="1" t="str">
        <f>IF(ISBLANK(Values!#REF!),"","FALSE")</f>
        <v>FALSE</v>
      </c>
      <c r="FM14" s="1" t="str">
        <f>IF(ISBLANK(Values!#REF!),"","1")</f>
        <v>1</v>
      </c>
      <c r="FO14" s="28">
        <f>IF(ISBLANK(Values!#REF!),"",IF(Values!J13, Values!$B$4, Values!$B$5))</f>
        <v>52.99</v>
      </c>
      <c r="FP14" s="1" t="str">
        <f>IF(ISBLANK(Values!#REF!),"","Percent")</f>
        <v>Percent</v>
      </c>
      <c r="FQ14" s="1" t="str">
        <f>IF(ISBLANK(Values!#REF!),"","2")</f>
        <v>2</v>
      </c>
      <c r="FR14" s="1" t="str">
        <f>IF(ISBLANK(Values!#REF!),"","3")</f>
        <v>3</v>
      </c>
      <c r="FS14" s="1" t="str">
        <f>IF(ISBLANK(Values!#REF!),"","5")</f>
        <v>5</v>
      </c>
      <c r="FT14" s="1" t="str">
        <f>IF(ISBLANK(Values!#REF!),"","6")</f>
        <v>6</v>
      </c>
      <c r="FU14" s="1" t="str">
        <f>IF(ISBLANK(Values!#REF!),"","10")</f>
        <v>10</v>
      </c>
      <c r="FV14" s="1" t="str">
        <f>IF(ISBLANK(Values!#REF!),"","10")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10 N11:N204 O11:U122 M11: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4 P7:P1048576">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4 Q7:Q1048576">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4 R7:R1048576">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4 S7:S1048576">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4 T7:T1048576">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4 U7:U1048576">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4 V7:V1048576">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4 AC7:AC1048576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4 AT7:AT1048576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4 AW7:AW1048576">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4 CP7:CP1048576">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4 CQ7:CQ1048576">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4 CR7:CR1048576">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FO5:FO204 K4:K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5:U10 M15:N204 N11:N14 O11:U122 M4:M1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ES4:ES1041 A4:A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J4:V4 AB4:AC4 AI4:AT4 DE4:DH1041 DJ4:DN1041 DQ4:DQ1041 DT4:DU1041 ED4:EF1041 EH4:EH1041 ET4:EU1041 EW4:FA1041 FC4:FI1041 FK4:FO4 FQ4:FZ1041 GB4:GE1041 GG4:GJ1041 DP5:DP1041 FJ5:FO204 AT167:AT1041 B205:B1041 D205:D1041 J205:V1041 AC205:AC1041 AV205:AV1041 FK205:FO1041 AJ222:AS1041 FE1042:FE1043 K5:V204 AK5:AS221 AI5:AI1041 AB5:AB1041 C5:C1041 CW4:CW1041 CP4:CS1041 CI4:CK1041 CF4:CG1041 BC4:BD1041 AX4:AZ1041 AV4:AV166 X4:X1041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 zoomScaleNormal="100" workbookViewId="0">
      <selection activeCell="D22" sqref="D22"/>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77" t="s">
        <v>352</v>
      </c>
      <c r="F1" s="77"/>
      <c r="G1" s="77"/>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ht="17" x14ac:dyDescent="0.2">
      <c r="A3" s="45" t="s">
        <v>354</v>
      </c>
      <c r="B3" s="76" t="s">
        <v>685</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3" x14ac:dyDescent="0.2">
      <c r="A4" s="45" t="s">
        <v>369</v>
      </c>
      <c r="B4" s="49">
        <v>52.99</v>
      </c>
      <c r="C4" s="50" t="b">
        <f>FALSE()</f>
        <v>0</v>
      </c>
      <c r="D4" s="50" t="b">
        <f>TRUE()</f>
        <v>1</v>
      </c>
      <c r="E4" s="75">
        <v>5714401153115</v>
      </c>
      <c r="F4" s="73" t="s">
        <v>686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3" t="b">
        <f>TRUE()</f>
        <v>1</v>
      </c>
      <c r="J4" s="54" t="b">
        <v>1</v>
      </c>
      <c r="K4" s="51" t="s">
        <v>677</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PS/Zbook 15-17 G3-G4/DE/1.jpg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PS/Zbook 15-17 G3-G4/DE/2.jpg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PS/Zbook 15-17 G3-G4/DE/3.jpg</v>
      </c>
      <c r="P4" t="str">
        <f t="shared" ref="P4:P35" si="3">IF(ISBLANK(K4),"",IF(L4, "https://raw.githubusercontent.com/PatrickVibild/TellusAmazonPictures/master/pictures/"&amp;K4&amp;"/4.jpg", ""))</f>
        <v>https://raw.githubusercontent.com/PatrickVibild/TellusAmazonPictures/master/pictures/HP/W. PS/Zbook 15-17 G3-G4/DE/4.jpg</v>
      </c>
      <c r="Q4" t="str">
        <f t="shared" ref="Q4:Q35" si="4">IF(ISBLANK(K4),"",IF(L4, "https://raw.githubusercontent.com/PatrickVibild/TellusAmazonPictures/master/pictures/"&amp;K4&amp;"/5.jpg", ""))</f>
        <v>https://raw.githubusercontent.com/PatrickVibild/TellusAmazonPictures/master/pictures/HP/W. PS/Zbook 15-17 G3-G4/DE/5.jpg</v>
      </c>
      <c r="R4" t="str">
        <f t="shared" ref="R4:R35" si="5">IF(ISBLANK(K4),"",IF(L4, "https://raw.githubusercontent.com/PatrickVibild/TellusAmazonPictures/master/pictures/"&amp;K4&amp;"/6.jpg", ""))</f>
        <v>https://raw.githubusercontent.com/PatrickVibild/TellusAmazonPictures/master/pictures/HP/W. PS/Zbook 15-17 G3-G4/DE/6.jpg</v>
      </c>
      <c r="S4" t="str">
        <f t="shared" ref="S4:S35" si="6">IF(ISBLANK(K4),"",IF(L4, "https://raw.githubusercontent.com/PatrickVibild/TellusAmazonPictures/master/pictures/"&amp;K4&amp;"/7.jpg", ""))</f>
        <v>https://raw.githubusercontent.com/PatrickVibild/TellusAmazonPictures/master/pictures/HP/W. PS/Zbook 15-17 G3-G4/DE/7.jpg</v>
      </c>
      <c r="T4" t="str">
        <f t="shared" ref="T4:T35" si="7">IF(ISBLANK(K4),"",IF(L4, "https://raw.githubusercontent.com/PatrickVibild/TellusAmazonPictures/master/pictures/"&amp;K4&amp;"/8.jpg",""))</f>
        <v>https://raw.githubusercontent.com/PatrickVibild/TellusAmazonPictures/master/pictures/HP/W. PS/Zbook 15-17 G3-G4/DE/8.jpg</v>
      </c>
      <c r="U4" t="str">
        <f t="shared" ref="U4:U35" si="8">IF(ISBLANK(K4),"",IF(L4, "https://raw.githubusercontent.com/PatrickVibild/TellusAmazonPictures/master/pictures/"&amp;K4&amp;"/9.jpg", ""))</f>
        <v>https://raw.githubusercontent.com/PatrickVibild/TellusAmazonPictures/master/pictures/HP/W. PS/Zbook 15-17 G3-G4/DE/9.jpg</v>
      </c>
      <c r="V4" s="58">
        <f>MATCH(G4,options!$D$1:$D$20,0)</f>
        <v>1</v>
      </c>
    </row>
    <row r="5" spans="1:22" ht="43" x14ac:dyDescent="0.2">
      <c r="A5" s="45" t="s">
        <v>371</v>
      </c>
      <c r="B5" s="49">
        <v>42.99</v>
      </c>
      <c r="C5" s="50" t="b">
        <f>FALSE()</f>
        <v>0</v>
      </c>
      <c r="D5" s="50" t="b">
        <f>TRUE()</f>
        <v>1</v>
      </c>
      <c r="E5" s="75">
        <v>5714401153023</v>
      </c>
      <c r="F5" s="73" t="s">
        <v>687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3" t="b">
        <f>TRUE()</f>
        <v>1</v>
      </c>
      <c r="J5" s="54" t="b">
        <v>1</v>
      </c>
      <c r="K5" s="51" t="s">
        <v>678</v>
      </c>
      <c r="L5" s="55" t="b">
        <v>1</v>
      </c>
      <c r="M5" s="56" t="str">
        <f t="shared" si="0"/>
        <v>https://raw.githubusercontent.com/PatrickVibild/TellusAmazonPictures/master/pictures/HP/W. PS/Zbook 15-17 G3-G4/FR/1.jpg</v>
      </c>
      <c r="N5" s="56" t="str">
        <f t="shared" si="1"/>
        <v>https://raw.githubusercontent.com/PatrickVibild/TellusAmazonPictures/master/pictures/HP/W. PS/Zbook 15-17 G3-G4/FR/2.jpg</v>
      </c>
      <c r="O5" s="57" t="str">
        <f t="shared" si="2"/>
        <v>https://raw.githubusercontent.com/PatrickVibild/TellusAmazonPictures/master/pictures/HP/W. PS/Zbook 15-17 G3-G4/FR/3.jpg</v>
      </c>
      <c r="P5" t="str">
        <f t="shared" si="3"/>
        <v>https://raw.githubusercontent.com/PatrickVibild/TellusAmazonPictures/master/pictures/HP/W. PS/Zbook 15-17 G3-G4/FR/4.jpg</v>
      </c>
      <c r="Q5" t="str">
        <f t="shared" si="4"/>
        <v>https://raw.githubusercontent.com/PatrickVibild/TellusAmazonPictures/master/pictures/HP/W. PS/Zbook 15-17 G3-G4/FR/5.jpg</v>
      </c>
      <c r="R5" t="str">
        <f t="shared" si="5"/>
        <v>https://raw.githubusercontent.com/PatrickVibild/TellusAmazonPictures/master/pictures/HP/W. PS/Zbook 15-17 G3-G4/FR/6.jpg</v>
      </c>
      <c r="S5" t="str">
        <f t="shared" si="6"/>
        <v>https://raw.githubusercontent.com/PatrickVibild/TellusAmazonPictures/master/pictures/HP/W. PS/Zbook 15-17 G3-G4/FR/7.jpg</v>
      </c>
      <c r="T5" t="str">
        <f t="shared" si="7"/>
        <v>https://raw.githubusercontent.com/PatrickVibild/TellusAmazonPictures/master/pictures/HP/W. PS/Zbook 15-17 G3-G4/FR/8.jpg</v>
      </c>
      <c r="U5" t="str">
        <f t="shared" si="8"/>
        <v>https://raw.githubusercontent.com/PatrickVibild/TellusAmazonPictures/master/pictures/HP/W. PS/Zbook 15-17 G3-G4/FR/9.jpg</v>
      </c>
      <c r="V5" s="58">
        <f>MATCH(G5,options!$D$1:$D$20,0)</f>
        <v>2</v>
      </c>
    </row>
    <row r="6" spans="1:22" ht="43" x14ac:dyDescent="0.2">
      <c r="A6" s="45" t="s">
        <v>373</v>
      </c>
      <c r="B6" s="59" t="s">
        <v>414</v>
      </c>
      <c r="C6" s="50" t="b">
        <f>FALSE()</f>
        <v>0</v>
      </c>
      <c r="D6" s="50" t="b">
        <f>TRUE()</f>
        <v>1</v>
      </c>
      <c r="E6" s="75">
        <v>5714401153122</v>
      </c>
      <c r="F6" s="73" t="s">
        <v>688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3" t="b">
        <f>TRUE()</f>
        <v>1</v>
      </c>
      <c r="J6" s="54" t="b">
        <v>1</v>
      </c>
      <c r="K6" s="51" t="s">
        <v>679</v>
      </c>
      <c r="L6" s="55" t="b">
        <v>1</v>
      </c>
      <c r="M6" s="56" t="str">
        <f t="shared" si="0"/>
        <v>https://raw.githubusercontent.com/PatrickVibild/TellusAmazonPictures/master/pictures/HP/W. PS/Zbook 15-17 G3-G4/IT/1.jpg</v>
      </c>
      <c r="N6" s="56" t="str">
        <f t="shared" si="1"/>
        <v>https://raw.githubusercontent.com/PatrickVibild/TellusAmazonPictures/master/pictures/HP/W. PS/Zbook 15-17 G3-G4/IT/2.jpg</v>
      </c>
      <c r="O6" s="57" t="str">
        <f t="shared" si="2"/>
        <v>https://raw.githubusercontent.com/PatrickVibild/TellusAmazonPictures/master/pictures/HP/W. PS/Zbook 15-17 G3-G4/IT/3.jpg</v>
      </c>
      <c r="P6" t="str">
        <f t="shared" si="3"/>
        <v>https://raw.githubusercontent.com/PatrickVibild/TellusAmazonPictures/master/pictures/HP/W. PS/Zbook 15-17 G3-G4/IT/4.jpg</v>
      </c>
      <c r="Q6" t="str">
        <f t="shared" si="4"/>
        <v>https://raw.githubusercontent.com/PatrickVibild/TellusAmazonPictures/master/pictures/HP/W. PS/Zbook 15-17 G3-G4/IT/5.jpg</v>
      </c>
      <c r="R6" t="str">
        <f t="shared" si="5"/>
        <v>https://raw.githubusercontent.com/PatrickVibild/TellusAmazonPictures/master/pictures/HP/W. PS/Zbook 15-17 G3-G4/IT/6.jpg</v>
      </c>
      <c r="S6" t="str">
        <f t="shared" si="6"/>
        <v>https://raw.githubusercontent.com/PatrickVibild/TellusAmazonPictures/master/pictures/HP/W. PS/Zbook 15-17 G3-G4/IT/7.jpg</v>
      </c>
      <c r="T6" t="str">
        <f t="shared" si="7"/>
        <v>https://raw.githubusercontent.com/PatrickVibild/TellusAmazonPictures/master/pictures/HP/W. PS/Zbook 15-17 G3-G4/IT/8.jpg</v>
      </c>
      <c r="U6" t="str">
        <f t="shared" si="8"/>
        <v>https://raw.githubusercontent.com/PatrickVibild/TellusAmazonPictures/master/pictures/HP/W. PS/Zbook 15-17 G3-G4/IT/9.jpg</v>
      </c>
      <c r="V6" s="58">
        <f>MATCH(G6,options!$D$1:$D$20,0)</f>
        <v>3</v>
      </c>
    </row>
    <row r="7" spans="1:22" ht="43" x14ac:dyDescent="0.2">
      <c r="A7" s="45" t="s">
        <v>376</v>
      </c>
      <c r="B7" s="60" t="str">
        <f>IF(B6=options!C1,"32","41")</f>
        <v>32</v>
      </c>
      <c r="C7" s="50" t="b">
        <f>FALSE()</f>
        <v>0</v>
      </c>
      <c r="D7" s="50" t="b">
        <f>TRUE()</f>
        <v>1</v>
      </c>
      <c r="E7" s="75">
        <v>5714401153047</v>
      </c>
      <c r="F7" s="73" t="s">
        <v>689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3" t="b">
        <f>TRUE()</f>
        <v>1</v>
      </c>
      <c r="J7" s="54" t="b">
        <v>1</v>
      </c>
      <c r="K7" s="51" t="s">
        <v>680</v>
      </c>
      <c r="L7" s="55" t="b">
        <v>1</v>
      </c>
      <c r="M7" s="56" t="str">
        <f t="shared" si="0"/>
        <v>https://raw.githubusercontent.com/PatrickVibild/TellusAmazonPictures/master/pictures/HP/W. PS/Zbook 15-17 G3-G4/ES/1.jpg</v>
      </c>
      <c r="N7" s="56" t="str">
        <f t="shared" si="1"/>
        <v>https://raw.githubusercontent.com/PatrickVibild/TellusAmazonPictures/master/pictures/HP/W. PS/Zbook 15-17 G3-G4/ES/2.jpg</v>
      </c>
      <c r="O7" s="57" t="str">
        <f t="shared" si="2"/>
        <v>https://raw.githubusercontent.com/PatrickVibild/TellusAmazonPictures/master/pictures/HP/W. PS/Zbook 15-17 G3-G4/ES/3.jpg</v>
      </c>
      <c r="P7" t="str">
        <f t="shared" si="3"/>
        <v>https://raw.githubusercontent.com/PatrickVibild/TellusAmazonPictures/master/pictures/HP/W. PS/Zbook 15-17 G3-G4/ES/4.jpg</v>
      </c>
      <c r="Q7" t="str">
        <f t="shared" si="4"/>
        <v>https://raw.githubusercontent.com/PatrickVibild/TellusAmazonPictures/master/pictures/HP/W. PS/Zbook 15-17 G3-G4/ES/5.jpg</v>
      </c>
      <c r="R7" t="str">
        <f t="shared" si="5"/>
        <v>https://raw.githubusercontent.com/PatrickVibild/TellusAmazonPictures/master/pictures/HP/W. PS/Zbook 15-17 G3-G4/ES/6.jpg</v>
      </c>
      <c r="S7" t="str">
        <f t="shared" si="6"/>
        <v>https://raw.githubusercontent.com/PatrickVibild/TellusAmazonPictures/master/pictures/HP/W. PS/Zbook 15-17 G3-G4/ES/7.jpg</v>
      </c>
      <c r="T7" t="str">
        <f t="shared" si="7"/>
        <v>https://raw.githubusercontent.com/PatrickVibild/TellusAmazonPictures/master/pictures/HP/W. PS/Zbook 15-17 G3-G4/ES/8.jpg</v>
      </c>
      <c r="U7" t="str">
        <f t="shared" si="8"/>
        <v>https://raw.githubusercontent.com/PatrickVibild/TellusAmazonPictures/master/pictures/HP/W. PS/Zbook 15-17 G3-G4/ES/9.jpg</v>
      </c>
      <c r="V7" s="58">
        <f>MATCH(G7,options!$D$1:$D$20,0)</f>
        <v>4</v>
      </c>
    </row>
    <row r="8" spans="1:22" ht="43" x14ac:dyDescent="0.2">
      <c r="A8" s="45" t="s">
        <v>378</v>
      </c>
      <c r="B8" s="60" t="str">
        <f>IF(B6=options!C1,"18","17")</f>
        <v>18</v>
      </c>
      <c r="C8" s="50" t="b">
        <f>FALSE()</f>
        <v>0</v>
      </c>
      <c r="D8" s="50" t="b">
        <f>TRUE()</f>
        <v>1</v>
      </c>
      <c r="E8" s="75">
        <v>5714401153054</v>
      </c>
      <c r="F8" s="73" t="s">
        <v>690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681</v>
      </c>
      <c r="L8" s="55" t="b">
        <v>1</v>
      </c>
      <c r="M8" s="56" t="str">
        <f t="shared" si="0"/>
        <v>https://raw.githubusercontent.com/PatrickVibild/TellusAmazonPictures/master/pictures/HP/W. PS/Zbook 15-17 G3-G4/UK/1.jpg</v>
      </c>
      <c r="N8" s="56" t="str">
        <f t="shared" si="1"/>
        <v>https://raw.githubusercontent.com/PatrickVibild/TellusAmazonPictures/master/pictures/HP/W. PS/Zbook 15-17 G3-G4/UK/2.jpg</v>
      </c>
      <c r="O8" s="57" t="str">
        <f t="shared" si="2"/>
        <v>https://raw.githubusercontent.com/PatrickVibild/TellusAmazonPictures/master/pictures/HP/W. PS/Zbook 15-17 G3-G4/UK/3.jpg</v>
      </c>
      <c r="P8" t="str">
        <f t="shared" si="3"/>
        <v>https://raw.githubusercontent.com/PatrickVibild/TellusAmazonPictures/master/pictures/HP/W. PS/Zbook 15-17 G3-G4/UK/4.jpg</v>
      </c>
      <c r="Q8" t="str">
        <f t="shared" si="4"/>
        <v>https://raw.githubusercontent.com/PatrickVibild/TellusAmazonPictures/master/pictures/HP/W. PS/Zbook 15-17 G3-G4/UK/5.jpg</v>
      </c>
      <c r="R8" t="str">
        <f t="shared" si="5"/>
        <v>https://raw.githubusercontent.com/PatrickVibild/TellusAmazonPictures/master/pictures/HP/W. PS/Zbook 15-17 G3-G4/UK/6.jpg</v>
      </c>
      <c r="S8" t="str">
        <f t="shared" si="6"/>
        <v>https://raw.githubusercontent.com/PatrickVibild/TellusAmazonPictures/master/pictures/HP/W. PS/Zbook 15-17 G3-G4/UK/7.jpg</v>
      </c>
      <c r="T8" t="str">
        <f t="shared" si="7"/>
        <v>https://raw.githubusercontent.com/PatrickVibild/TellusAmazonPictures/master/pictures/HP/W. PS/Zbook 15-17 G3-G4/UK/8.jpg</v>
      </c>
      <c r="U8" t="str">
        <f t="shared" si="8"/>
        <v>https://raw.githubusercontent.com/PatrickVibild/TellusAmazonPictures/master/pictures/HP/W. PS/Zbook 15-17 G3-G4/UK/9.jpg</v>
      </c>
      <c r="V8" s="58">
        <f>MATCH(G8,options!$D$1:$D$20,0)</f>
        <v>5</v>
      </c>
    </row>
    <row r="9" spans="1:22" ht="57" x14ac:dyDescent="0.2">
      <c r="A9" s="45" t="s">
        <v>380</v>
      </c>
      <c r="B9" s="60" t="str">
        <f>IF(B6=options!C1,"2","5")</f>
        <v>2</v>
      </c>
      <c r="C9" s="50" t="b">
        <f>FALSE()</f>
        <v>0</v>
      </c>
      <c r="D9" s="50" t="b">
        <v>1</v>
      </c>
      <c r="E9" s="75">
        <v>5714401153061</v>
      </c>
      <c r="F9" s="73" t="s">
        <v>691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3" t="b">
        <f>TRUE()</f>
        <v>1</v>
      </c>
      <c r="J9" s="54" t="b">
        <v>1</v>
      </c>
      <c r="K9" s="51" t="s">
        <v>682</v>
      </c>
      <c r="L9" s="55" t="b">
        <v>1</v>
      </c>
      <c r="M9" s="56" t="str">
        <f t="shared" si="0"/>
        <v>https://raw.githubusercontent.com/PatrickVibild/TellusAmazonPictures/master/pictures/HP/W. PS/Zbook 15-17 G3-G4/NOR/1.jpg</v>
      </c>
      <c r="N9" s="56" t="str">
        <f t="shared" si="1"/>
        <v>https://raw.githubusercontent.com/PatrickVibild/TellusAmazonPictures/master/pictures/HP/W. PS/Zbook 15-17 G3-G4/NOR/2.jpg</v>
      </c>
      <c r="O9" s="57" t="str">
        <f t="shared" si="2"/>
        <v>https://raw.githubusercontent.com/PatrickVibild/TellusAmazonPictures/master/pictures/HP/W. PS/Zbook 15-17 G3-G4/NOR/3.jpg</v>
      </c>
      <c r="P9" t="str">
        <f t="shared" si="3"/>
        <v>https://raw.githubusercontent.com/PatrickVibild/TellusAmazonPictures/master/pictures/HP/W. PS/Zbook 15-17 G3-G4/NOR/4.jpg</v>
      </c>
      <c r="Q9" t="str">
        <f t="shared" si="4"/>
        <v>https://raw.githubusercontent.com/PatrickVibild/TellusAmazonPictures/master/pictures/HP/W. PS/Zbook 15-17 G3-G4/NOR/5.jpg</v>
      </c>
      <c r="R9" t="str">
        <f t="shared" si="5"/>
        <v>https://raw.githubusercontent.com/PatrickVibild/TellusAmazonPictures/master/pictures/HP/W. PS/Zbook 15-17 G3-G4/NOR/6.jpg</v>
      </c>
      <c r="S9" t="str">
        <f t="shared" si="6"/>
        <v>https://raw.githubusercontent.com/PatrickVibild/TellusAmazonPictures/master/pictures/HP/W. PS/Zbook 15-17 G3-G4/NOR/7.jpg</v>
      </c>
      <c r="T9" t="str">
        <f t="shared" si="7"/>
        <v>https://raw.githubusercontent.com/PatrickVibild/TellusAmazonPictures/master/pictures/HP/W. PS/Zbook 15-17 G3-G4/NOR/8.jpg</v>
      </c>
      <c r="U9" t="str">
        <f t="shared" si="8"/>
        <v>https://raw.githubusercontent.com/PatrickVibild/TellusAmazonPictures/master/pictures/HP/W. PS/Zbook 15-17 G3-G4/NOR/9.jpg</v>
      </c>
      <c r="V9" s="58">
        <f>MATCH(G9,options!$D$1:$D$20,0)</f>
        <v>6</v>
      </c>
    </row>
    <row r="10" spans="1:22" x14ac:dyDescent="0.15">
      <c r="A10" t="s">
        <v>382</v>
      </c>
      <c r="B10" s="61"/>
      <c r="C10" s="50"/>
      <c r="D10" s="50"/>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3" t="b">
        <f>TRUE()</f>
        <v>1</v>
      </c>
      <c r="J10" s="54" t="b">
        <v>1</v>
      </c>
      <c r="K10" s="51"/>
      <c r="L10" s="55" t="b">
        <v>1</v>
      </c>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x14ac:dyDescent="0.15">
      <c r="A11" s="45" t="s">
        <v>384</v>
      </c>
      <c r="B11" s="62">
        <v>150</v>
      </c>
      <c r="C11" s="50"/>
      <c r="D11" s="50"/>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53" t="b">
        <f>TRUE()</f>
        <v>1</v>
      </c>
      <c r="J11" s="54" t="b">
        <v>1</v>
      </c>
      <c r="K11" s="51"/>
      <c r="L11" s="55" t="b">
        <v>1</v>
      </c>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42" x14ac:dyDescent="0.15">
      <c r="B12" s="61"/>
      <c r="C12" s="50" t="b">
        <f>FALSE()</f>
        <v>0</v>
      </c>
      <c r="D12" s="50" t="b">
        <v>1</v>
      </c>
      <c r="E12" s="74">
        <v>5714401153078</v>
      </c>
      <c r="F12" s="73" t="s">
        <v>692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t="s">
        <v>683</v>
      </c>
      <c r="L12" s="55" t="b">
        <v>1</v>
      </c>
      <c r="M12" s="56" t="str">
        <f t="shared" si="0"/>
        <v>https://raw.githubusercontent.com/PatrickVibild/TellusAmazonPictures/master/pictures/HP/W. PS/Zbook 15-17 G3-G4/USI/1.jpg</v>
      </c>
      <c r="N12" s="56" t="str">
        <f t="shared" si="1"/>
        <v>https://raw.githubusercontent.com/PatrickVibild/TellusAmazonPictures/master/pictures/HP/W. PS/Zbook 15-17 G3-G4/USI/2.jpg</v>
      </c>
      <c r="O12" s="57" t="str">
        <f t="shared" si="2"/>
        <v>https://raw.githubusercontent.com/PatrickVibild/TellusAmazonPictures/master/pictures/HP/W. PS/Zbook 15-17 G3-G4/USI/3.jpg</v>
      </c>
      <c r="P12" t="str">
        <f t="shared" si="3"/>
        <v>https://raw.githubusercontent.com/PatrickVibild/TellusAmazonPictures/master/pictures/HP/W. PS/Zbook 15-17 G3-G4/USI/4.jpg</v>
      </c>
      <c r="Q12" t="str">
        <f t="shared" si="4"/>
        <v>https://raw.githubusercontent.com/PatrickVibild/TellusAmazonPictures/master/pictures/HP/W. PS/Zbook 15-17 G3-G4/USI/5.jpg</v>
      </c>
      <c r="R12" t="str">
        <f t="shared" si="5"/>
        <v>https://raw.githubusercontent.com/PatrickVibild/TellusAmazonPictures/master/pictures/HP/W. PS/Zbook 15-17 G3-G4/USI/6.jpg</v>
      </c>
      <c r="S12" t="str">
        <f t="shared" si="6"/>
        <v>https://raw.githubusercontent.com/PatrickVibild/TellusAmazonPictures/master/pictures/HP/W. PS/Zbook 15-17 G3-G4/USI/7.jpg</v>
      </c>
      <c r="T12" t="str">
        <f t="shared" si="7"/>
        <v>https://raw.githubusercontent.com/PatrickVibild/TellusAmazonPictures/master/pictures/HP/W. PS/Zbook 15-17 G3-G4/USI/8.jpg</v>
      </c>
      <c r="U12" t="str">
        <f t="shared" si="8"/>
        <v>https://raw.githubusercontent.com/PatrickVibild/TellusAmazonPictures/master/pictures/HP/W. PS/Zbook 15-17 G3-G4/USI/9.jpg</v>
      </c>
      <c r="V12" s="58">
        <f>MATCH(G12,options!$D$1:$D$20,0)</f>
        <v>16</v>
      </c>
    </row>
    <row r="13" spans="1:22" ht="42" x14ac:dyDescent="0.15">
      <c r="A13" s="45" t="s">
        <v>387</v>
      </c>
      <c r="B13" s="74" t="s">
        <v>676</v>
      </c>
      <c r="C13" s="50" t="b">
        <v>1</v>
      </c>
      <c r="D13" s="50" t="b">
        <f>FALSE()</f>
        <v>0</v>
      </c>
      <c r="E13" s="74">
        <v>5714401153085</v>
      </c>
      <c r="F13" s="73" t="s">
        <v>693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v>1</v>
      </c>
      <c r="K13" s="51" t="s">
        <v>684</v>
      </c>
      <c r="L13" s="55" t="b">
        <v>1</v>
      </c>
      <c r="M13" s="56" t="str">
        <f t="shared" si="0"/>
        <v>https://raw.githubusercontent.com/PatrickVibild/TellusAmazonPictures/master/pictures/HP/W. PS/Zbook 15-17 G3-G4/US/1.jpg</v>
      </c>
      <c r="N13" s="56" t="str">
        <f t="shared" si="1"/>
        <v>https://raw.githubusercontent.com/PatrickVibild/TellusAmazonPictures/master/pictures/HP/W. PS/Zbook 15-17 G3-G4/US/2.jpg</v>
      </c>
      <c r="O13" s="57" t="str">
        <f t="shared" si="2"/>
        <v>https://raw.githubusercontent.com/PatrickVibild/TellusAmazonPictures/master/pictures/HP/W. PS/Zbook 15-17 G3-G4/US/3.jpg</v>
      </c>
      <c r="P13" t="str">
        <f t="shared" si="3"/>
        <v>https://raw.githubusercontent.com/PatrickVibild/TellusAmazonPictures/master/pictures/HP/W. PS/Zbook 15-17 G3-G4/US/4.jpg</v>
      </c>
      <c r="Q13" t="str">
        <f t="shared" si="4"/>
        <v>https://raw.githubusercontent.com/PatrickVibild/TellusAmazonPictures/master/pictures/HP/W. PS/Zbook 15-17 G3-G4/US/5.jpg</v>
      </c>
      <c r="R13" t="str">
        <f t="shared" si="5"/>
        <v>https://raw.githubusercontent.com/PatrickVibild/TellusAmazonPictures/master/pictures/HP/W. PS/Zbook 15-17 G3-G4/US/6.jpg</v>
      </c>
      <c r="S13" t="str">
        <f t="shared" si="6"/>
        <v>https://raw.githubusercontent.com/PatrickVibild/TellusAmazonPictures/master/pictures/HP/W. PS/Zbook 15-17 G3-G4/US/7.jpg</v>
      </c>
      <c r="T13" t="str">
        <f t="shared" si="7"/>
        <v>https://raw.githubusercontent.com/PatrickVibild/TellusAmazonPictures/master/pictures/HP/W. PS/Zbook 15-17 G3-G4/US/8.jpg</v>
      </c>
      <c r="U13" t="str">
        <f t="shared" si="8"/>
        <v>https://raw.githubusercontent.com/PatrickVibild/TellusAmazonPictures/master/pictures/HP/W. PS/Zbook 15-17 G3-G4/US/9.jpg</v>
      </c>
      <c r="V13" s="58">
        <f>MATCH(G13,options!$D$1:$D$20,0)</f>
        <v>18</v>
      </c>
    </row>
    <row r="14" spans="1:22" ht="14" x14ac:dyDescent="0.15">
      <c r="A14" s="45" t="s">
        <v>389</v>
      </c>
      <c r="B14" s="74">
        <v>5714401153986</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370</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2022-11-01T10:42:28Z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