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patrickvibild/repo/TellusAmazonPictures/after-big-bang-files/HP/WP/zbook1517G1/"/>
    </mc:Choice>
  </mc:AlternateContent>
  <xr:revisionPtr revIDLastSave="0" documentId="13_ncr:1_{84D0DCBF-9597-9542-AB61-890644A2737E}" xr6:coauthVersionLast="47" xr6:coauthVersionMax="47" xr10:uidLastSave="{00000000-0000-0000-0000-000000000000}"/>
  <bookViews>
    <workbookView xWindow="0" yWindow="760" windowWidth="34560" windowHeight="20200" tabRatio="500"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11" i="2" l="1"/>
  <c r="D11" i="2"/>
  <c r="C11" i="2"/>
  <c r="D10" i="2"/>
  <c r="C10" i="2"/>
  <c r="C9" i="2"/>
  <c r="D8" i="2"/>
  <c r="C8" i="2"/>
  <c r="D7" i="2"/>
  <c r="C7" i="2"/>
  <c r="D6" i="2"/>
  <c r="C6" i="2"/>
  <c r="D5" i="2"/>
  <c r="C5" i="2"/>
  <c r="D4" i="2"/>
  <c r="C4" i="2"/>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V12" i="2"/>
  <c r="H12" i="2" s="1"/>
  <c r="U12" i="2"/>
  <c r="U13" i="1" s="1"/>
  <c r="I12" i="2"/>
  <c r="V11" i="2"/>
  <c r="AT12" i="1" s="1"/>
  <c r="U11" i="2"/>
  <c r="T11" i="2"/>
  <c r="S11" i="2"/>
  <c r="R11" i="2"/>
  <c r="Q11" i="2"/>
  <c r="P11" i="2"/>
  <c r="O11" i="2"/>
  <c r="N11" i="2"/>
  <c r="M11" i="2"/>
  <c r="I11" i="2"/>
  <c r="CO12" i="1"/>
  <c r="V10" i="2"/>
  <c r="AT11" i="1" s="1"/>
  <c r="T10" i="2"/>
  <c r="S10" i="2"/>
  <c r="R10" i="2"/>
  <c r="Q10" i="2"/>
  <c r="O10" i="2"/>
  <c r="N10" i="2"/>
  <c r="M10" i="2"/>
  <c r="M11" i="1" s="1"/>
  <c r="I10" i="2"/>
  <c r="V9" i="2"/>
  <c r="U9" i="2"/>
  <c r="T9" i="2"/>
  <c r="T10" i="1" s="1"/>
  <c r="S9" i="2"/>
  <c r="R9" i="2"/>
  <c r="R10" i="1" s="1"/>
  <c r="Q9" i="2"/>
  <c r="Q10" i="1" s="1"/>
  <c r="P9" i="2"/>
  <c r="P10" i="1" s="1"/>
  <c r="O9" i="2"/>
  <c r="O10" i="1" s="1"/>
  <c r="N9" i="2"/>
  <c r="N10" i="1" s="1"/>
  <c r="M9" i="2"/>
  <c r="I9" i="2"/>
  <c r="V8" i="2"/>
  <c r="Q8" i="2"/>
  <c r="Q9" i="1" s="1"/>
  <c r="P8" i="2"/>
  <c r="P9" i="1" s="1"/>
  <c r="O8" i="2"/>
  <c r="O9" i="1" s="1"/>
  <c r="I8" i="2"/>
  <c r="CQ23" i="1"/>
  <c r="V7" i="2"/>
  <c r="T7" i="2"/>
  <c r="T8" i="1" s="1"/>
  <c r="S7" i="2"/>
  <c r="S8" i="1" s="1"/>
  <c r="R7" i="2"/>
  <c r="R8" i="1" s="1"/>
  <c r="Q7" i="2"/>
  <c r="Q8" i="1" s="1"/>
  <c r="P7" i="2"/>
  <c r="P8" i="1" s="1"/>
  <c r="N7" i="2"/>
  <c r="M7" i="2"/>
  <c r="M8" i="1" s="1"/>
  <c r="U7" i="2"/>
  <c r="U8" i="1" s="1"/>
  <c r="I7" i="2"/>
  <c r="V6" i="2"/>
  <c r="U6" i="2"/>
  <c r="U7" i="1" s="1"/>
  <c r="T6" i="2"/>
  <c r="T7" i="1" s="1"/>
  <c r="Q6" i="2"/>
  <c r="P6" i="2"/>
  <c r="O6" i="2"/>
  <c r="N6" i="2"/>
  <c r="N7" i="1" s="1"/>
  <c r="M6" i="2"/>
  <c r="M7" i="1" s="1"/>
  <c r="S6" i="2"/>
  <c r="S7" i="1" s="1"/>
  <c r="I6" i="2"/>
  <c r="CO7" i="1"/>
  <c r="V5" i="2"/>
  <c r="Q5" i="2"/>
  <c r="P5" i="2"/>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H10" i="1"/>
  <c r="CG10" i="1"/>
  <c r="BH10" i="1"/>
  <c r="BG10" i="1"/>
  <c r="BF10" i="1"/>
  <c r="BE10" i="1"/>
  <c r="AV10" i="1"/>
  <c r="AJ10" i="1"/>
  <c r="AB10" i="1"/>
  <c r="AA10" i="1"/>
  <c r="Z10" i="1"/>
  <c r="Y10" i="1"/>
  <c r="X10" i="1"/>
  <c r="W10" i="1"/>
  <c r="U10" i="1"/>
  <c r="S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O9" i="1"/>
  <c r="L9" i="1" s="1"/>
  <c r="CL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O8" i="1"/>
  <c r="FE8" i="1" s="1"/>
  <c r="CL8" i="1"/>
  <c r="CH8" i="1"/>
  <c r="CG8" i="1"/>
  <c r="BH8" i="1"/>
  <c r="BG8" i="1"/>
  <c r="BF8" i="1"/>
  <c r="BE8" i="1"/>
  <c r="AV8" i="1"/>
  <c r="AB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L7" i="1"/>
  <c r="CK7" i="1"/>
  <c r="CH7" i="1"/>
  <c r="CG7" i="1"/>
  <c r="BH7" i="1"/>
  <c r="BG7" i="1"/>
  <c r="BF7" i="1"/>
  <c r="BE7" i="1"/>
  <c r="AV7" i="1"/>
  <c r="AT7" i="1"/>
  <c r="AB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O6" i="1"/>
  <c r="FE6" i="1" s="1"/>
  <c r="CL6" i="1"/>
  <c r="CK6" i="1"/>
  <c r="CI6" i="1"/>
  <c r="CH6" i="1"/>
  <c r="CG6" i="1"/>
  <c r="BH6" i="1"/>
  <c r="BG6" i="1"/>
  <c r="BF6" i="1"/>
  <c r="BE6" i="1"/>
  <c r="AV6" i="1"/>
  <c r="AI6" i="1"/>
  <c r="AB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O5" i="1"/>
  <c r="FE5" i="1" s="1"/>
  <c r="CL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CI10" i="1" l="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<sst xmlns="http://schemas.openxmlformats.org/spreadsheetml/2006/main" count="858" uniqueCount="687">
  <si>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</si>
  <si>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</si>
  <si>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</si>
  <si>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</si>
  <si>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</si>
  <si>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</si>
  <si>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</si>
  <si>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</si>
  <si>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</si>
  <si>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</si>
  <si>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</si>
  <si>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</si>
  <si>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</si>
  <si>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</si>
  <si>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</si>
  <si>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</si>
  <si>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</si>
  <si>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</si>
  <si>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</si>
  <si>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</si>
  <si>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</si>
  <si>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</si>
  <si>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</si>
  <si>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</si>
  <si>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</si>
  <si>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</si>
  <si>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</si>
  <si>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</si>
  <si>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</si>
  <si>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</si>
  <si>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</si>
  <si>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</si>
  <si>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</si>
  <si>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</si>
  <si>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</si>
  <si>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</si>
  <si>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</si>
  <si>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</si>
  <si>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</si>
  <si>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</si>
  <si>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</si>
  <si>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</si>
  <si>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</si>
  <si>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</si>
  <si>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</si>
  <si>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</si>
  <si>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</si>
  <si>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</si>
  <si>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</si>
  <si>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</si>
  <si>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</si>
  <si>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</si>
  <si>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</si>
  <si>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</si>
  <si>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</si>
  <si>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</si>
  <si>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</si>
  <si>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</si>
  <si>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</si>
  <si>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</si>
  <si>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</si>
  <si>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</si>
  <si>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</si>
  <si>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</si>
  <si>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</si>
  <si>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</si>
  <si>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</si>
  <si>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</si>
  <si>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</si>
  <si>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</si>
  <si>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</si>
  <si>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</si>
  <si>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</si>
  <si>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</si>
  <si>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</si>
  <si>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</si>
  <si>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</si>
  <si>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</si>
  <si>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</si>
  <si>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</si>
  <si>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</si>
  <si>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</si>
  <si>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</si>
  <si>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</si>
  <si>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</si>
  <si>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</si>
  <si>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</si>
  <si>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</si>
  <si>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</si>
  <si>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</si>
  <si>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</si>
  <si>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</si>
  <si>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</si>
  <si>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</si>
  <si>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</si>
  <si>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</si>
  <si>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</si>
  <si>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</si>
  <si>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</si>
  <si>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</si>
  <si>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</si>
  <si>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</si>
  <si>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</si>
  <si>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</si>
  <si>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</si>
  <si>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</si>
  <si>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</si>
  <si>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</si>
  <si>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</si>
  <si>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</si>
  <si>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</si>
  <si>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</si>
  <si>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</si>
  <si>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</si>
  <si>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</si>
  <si>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</si>
  <si>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</si>
  <si>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</si>
  <si>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</si>
  <si>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</si>
  <si>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</si>
  <si>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</si>
  <si>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</si>
  <si>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</si>
  <si>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</si>
  <si>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</si>
  <si>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</si>
  <si>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</si>
  <si>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</si>
  <si>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</si>
  <si>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</si>
  <si>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</si>
  <si>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</si>
  <si>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</si>
  <si>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</si>
  <si>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</si>
  <si>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</si>
  <si>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</si>
  <si>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</si>
  <si>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</si>
  <si>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</si>
  <si>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</si>
  <si>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</si>
  <si>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</si>
  <si>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</si>
  <si>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</si>
  <si>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</si>
  <si>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</si>
  <si>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</si>
  <si>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</si>
  <si>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</si>
  <si>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</si>
  <si>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</si>
  <si>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</si>
  <si>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</si>
  <si>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</si>
  <si>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</si>
  <si>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</si>
  <si>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</si>
  <si>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</si>
  <si>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</si>
  <si>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</si>
  <si>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</si>
  <si>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</si>
  <si>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</si>
  <si>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</si>
  <si>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</si>
  <si>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</si>
  <si>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</si>
  <si>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</si>
  <si>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</si>
  <si>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</si>
  <si>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</si>
  <si>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</si>
  <si>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</si>
  <si>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</si>
  <si>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</si>
  <si>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</si>
  <si>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</si>
  <si>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</si>
  <si>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</si>
  <si>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</si>
  <si>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</si>
  <si>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</si>
  <si>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</si>
  <si>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</si>
  <si>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</si>
  <si>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</si>
  <si>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</si>
  <si>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</si>
  <si>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</si>
  <si>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</si>
  <si>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</si>
  <si>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</si>
  <si>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</si>
  <si>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</si>
  <si>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</si>
  <si>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</si>
  <si>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</si>
  <si>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</si>
  <si>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</si>
  <si>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</si>
  <si>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</si>
  <si>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</si>
  <si>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</si>
  <si>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</si>
  <si>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</si>
  <si>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</si>
  <si>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</si>
  <si>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</si>
  <si>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</si>
  <si>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</si>
  <si>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</si>
  <si>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</si>
  <si>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</si>
  <si>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</si>
  <si>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</si>
  <si>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</si>
  <si>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</si>
  <si>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</si>
  <si>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</si>
  <si>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</si>
  <si>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</si>
  <si>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</si>
  <si>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</si>
  <si>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</si>
  <si>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</si>
  <si>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</si>
  <si>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</si>
  <si>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</si>
  <si>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</si>
  <si>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</si>
  <si>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</si>
  <si>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</si>
  <si>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</si>
  <si>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</si>
  <si>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</si>
  <si>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</si>
  <si>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</si>
  <si>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</si>
  <si>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</si>
  <si>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</si>
  <si>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</si>
  <si>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</si>
  <si>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</si>
  <si>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</si>
  <si>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</si>
  <si>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</si>
  <si>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</si>
  <si>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</si>
  <si>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</si>
  <si>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</si>
  <si>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</si>
  <si>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</si>
  <si>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</si>
  <si>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</si>
  <si>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</si>
  <si>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</si>
  <si>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</si>
  <si>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</si>
  <si>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</si>
  <si>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</si>
  <si>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</si>
  <si>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</si>
  <si>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</si>
  <si>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</si>
  <si>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</si>
  <si>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</si>
  <si>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</si>
  <si>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</si>
  <si>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</si>
  <si>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</si>
  <si>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</si>
  <si>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</si>
  <si>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</si>
  <si>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</si>
  <si>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</si>
  <si>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</si>
  <si>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</si>
  <si>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</si>
  <si>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</si>
  <si>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</si>
  <si>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</si>
  <si>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</si>
  <si>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</si>
  <si>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</si>
  <si>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</si>
  <si>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</si>
  <si>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</si>
  <si>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</si>
  <si>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</si>
  <si>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</si>
  <si>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</si>
  <si>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</si>
  <si>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</si>
  <si>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</si>
  <si>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</si>
  <si>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</si>
  <si>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</si>
  <si>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</si>
  <si>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</si>
  <si>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</si>
  <si>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</si>
  <si>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</si>
  <si>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</si>
  <si>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</si>
  <si>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</si>
  <si>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</si>
  <si>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</si>
  <si>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</si>
  <si>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</si>
  <si>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</si>
  <si>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</si>
  <si>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</si>
  <si>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</si>
  <si>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</si>
  <si>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</si>
  <si>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</si>
  <si>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</si>
  <si>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</si>
  <si>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</si>
  <si>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</si>
  <si>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</si>
  <si>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</si>
  <si>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</si>
  <si>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</si>
  <si>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</si>
  <si>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</si>
  <si>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</si>
  <si>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</si>
  <si>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</si>
  <si>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</si>
  <si>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</si>
  <si>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</si>
  <si>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</si>
  <si>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</si>
  <si>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</si>
  <si>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</si>
  <si>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</si>
  <si>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</si>
  <si>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</si>
  <si>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</si>
  <si>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</si>
  <si>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</si>
  <si>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</si>
  <si>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</si>
  <si>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</si>
  <si>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</si>
  <si>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</si>
  <si>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</si>
  <si>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</si>
  <si>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</si>
  <si>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</si>
  <si>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</si>
  <si>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</si>
  <si>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</si>
  <si>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</si>
  <si>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</si>
  <si>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</si>
  <si>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</si>
  <si>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</si>
  <si>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</si>
  <si>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</si>
  <si>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</si>
  <si>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</si>
  <si>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</si>
  <si>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</si>
  <si>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</si>
  <si>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</si>
  <si>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</si>
  <si>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</si>
  <si>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</si>
  <si>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</si>
  <si>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</si>
  <si>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</si>
  <si>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</si>
  <si>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</si>
  <si>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</si>
  <si>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</si>
  <si>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</si>
  <si>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</si>
  <si>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</si>
  <si>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</si>
  <si>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</si>
  <si>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</si>
  <si>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</si>
  <si>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</si>
  <si>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</si>
  <si>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</si>
  <si>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</si>
  <si>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</si>
  <si>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</si>
  <si>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</si>
  <si>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</si>
  <si>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</si>
  <si>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</si>
  <si>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</si>
  <si>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</si>
  <si>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</si>
  <si>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</si>
  <si>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</si>
  <si>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</si>
  <si>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</si>
  <si>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</si>
  <si>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</si>
  <si>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</si>
  <si>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</si>
  <si>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</si>
  <si>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</si>
  <si>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</si>
  <si>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</si>
  <si>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</si>
  <si>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</si>
  <si>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</si>
  <si>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</si>
  <si>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</si>
  <si>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</si>
  <si>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</si>
  <si>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</si>
  <si>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</si>
  <si>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</si>
  <si>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</si>
  <si>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</si>
  <si>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</si>
  <si>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</si>
  <si>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</si>
  <si>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</si>
  <si>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</si>
  <si>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</si>
  <si>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</si>
  <si>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</si>
  <si>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</si>
  <si>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</si>
  <si>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</si>
  <si>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</si>
  <si>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</si>
  <si>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</si>
  <si>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</si>
  <si>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</si>
  <si>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</si>
  <si>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</si>
  <si>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</si>
  <si>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</si>
  <si>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</si>
  <si>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</si>
  <si>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</si>
  <si>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</si>
  <si>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</si>
  <si>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</si>
  <si>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</si>
  <si>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</si>
  <si>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</si>
  <si>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</si>
  <si>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</si>
  <si>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</si>
  <si>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</si>
  <si>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</si>
  <si>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</si>
  <si>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</si>
  <si>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</si>
  <si>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</si>
  <si>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</si>
  <si>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</si>
  <si>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</si>
  <si>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</si>
  <si>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</si>
  <si>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</si>
  <si>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</si>
  <si>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</si>
  <si>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</si>
  <si>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</si>
  <si>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</si>
  <si>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</si>
  <si>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</si>
  <si>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</si>
  <si>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</si>
  <si>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</si>
  <si>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</si>
  <si>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</si>
  <si>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</si>
  <si>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</si>
  <si>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</si>
  <si>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</si>
  <si>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</si>
  <si>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</si>
  <si>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</si>
  <si>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</si>
  <si>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</si>
  <si>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</si>
  <si>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</si>
  <si>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</si>
  <si>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</si>
  <si>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</si>
  <si>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</si>
  <si>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</si>
  <si>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</si>
  <si>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</si>
  <si>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</si>
  <si>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</si>
  <si>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</si>
  <si>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</si>
  <si>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</si>
  <si>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</si>
  <si>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</si>
  <si>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</si>
  <si>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</si>
  <si>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</si>
  <si>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</si>
  <si>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</si>
  <si>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</si>
  <si>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</si>
  <si>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</si>
  <si>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</si>
  <si>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</si>
  <si>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</si>
  <si>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</si>
  <si>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</si>
  <si>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</si>
  <si>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</si>
  <si>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</si>
  <si>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</si>
  <si>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</si>
  <si>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</si>
  <si>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</si>
  <si>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</si>
  <si>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</si>
  <si>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</si>
  <si>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</si>
  <si>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</si>
  <si>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</si>
  <si>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</si>
  <si>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</si>
  <si>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</si>
  <si>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</si>
  <si>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</si>
  <si>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</si>
  <si>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</si>
  <si>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</si>
  <si>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</si>
  <si>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</si>
  <si>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</si>
  <si>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</si>
  <si>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</si>
  <si>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</si>
  <si>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</si>
  <si>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</si>
  <si>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</si>
  <si>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</si>
  <si>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</si>
  <si>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</si>
  <si>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</si>
  <si>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</si>
  <si>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</si>
  <si>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</si>
  <si>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</si>
  <si>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</si>
  <si>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</si>
  <si>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</si>
  <si>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</si>
  <si>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</si>
  <si>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</si>
  <si>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</si>
  <si>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</si>
  <si>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</si>
  <si>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</si>
  <si>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</si>
  <si>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</si>
  <si>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</si>
  <si>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</si>
  <si>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</si>
  <si>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</si>
  <si>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</si>
  <si>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</si>
  <si>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</si>
  <si>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</si>
  <si>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</si>
  <si>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</si>
  <si>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</si>
  <si>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</si>
  <si>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</si>
  <si>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</si>
  <si>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</si>
  <si>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</si>
  <si>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</si>
  <si>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</si>
  <si>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</si>
  <si>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</si>
  <si>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</si>
  <si>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</si>
  <si>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</si>
  <si>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</si>
  <si>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</si>
  <si>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</si>
  <si>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</si>
  <si>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</si>
  <si>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</si>
  <si>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</si>
  <si>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</si>
  <si>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</si>
  <si>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</si>
  <si>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</si>
  <si>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</si>
  <si>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</si>
  <si>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</si>
  <si>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</si>
  <si>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</si>
  <si>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</si>
  <si>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</si>
  <si>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</si>
  <si>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</si>
  <si>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</si>
  <si>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</si>
  <si>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</si>
  <si>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</si>
  <si>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</si>
  <si>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</si>
  <si>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</si>
  <si>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</si>
  <si>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</si>
  <si>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</si>
  <si>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</si>
  <si>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</si>
  <si>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</si>
  <si>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</si>
  <si>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</si>
  <si>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</si>
  <si>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</si>
  <si>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</si>
  <si>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</si>
  <si>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</si>
  <si>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</si>
  <si>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</si>
  <si>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</si>
  <si>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</si>
  <si>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</si>
  <si>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</si>
  <si>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</si>
  <si>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</si>
  <si>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</si>
  <si>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</si>
  <si>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</si>
  <si>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</si>
  <si>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</si>
  <si>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</si>
  <si>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</si>
  <si>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</si>
  <si>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</si>
  <si>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</si>
  <si>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</si>
  <si>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</si>
  <si>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</si>
  <si>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</si>
  <si>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</si>
  <si>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</si>
  <si>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</si>
  <si>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</si>
  <si>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</si>
  <si>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</si>
  <si>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</si>
  <si>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</si>
  <si>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</si>
  <si>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</si>
  <si>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</si>
  <si>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</si>
  <si>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</si>
  <si>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</si>
  <si>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</si>
  <si>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</si>
  <si>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</si>
  <si>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</si>
  <si>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</si>
  <si>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</si>
  <si>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</si>
  <si>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</si>
  <si>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</si>
  <si>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</si>
  <si>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zbook 15/17 G1 G2 - DE</t>
  </si>
  <si>
    <t>HP zbook 15/17 G1 G2 - FR</t>
  </si>
  <si>
    <t>HP zbook 15/17 G1 G2 - IT</t>
  </si>
  <si>
    <t>HP zbook 15/17 G1 G2 - ES</t>
  </si>
  <si>
    <t>HP zbook 15/17 G1 G2 - UK</t>
  </si>
  <si>
    <t>HP zbook 15/17 G1 G2 - NOR</t>
  </si>
  <si>
    <t>HP zbook 15/17 G1 G2 - US int</t>
  </si>
  <si>
    <t>HP/W. PS/Zbook 15-17 G1-G2/BL/US</t>
  </si>
  <si>
    <t>ZBOOK 15 G1 G2 ZBOOK 17 G1 G2 </t>
  </si>
  <si>
    <t>Zbook 1517 parent</t>
  </si>
  <si>
    <t>HP zbook 15/17 G1 G2 - US V2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</si>
</sst>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9" fillId="0" borderId="0" xfId="0" applyFont="1"/>
    <xf numFmtId="0" fontId="0" fillId="14" borderId="0" xfId="0" applyFill="1" applyAlignment="1">
      <alignment horizontal="right"/>
    </xf>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abSelected="1" zoomScaleNormal="100" workbookViewId="0">
      <selection activeCell="F12" sqref="F12"/>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v>
      </c>
      <c r="B4" s="28" t="str">
        <f>Values!B13</f>
        <v>Zbook 1517 parent</v>
      </c>
      <c r="C4" s="29" t="s">
        <v>345</v>
      </c>
      <c r="D4" s="30">
        <f>Values!B14</f>
        <v>5714401157991</v>
      </c>
      <c r="E4" s="31" t="s">
        <v>346</v>
      </c>
      <c r="F4" s="28" t="str">
        <f>SUBSTITUTE(Values!B1, "{language}", "") &amp; " " &amp; Values!B3</f>
        <v>replacement  backlit keyboard for HP    ZBOOK 15 G1 G2 ZBOOK 17 G1 G2 </v>
      </c>
      <c r="G4" s="29" t="s">
        <v>345</v>
      </c>
      <c r="H4" s="27" t="str">
        <f>Values!B16</f>
        <v>computer-keyboards</v>
      </c>
      <c r="I4" s="27" t="str">
        <f>IF(ISBLANK(Values!E3),"","4730574031")</f>
        <v>4730574031</v>
      </c>
      <c r="J4" s="32" t="str">
        <f>Values!B13</f>
        <v>Zbook 1517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v>
      </c>
      <c r="B5" s="38" t="str">
        <f>IF(ISBLANK(Values!E4),"",Values!F4)</f>
        <v>HP zbook 15/17 G1 G2 - DE</v>
      </c>
      <c r="C5" s="32" t="str">
        <f>IF(ISBLANK(Values!E4),"","TellusRem")</f>
        <v>TellusRem</v>
      </c>
      <c r="D5" s="30">
        <f>IF(ISBLANK(Values!E4),"",Values!E4)</f>
        <v>5714401157014</v>
      </c>
      <c r="E5" s="31" t="str">
        <f>IF(ISBLANK(Values!E4),"","EAN")</f>
        <v>EAN</v>
      </c>
      <c r="F5" s="28" t="str">
        <f>IF(ISBLANK(Values!E4),"",IF(Values!J4, SUBSTITUTE(Values!$B$1, "{language}", Values!H4) &amp; " " &amp;Values!$B$3, SUBSTITUTE(Values!$B$2, "{language}", Values!$H4) &amp; " " &amp;Values!$B$3))</f>
        <v>replacement German backlit keyboard for HP    ZBOOK 15 G1 G2 ZBOOK 17 G1 G2 </v>
      </c>
      <c r="G5" s="32" t="str">
        <f>IF(ISBLANK(Values!E4),"","TellusRem")</f>
        <v>TellusRem</v>
      </c>
      <c r="H5" s="27" t="str">
        <f>IF(ISBLANK(Values!E4),"",Values!$B$16)</f>
        <v>computer-keyboards</v>
      </c>
      <c r="I5" s="27" t="str">
        <f>IF(ISBLANK(Values!E4),"","4730574031")</f>
        <v>4730574031</v>
      </c>
      <c r="J5" s="39" t="str">
        <f>IF(ISBLANK(Values!E4),"",Values!F4 )</f>
        <v>HP zbook 15/17 G1 G2 - DE</v>
      </c>
      <c r="K5" s="28">
        <f>IF(ISBLANK(Values!E4),"",IF(Values!J4, Values!$B$4, Values!$B$5))</f>
        <v>56.99</v>
      </c>
      <c r="L5" s="40">
        <f>IF(ISBLANK(Values!E4),"",IF($CO5="DEFAULT", Values!$B$18, ""))</f>
        <v>5</v>
      </c>
      <c r="M5" s="28" t="str">
        <f>IF(ISBLANK(Values!E4),"",Values!$M4)</f>
        <v/>
      </c>
      <c r="N5" s="28" t="str">
        <f>IF(ISBLANK(Values!$F4),"",Values!N4)</f>
        <v/>
      </c>
      <c r="O5" s="28" t="str">
        <f>IF(ISBLANK(Values!$F4),"",Values!O4)</f>
        <v/>
      </c>
      <c r="P5" s="28" t="str">
        <f>IF(ISBLANK(Values!$F4),"",Values!P4)</f>
        <v/>
      </c>
      <c r="Q5" s="28" t="str">
        <f>IF(ISBLANK(Values!$F4),"",Values!Q4)</f>
        <v/>
      </c>
      <c r="R5" s="28" t="str">
        <f>IF(ISBLANK(Values!$F4),"",Values!R4)</f>
        <v/>
      </c>
      <c r="S5" s="28" t="str">
        <f>IF(ISBLANK(Values!$F4),"",Values!S4)</f>
        <v/>
      </c>
      <c r="T5" s="28" t="str">
        <f>IF(ISBLANK(Values!$F4),"",Values!T4)</f>
        <v/>
      </c>
      <c r="U5" s="28" t="str">
        <f>IF(ISBLANK(Values!$F4),"",Values!U4)</f>
        <v/>
      </c>
      <c r="W5" s="32" t="str">
        <f>IF(ISBLANK(Values!E4),"","Child")</f>
        <v>Child</v>
      </c>
      <c r="X5" s="32" t="str">
        <f>IF(ISBLANK(Values!E4),"",Values!$B$13)</f>
        <v>Zbook 1517 parent</v>
      </c>
      <c r="Y5" s="39" t="str">
        <f>IF(ISBLANK(Values!E4),"","Size-Color")</f>
        <v>Size-Color</v>
      </c>
      <c r="Z5" s="32" t="str">
        <f>IF(ISBLANK(Values!E4),"","variation")</f>
        <v>variation</v>
      </c>
      <c r="AA5" s="36"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G1 G2 ZBOOK 17 G1 G2 </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HP ZBOOK 15 G1 G2 ZBOOK 17 G1 G2 .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8">
        <f>IF(ISBLANK(Values!E4),"",IF(Values!J4, Values!$B$4, Values!$B$5))</f>
        <v>56.99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v>
      </c>
      <c r="B6" s="38" t="str">
        <f>IF(ISBLANK(Values!E5),"",Values!F5)</f>
        <v>HP zbook 15/17 G1 G2 - FR</v>
      </c>
      <c r="C6" s="32" t="str">
        <f>IF(ISBLANK(Values!E5),"","TellusRem")</f>
        <v>TellusRem</v>
      </c>
      <c r="D6" s="30">
        <f>IF(ISBLANK(Values!E5),"",Values!E5)</f>
        <v>5714401157021</v>
      </c>
      <c r="E6" s="31" t="str">
        <f>IF(ISBLANK(Values!E5),"","EAN")</f>
        <v>EAN</v>
      </c>
      <c r="F6" s="28" t="str">
        <f>IF(ISBLANK(Values!E5),"",IF(Values!J5, SUBSTITUTE(Values!$B$1, "{language}", Values!H5) &amp; " " &amp;Values!$B$3, SUBSTITUTE(Values!$B$2, "{language}", Values!$H5) &amp; " " &amp;Values!$B$3))</f>
        <v>replacement French backlit keyboard for HP    ZBOOK 15 G1 G2 ZBOOK 17 G1 G2 </v>
      </c>
      <c r="G6" s="32" t="str">
        <f>IF(ISBLANK(Values!E5),"","TellusRem")</f>
        <v>TellusRem</v>
      </c>
      <c r="H6" s="27" t="str">
        <f>IF(ISBLANK(Values!E5),"",Values!$B$16)</f>
        <v>computer-keyboards</v>
      </c>
      <c r="I6" s="27" t="str">
        <f>IF(ISBLANK(Values!E5),"","4730574031")</f>
        <v>4730574031</v>
      </c>
      <c r="J6" s="39" t="str">
        <f>IF(ISBLANK(Values!E5),"",Values!F5 )</f>
        <v>HP zbook 15/17 G1 G2 - FR</v>
      </c>
      <c r="K6" s="28">
        <f>IF(ISBLANK(Values!E5),"",IF(Values!J5, Values!$B$4, Values!$B$5))</f>
        <v>56.99</v>
      </c>
      <c r="L6" s="40">
        <f>IF(ISBLANK(Values!E5),"",IF($CO6="DEFAULT", Values!$B$18, ""))</f>
        <v>5</v>
      </c>
      <c r="M6" s="28" t="str">
        <f>IF(ISBLANK(Values!E5),"",Values!$M5)</f>
        <v/>
      </c>
      <c r="N6" s="28" t="str">
        <f>IF(ISBLANK(Values!$F5),"",Values!N5)</f>
        <v/>
      </c>
      <c r="O6" s="28" t="str">
        <f>IF(ISBLANK(Values!$F5),"",Values!O5)</f>
        <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2" t="str">
        <f>IF(ISBLANK(Values!E5),"","Child")</f>
        <v>Child</v>
      </c>
      <c r="X6" s="32" t="str">
        <f>IF(ISBLANK(Values!E5),"",Values!$B$13)</f>
        <v>Zbook 1517 parent</v>
      </c>
      <c r="Y6" s="39" t="str">
        <f>IF(ISBLANK(Values!E5),"","Size-Color")</f>
        <v>Size-Color</v>
      </c>
      <c r="Z6" s="32" t="str">
        <f>IF(ISBLANK(Values!E5),"","variation")</f>
        <v>variation</v>
      </c>
      <c r="AA6" s="36"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G1 G2 ZBOOK 17 G1 G2 </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HP ZBOOK 15 G1 G2 ZBOOK 17 G1 G2 .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8">
        <f>IF(ISBLANK(Values!E5),"",IF(Values!J5, Values!$B$4, Values!$B$5))</f>
        <v>56.99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v>
      </c>
      <c r="B7" s="38" t="str">
        <f>IF(ISBLANK(Values!E6),"",Values!F6)</f>
        <v>HP zbook 15/17 G1 G2 - IT</v>
      </c>
      <c r="C7" s="32" t="str">
        <f>IF(ISBLANK(Values!E6),"","TellusRem")</f>
        <v>TellusRem</v>
      </c>
      <c r="D7" s="30">
        <f>IF(ISBLANK(Values!E6),"",Values!E6)</f>
        <v>5714401157038</v>
      </c>
      <c r="E7" s="31" t="str">
        <f>IF(ISBLANK(Values!E6),"","EAN")</f>
        <v>EAN</v>
      </c>
      <c r="F7" s="28" t="str">
        <f>IF(ISBLANK(Values!E6),"",IF(Values!J6, SUBSTITUTE(Values!$B$1, "{language}", Values!H6) &amp; " " &amp;Values!$B$3, SUBSTITUTE(Values!$B$2, "{language}", Values!$H6) &amp; " " &amp;Values!$B$3))</f>
        <v>replacement Italian backlit keyboard for HP    ZBOOK 15 G1 G2 ZBOOK 17 G1 G2 </v>
      </c>
      <c r="G7" s="32" t="str">
        <f>IF(ISBLANK(Values!E6),"","TellusRem")</f>
        <v>TellusRem</v>
      </c>
      <c r="H7" s="27" t="str">
        <f>IF(ISBLANK(Values!E6),"",Values!$B$16)</f>
        <v>computer-keyboards</v>
      </c>
      <c r="I7" s="27" t="str">
        <f>IF(ISBLANK(Values!E6),"","4730574031")</f>
        <v>4730574031</v>
      </c>
      <c r="J7" s="39" t="str">
        <f>IF(ISBLANK(Values!E6),"",Values!F6 )</f>
        <v>HP zbook 15/17 G1 G2 - IT</v>
      </c>
      <c r="K7" s="28">
        <f>IF(ISBLANK(Values!E6),"",IF(Values!J6, Values!$B$4, Values!$B$5))</f>
        <v>56.99</v>
      </c>
      <c r="L7" s="40">
        <f>IF(ISBLANK(Values!E6),"",IF($CO7="DEFAULT", Values!$B$18, ""))</f>
        <v>5</v>
      </c>
      <c r="M7" s="28" t="str">
        <f>IF(ISBLANK(Values!E6),"",Values!$M6)</f>
        <v/>
      </c>
      <c r="N7" s="28" t="str">
        <f>IF(ISBLANK(Values!$F6),"",Values!N6)</f>
        <v/>
      </c>
      <c r="O7" s="28" t="str">
        <f>IF(ISBLANK(Values!$F6),"",Values!O6)</f>
        <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2" t="str">
        <f>IF(ISBLANK(Values!E6),"","Child")</f>
        <v>Child</v>
      </c>
      <c r="X7" s="32" t="str">
        <f>IF(ISBLANK(Values!E6),"",Values!$B$13)</f>
        <v>Zbook 1517 parent</v>
      </c>
      <c r="Y7" s="39" t="str">
        <f>IF(ISBLANK(Values!E6),"","Size-Color")</f>
        <v>Size-Color</v>
      </c>
      <c r="Z7" s="32" t="str">
        <f>IF(ISBLANK(Values!E6),"","variation")</f>
        <v>variation</v>
      </c>
      <c r="AA7" s="36"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G1 G2 ZBOOK 17 G1 G2 </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HP ZBOOK 15 G1 G2 ZBOOK 17 G1 G2 .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8">
        <f>IF(ISBLANK(Values!E6),"",IF(Values!J6, Values!$B$4, Values!$B$5))</f>
        <v>56.99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v>
      </c>
      <c r="B8" s="38" t="str">
        <f>IF(ISBLANK(Values!E7),"",Values!F7)</f>
        <v>HP zbook 15/17 G1 G2 - ES</v>
      </c>
      <c r="C8" s="32" t="str">
        <f>IF(ISBLANK(Values!E7),"","TellusRem")</f>
        <v>TellusRem</v>
      </c>
      <c r="D8" s="30">
        <f>IF(ISBLANK(Values!E7),"",Values!E7)</f>
        <v>5714401157045</v>
      </c>
      <c r="E8" s="31" t="str">
        <f>IF(ISBLANK(Values!E7),"","EAN")</f>
        <v>EAN</v>
      </c>
      <c r="F8" s="28" t="str">
        <f>IF(ISBLANK(Values!E7),"",IF(Values!J7, SUBSTITUTE(Values!$B$1, "{language}", Values!H7) &amp; " " &amp;Values!$B$3, SUBSTITUTE(Values!$B$2, "{language}", Values!$H7) &amp; " " &amp;Values!$B$3))</f>
        <v>replacement Spanish backlit keyboard for HP    ZBOOK 15 G1 G2 ZBOOK 17 G1 G2 </v>
      </c>
      <c r="G8" s="32" t="str">
        <f>IF(ISBLANK(Values!E7),"","TellusRem")</f>
        <v>TellusRem</v>
      </c>
      <c r="H8" s="27" t="str">
        <f>IF(ISBLANK(Values!E7),"",Values!$B$16)</f>
        <v>computer-keyboards</v>
      </c>
      <c r="I8" s="27" t="str">
        <f>IF(ISBLANK(Values!E7),"","4730574031")</f>
        <v>4730574031</v>
      </c>
      <c r="J8" s="39" t="str">
        <f>IF(ISBLANK(Values!E7),"",Values!F7 )</f>
        <v>HP zbook 15/17 G1 G2 - ES</v>
      </c>
      <c r="K8" s="28">
        <f>IF(ISBLANK(Values!E7),"",IF(Values!J7, Values!$B$4, Values!$B$5))</f>
        <v>56.99</v>
      </c>
      <c r="L8" s="40">
        <f>IF(ISBLANK(Values!E7),"",IF($CO8="DEFAULT", Values!$B$18, ""))</f>
        <v>5</v>
      </c>
      <c r="M8" s="28" t="str">
        <f>IF(ISBLANK(Values!E7),"",Values!$M7)</f>
        <v/>
      </c>
      <c r="N8" s="28" t="str">
        <f>IF(ISBLANK(Values!$F7),"",Values!N7)</f>
        <v/>
      </c>
      <c r="O8" s="28" t="str">
        <f>IF(ISBLANK(Values!$F7),"",Values!O7)</f>
        <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2" t="str">
        <f>IF(ISBLANK(Values!E7),"","Child")</f>
        <v>Child</v>
      </c>
      <c r="X8" s="32" t="str">
        <f>IF(ISBLANK(Values!E7),"",Values!$B$13)</f>
        <v>Zbook 1517 parent</v>
      </c>
      <c r="Y8" s="39" t="str">
        <f>IF(ISBLANK(Values!E7),"","Size-Color")</f>
        <v>Size-Color</v>
      </c>
      <c r="Z8" s="32" t="str">
        <f>IF(ISBLANK(Values!E7),"","variation")</f>
        <v>variation</v>
      </c>
      <c r="AA8" s="36"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G1 G2 ZBOOK 17 G1 G2 </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HP ZBOOK 15 G1 G2 ZBOOK 17 G1 G2 .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8">
        <f>IF(ISBLANK(Values!E7),"",IF(Values!J7, Values!$B$4, Values!$B$5))</f>
        <v>56.99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v>
      </c>
      <c r="B9" s="38" t="str">
        <f>IF(ISBLANK(Values!E8),"",Values!F8)</f>
        <v>HP zbook 15/17 G1 G2 - UK</v>
      </c>
      <c r="C9" s="32" t="str">
        <f>IF(ISBLANK(Values!E8),"","TellusRem")</f>
        <v>TellusRem</v>
      </c>
      <c r="D9" s="30">
        <f>IF(ISBLANK(Values!E8),"",Values!E8)</f>
        <v>5714401157052</v>
      </c>
      <c r="E9" s="31" t="str">
        <f>IF(ISBLANK(Values!E8),"","EAN")</f>
        <v>EAN</v>
      </c>
      <c r="F9" s="28" t="str">
        <f>IF(ISBLANK(Values!E8),"",IF(Values!J8, SUBSTITUTE(Values!$B$1, "{language}", Values!H8) &amp; " " &amp;Values!$B$3, SUBSTITUTE(Values!$B$2, "{language}", Values!$H8) &amp; " " &amp;Values!$B$3))</f>
        <v>replacement UK backlit keyboard for HP    ZBOOK 15 G1 G2 ZBOOK 17 G1 G2 </v>
      </c>
      <c r="G9" s="32" t="str">
        <f>IF(ISBLANK(Values!E8),"","TellusRem")</f>
        <v>TellusRem</v>
      </c>
      <c r="H9" s="27" t="str">
        <f>IF(ISBLANK(Values!E8),"",Values!$B$16)</f>
        <v>computer-keyboards</v>
      </c>
      <c r="I9" s="27" t="str">
        <f>IF(ISBLANK(Values!E8),"","4730574031")</f>
        <v>4730574031</v>
      </c>
      <c r="J9" s="39" t="str">
        <f>IF(ISBLANK(Values!E8),"",Values!F8 )</f>
        <v>HP zbook 15/17 G1 G2 - UK</v>
      </c>
      <c r="K9" s="28">
        <f>IF(ISBLANK(Values!E8),"",IF(Values!J8, Values!$B$4, Values!$B$5))</f>
        <v>56.99</v>
      </c>
      <c r="L9" s="40">
        <f>IF(ISBLANK(Values!E8),"",IF($CO9="DEFAULT", Values!$B$18, ""))</f>
        <v>5</v>
      </c>
      <c r="M9" s="28" t="str">
        <f>IF(ISBLANK(Values!E8),"",Values!$M8)</f>
        <v/>
      </c>
      <c r="N9" s="28" t="str">
        <f>IF(ISBLANK(Values!$F8),"",Values!N8)</f>
        <v/>
      </c>
      <c r="O9" s="28" t="str">
        <f>IF(ISBLANK(Values!$F8),"",Values!O8)</f>
        <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2" t="str">
        <f>IF(ISBLANK(Values!E8),"","Child")</f>
        <v>Child</v>
      </c>
      <c r="X9" s="32" t="str">
        <f>IF(ISBLANK(Values!E8),"",Values!$B$13)</f>
        <v>Zbook 1517 parent</v>
      </c>
      <c r="Y9" s="39" t="str">
        <f>IF(ISBLANK(Values!E8),"","Size-Color")</f>
        <v>Size-Color</v>
      </c>
      <c r="Z9" s="32" t="str">
        <f>IF(ISBLANK(Values!E8),"","variation")</f>
        <v>variation</v>
      </c>
      <c r="AA9" s="36"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G1 G2 ZBOOK 17 G1 G2 </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HP ZBOOK 15 G1 G2 ZBOOK 17 G1 G2 .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8">
        <f>IF(ISBLANK(Values!E8),"",IF(Values!J8, Values!$B$4, Values!$B$5))</f>
        <v>56.99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v>
      </c>
      <c r="B10" s="38" t="str">
        <f>IF(ISBLANK(Values!E9),"",Values!F9)</f>
        <v>HP zbook 15/17 G1 G2 - NOR</v>
      </c>
      <c r="C10" s="32" t="str">
        <f>IF(ISBLANK(Values!E9),"","TellusRem")</f>
        <v>TellusRem</v>
      </c>
      <c r="D10" s="30">
        <f>IF(ISBLANK(Values!E9),"",Values!E9)</f>
        <v>5714401157069</v>
      </c>
      <c r="E10" s="31" t="str">
        <f>IF(ISBLANK(Values!E9),"","EAN")</f>
        <v>EAN</v>
      </c>
      <c r="F10" s="28" t="str">
        <f>IF(ISBLANK(Values!E9),"",IF(Values!J9, SUBSTITUTE(Values!$B$1, "{language}", Values!H9) &amp; " " &amp;Values!$B$3, SUBSTITUTE(Values!$B$2, "{language}", Values!$H9) &amp; " " &amp;Values!$B$3))</f>
        <v>replacement Scandinavian – Nordic backlit keyboard for HP    ZBOOK 15 G1 G2 ZBOOK 17 G1 G2 </v>
      </c>
      <c r="G10" s="32" t="str">
        <f>IF(ISBLANK(Values!E9),"","TellusRem")</f>
        <v>TellusRem</v>
      </c>
      <c r="H10" s="27" t="str">
        <f>IF(ISBLANK(Values!E9),"",Values!$B$16)</f>
        <v>computer-keyboards</v>
      </c>
      <c r="I10" s="27" t="str">
        <f>IF(ISBLANK(Values!E9),"","4730574031")</f>
        <v>4730574031</v>
      </c>
      <c r="J10" s="39" t="str">
        <f>IF(ISBLANK(Values!E9),"",Values!F9 )</f>
        <v>HP zbook 15/17 G1 G2 - NOR</v>
      </c>
      <c r="K10" s="28">
        <f>IF(ISBLANK(Values!E9),"",IF(Values!J9, Values!$B$4, Values!$B$5))</f>
        <v>56.99</v>
      </c>
      <c r="L10" s="40">
        <f>IF(ISBLANK(Values!E9),"",IF($CO10="DEFAULT", Values!$B$18, ""))</f>
        <v>5</v>
      </c>
      <c r="M10" s="28" t="str">
        <f>IF(ISBLANK(Values!E9),"",Values!$M9)</f>
        <v/>
      </c>
      <c r="N10" s="28" t="str">
        <f>IF(ISBLANK(Values!$F9),"",Values!N9)</f>
        <v/>
      </c>
      <c r="O10" s="28" t="str">
        <f>IF(ISBLANK(Values!$F9),"",Values!O9)</f>
        <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Child</v>
      </c>
      <c r="X10" s="32" t="str">
        <f>IF(ISBLANK(Values!E9),"",Values!$B$13)</f>
        <v>Zbook 1517 parent</v>
      </c>
      <c r="Y10" s="39" t="str">
        <f>IF(ISBLANK(Values!E9),"","Size-Color")</f>
        <v>Size-Color</v>
      </c>
      <c r="Z10" s="32" t="str">
        <f>IF(ISBLANK(Values!E9),"","variation")</f>
        <v>variation</v>
      </c>
      <c r="AA10" s="36"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G1 G2 ZBOOK 17 G1 G2 </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HP ZBOOK 15 G1 G2 ZBOOK 17 G1 G2 .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8">
        <f>IF(ISBLANK(Values!E9),"",IF(Values!J9, Values!$B$4, Values!$B$5))</f>
        <v>56.99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27" t="str">
        <f>IF(ISBLANK(Values!E10),"",IF(Values!$B$37="EU","computercomponent","computer"))</f>
        <v>computer</v>
      </c>
      <c r="B11" s="38" t="str">
        <f>IF(ISBLANK(Values!E10),"",Values!F10)</f>
        <v>HP zbook 15/17 G1 G2 - US int</v>
      </c>
      <c r="C11" s="32" t="str">
        <f>IF(ISBLANK(Values!E10),"","TellusRem")</f>
        <v>TellusRem</v>
      </c>
      <c r="D11" s="30">
        <f>IF(ISBLANK(Values!E10),"",Values!E10)</f>
        <v>5714401157076</v>
      </c>
      <c r="E11" s="31" t="str">
        <f>IF(ISBLANK(Values!E10),"","EAN")</f>
        <v>EAN</v>
      </c>
      <c r="F11" s="28" t="str">
        <f>IF(ISBLANK(Values!E10),"",IF(Values!J10, SUBSTITUTE(Values!$B$1, "{language}", Values!H10) &amp; " " &amp;Values!$B$3, SUBSTITUTE(Values!$B$2, "{language}", Values!$H10) &amp; " " &amp;Values!$B$3))</f>
        <v>replacement US International backlit keyboard for HP    ZBOOK 15 G1 G2 ZBOOK 17 G1 G2 </v>
      </c>
      <c r="G11" s="32" t="str">
        <f>IF(ISBLANK(Values!E10),"","TellusRem")</f>
        <v>TellusRem</v>
      </c>
      <c r="H11" s="27" t="str">
        <f>IF(ISBLANK(Values!E10),"",Values!$B$16)</f>
        <v>computer-keyboards</v>
      </c>
      <c r="I11" s="27" t="str">
        <f>IF(ISBLANK(Values!E10),"","4730574031")</f>
        <v>4730574031</v>
      </c>
      <c r="J11" s="39" t="str">
        <f>IF(ISBLANK(Values!E10),"",Values!F10 )</f>
        <v>HP zbook 15/17 G1 G2 - US int</v>
      </c>
      <c r="K11" s="28">
        <f>IF(ISBLANK(Values!E10),"",IF(Values!J10, Values!$B$4, Values!$B$5))</f>
        <v>56.99</v>
      </c>
      <c r="L11" s="40">
        <f>IF(ISBLANK(Values!E10),"",IF($CO11="DEFAULT", Values!$B$18, ""))</f>
        <v>5</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Zbook 1517 parent</v>
      </c>
      <c r="Y11" s="39" t="str">
        <f>IF(ISBLANK(Values!E10),"","Size-Color")</f>
        <v>Size-Color</v>
      </c>
      <c r="Z11" s="32" t="str">
        <f>IF(ISBLANK(Values!E10),"","variation")</f>
        <v>variation</v>
      </c>
      <c r="AA11" s="36" t="str">
        <f>IF(ISBLANK(Values!E10),"",Values!$B$20)</f>
        <v>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1" t="str">
        <f>IF(ISBLANK(Values!E10),"",IF(Values!I10,Values!$B$23,Values!$B$33))</f>
        <v>👉 REFURBISHED:  SAVE MONEY -  Replacement HP laptop keyboard, same quality as OEM keyboards. TellusRem is the Leading keyboards distributor in the world since 2011. Perfect replacement keyboard, easy to replace and install.</v>
      </c>
      <c r="AJ11" s="4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G1 G2 ZBOOK 17 G1 G2 </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US International backlit.</v>
      </c>
      <c r="AM11" s="1" t="str">
        <f>SUBSTITUTE(IF(ISBLANK(Values!E10),"",Values!$B$27), "{model}", Values!$B$3)</f>
        <v>👉 COMPATIBLE WITH - HP ZBOOK 15 G1 G2 ZBOOK 17 G1 G2 . Please check the picture and description carefully before purchasing any keyboard. This ensures that you get the correct laptop keyboard for your computer. Super easy installation.</v>
      </c>
      <c r="AT11" s="28" t="str">
        <f>IF(ISBLANK(Values!E10),"",Values!H10)</f>
        <v>US International</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27" t="str">
        <f>IF(ISBLANK(Values!E10),"","Parts")</f>
        <v>Parts</v>
      </c>
      <c r="DP11" s="27" t="str">
        <f>IF(ISBLANK(Values!E10),"",Values!$B$31)</f>
        <v>6 month warranty after the delivery date. In case of any malfunction of the keyboard a new unit or a spare part for the keyboard of the product will be sent. In case of shortage of stock a full refund is issued.</v>
      </c>
      <c r="DS11" s="31"/>
      <c r="DY11" t="str">
        <f>IF(ISBLANK(Values!$E10), "", "not_applicable")</f>
        <v>not_applicable</v>
      </c>
      <c r="DZ11" s="31"/>
      <c r="EA11" s="31"/>
      <c r="EB11" s="31"/>
      <c r="EC11" s="31"/>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8">
        <f>IF(ISBLANK(Values!E10),"",IF(Values!J10, Values!$B$4, Values!$B$5))</f>
        <v>56.99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27" t="str">
        <f>IF(ISBLANK(Values!E11),"",IF(Values!$B$37="EU","computercomponent","computer"))</f>
        <v>computer</v>
      </c>
      <c r="B12" s="38" t="str">
        <f>IF(ISBLANK(Values!E11),"",Values!F11)</f>
        <v>HP zbook 15/17 G1 G2 - US V2</v>
      </c>
      <c r="C12" s="32" t="str">
        <f>IF(ISBLANK(Values!E11),"","TellusRem")</f>
        <v>TellusRem</v>
      </c>
      <c r="D12" s="30">
        <f>IF(ISBLANK(Values!E11),"",Values!E11)</f>
        <v>5714401157113</v>
      </c>
      <c r="E12" s="31" t="str">
        <f>IF(ISBLANK(Values!E11),"","EAN")</f>
        <v>EAN</v>
      </c>
      <c r="F12" s="28" t="str">
        <f>IF(ISBLANK(Values!E11),"",IF(Values!J11, SUBSTITUTE(Values!$B$1, "{language}", Values!H11) &amp; " " &amp;Values!$B$3, SUBSTITUTE(Values!$B$2, "{language}", Values!$H11) &amp; " " &amp;Values!$B$3))</f>
        <v>replacement US backlit keyboard for HP    ZBOOK 15 G1 G2 ZBOOK 17 G1 G2 </v>
      </c>
      <c r="G12" s="32" t="str">
        <f>IF(ISBLANK(Values!E11),"","TellusRem")</f>
        <v>TellusRem</v>
      </c>
      <c r="H12" s="27" t="str">
        <f>IF(ISBLANK(Values!E11),"",Values!$B$16)</f>
        <v>computer-keyboards</v>
      </c>
      <c r="I12" s="27" t="str">
        <f>IF(ISBLANK(Values!E11),"","4730574031")</f>
        <v>4730574031</v>
      </c>
      <c r="J12" s="39" t="str">
        <f>IF(ISBLANK(Values!E11),"",Values!F11 )</f>
        <v>HP zbook 15/17 G1 G2 - US V2</v>
      </c>
      <c r="K12" s="28">
        <f>IF(ISBLANK(Values!E11),"",IF(Values!J11, Values!$B$4, Values!$B$5))</f>
        <v>56.99</v>
      </c>
      <c r="L12" s="40" t="str">
        <f>IF(ISBLANK(Values!E11),"",IF($CO12="DEFAULT", Values!$B$18, ""))</f>
        <v/>
      </c>
      <c r="M12" s="28" t="str">
        <f>IF(ISBLANK(Values!E11),"",Values!$M11)</f>
        <v>https://raw.githubusercontent.com/PatrickVibild/TellusAmazonPictures/master/pictures/HP/W. PS/Zbook 15-17 G1-G2/BL/US/1.jpg</v>
      </c>
      <c r="N12" s="28" t="str">
        <f>IF(ISBLANK(Values!$F11),"",Values!N11)</f>
        <v>https://raw.githubusercontent.com/PatrickVibild/TellusAmazonPictures/master/pictures/HP/W. PS/Zbook 15-17 G1-G2/BL/US/2.jpg</v>
      </c>
      <c r="O12" s="28" t="str">
        <f>IF(ISBLANK(Values!$F11),"",Values!O11)</f>
        <v>https://raw.githubusercontent.com/PatrickVibild/TellusAmazonPictures/master/pictures/HP/W. PS/Zbook 15-17 G1-G2/BL/US/3.jpg</v>
      </c>
      <c r="P12" s="28" t="str">
        <f>IF(ISBLANK(Values!$F11),"",Values!P11)</f>
        <v>https://raw.githubusercontent.com/PatrickVibild/TellusAmazonPictures/master/pictures/HP/W. PS/Zbook 15-17 G1-G2/BL/US/4.jpg</v>
      </c>
      <c r="Q12" s="28" t="str">
        <f>IF(ISBLANK(Values!$F11),"",Values!Q11)</f>
        <v>https://raw.githubusercontent.com/PatrickVibild/TellusAmazonPictures/master/pictures/HP/W. PS/Zbook 15-17 G1-G2/BL/US/5.jpg</v>
      </c>
      <c r="R12" s="28" t="str">
        <f>IF(ISBLANK(Values!$F11),"",Values!R11)</f>
        <v>https://raw.githubusercontent.com/PatrickVibild/TellusAmazonPictures/master/pictures/HP/W. PS/Zbook 15-17 G1-G2/BL/US/6.jpg</v>
      </c>
      <c r="S12" s="28" t="str">
        <f>IF(ISBLANK(Values!$F11),"",Values!S11)</f>
        <v>https://raw.githubusercontent.com/PatrickVibild/TellusAmazonPictures/master/pictures/HP/W. PS/Zbook 15-17 G1-G2/BL/US/7.jpg</v>
      </c>
      <c r="T12" s="28" t="str">
        <f>IF(ISBLANK(Values!$F11),"",Values!T11)</f>
        <v>https://raw.githubusercontent.com/PatrickVibild/TellusAmazonPictures/master/pictures/HP/W. PS/Zbook 15-17 G1-G2/BL/US/8.jpg</v>
      </c>
      <c r="U12" s="28" t="str">
        <f>IF(ISBLANK(Values!$F11),"",Values!U11)</f>
        <v>https://raw.githubusercontent.com/PatrickVibild/TellusAmazonPictures/master/pictures/HP/W. PS/Zbook 15-17 G1-G2/BL/US/9.jpg</v>
      </c>
      <c r="W12" s="32" t="str">
        <f>IF(ISBLANK(Values!E11),"","Child")</f>
        <v>Child</v>
      </c>
      <c r="X12" s="32" t="str">
        <f>IF(ISBLANK(Values!E11),"",Values!$B$13)</f>
        <v>Zbook 1517 parent</v>
      </c>
      <c r="Y12" s="39" t="str">
        <f>IF(ISBLANK(Values!E11),"","Size-Color")</f>
        <v>Size-Color</v>
      </c>
      <c r="Z12" s="32" t="str">
        <f>IF(ISBLANK(Values!E11),"","variation")</f>
        <v>variation</v>
      </c>
      <c r="AA12" s="36" t="str">
        <f>IF(ISBLANK(Values!E11),"",Values!$B$20)</f>
        <v>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1" t="str">
        <f>IF(ISBLANK(Values!E11),"",IF(Values!I11,Values!$B$23,Values!$B$33))</f>
        <v>👉 REFURBISHED:  SAVE MONEY -  Replacement HP laptop keyboard, same quality as OEM keyboards. TellusRem is the Leading keyboards distributor in the world since 2011. Perfect replacement keyboard, easy to replace and install.</v>
      </c>
      <c r="AJ12" s="4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G1 G2 ZBOOK 17 G1 G2 </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US backlit.</v>
      </c>
      <c r="AM12" s="1" t="str">
        <f>SUBSTITUTE(IF(ISBLANK(Values!E11),"",Values!$B$27), "{model}", Values!$B$3)</f>
        <v>👉 COMPATIBLE WITH - HP ZBOOK 15 G1 G2 ZBOOK 17 G1 G2 . Please check the picture and description carefully before purchasing any keyboard. This ensures that you get the correct laptop keyboard for your computer. Super easy installation.</v>
      </c>
      <c r="AT12" s="28" t="str">
        <f>IF(ISBLANK(Values!E11),"",Values!H11)</f>
        <v>US</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AMAZON_NA</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27" t="str">
        <f>IF(ISBLANK(Values!E11),"","Parts")</f>
        <v>Parts</v>
      </c>
      <c r="DP12" s="27" t="str">
        <f>IF(ISBLANK(Values!E11),"",Values!$B$31)</f>
        <v>6 month warranty after the delivery date. In case of any malfunction of the keyboard a new unit or a spare part for the keyboard of the product will be sent. In case of shortage of stock a full refund is issued.</v>
      </c>
      <c r="DS12" s="31"/>
      <c r="DY12" t="str">
        <f>IF(ISBLANK(Values!$E11), "", "not_applicable")</f>
        <v>not_applicable</v>
      </c>
      <c r="DZ12" s="31"/>
      <c r="EA12" s="31"/>
      <c r="EB12" s="31"/>
      <c r="EC12" s="31"/>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31" t="str">
        <f>IF(ISBLANK(Values!E11),"","New")</f>
        <v>New</v>
      </c>
      <c r="FE12" s="1" t="str">
        <f>IF(ISBLANK(Values!E11),"",IF(CO12&lt;&gt;"DEFAULT", "", 3))</f>
        <v/>
      </c>
      <c r="FH12" s="1" t="str">
        <f>IF(ISBLANK(Values!E11),"","FALSE")</f>
        <v>FALSE</v>
      </c>
      <c r="FI12" s="1" t="str">
        <f>IF(ISBLANK(Values!E11),"","FALSE")</f>
        <v>FALSE</v>
      </c>
      <c r="FJ12" s="1" t="str">
        <f>IF(ISBLANK(Values!E11),"","FALSE")</f>
        <v>FALSE</v>
      </c>
      <c r="FM12" s="1" t="str">
        <f>IF(ISBLANK(Values!E11),"","1")</f>
        <v>1</v>
      </c>
      <c r="FO12" s="28">
        <f>IF(ISBLANK(Values!E11),"",IF(Values!J11, Values!$B$4, Values!$B$5))</f>
        <v>56.99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17" x14ac:dyDescent="0.2">
      <c r="A13" s="27" t="str">
        <f>IF(ISBLANK(Values!E12),"",IF(Values!$B$37="EU","computercomponent","computer"))</f>
        <v/>
      </c>
      <c r="B13" s="38" t="str">
        <f>IF(ISBLANK(Values!E12),"",Values!F12)</f>
        <v/>
      </c>
      <c r="C13" s="32" t="str">
        <f>IF(ISBLANK(Values!E12),"","TellusRem")</f>
        <v/>
      </c>
      <c r="D13" s="30" t="str">
        <f>IF(ISBLANK(Values!E12),"",Values!E12)</f>
        <v/>
      </c>
      <c r="E13" s="31" t="str">
        <f>IF(ISBLANK(Values!E12),"","EAN")</f>
        <v/>
      </c>
      <c r="F13" s="28" t="str">
        <f>IF(ISBLANK(Values!E12),"",IF(Values!J12, SUBSTITUTE(Values!$B$1, "{language}", Values!H12) &amp; " " &amp;Values!$B$3, SUBSTITUTE(Values!$B$2, "{language}", Values!$H12) &amp; " " &amp;Values!$B$3))</f>
        <v/>
      </c>
      <c r="G13" s="32" t="str">
        <f>IF(ISBLANK(Values!E12),"","TellusRem")</f>
        <v/>
      </c>
      <c r="H13" s="27" t="str">
        <f>IF(ISBLANK(Values!E12),"",Values!$B$16)</f>
        <v/>
      </c>
      <c r="I13" s="27" t="str">
        <f>IF(ISBLANK(Values!E12),"","4730574031")</f>
        <v/>
      </c>
      <c r="J13" s="39" t="str">
        <f>IF(ISBLANK(Values!E12),"",Values!F12 )</f>
        <v/>
      </c>
      <c r="K13" s="28" t="str">
        <f>IF(ISBLANK(Values!E12),"",IF(Values!J12, Values!$B$4, Values!$B$5))</f>
        <v/>
      </c>
      <c r="L13" s="40" t="str">
        <f>IF(ISBLANK(Values!E12),"",IF($CO13="DEFAULT", Values!$B$18, ""))</f>
        <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
      </c>
      <c r="X13" s="32" t="str">
        <f>IF(ISBLANK(Values!E12),"",Values!$B$13)</f>
        <v/>
      </c>
      <c r="Y13" s="39" t="str">
        <f>IF(ISBLANK(Values!E12),"","Size-Color")</f>
        <v/>
      </c>
      <c r="Z13" s="32" t="str">
        <f>IF(ISBLANK(Values!E12),"","variation")</f>
        <v/>
      </c>
      <c r="AA13" s="36" t="str">
        <f>IF(ISBLANK(Values!E12),"",Values!$B$20)</f>
        <v/>
      </c>
      <c r="AB13" s="1" t="str">
        <f>IF(ISBLANK(Values!E12),"",Values!$B$29)</f>
        <v/>
      </c>
      <c r="AI13" s="41" t="str">
        <f>IF(ISBLANK(Values!E12),"",IF(Values!I12,Values!$B$23,Values!$B$33))</f>
        <v/>
      </c>
      <c r="AJ13" s="4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8" t="str">
        <f>IF(ISBLANK(Values!E12),"",Values!H12)</f>
        <v/>
      </c>
      <c r="AV13" s="1" t="str">
        <f>IF(ISBLANK(Values!E12),"",IF(Values!J12,"Backlit", "Non-Backlit"))</f>
        <v/>
      </c>
      <c r="AW13"/>
      <c r="BE13" s="27" t="str">
        <f>IF(ISBLANK(Values!E12),"","Professional Audience")</f>
        <v/>
      </c>
      <c r="BF13" s="27" t="str">
        <f>IF(ISBLANK(Values!E12),"","Consumer Audience")</f>
        <v/>
      </c>
      <c r="BG13" s="27" t="str">
        <f>IF(ISBLANK(Values!E12),"","Adults")</f>
        <v/>
      </c>
      <c r="BH13" s="27"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27" t="str">
        <f>IF(ISBLANK(Values!E12),"","Parts")</f>
        <v/>
      </c>
      <c r="DP13" s="27" t="str">
        <f>IF(ISBLANK(Values!E12),"",Values!$B$31)</f>
        <v/>
      </c>
      <c r="DS13" s="31"/>
      <c r="DY13" t="str">
        <f>IF(ISBLANK(Values!$E12), "", "not_applicable")</f>
        <v/>
      </c>
      <c r="DZ13" s="31"/>
      <c r="EA13" s="31"/>
      <c r="EB13" s="31"/>
      <c r="EC13" s="31"/>
      <c r="EI13" s="1" t="str">
        <f>IF(ISBLANK(Values!E12),"",Values!$B$31)</f>
        <v/>
      </c>
      <c r="ES13" s="1" t="str">
        <f>IF(ISBLANK(Values!E12),"","Amazon Tellus UPS")</f>
        <v/>
      </c>
      <c r="EV13" s="3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8" t="str">
        <f>IF(ISBLANK(Values!E12),"",IF(Values!J12, Values!$B$4, Values!$B$5))</f>
        <v/>
      </c>
      <c r="FP13" s="1" t="str">
        <f>IF(ISBLANK(Values!E12),"","Percent")</f>
        <v/>
      </c>
      <c r="FQ13" s="1" t="str">
        <f>IF(ISBLANK(Values!E12),"","2")</f>
        <v/>
      </c>
      <c r="FR13" s="1" t="str">
        <f>IF(ISBLANK(Values!E12),"","3")</f>
        <v/>
      </c>
      <c r="FS13" s="1" t="str">
        <f>IF(ISBLANK(Values!E12),"","5")</f>
        <v/>
      </c>
      <c r="FT13" s="1" t="str">
        <f>IF(ISBLANK(Values!E12),"","6")</f>
        <v/>
      </c>
      <c r="FU13" s="1" t="str">
        <f>IF(ISBLANK(Values!E12),"","10")</f>
        <v/>
      </c>
      <c r="FV13" s="1" t="str">
        <f>IF(ISBLANK(Values!E12),"","10")</f>
        <v/>
      </c>
    </row>
    <row r="14" spans="1:192" ht="17" x14ac:dyDescent="0.2">
      <c r="A14" s="27" t="str">
        <f>IF(ISBLANK(Values!E13),"",IF(Values!$B$37="EU","computercomponent","computer"))</f>
        <v/>
      </c>
      <c r="B14" s="38" t="str">
        <f>IF(ISBLANK(Values!E13),"",Values!F13)</f>
        <v/>
      </c>
      <c r="C14" s="32" t="str">
        <f>IF(ISBLANK(Values!E13),"","TellusRem")</f>
        <v/>
      </c>
      <c r="D14" s="30" t="str">
        <f>IF(ISBLANK(Values!E13),"",Values!E13)</f>
        <v/>
      </c>
      <c r="E14" s="31" t="str">
        <f>IF(ISBLANK(Values!E13),"","EAN")</f>
        <v/>
      </c>
      <c r="F14" s="28" t="str">
        <f>IF(ISBLANK(Values!E13),"",IF(Values!J13, SUBSTITUTE(Values!$B$1, "{language}", Values!H13) &amp; " " &amp;Values!$B$3, SUBSTITUTE(Values!$B$2, "{language}", Values!$H13) &amp; " " &amp;Values!$B$3))</f>
        <v/>
      </c>
      <c r="G14" s="32" t="str">
        <f>IF(ISBLANK(Values!E13),"","TellusRem")</f>
        <v/>
      </c>
      <c r="H14" s="27" t="str">
        <f>IF(ISBLANK(Values!E13),"",Values!$B$16)</f>
        <v/>
      </c>
      <c r="I14" s="27" t="str">
        <f>IF(ISBLANK(Values!E13),"","4730574031")</f>
        <v/>
      </c>
      <c r="J14" s="39" t="str">
        <f>IF(ISBLANK(Values!E13),"",Values!F13 )</f>
        <v/>
      </c>
      <c r="K14" s="28" t="str">
        <f>IF(ISBLANK(Values!E13),"",IF(Values!J13, Values!$B$4, Values!$B$5))</f>
        <v/>
      </c>
      <c r="L14" s="40" t="str">
        <f>IF(ISBLANK(Values!E13),"",IF($CO14="DEFAULT", Values!$B$18, ""))</f>
        <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
      </c>
      <c r="X14" s="32" t="str">
        <f>IF(ISBLANK(Values!E13),"",Values!$B$13)</f>
        <v/>
      </c>
      <c r="Y14" s="39" t="str">
        <f>IF(ISBLANK(Values!E13),"","Size-Color")</f>
        <v/>
      </c>
      <c r="Z14" s="32" t="str">
        <f>IF(ISBLANK(Values!E13),"","variation")</f>
        <v/>
      </c>
      <c r="AA14" s="36" t="str">
        <f>IF(ISBLANK(Values!E13),"",Values!$B$20)</f>
        <v/>
      </c>
      <c r="AB14" s="1" t="str">
        <f>IF(ISBLANK(Values!E13),"",Values!$B$29)</f>
        <v/>
      </c>
      <c r="AI14" s="41" t="str">
        <f>IF(ISBLANK(Values!E13),"",IF(Values!I13,Values!$B$23,Values!$B$33))</f>
        <v/>
      </c>
      <c r="AJ14" s="4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8" t="str">
        <f>IF(ISBLANK(Values!E13),"",Values!H13)</f>
        <v/>
      </c>
      <c r="AV14" s="1" t="str">
        <f>IF(ISBLANK(Values!E13),"",IF(Values!J13,"Backlit", "Non-Backlit"))</f>
        <v/>
      </c>
      <c r="AW14"/>
      <c r="BE14" s="27" t="str">
        <f>IF(ISBLANK(Values!E13),"","Professional Audience")</f>
        <v/>
      </c>
      <c r="BF14" s="27" t="str">
        <f>IF(ISBLANK(Values!E13),"","Consumer Audience")</f>
        <v/>
      </c>
      <c r="BG14" s="27" t="str">
        <f>IF(ISBLANK(Values!E13),"","Adults")</f>
        <v/>
      </c>
      <c r="BH14" s="27"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27" t="str">
        <f>IF(ISBLANK(Values!E13),"","Parts")</f>
        <v/>
      </c>
      <c r="DP14" s="27" t="str">
        <f>IF(ISBLANK(Values!E13),"",Values!$B$31)</f>
        <v/>
      </c>
      <c r="DS14" s="31"/>
      <c r="DY14" t="str">
        <f>IF(ISBLANK(Values!$E13), "", "not_applicable")</f>
        <v/>
      </c>
      <c r="DZ14" s="31"/>
      <c r="EA14" s="31"/>
      <c r="EB14" s="31"/>
      <c r="EC14" s="31"/>
      <c r="EI14" s="1" t="str">
        <f>IF(ISBLANK(Values!E13),"",Values!$B$31)</f>
        <v/>
      </c>
      <c r="ES14" s="1" t="str">
        <f>IF(ISBLANK(Values!E13),"","Amazon Tellus UPS")</f>
        <v/>
      </c>
      <c r="EV14" s="3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8" t="str">
        <f>IF(ISBLANK(Values!E13),"",IF(Values!J13, Values!$B$4, Values!$B$5))</f>
        <v/>
      </c>
      <c r="FP14" s="1" t="str">
        <f>IF(ISBLANK(Values!E13),"","Percent")</f>
        <v/>
      </c>
      <c r="FQ14" s="1" t="str">
        <f>IF(ISBLANK(Values!E13),"","2")</f>
        <v/>
      </c>
      <c r="FR14" s="1" t="str">
        <f>IF(ISBLANK(Values!E13),"","3")</f>
        <v/>
      </c>
      <c r="FS14" s="1" t="str">
        <f>IF(ISBLANK(Values!E13),"","5")</f>
        <v/>
      </c>
      <c r="FT14" s="1" t="str">
        <f>IF(ISBLANK(Values!E13),"","6")</f>
        <v/>
      </c>
      <c r="FU14" s="1" t="str">
        <f>IF(ISBLANK(Values!E13),"","10")</f>
        <v/>
      </c>
      <c r="FV14" s="1" t="str">
        <f>IF(ISBLANK(Values!E13),"","10")</f>
        <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7" t="s">
        <v>574</v>
      </c>
    </row>
    <row r="21" spans="2:2" x14ac:dyDescent="0.15">
      <c r="B21" s="57" t="s">
        <v>575</v>
      </c>
    </row>
    <row r="22" spans="2:2" x14ac:dyDescent="0.15">
      <c r="B22" s="57" t="s">
        <v>576</v>
      </c>
    </row>
    <row r="23" spans="2:2" x14ac:dyDescent="0.15">
      <c r="B23" s="57" t="s">
        <v>581</v>
      </c>
    </row>
    <row r="24" spans="2:2" x14ac:dyDescent="0.15">
      <c r="B24" s="57" t="s">
        <v>577</v>
      </c>
    </row>
    <row r="25" spans="2:2" x14ac:dyDescent="0.15">
      <c r="B25" s="57" t="s">
        <v>582</v>
      </c>
    </row>
    <row r="26" spans="2:2" x14ac:dyDescent="0.15">
      <c r="B26" s="57" t="s">
        <v>583</v>
      </c>
    </row>
    <row r="27" spans="2:2" x14ac:dyDescent="0.15">
      <c r="B27" s="57" t="s">
        <v>584</v>
      </c>
    </row>
    <row r="28" spans="2:2" x14ac:dyDescent="0.15">
      <c r="B28" s="57" t="s">
        <v>585</v>
      </c>
    </row>
    <row r="29" spans="2:2" x14ac:dyDescent="0.15">
      <c r="B29" s="57" t="s">
        <v>578</v>
      </c>
    </row>
    <row r="30" spans="2:2" x14ac:dyDescent="0.15">
      <c r="B30" s="57" t="s">
        <v>586</v>
      </c>
    </row>
    <row r="31" spans="2:2" x14ac:dyDescent="0.15">
      <c r="B31" s="57" t="s">
        <v>579</v>
      </c>
    </row>
    <row r="32" spans="2:2" x14ac:dyDescent="0.15">
      <c r="B32" s="57" t="s">
        <v>587</v>
      </c>
    </row>
    <row r="33" spans="2:4" x14ac:dyDescent="0.15">
      <c r="B33" s="57" t="s">
        <v>588</v>
      </c>
    </row>
    <row r="34" spans="2:4" x14ac:dyDescent="0.15">
      <c r="B34" s="57" t="s">
        <v>589</v>
      </c>
      <c r="D34" s="48"/>
    </row>
    <row r="35" spans="2:4" x14ac:dyDescent="0.15">
      <c r="B35" s="57" t="s">
        <v>517</v>
      </c>
      <c r="D35" s="48"/>
    </row>
    <row r="36" spans="2:4" x14ac:dyDescent="0.15">
      <c r="B36" s="57" t="s">
        <v>580</v>
      </c>
      <c r="D36" s="48"/>
    </row>
    <row r="37" spans="2:4" x14ac:dyDescent="0.15">
      <c r="B37" s="57" t="s">
        <v>404</v>
      </c>
      <c r="D37" s="48"/>
    </row>
    <row r="38" spans="2:4" x14ac:dyDescent="0.15">
      <c r="B38" s="57" t="s">
        <v>590</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1" t="s">
        <v>595</v>
      </c>
    </row>
    <row r="21" spans="2:2" x14ac:dyDescent="0.15">
      <c r="B21" s="71" t="s">
        <v>596</v>
      </c>
    </row>
    <row r="22" spans="2:2" x14ac:dyDescent="0.15">
      <c r="B22" s="71" t="s">
        <v>597</v>
      </c>
    </row>
    <row r="23" spans="2:2" x14ac:dyDescent="0.15">
      <c r="B23" s="71" t="s">
        <v>598</v>
      </c>
    </row>
    <row r="24" spans="2:2" x14ac:dyDescent="0.15">
      <c r="B24" s="71" t="s">
        <v>591</v>
      </c>
    </row>
    <row r="25" spans="2:2" x14ac:dyDescent="0.15">
      <c r="B25" s="71" t="s">
        <v>592</v>
      </c>
    </row>
    <row r="26" spans="2:2" x14ac:dyDescent="0.15">
      <c r="B26" s="71" t="s">
        <v>599</v>
      </c>
    </row>
    <row r="27" spans="2:2" x14ac:dyDescent="0.15">
      <c r="B27" s="71" t="s">
        <v>600</v>
      </c>
    </row>
    <row r="28" spans="2:2" x14ac:dyDescent="0.15">
      <c r="B28" s="71" t="s">
        <v>601</v>
      </c>
    </row>
    <row r="29" spans="2:2" x14ac:dyDescent="0.15">
      <c r="B29" s="71" t="s">
        <v>602</v>
      </c>
    </row>
    <row r="30" spans="2:2" x14ac:dyDescent="0.15">
      <c r="B30" s="71" t="s">
        <v>603</v>
      </c>
    </row>
    <row r="31" spans="2:2" x14ac:dyDescent="0.15">
      <c r="B31" s="71" t="s">
        <v>604</v>
      </c>
    </row>
    <row r="32" spans="2:2" x14ac:dyDescent="0.15">
      <c r="B32" s="71" t="s">
        <v>605</v>
      </c>
    </row>
    <row r="33" spans="2:4" x14ac:dyDescent="0.15">
      <c r="B33" s="71" t="s">
        <v>593</v>
      </c>
    </row>
    <row r="34" spans="2:4" x14ac:dyDescent="0.15">
      <c r="B34" s="71" t="s">
        <v>606</v>
      </c>
      <c r="D34" s="48"/>
    </row>
    <row r="35" spans="2:4" x14ac:dyDescent="0.15">
      <c r="B35" s="71" t="s">
        <v>401</v>
      </c>
      <c r="D35" s="48"/>
    </row>
    <row r="36" spans="2:4" x14ac:dyDescent="0.15">
      <c r="B36" s="71" t="s">
        <v>607</v>
      </c>
      <c r="D36" s="48"/>
    </row>
    <row r="37" spans="2:4" x14ac:dyDescent="0.15">
      <c r="B37" s="71" t="s">
        <v>594</v>
      </c>
      <c r="D37" s="48"/>
    </row>
    <row r="38" spans="2:4" x14ac:dyDescent="0.15">
      <c r="B38" s="71" t="s">
        <v>608</v>
      </c>
      <c r="D38" s="48"/>
    </row>
    <row r="39" spans="2:4" x14ac:dyDescent="0.15">
      <c r="B39" s="71"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7" t="s">
        <v>616</v>
      </c>
    </row>
    <row r="21" spans="2:2" x14ac:dyDescent="0.15">
      <c r="B21" s="57" t="s">
        <v>617</v>
      </c>
    </row>
    <row r="22" spans="2:2" x14ac:dyDescent="0.15">
      <c r="B22" s="57" t="s">
        <v>618</v>
      </c>
    </row>
    <row r="23" spans="2:2" x14ac:dyDescent="0.15">
      <c r="B23" s="57" t="s">
        <v>619</v>
      </c>
    </row>
    <row r="24" spans="2:2" x14ac:dyDescent="0.15">
      <c r="B24" s="57" t="s">
        <v>620</v>
      </c>
    </row>
    <row r="25" spans="2:2" x14ac:dyDescent="0.15">
      <c r="B25" s="57" t="s">
        <v>621</v>
      </c>
    </row>
    <row r="26" spans="2:2" x14ac:dyDescent="0.15">
      <c r="B26" s="57" t="s">
        <v>622</v>
      </c>
    </row>
    <row r="27" spans="2:2" x14ac:dyDescent="0.15">
      <c r="B27" s="57" t="s">
        <v>623</v>
      </c>
    </row>
    <row r="28" spans="2:2" x14ac:dyDescent="0.15">
      <c r="B28" s="57" t="s">
        <v>624</v>
      </c>
    </row>
    <row r="29" spans="2:2" x14ac:dyDescent="0.15">
      <c r="B29" s="57" t="s">
        <v>625</v>
      </c>
    </row>
    <row r="30" spans="2:2" x14ac:dyDescent="0.15">
      <c r="B30" s="57" t="s">
        <v>626</v>
      </c>
    </row>
    <row r="31" spans="2:2" x14ac:dyDescent="0.15">
      <c r="B31" s="57" t="s">
        <v>627</v>
      </c>
    </row>
    <row r="32" spans="2:2" x14ac:dyDescent="0.15">
      <c r="B32" s="57" t="s">
        <v>628</v>
      </c>
    </row>
    <row r="33" spans="2:4" x14ac:dyDescent="0.15">
      <c r="B33" s="57" t="s">
        <v>629</v>
      </c>
    </row>
    <row r="34" spans="2:4" x14ac:dyDescent="0.15">
      <c r="B34" s="57" t="s">
        <v>630</v>
      </c>
      <c r="D34" s="48"/>
    </row>
    <row r="35" spans="2:4" x14ac:dyDescent="0.15">
      <c r="B35" s="57" t="s">
        <v>517</v>
      </c>
      <c r="D35" s="48"/>
    </row>
    <row r="36" spans="2:4" x14ac:dyDescent="0.15">
      <c r="B36" s="57" t="s">
        <v>631</v>
      </c>
      <c r="D36" s="48"/>
    </row>
    <row r="37" spans="2:4" x14ac:dyDescent="0.15">
      <c r="B37" s="57" t="s">
        <v>404</v>
      </c>
      <c r="D37" s="48"/>
    </row>
    <row r="38" spans="2:4" x14ac:dyDescent="0.15">
      <c r="B38" s="57" t="s">
        <v>632</v>
      </c>
      <c r="D38" s="48"/>
    </row>
    <row r="39" spans="2:4" x14ac:dyDescent="0.15">
      <c r="B39" s="57"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zoomScale="80" zoomScaleNormal="80" workbookViewId="0">
      <selection activeCell="F11" sqref="F11"/>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76" t="s">
        <v>352</v>
      </c>
      <c r="F1" s="76"/>
      <c r="G1" s="76"/>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ht="14" x14ac:dyDescent="0.15">
      <c r="A3" s="45" t="s">
        <v>354</v>
      </c>
      <c r="B3" s="44" t="s">
        <v>684</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15" x14ac:dyDescent="0.2">
      <c r="A4" s="45" t="s">
        <v>369</v>
      </c>
      <c r="B4" s="75">
        <v>56.99</v>
      </c>
      <c r="C4" s="49" t="b">
        <f>FALSE()</f>
        <v>0</v>
      </c>
      <c r="D4" s="49" t="b">
        <f>TRUE()</f>
        <v>1</v>
      </c>
      <c r="E4" s="74">
        <v>5714401157014</v>
      </c>
      <c r="F4" s="72" t="s">
        <v>676</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2" t="b">
        <f>TRUE()</f>
        <v>1</v>
      </c>
      <c r="J4" s="53" t="b">
        <v>1</v>
      </c>
      <c r="K4" s="50"/>
      <c r="L4" s="54" t="b">
        <v>1</v>
      </c>
      <c r="M4" s="55" t="str">
        <f t="shared" ref="M4:M35" si="0">IF(ISBLANK(K4),"",IF(L4, "https://raw.githubusercontent.com/PatrickVibild/TellusAmazonPictures/master/pictures/"&amp;K4&amp;"/1.jpg","https://download.lenovo.com/Images/Parts/"&amp;K4&amp;"/"&amp;K4&amp;"_A.jpg"))</f>
        <v/>
      </c>
      <c r="N4" s="55" t="str">
        <f t="shared" ref="N4:N35" si="1">IF(ISBLANK(K4),"",IF(L4, "https://raw.githubusercontent.com/PatrickVibild/TellusAmazonPictures/master/pictures/"&amp;K4&amp;"/2.jpg","https://download.lenovo.com/Images/Parts/"&amp;K4&amp;"/"&amp;K4&amp;"_B.jpg"))</f>
        <v/>
      </c>
      <c r="O4" s="56" t="str">
        <f t="shared" ref="O4:O35" si="2">IF(ISBLANK(K4),"",IF(L4, "https://raw.githubusercontent.com/PatrickVibild/TellusAmazonPictures/master/pictures/"&amp;K4&amp;"/3.jpg","https://download.lenovo.com/Images/Parts/"&amp;K4&amp;"/"&amp;K4&amp;"_details.jpg"))</f>
        <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57">
        <f>MATCH(G4,options!$D$1:$D$20,0)</f>
        <v>1</v>
      </c>
    </row>
    <row r="5" spans="1:22" ht="15" x14ac:dyDescent="0.2">
      <c r="A5" s="45" t="s">
        <v>371</v>
      </c>
      <c r="B5" s="75">
        <v>48.99</v>
      </c>
      <c r="C5" s="49" t="b">
        <f>FALSE()</f>
        <v>0</v>
      </c>
      <c r="D5" s="49" t="b">
        <f>TRUE()</f>
        <v>1</v>
      </c>
      <c r="E5" s="74">
        <v>5714401157021</v>
      </c>
      <c r="F5" s="72" t="s">
        <v>677</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2" t="b">
        <f>TRUE()</f>
        <v>1</v>
      </c>
      <c r="J5" s="53" t="b">
        <v>1</v>
      </c>
      <c r="K5" s="50"/>
      <c r="L5" s="54" t="b">
        <v>1</v>
      </c>
      <c r="M5" s="55" t="str">
        <f t="shared" si="0"/>
        <v/>
      </c>
      <c r="N5" s="55" t="str">
        <f t="shared" si="1"/>
        <v/>
      </c>
      <c r="O5" s="56" t="str">
        <f t="shared" si="2"/>
        <v/>
      </c>
      <c r="P5" t="str">
        <f t="shared" si="3"/>
        <v/>
      </c>
      <c r="Q5" t="str">
        <f t="shared" si="4"/>
        <v/>
      </c>
      <c r="R5" t="str">
        <f t="shared" si="5"/>
        <v/>
      </c>
      <c r="S5" t="str">
        <f t="shared" si="6"/>
        <v/>
      </c>
      <c r="T5" t="str">
        <f t="shared" si="7"/>
        <v/>
      </c>
      <c r="U5" t="str">
        <f t="shared" si="8"/>
        <v/>
      </c>
      <c r="V5" s="57">
        <f>MATCH(G5,options!$D$1:$D$20,0)</f>
        <v>2</v>
      </c>
    </row>
    <row r="6" spans="1:22" ht="15" x14ac:dyDescent="0.2">
      <c r="A6" s="45" t="s">
        <v>373</v>
      </c>
      <c r="B6" s="58" t="s">
        <v>414</v>
      </c>
      <c r="C6" s="49" t="b">
        <f>FALSE()</f>
        <v>0</v>
      </c>
      <c r="D6" s="49" t="b">
        <f>TRUE()</f>
        <v>1</v>
      </c>
      <c r="E6" s="74">
        <v>5714401157038</v>
      </c>
      <c r="F6" s="72" t="s">
        <v>678</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2" t="b">
        <f>TRUE()</f>
        <v>1</v>
      </c>
      <c r="J6" s="53" t="b">
        <v>1</v>
      </c>
      <c r="K6" s="50"/>
      <c r="L6" s="54" t="b">
        <v>1</v>
      </c>
      <c r="M6" s="55" t="str">
        <f t="shared" si="0"/>
        <v/>
      </c>
      <c r="N6" s="55" t="str">
        <f t="shared" si="1"/>
        <v/>
      </c>
      <c r="O6" s="56" t="str">
        <f t="shared" si="2"/>
        <v/>
      </c>
      <c r="P6" t="str">
        <f t="shared" si="3"/>
        <v/>
      </c>
      <c r="Q6" t="str">
        <f t="shared" si="4"/>
        <v/>
      </c>
      <c r="R6" t="str">
        <f t="shared" si="5"/>
        <v/>
      </c>
      <c r="S6" t="str">
        <f t="shared" si="6"/>
        <v/>
      </c>
      <c r="T6" t="str">
        <f t="shared" si="7"/>
        <v/>
      </c>
      <c r="U6" t="str">
        <f t="shared" si="8"/>
        <v/>
      </c>
      <c r="V6" s="57">
        <f>MATCH(G6,options!$D$1:$D$20,0)</f>
        <v>3</v>
      </c>
    </row>
    <row r="7" spans="1:22" ht="15" x14ac:dyDescent="0.2">
      <c r="A7" s="45" t="s">
        <v>376</v>
      </c>
      <c r="B7" s="59" t="str">
        <f>IF(B6=options!C1,"32","41")</f>
        <v>32</v>
      </c>
      <c r="C7" s="49" t="b">
        <f>FALSE()</f>
        <v>0</v>
      </c>
      <c r="D7" s="49" t="b">
        <f>TRUE()</f>
        <v>1</v>
      </c>
      <c r="E7" s="74">
        <v>5714401157045</v>
      </c>
      <c r="F7" s="72" t="s">
        <v>679</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2" t="b">
        <f>TRUE()</f>
        <v>1</v>
      </c>
      <c r="J7" s="53" t="b">
        <v>1</v>
      </c>
      <c r="K7" s="50"/>
      <c r="L7" s="54" t="b">
        <v>1</v>
      </c>
      <c r="M7" s="55" t="str">
        <f t="shared" si="0"/>
        <v/>
      </c>
      <c r="N7" s="55" t="str">
        <f t="shared" si="1"/>
        <v/>
      </c>
      <c r="O7" s="56" t="str">
        <f t="shared" si="2"/>
        <v/>
      </c>
      <c r="P7" t="str">
        <f t="shared" si="3"/>
        <v/>
      </c>
      <c r="Q7" t="str">
        <f t="shared" si="4"/>
        <v/>
      </c>
      <c r="R7" t="str">
        <f t="shared" si="5"/>
        <v/>
      </c>
      <c r="S7" t="str">
        <f t="shared" si="6"/>
        <v/>
      </c>
      <c r="T7" t="str">
        <f t="shared" si="7"/>
        <v/>
      </c>
      <c r="U7" t="str">
        <f t="shared" si="8"/>
        <v/>
      </c>
      <c r="V7" s="57">
        <f>MATCH(G7,options!$D$1:$D$20,0)</f>
        <v>4</v>
      </c>
    </row>
    <row r="8" spans="1:22" ht="15" x14ac:dyDescent="0.2">
      <c r="A8" s="45" t="s">
        <v>378</v>
      </c>
      <c r="B8" s="59" t="str">
        <f>IF(B6=options!C1,"18","17")</f>
        <v>18</v>
      </c>
      <c r="C8" s="49" t="b">
        <f>FALSE()</f>
        <v>0</v>
      </c>
      <c r="D8" s="49" t="b">
        <f>TRUE()</f>
        <v>1</v>
      </c>
      <c r="E8" s="74">
        <v>5714401157052</v>
      </c>
      <c r="F8" s="72" t="s">
        <v>680</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2" t="b">
        <f>TRUE()</f>
        <v>1</v>
      </c>
      <c r="J8" s="53" t="b">
        <v>1</v>
      </c>
      <c r="K8" s="50"/>
      <c r="L8" s="54" t="b">
        <v>1</v>
      </c>
      <c r="M8" s="55" t="str">
        <f t="shared" si="0"/>
        <v/>
      </c>
      <c r="N8" s="55" t="str">
        <f t="shared" si="1"/>
        <v/>
      </c>
      <c r="O8" s="56" t="str">
        <f t="shared" si="2"/>
        <v/>
      </c>
      <c r="P8" t="str">
        <f t="shared" si="3"/>
        <v/>
      </c>
      <c r="Q8" t="str">
        <f t="shared" si="4"/>
        <v/>
      </c>
      <c r="R8" t="str">
        <f t="shared" si="5"/>
        <v/>
      </c>
      <c r="S8" t="str">
        <f t="shared" si="6"/>
        <v/>
      </c>
      <c r="T8" t="str">
        <f t="shared" si="7"/>
        <v/>
      </c>
      <c r="U8" t="str">
        <f t="shared" si="8"/>
        <v/>
      </c>
      <c r="V8" s="57">
        <f>MATCH(G8,options!$D$1:$D$20,0)</f>
        <v>5</v>
      </c>
    </row>
    <row r="9" spans="1:22" ht="15" x14ac:dyDescent="0.2">
      <c r="A9" s="45" t="s">
        <v>380</v>
      </c>
      <c r="B9" s="59" t="str">
        <f>IF(B6=options!C1,"2","5")</f>
        <v>2</v>
      </c>
      <c r="C9" s="49" t="b">
        <f>FALSE()</f>
        <v>0</v>
      </c>
      <c r="D9" s="49" t="b">
        <v>1</v>
      </c>
      <c r="E9" s="74">
        <v>5714401157069</v>
      </c>
      <c r="F9" s="72" t="s">
        <v>681</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2" t="b">
        <f>TRUE()</f>
        <v>1</v>
      </c>
      <c r="J9" s="53" t="b">
        <v>1</v>
      </c>
      <c r="K9" s="50"/>
      <c r="L9" s="54" t="b">
        <v>1</v>
      </c>
      <c r="M9" s="55" t="str">
        <f t="shared" si="0"/>
        <v/>
      </c>
      <c r="N9" s="55" t="str">
        <f t="shared" si="1"/>
        <v/>
      </c>
      <c r="O9" s="56" t="str">
        <f t="shared" si="2"/>
        <v/>
      </c>
      <c r="P9" t="str">
        <f t="shared" si="3"/>
        <v/>
      </c>
      <c r="Q9" t="str">
        <f t="shared" si="4"/>
        <v/>
      </c>
      <c r="R9" t="str">
        <f t="shared" si="5"/>
        <v/>
      </c>
      <c r="S9" t="str">
        <f t="shared" si="6"/>
        <v/>
      </c>
      <c r="T9" t="str">
        <f t="shared" si="7"/>
        <v/>
      </c>
      <c r="U9" t="str">
        <f t="shared" si="8"/>
        <v/>
      </c>
      <c r="V9" s="57">
        <f>MATCH(G9,options!$D$1:$D$20,0)</f>
        <v>6</v>
      </c>
    </row>
    <row r="10" spans="1:22" ht="14" x14ac:dyDescent="0.15">
      <c r="A10" t="s">
        <v>382</v>
      </c>
      <c r="B10" s="60"/>
      <c r="C10" s="49" t="b">
        <f>FALSE()</f>
        <v>0</v>
      </c>
      <c r="D10" s="49" t="b">
        <f>FALSE()</f>
        <v>0</v>
      </c>
      <c r="E10" s="73">
        <v>5714401157076</v>
      </c>
      <c r="F10" s="72" t="s">
        <v>682</v>
      </c>
      <c r="G10" s="51" t="s">
        <v>383</v>
      </c>
      <c r="H10" t="s">
        <v>401</v>
      </c>
      <c r="I10" s="52" t="b">
        <f>TRUE()</f>
        <v>1</v>
      </c>
      <c r="J10" s="53" t="b">
        <v>1</v>
      </c>
      <c r="K10" s="50"/>
      <c r="L10" s="54"/>
      <c r="M10" s="55" t="str">
        <f t="shared" si="0"/>
        <v/>
      </c>
      <c r="N10" s="55" t="str">
        <f t="shared" si="1"/>
        <v/>
      </c>
      <c r="O10" s="56" t="str">
        <f t="shared" si="2"/>
        <v/>
      </c>
      <c r="P10" t="str">
        <f t="shared" si="3"/>
        <v/>
      </c>
      <c r="Q10" t="str">
        <f t="shared" si="4"/>
        <v/>
      </c>
      <c r="R10" t="str">
        <f t="shared" si="5"/>
        <v/>
      </c>
      <c r="S10" t="str">
        <f t="shared" si="6"/>
        <v/>
      </c>
      <c r="T10" t="str">
        <f t="shared" si="7"/>
        <v/>
      </c>
      <c r="U10" t="str">
        <f t="shared" si="8"/>
        <v/>
      </c>
      <c r="V10" s="57">
        <f>MATCH(G10,options!$D$1:$D$20,0)</f>
        <v>7</v>
      </c>
    </row>
    <row r="11" spans="1:22" ht="56" x14ac:dyDescent="0.15">
      <c r="A11" s="45" t="s">
        <v>384</v>
      </c>
      <c r="B11" s="61">
        <v>150</v>
      </c>
      <c r="C11" s="49" t="b">
        <f>TRUE()</f>
        <v>1</v>
      </c>
      <c r="D11" s="49" t="b">
        <f>FALSE()</f>
        <v>0</v>
      </c>
      <c r="E11" s="73">
        <v>5714401157113</v>
      </c>
      <c r="F11" s="72" t="s">
        <v>686</v>
      </c>
      <c r="G11" s="51" t="s">
        <v>400</v>
      </c>
      <c r="H11" t="s">
        <v>404</v>
      </c>
      <c r="I11" s="52" t="b">
        <f>TRUE()</f>
        <v>1</v>
      </c>
      <c r="J11" s="53" t="b">
        <v>1</v>
      </c>
      <c r="K11" s="44" t="s">
        <v>683</v>
      </c>
      <c r="L11" s="54" t="b">
        <f>TRUE()</f>
        <v>1</v>
      </c>
      <c r="M11" s="55" t="str">
        <f t="shared" si="0"/>
        <v>https://raw.githubusercontent.com/PatrickVibild/TellusAmazonPictures/master/pictures/HP/W. PS/Zbook 15-17 G1-G2/BL/US/1.jpg</v>
      </c>
      <c r="N11" s="55" t="str">
        <f t="shared" si="1"/>
        <v>https://raw.githubusercontent.com/PatrickVibild/TellusAmazonPictures/master/pictures/HP/W. PS/Zbook 15-17 G1-G2/BL/US/2.jpg</v>
      </c>
      <c r="O11" s="56" t="str">
        <f t="shared" si="2"/>
        <v>https://raw.githubusercontent.com/PatrickVibild/TellusAmazonPictures/master/pictures/HP/W. PS/Zbook 15-17 G1-G2/BL/US/3.jpg</v>
      </c>
      <c r="P11" t="str">
        <f t="shared" si="3"/>
        <v>https://raw.githubusercontent.com/PatrickVibild/TellusAmazonPictures/master/pictures/HP/W. PS/Zbook 15-17 G1-G2/BL/US/4.jpg</v>
      </c>
      <c r="Q11" t="str">
        <f t="shared" si="4"/>
        <v>https://raw.githubusercontent.com/PatrickVibild/TellusAmazonPictures/master/pictures/HP/W. PS/Zbook 15-17 G1-G2/BL/US/5.jpg</v>
      </c>
      <c r="R11" t="str">
        <f t="shared" si="5"/>
        <v>https://raw.githubusercontent.com/PatrickVibild/TellusAmazonPictures/master/pictures/HP/W. PS/Zbook 15-17 G1-G2/BL/US/6.jpg</v>
      </c>
      <c r="S11" t="str">
        <f t="shared" si="6"/>
        <v>https://raw.githubusercontent.com/PatrickVibild/TellusAmazonPictures/master/pictures/HP/W. PS/Zbook 15-17 G1-G2/BL/US/7.jpg</v>
      </c>
      <c r="T11" t="str">
        <f t="shared" si="7"/>
        <v>https://raw.githubusercontent.com/PatrickVibild/TellusAmazonPictures/master/pictures/HP/W. PS/Zbook 15-17 G1-G2/BL/US/8.jpg</v>
      </c>
      <c r="U11" t="str">
        <f t="shared" si="8"/>
        <v>https://raw.githubusercontent.com/PatrickVibild/TellusAmazonPictures/master/pictures/HP/W. PS/Zbook 15-17 G1-G2/BL/US/9.jpg</v>
      </c>
      <c r="V11" s="57">
        <f>MATCH(G11,options!$D$1:$D$20,0)</f>
        <v>15</v>
      </c>
    </row>
    <row r="12" spans="1:22" ht="14" x14ac:dyDescent="0.15">
      <c r="B12" s="60"/>
      <c r="C12" s="49"/>
      <c r="D12" s="49"/>
      <c r="E12" s="73"/>
      <c r="F12" s="72"/>
      <c r="G12" s="51"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2" t="b">
        <f>TRUE()</f>
        <v>1</v>
      </c>
      <c r="J12" s="53" t="b">
        <v>1</v>
      </c>
      <c r="K12" s="50"/>
      <c r="L12" s="54"/>
      <c r="M12" s="55" t="str">
        <f t="shared" si="0"/>
        <v/>
      </c>
      <c r="N12" s="55" t="str">
        <f t="shared" si="1"/>
        <v/>
      </c>
      <c r="O12" s="56" t="str">
        <f t="shared" si="2"/>
        <v/>
      </c>
      <c r="P12" t="str">
        <f t="shared" si="3"/>
        <v/>
      </c>
      <c r="Q12" t="str">
        <f t="shared" si="4"/>
        <v/>
      </c>
      <c r="R12" t="str">
        <f t="shared" si="5"/>
        <v/>
      </c>
      <c r="S12" t="str">
        <f t="shared" si="6"/>
        <v/>
      </c>
      <c r="T12" t="str">
        <f t="shared" si="7"/>
        <v/>
      </c>
      <c r="U12" t="str">
        <f t="shared" si="8"/>
        <v/>
      </c>
      <c r="V12" s="57">
        <f>MATCH(G12,options!$D$1:$D$20,0)</f>
        <v>16</v>
      </c>
    </row>
    <row r="13" spans="1:22" ht="14" x14ac:dyDescent="0.15">
      <c r="A13" s="45" t="s">
        <v>387</v>
      </c>
      <c r="B13" s="44" t="s">
        <v>685</v>
      </c>
      <c r="C13" s="49"/>
      <c r="D13" s="49"/>
      <c r="E13" s="73"/>
      <c r="F13" s="72"/>
      <c r="G13" s="51"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2" t="b">
        <f>TRUE()</f>
        <v>1</v>
      </c>
      <c r="J13" s="53" t="b">
        <v>1</v>
      </c>
      <c r="K13" s="50"/>
      <c r="L13" s="54"/>
      <c r="M13" s="55" t="str">
        <f t="shared" si="0"/>
        <v/>
      </c>
      <c r="N13" s="55" t="str">
        <f t="shared" si="1"/>
        <v/>
      </c>
      <c r="O13" s="56" t="str">
        <f t="shared" si="2"/>
        <v/>
      </c>
      <c r="P13" t="str">
        <f t="shared" si="3"/>
        <v/>
      </c>
      <c r="Q13" t="str">
        <f t="shared" si="4"/>
        <v/>
      </c>
      <c r="R13" t="str">
        <f t="shared" si="5"/>
        <v/>
      </c>
      <c r="S13" t="str">
        <f t="shared" si="6"/>
        <v/>
      </c>
      <c r="T13" t="str">
        <f t="shared" si="7"/>
        <v/>
      </c>
      <c r="U13" t="str">
        <f t="shared" si="8"/>
        <v/>
      </c>
      <c r="V13" s="57">
        <f>MATCH(G13,options!$D$1:$D$20,0)</f>
        <v>18</v>
      </c>
    </row>
    <row r="14" spans="1:22" x14ac:dyDescent="0.15">
      <c r="A14" s="45" t="s">
        <v>389</v>
      </c>
      <c r="B14" s="44">
        <v>5714401157991</v>
      </c>
      <c r="C14" s="49"/>
      <c r="D14" s="49"/>
      <c r="E14" s="50"/>
      <c r="F14" s="50"/>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2" t="b">
        <f>TRUE()</f>
        <v>1</v>
      </c>
      <c r="J14" s="53" t="b">
        <v>1</v>
      </c>
      <c r="K14" s="50"/>
      <c r="L14" s="54"/>
      <c r="M14" s="55" t="str">
        <f t="shared" si="0"/>
        <v/>
      </c>
      <c r="N14" s="55" t="str">
        <f t="shared" si="1"/>
        <v/>
      </c>
      <c r="O14" s="56" t="str">
        <f t="shared" si="2"/>
        <v/>
      </c>
      <c r="P14" t="str">
        <f t="shared" si="3"/>
        <v/>
      </c>
      <c r="Q14" t="str">
        <f t="shared" si="4"/>
        <v/>
      </c>
      <c r="R14" t="str">
        <f t="shared" si="5"/>
        <v/>
      </c>
      <c r="S14" t="str">
        <f t="shared" si="6"/>
        <v/>
      </c>
      <c r="T14" t="str">
        <f t="shared" si="7"/>
        <v/>
      </c>
      <c r="U14" t="str">
        <f t="shared" si="8"/>
        <v/>
      </c>
      <c r="V14" s="57">
        <f>MATCH(G14,options!$D$1:$D$20,0)</f>
        <v>19</v>
      </c>
    </row>
    <row r="15" spans="1:22" x14ac:dyDescent="0.15">
      <c r="B15" s="60"/>
      <c r="C15" s="49"/>
      <c r="D15" s="49"/>
      <c r="E15" s="50"/>
      <c r="F15" s="50"/>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2" t="b">
        <f>TRUE()</f>
        <v>1</v>
      </c>
      <c r="J15" s="53" t="b">
        <v>1</v>
      </c>
      <c r="K15" s="50"/>
      <c r="L15" s="54"/>
      <c r="M15" s="55" t="str">
        <f t="shared" si="0"/>
        <v/>
      </c>
      <c r="N15" s="55" t="str">
        <f t="shared" si="1"/>
        <v/>
      </c>
      <c r="O15" s="56" t="str">
        <f t="shared" si="2"/>
        <v/>
      </c>
      <c r="P15" t="str">
        <f t="shared" si="3"/>
        <v/>
      </c>
      <c r="Q15" t="str">
        <f t="shared" si="4"/>
        <v/>
      </c>
      <c r="R15" t="str">
        <f t="shared" si="5"/>
        <v/>
      </c>
      <c r="S15" t="str">
        <f t="shared" si="6"/>
        <v/>
      </c>
      <c r="T15" t="str">
        <f t="shared" si="7"/>
        <v/>
      </c>
      <c r="U15" t="str">
        <f t="shared" si="8"/>
        <v/>
      </c>
      <c r="V15" s="57">
        <f>MATCH(G15,options!$D$1:$D$20,0)</f>
        <v>10</v>
      </c>
    </row>
    <row r="16" spans="1:22" ht="14" x14ac:dyDescent="0.15">
      <c r="A16" s="45" t="s">
        <v>392</v>
      </c>
      <c r="B16" s="70" t="s">
        <v>565</v>
      </c>
      <c r="C16" s="49"/>
      <c r="D16" s="49"/>
      <c r="E16" s="50"/>
      <c r="F16" s="50"/>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2" t="b">
        <f>TRUE()</f>
        <v>1</v>
      </c>
      <c r="J16" s="53" t="b">
        <v>1</v>
      </c>
      <c r="K16" s="50"/>
      <c r="L16" s="54"/>
      <c r="M16" s="55" t="str">
        <f t="shared" si="0"/>
        <v/>
      </c>
      <c r="N16" s="55" t="str">
        <f t="shared" si="1"/>
        <v/>
      </c>
      <c r="O16" s="56" t="str">
        <f t="shared" si="2"/>
        <v/>
      </c>
      <c r="P16" t="str">
        <f t="shared" si="3"/>
        <v/>
      </c>
      <c r="Q16" t="str">
        <f t="shared" si="4"/>
        <v/>
      </c>
      <c r="R16" t="str">
        <f t="shared" si="5"/>
        <v/>
      </c>
      <c r="S16" t="str">
        <f t="shared" si="6"/>
        <v/>
      </c>
      <c r="T16" t="str">
        <f t="shared" si="7"/>
        <v/>
      </c>
      <c r="U16" t="str">
        <f t="shared" si="8"/>
        <v/>
      </c>
      <c r="V16" s="57">
        <f>MATCH(G16,options!$D$1:$D$20,0)</f>
        <v>11</v>
      </c>
    </row>
    <row r="17" spans="1:22" x14ac:dyDescent="0.15">
      <c r="B17" s="60"/>
      <c r="C17" s="49"/>
      <c r="D17" s="49"/>
      <c r="E17" s="50"/>
      <c r="F17" s="50"/>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2" t="b">
        <f>TRUE()</f>
        <v>1</v>
      </c>
      <c r="J17" s="53" t="b">
        <v>1</v>
      </c>
      <c r="K17" s="50"/>
      <c r="L17" s="54"/>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x14ac:dyDescent="0.15">
      <c r="A18" s="45" t="s">
        <v>395</v>
      </c>
      <c r="B18" s="61">
        <v>5</v>
      </c>
      <c r="C18" s="49"/>
      <c r="D18" s="49"/>
      <c r="E18" s="50"/>
      <c r="F18" s="50"/>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2" t="b">
        <f>TRUE()</f>
        <v>1</v>
      </c>
      <c r="J18" s="53" t="b">
        <v>1</v>
      </c>
      <c r="K18" s="50"/>
      <c r="L18" s="54"/>
      <c r="M18" s="55" t="str">
        <f t="shared" si="0"/>
        <v/>
      </c>
      <c r="N18" s="55" t="str">
        <f t="shared" si="1"/>
        <v/>
      </c>
      <c r="O18" s="56" t="str">
        <f t="shared" si="2"/>
        <v/>
      </c>
      <c r="P18" t="str">
        <f t="shared" si="3"/>
        <v/>
      </c>
      <c r="Q18" t="str">
        <f t="shared" si="4"/>
        <v/>
      </c>
      <c r="R18" t="str">
        <f t="shared" si="5"/>
        <v/>
      </c>
      <c r="S18" t="str">
        <f t="shared" si="6"/>
        <v/>
      </c>
      <c r="T18" t="str">
        <f t="shared" si="7"/>
        <v/>
      </c>
      <c r="U18" t="str">
        <f t="shared" si="8"/>
        <v/>
      </c>
      <c r="V18" s="57">
        <f>MATCH(G18,options!$D$1:$D$20,0)</f>
        <v>13</v>
      </c>
    </row>
    <row r="19" spans="1:22" x14ac:dyDescent="0.15">
      <c r="B19" s="60"/>
      <c r="C19" s="49"/>
      <c r="D19" s="49"/>
      <c r="E19" s="50"/>
      <c r="F19" s="50"/>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2" t="b">
        <f>TRUE()</f>
        <v>1</v>
      </c>
      <c r="J19" s="53" t="b">
        <v>1</v>
      </c>
      <c r="K19" s="50"/>
      <c r="L19" s="54"/>
      <c r="M19" s="55" t="str">
        <f t="shared" si="0"/>
        <v/>
      </c>
      <c r="N19" s="55" t="str">
        <f t="shared" si="1"/>
        <v/>
      </c>
      <c r="O19" s="56" t="str">
        <f t="shared" si="2"/>
        <v/>
      </c>
      <c r="P19" t="str">
        <f t="shared" si="3"/>
        <v/>
      </c>
      <c r="Q19" t="str">
        <f t="shared" si="4"/>
        <v/>
      </c>
      <c r="R19" t="str">
        <f t="shared" si="5"/>
        <v/>
      </c>
      <c r="S19" t="str">
        <f t="shared" si="6"/>
        <v/>
      </c>
      <c r="T19" t="str">
        <f t="shared" si="7"/>
        <v/>
      </c>
      <c r="U19" t="str">
        <f t="shared" si="8"/>
        <v/>
      </c>
      <c r="V19" s="57">
        <f>MATCH(G19,options!$D$1:$D$20,0)</f>
        <v>14</v>
      </c>
    </row>
    <row r="20" spans="1:22" ht="14" x14ac:dyDescent="0.15">
      <c r="A20" s="45" t="s">
        <v>398</v>
      </c>
      <c r="B20" s="62" t="s">
        <v>399</v>
      </c>
      <c r="C20" s="49"/>
      <c r="D20" s="49"/>
      <c r="E20" s="50"/>
      <c r="F20" s="50"/>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2" t="b">
        <f>TRUE()</f>
        <v>1</v>
      </c>
      <c r="J20" s="53" t="b">
        <v>1</v>
      </c>
      <c r="K20" s="50"/>
      <c r="L20" s="54"/>
      <c r="M20" s="55" t="str">
        <f t="shared" si="0"/>
        <v/>
      </c>
      <c r="N20" s="55" t="str">
        <f t="shared" si="1"/>
        <v/>
      </c>
      <c r="O20" s="56" t="str">
        <f t="shared" si="2"/>
        <v/>
      </c>
      <c r="P20" t="str">
        <f t="shared" si="3"/>
        <v/>
      </c>
      <c r="Q20" t="str">
        <f t="shared" si="4"/>
        <v/>
      </c>
      <c r="R20" t="str">
        <f t="shared" si="5"/>
        <v/>
      </c>
      <c r="S20" t="str">
        <f t="shared" si="6"/>
        <v/>
      </c>
      <c r="T20" t="str">
        <f t="shared" si="7"/>
        <v/>
      </c>
      <c r="U20" t="str">
        <f t="shared" si="8"/>
        <v/>
      </c>
      <c r="V20" s="57">
        <f>MATCH(G20,options!$D$1:$D$20,0)</f>
        <v>15</v>
      </c>
    </row>
    <row r="21" spans="1:22" x14ac:dyDescent="0.15">
      <c r="B21" s="60"/>
      <c r="C21" s="49"/>
      <c r="D21" s="49"/>
      <c r="E21" s="50"/>
      <c r="F21" s="50"/>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2" t="b">
        <f>TRUE()</f>
        <v>1</v>
      </c>
      <c r="J21" s="53" t="b">
        <v>1</v>
      </c>
      <c r="K21" s="50"/>
      <c r="L21" s="54"/>
      <c r="M21" s="55" t="str">
        <f t="shared" si="0"/>
        <v/>
      </c>
      <c r="N21" s="55" t="str">
        <f t="shared" si="1"/>
        <v/>
      </c>
      <c r="O21" s="56" t="str">
        <f t="shared" si="2"/>
        <v/>
      </c>
      <c r="P21" t="str">
        <f t="shared" si="3"/>
        <v/>
      </c>
      <c r="Q21" t="str">
        <f t="shared" si="4"/>
        <v/>
      </c>
      <c r="R21" t="str">
        <f t="shared" si="5"/>
        <v/>
      </c>
      <c r="S21" t="str">
        <f t="shared" si="6"/>
        <v/>
      </c>
      <c r="T21" t="str">
        <f t="shared" si="7"/>
        <v/>
      </c>
      <c r="U21" t="str">
        <f t="shared" si="8"/>
        <v/>
      </c>
      <c r="V21" s="57">
        <f>MATCH(G21,options!$D$1:$D$20,0)</f>
        <v>16</v>
      </c>
    </row>
    <row r="22" spans="1:22" x14ac:dyDescent="0.15">
      <c r="B22" s="60"/>
      <c r="C22" s="49"/>
      <c r="D22" s="49"/>
      <c r="E22" s="50"/>
      <c r="F22" s="50"/>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2" t="b">
        <f>TRUE()</f>
        <v>1</v>
      </c>
      <c r="J22" s="53" t="b">
        <v>1</v>
      </c>
      <c r="K22" s="50"/>
      <c r="L22" s="54"/>
      <c r="M22" s="55" t="str">
        <f t="shared" si="0"/>
        <v/>
      </c>
      <c r="N22" s="55" t="str">
        <f t="shared" si="1"/>
        <v/>
      </c>
      <c r="O22" s="56" t="str">
        <f t="shared" si="2"/>
        <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49"/>
      <c r="D23" s="49"/>
      <c r="E23" s="50"/>
      <c r="F23" s="50"/>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2" t="b">
        <f>TRUE()</f>
        <v>1</v>
      </c>
      <c r="J23" s="53" t="b">
        <v>1</v>
      </c>
      <c r="K23" s="50"/>
      <c r="L23" s="54"/>
      <c r="M23" s="55" t="str">
        <f t="shared" si="0"/>
        <v/>
      </c>
      <c r="N23" s="55" t="str">
        <f t="shared" si="1"/>
        <v/>
      </c>
      <c r="O23" s="56" t="str">
        <f t="shared" si="2"/>
        <v/>
      </c>
      <c r="P23" t="str">
        <f t="shared" si="3"/>
        <v/>
      </c>
      <c r="Q23" t="str">
        <f t="shared" si="4"/>
        <v/>
      </c>
      <c r="R23" t="str">
        <f t="shared" si="5"/>
        <v/>
      </c>
      <c r="S23" t="str">
        <f t="shared" si="6"/>
        <v/>
      </c>
      <c r="T23" t="str">
        <f t="shared" si="7"/>
        <v/>
      </c>
      <c r="U23" t="str">
        <f t="shared" si="8"/>
        <v/>
      </c>
      <c r="V23" s="57">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9"/>
      <c r="D24" s="49"/>
      <c r="E24" s="50"/>
      <c r="F24" s="50"/>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2"/>
      <c r="J24" s="53"/>
      <c r="K24" s="50"/>
      <c r="L24" s="54"/>
      <c r="M24" s="55" t="str">
        <f t="shared" si="0"/>
        <v/>
      </c>
      <c r="N24" s="55" t="str">
        <f t="shared" si="1"/>
        <v/>
      </c>
      <c r="O24" s="56" t="str">
        <f t="shared" si="2"/>
        <v/>
      </c>
      <c r="P24" t="str">
        <f t="shared" si="3"/>
        <v/>
      </c>
      <c r="Q24" t="str">
        <f t="shared" si="4"/>
        <v/>
      </c>
      <c r="R24" t="str">
        <f t="shared" si="5"/>
        <v/>
      </c>
      <c r="S24" t="str">
        <f t="shared" si="6"/>
        <v/>
      </c>
      <c r="T24" t="str">
        <f t="shared" si="7"/>
        <v/>
      </c>
      <c r="U24" t="str">
        <f t="shared" si="8"/>
        <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9"/>
      <c r="D25" s="49"/>
      <c r="E25" s="50"/>
      <c r="F25" s="50"/>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2"/>
      <c r="J25" s="53"/>
      <c r="K25" s="50"/>
      <c r="L25" s="54"/>
      <c r="M25" s="55" t="str">
        <f t="shared" si="0"/>
        <v/>
      </c>
      <c r="N25" s="55" t="str">
        <f t="shared" si="1"/>
        <v/>
      </c>
      <c r="O25" s="56" t="str">
        <f t="shared" si="2"/>
        <v/>
      </c>
      <c r="P25" t="str">
        <f t="shared" si="3"/>
        <v/>
      </c>
      <c r="Q25" t="str">
        <f t="shared" si="4"/>
        <v/>
      </c>
      <c r="R25" t="str">
        <f t="shared" si="5"/>
        <v/>
      </c>
      <c r="S25" t="str">
        <f t="shared" si="6"/>
        <v/>
      </c>
      <c r="T25" t="str">
        <f t="shared" si="7"/>
        <v/>
      </c>
      <c r="U25" t="str">
        <f t="shared" si="8"/>
        <v/>
      </c>
      <c r="V25" s="57">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9"/>
      <c r="D26" s="49"/>
      <c r="E26" s="50"/>
      <c r="F26" s="50"/>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2"/>
      <c r="J26" s="53"/>
      <c r="K26" s="50"/>
      <c r="L26" s="54"/>
      <c r="M26" s="55" t="str">
        <f t="shared" si="0"/>
        <v/>
      </c>
      <c r="N26" s="55" t="str">
        <f t="shared" si="1"/>
        <v/>
      </c>
      <c r="O26" s="56" t="str">
        <f t="shared" si="2"/>
        <v/>
      </c>
      <c r="P26" t="str">
        <f t="shared" si="3"/>
        <v/>
      </c>
      <c r="Q26" t="str">
        <f t="shared" si="4"/>
        <v/>
      </c>
      <c r="R26" t="str">
        <f t="shared" si="5"/>
        <v/>
      </c>
      <c r="S26" t="str">
        <f t="shared" si="6"/>
        <v/>
      </c>
      <c r="T26" t="str">
        <f t="shared" si="7"/>
        <v/>
      </c>
      <c r="U26" t="str">
        <f t="shared" si="8"/>
        <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49"/>
      <c r="D27" s="49"/>
      <c r="E27" s="50"/>
      <c r="F27" s="50"/>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2"/>
      <c r="J27" s="53"/>
      <c r="K27" s="50"/>
      <c r="L27" s="54"/>
      <c r="M27" s="55" t="str">
        <f t="shared" si="0"/>
        <v/>
      </c>
      <c r="N27" s="55" t="str">
        <f t="shared" si="1"/>
        <v/>
      </c>
      <c r="O27" s="56" t="str">
        <f t="shared" si="2"/>
        <v/>
      </c>
      <c r="P27" t="str">
        <f t="shared" si="3"/>
        <v/>
      </c>
      <c r="Q27" t="str">
        <f t="shared" si="4"/>
        <v/>
      </c>
      <c r="R27" t="str">
        <f t="shared" si="5"/>
        <v/>
      </c>
      <c r="S27" t="str">
        <f t="shared" si="6"/>
        <v/>
      </c>
      <c r="T27" t="str">
        <f t="shared" si="7"/>
        <v/>
      </c>
      <c r="U27" t="str">
        <f t="shared" si="8"/>
        <v/>
      </c>
      <c r="V27" s="57">
        <f>MATCH(G27,options!$D$1:$D$20,0)</f>
        <v>4</v>
      </c>
    </row>
    <row r="28" spans="1:22" x14ac:dyDescent="0.15">
      <c r="B28" s="63"/>
      <c r="C28" s="49"/>
      <c r="D28" s="49"/>
      <c r="E28" s="50"/>
      <c r="F28" s="50"/>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c r="K28" s="50"/>
      <c r="L28" s="54"/>
      <c r="M28" s="55" t="str">
        <f t="shared" si="0"/>
        <v/>
      </c>
      <c r="N28" s="55" t="str">
        <f t="shared" si="1"/>
        <v/>
      </c>
      <c r="O28" s="56" t="str">
        <f t="shared" si="2"/>
        <v/>
      </c>
      <c r="P28" t="str">
        <f t="shared" si="3"/>
        <v/>
      </c>
      <c r="Q28" t="str">
        <f t="shared" si="4"/>
        <v/>
      </c>
      <c r="R28" t="str">
        <f t="shared" si="5"/>
        <v/>
      </c>
      <c r="S28" t="str">
        <f t="shared" si="6"/>
        <v/>
      </c>
      <c r="T28" t="str">
        <f t="shared" si="7"/>
        <v/>
      </c>
      <c r="U28" t="str">
        <f t="shared" si="8"/>
        <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9"/>
      <c r="D29" s="49"/>
      <c r="E29" s="50"/>
      <c r="F29" s="50"/>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2"/>
      <c r="J29" s="53"/>
      <c r="K29" s="50"/>
      <c r="L29" s="54"/>
      <c r="M29" s="55" t="str">
        <f t="shared" si="0"/>
        <v/>
      </c>
      <c r="N29" s="55" t="str">
        <f t="shared" si="1"/>
        <v/>
      </c>
      <c r="O29" s="56" t="str">
        <f t="shared" si="2"/>
        <v/>
      </c>
      <c r="P29" t="str">
        <f t="shared" si="3"/>
        <v/>
      </c>
      <c r="Q29" t="str">
        <f t="shared" si="4"/>
        <v/>
      </c>
      <c r="R29" t="str">
        <f t="shared" si="5"/>
        <v/>
      </c>
      <c r="S29" t="str">
        <f t="shared" si="6"/>
        <v/>
      </c>
      <c r="T29" t="str">
        <f t="shared" si="7"/>
        <v/>
      </c>
      <c r="U29" t="str">
        <f t="shared" si="8"/>
        <v/>
      </c>
      <c r="V29" s="57">
        <f>MATCH(G29,options!$D$1:$D$20,0)</f>
        <v>6</v>
      </c>
    </row>
    <row r="30" spans="1:22" x14ac:dyDescent="0.15">
      <c r="B30" s="63"/>
      <c r="C30" s="49"/>
      <c r="D30" s="49"/>
      <c r="E30" s="50"/>
      <c r="F30" s="50"/>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2"/>
      <c r="J30" s="53"/>
      <c r="K30" s="50"/>
      <c r="L30" s="54"/>
      <c r="M30" s="55" t="str">
        <f t="shared" si="0"/>
        <v/>
      </c>
      <c r="N30" s="55" t="str">
        <f t="shared" si="1"/>
        <v/>
      </c>
      <c r="O30" s="56" t="str">
        <f t="shared" si="2"/>
        <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9"/>
      <c r="D31" s="49"/>
      <c r="E31" s="50"/>
      <c r="F31" s="50"/>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2"/>
      <c r="J31" s="53"/>
      <c r="K31" s="50"/>
      <c r="L31" s="54"/>
      <c r="M31" s="55" t="str">
        <f t="shared" si="0"/>
        <v/>
      </c>
      <c r="N31" s="55" t="str">
        <f t="shared" si="1"/>
        <v/>
      </c>
      <c r="O31" s="56" t="str">
        <f t="shared" si="2"/>
        <v/>
      </c>
      <c r="P31" t="str">
        <f t="shared" si="3"/>
        <v/>
      </c>
      <c r="Q31" t="str">
        <f t="shared" si="4"/>
        <v/>
      </c>
      <c r="R31" t="str">
        <f t="shared" si="5"/>
        <v/>
      </c>
      <c r="S31" t="str">
        <f t="shared" si="6"/>
        <v/>
      </c>
      <c r="T31" t="str">
        <f t="shared" si="7"/>
        <v/>
      </c>
      <c r="U31" t="str">
        <f t="shared" si="8"/>
        <v/>
      </c>
      <c r="V31" s="57">
        <f>MATCH(G31,options!$D$1:$D$20,0)</f>
        <v>8</v>
      </c>
    </row>
    <row r="32" spans="1:22" x14ac:dyDescent="0.15">
      <c r="C32" s="49"/>
      <c r="D32" s="49"/>
      <c r="E32" s="50"/>
      <c r="F32" s="50"/>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2"/>
      <c r="J32" s="53"/>
      <c r="K32" s="50"/>
      <c r="L32" s="54"/>
      <c r="M32" s="55" t="str">
        <f t="shared" si="0"/>
        <v/>
      </c>
      <c r="N32" s="55" t="str">
        <f t="shared" si="1"/>
        <v/>
      </c>
      <c r="O32" s="56" t="str">
        <f t="shared" si="2"/>
        <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9"/>
      <c r="D33" s="49"/>
      <c r="E33" s="50"/>
      <c r="F33" s="50"/>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2"/>
      <c r="J33" s="53"/>
      <c r="K33" s="50"/>
      <c r="L33" s="54"/>
      <c r="M33" s="55" t="str">
        <f t="shared" si="0"/>
        <v/>
      </c>
      <c r="N33" s="55" t="str">
        <f t="shared" si="1"/>
        <v/>
      </c>
      <c r="O33" s="56" t="str">
        <f t="shared" si="2"/>
        <v/>
      </c>
      <c r="P33" t="str">
        <f t="shared" si="3"/>
        <v/>
      </c>
      <c r="Q33" t="str">
        <f t="shared" si="4"/>
        <v/>
      </c>
      <c r="R33" t="str">
        <f t="shared" si="5"/>
        <v/>
      </c>
      <c r="S33" t="str">
        <f t="shared" si="6"/>
        <v/>
      </c>
      <c r="T33" t="str">
        <f t="shared" si="7"/>
        <v/>
      </c>
      <c r="U33" t="str">
        <f t="shared" si="8"/>
        <v/>
      </c>
      <c r="V33" s="57">
        <f>MATCH(G33,options!$D$1:$D$20,0)</f>
        <v>9</v>
      </c>
    </row>
    <row r="34" spans="1:22" x14ac:dyDescent="0.15">
      <c r="C34" s="49"/>
      <c r="D34" s="49"/>
      <c r="E34" s="50"/>
      <c r="F34" s="50"/>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2"/>
      <c r="J34" s="53"/>
      <c r="K34" s="50"/>
      <c r="L34" s="54"/>
      <c r="M34" s="55" t="str">
        <f t="shared" si="0"/>
        <v/>
      </c>
      <c r="N34" s="55" t="str">
        <f t="shared" si="1"/>
        <v/>
      </c>
      <c r="O34" s="56" t="str">
        <f t="shared" si="2"/>
        <v/>
      </c>
      <c r="P34" t="str">
        <f t="shared" si="3"/>
        <v/>
      </c>
      <c r="Q34" t="str">
        <f t="shared" si="4"/>
        <v/>
      </c>
      <c r="R34" t="str">
        <f t="shared" si="5"/>
        <v/>
      </c>
      <c r="S34" t="str">
        <f t="shared" si="6"/>
        <v/>
      </c>
      <c r="T34" t="str">
        <f t="shared" si="7"/>
        <v/>
      </c>
      <c r="U34" t="str">
        <f t="shared" si="8"/>
        <v/>
      </c>
      <c r="V34" s="57">
        <f>MATCH(G34,options!$D$1:$D$20,0)</f>
        <v>19</v>
      </c>
    </row>
    <row r="35" spans="1:22" x14ac:dyDescent="0.15">
      <c r="C35" s="49"/>
      <c r="D35" s="49"/>
      <c r="E35" s="50"/>
      <c r="F35" s="50"/>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2"/>
      <c r="J35" s="53"/>
      <c r="L35" s="54"/>
      <c r="M35" s="55" t="str">
        <f t="shared" si="0"/>
        <v/>
      </c>
      <c r="N35" s="55" t="str">
        <f t="shared" si="1"/>
        <v/>
      </c>
      <c r="O35" s="56" t="str">
        <f t="shared" si="2"/>
        <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412</v>
      </c>
      <c r="C36" s="49"/>
      <c r="D36" s="49"/>
      <c r="E36" s="50"/>
      <c r="F36" s="50"/>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2"/>
      <c r="J36" s="53"/>
      <c r="K36" s="50"/>
      <c r="L36" s="54"/>
      <c r="M36" s="55" t="str">
        <f t="shared" ref="M36:M67" si="9">IF(ISBLANK(K36),"",IF(L36, "https://raw.githubusercontent.com/PatrickVibild/TellusAmazonPictures/master/pictures/"&amp;K36&amp;"/1.jpg","https://download.lenovo.com/Images/Parts/"&amp;K36&amp;"/"&amp;K36&amp;"_A.jpg"))</f>
        <v/>
      </c>
      <c r="N36" s="55" t="str">
        <f t="shared" ref="N36:N67" si="10">IF(ISBLANK(K36),"",IF(L36, "https://raw.githubusercontent.com/PatrickVibild/TellusAmazonPictures/master/pictures/"&amp;K36&amp;"/2.jpg","https://download.lenovo.com/Images/Parts/"&amp;K36&amp;"/"&amp;K36&amp;"_B.jpg"))</f>
        <v/>
      </c>
      <c r="O36" s="56"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404</v>
      </c>
      <c r="C37" s="49"/>
      <c r="D37" s="49"/>
      <c r="E37" s="50"/>
      <c r="F37" s="50"/>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2"/>
      <c r="J37" s="53"/>
      <c r="K37" s="50"/>
      <c r="L37" s="54"/>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x14ac:dyDescent="0.15">
      <c r="C38" s="49"/>
      <c r="D38" s="49"/>
      <c r="E38" s="50"/>
      <c r="F38" s="50"/>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2"/>
      <c r="J38" s="53"/>
      <c r="K38" s="50"/>
      <c r="L38" s="54"/>
      <c r="M38" s="55" t="str">
        <f t="shared" si="9"/>
        <v/>
      </c>
      <c r="N38" s="55" t="str">
        <f t="shared" si="10"/>
        <v/>
      </c>
      <c r="O38" s="56" t="str">
        <f t="shared" si="11"/>
        <v/>
      </c>
      <c r="P38" t="str">
        <f t="shared" si="12"/>
        <v/>
      </c>
      <c r="Q38" t="str">
        <f t="shared" si="13"/>
        <v/>
      </c>
      <c r="R38" t="str">
        <f t="shared" si="14"/>
        <v/>
      </c>
      <c r="S38" t="str">
        <f t="shared" si="15"/>
        <v/>
      </c>
      <c r="T38" t="str">
        <f t="shared" si="16"/>
        <v/>
      </c>
      <c r="U38" t="str">
        <f t="shared" si="17"/>
        <v/>
      </c>
      <c r="V38" s="57">
        <f>MATCH(G38,options!$D$1:$D$20,0)</f>
        <v>13</v>
      </c>
    </row>
    <row r="39" spans="1:22" x14ac:dyDescent="0.15">
      <c r="C39" s="49"/>
      <c r="D39" s="49"/>
      <c r="E39" s="50"/>
      <c r="F39" s="50"/>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2"/>
      <c r="J39" s="53"/>
      <c r="K39" s="50"/>
      <c r="L39" s="54"/>
      <c r="M39" s="55" t="str">
        <f t="shared" si="9"/>
        <v/>
      </c>
      <c r="N39" s="55" t="str">
        <f t="shared" si="10"/>
        <v/>
      </c>
      <c r="O39" s="56" t="str">
        <f t="shared" si="11"/>
        <v/>
      </c>
      <c r="P39" t="str">
        <f t="shared" si="12"/>
        <v/>
      </c>
      <c r="Q39" t="str">
        <f t="shared" si="13"/>
        <v/>
      </c>
      <c r="R39" t="str">
        <f t="shared" si="14"/>
        <v/>
      </c>
      <c r="S39" t="str">
        <f t="shared" si="15"/>
        <v/>
      </c>
      <c r="T39" t="str">
        <f t="shared" si="16"/>
        <v/>
      </c>
      <c r="U39" t="str">
        <f t="shared" si="17"/>
        <v/>
      </c>
      <c r="V39" s="57">
        <f>MATCH(G39,options!$D$1:$D$20,0)</f>
        <v>14</v>
      </c>
    </row>
    <row r="40" spans="1:22" x14ac:dyDescent="0.15">
      <c r="C40" s="49"/>
      <c r="D40" s="49"/>
      <c r="E40" s="50"/>
      <c r="F40" s="50"/>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2"/>
      <c r="J40" s="53"/>
      <c r="K40" s="50"/>
      <c r="L40" s="54"/>
      <c r="M40" s="55" t="str">
        <f t="shared" si="9"/>
        <v/>
      </c>
      <c r="N40" s="55" t="str">
        <f t="shared" si="10"/>
        <v/>
      </c>
      <c r="O40" s="56" t="str">
        <f t="shared" si="11"/>
        <v/>
      </c>
      <c r="P40" t="str">
        <f t="shared" si="12"/>
        <v/>
      </c>
      <c r="Q40" t="str">
        <f t="shared" si="13"/>
        <v/>
      </c>
      <c r="R40" t="str">
        <f t="shared" si="14"/>
        <v/>
      </c>
      <c r="S40" t="str">
        <f t="shared" si="15"/>
        <v/>
      </c>
      <c r="T40" t="str">
        <f t="shared" si="16"/>
        <v/>
      </c>
      <c r="U40" t="str">
        <f t="shared" si="17"/>
        <v/>
      </c>
      <c r="V40" s="57">
        <f>MATCH(G40,options!$D$1:$D$20,0)</f>
        <v>15</v>
      </c>
    </row>
    <row r="41" spans="1:22" x14ac:dyDescent="0.15">
      <c r="C41" s="49"/>
      <c r="D41" s="49"/>
      <c r="E41" s="50"/>
      <c r="F41" s="50"/>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c r="K41" s="50"/>
      <c r="L41" s="54"/>
      <c r="M41" s="55" t="str">
        <f t="shared" si="9"/>
        <v/>
      </c>
      <c r="N41" s="55" t="str">
        <f t="shared" si="10"/>
        <v/>
      </c>
      <c r="O41" s="56" t="str">
        <f t="shared" si="11"/>
        <v/>
      </c>
      <c r="P41" t="str">
        <f t="shared" si="12"/>
        <v/>
      </c>
      <c r="Q41" t="str">
        <f t="shared" si="13"/>
        <v/>
      </c>
      <c r="R41" t="str">
        <f t="shared" si="14"/>
        <v/>
      </c>
      <c r="S41" t="str">
        <f t="shared" si="15"/>
        <v/>
      </c>
      <c r="T41" t="str">
        <f t="shared" si="16"/>
        <v/>
      </c>
      <c r="U41" t="str">
        <f t="shared" si="17"/>
        <v/>
      </c>
      <c r="V41" s="57">
        <f>MATCH(G41,options!$D$1:$D$20,0)</f>
        <v>16</v>
      </c>
    </row>
    <row r="42" spans="1:22" x14ac:dyDescent="0.15">
      <c r="C42" s="49"/>
      <c r="D42" s="49"/>
      <c r="E42" s="50"/>
      <c r="F42" s="50"/>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2"/>
      <c r="J42" s="53"/>
      <c r="K42" s="50"/>
      <c r="L42" s="54"/>
      <c r="M42" s="55" t="str">
        <f t="shared" si="9"/>
        <v/>
      </c>
      <c r="N42" s="55" t="str">
        <f t="shared" si="10"/>
        <v/>
      </c>
      <c r="O42" s="56" t="str">
        <f t="shared" si="11"/>
        <v/>
      </c>
      <c r="P42" t="str">
        <f t="shared" si="12"/>
        <v/>
      </c>
      <c r="Q42" t="str">
        <f t="shared" si="13"/>
        <v/>
      </c>
      <c r="R42" t="str">
        <f t="shared" si="14"/>
        <v/>
      </c>
      <c r="S42" t="str">
        <f t="shared" si="15"/>
        <v/>
      </c>
      <c r="T42" t="str">
        <f t="shared" si="16"/>
        <v/>
      </c>
      <c r="U42" t="str">
        <f t="shared" si="17"/>
        <v/>
      </c>
      <c r="V42" s="57">
        <f>MATCH(G42,options!$D$1:$D$20,0)</f>
        <v>17</v>
      </c>
    </row>
    <row r="43" spans="1:22" x14ac:dyDescent="0.15">
      <c r="C43" s="49"/>
      <c r="D43" s="49"/>
      <c r="E43" s="50"/>
      <c r="F43" s="50"/>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2"/>
      <c r="J43" s="53"/>
      <c r="K43" s="50"/>
      <c r="L43" s="54"/>
      <c r="M43" s="55" t="str">
        <f t="shared" si="9"/>
        <v/>
      </c>
      <c r="N43" s="55" t="str">
        <f t="shared" si="10"/>
        <v/>
      </c>
      <c r="O43" s="56" t="str">
        <f t="shared" si="11"/>
        <v/>
      </c>
      <c r="P43" t="str">
        <f t="shared" si="12"/>
        <v/>
      </c>
      <c r="Q43" t="str">
        <f t="shared" si="13"/>
        <v/>
      </c>
      <c r="R43" t="str">
        <f t="shared" si="14"/>
        <v/>
      </c>
      <c r="S43" t="str">
        <f t="shared" si="15"/>
        <v/>
      </c>
      <c r="T43" t="str">
        <f t="shared" si="16"/>
        <v/>
      </c>
      <c r="U43" t="str">
        <f t="shared" si="17"/>
        <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disablePrompts="1"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 L12:L104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9" t="b">
        <f>TRUE()</f>
        <v>1</v>
      </c>
      <c r="C1" t="s">
        <v>414</v>
      </c>
      <c r="D1" s="51" t="s">
        <v>370</v>
      </c>
      <c r="E1" t="s">
        <v>415</v>
      </c>
      <c r="F1" t="s">
        <v>412</v>
      </c>
      <c r="G1" t="s">
        <v>416</v>
      </c>
    </row>
    <row r="2" spans="1:7" x14ac:dyDescent="0.15">
      <c r="A2" t="s">
        <v>417</v>
      </c>
      <c r="B2" s="49"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566</v>
      </c>
    </row>
    <row r="9" spans="1:7" x14ac:dyDescent="0.15">
      <c r="D9" s="51" t="s">
        <v>388</v>
      </c>
      <c r="E9" t="s">
        <v>426</v>
      </c>
      <c r="F9" t="s">
        <v>567</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644</v>
      </c>
    </row>
    <row r="4" spans="1:2" ht="16" x14ac:dyDescent="0.2">
      <c r="B4" s="68" t="s">
        <v>446</v>
      </c>
    </row>
    <row r="5" spans="1:2" ht="16" x14ac:dyDescent="0.2">
      <c r="B5" s="68" t="s">
        <v>447</v>
      </c>
    </row>
    <row r="6" spans="1:2" ht="16" x14ac:dyDescent="0.2">
      <c r="B6" s="68" t="s">
        <v>448</v>
      </c>
    </row>
    <row r="7" spans="1:2" ht="16" x14ac:dyDescent="0.2">
      <c r="B7" s="6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8"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8" t="s">
        <v>656</v>
      </c>
    </row>
    <row r="4" spans="2:2" ht="16" x14ac:dyDescent="0.2">
      <c r="B4" s="68" t="s">
        <v>521</v>
      </c>
    </row>
    <row r="5" spans="2:2" x14ac:dyDescent="0.15">
      <c r="B5" t="s">
        <v>522</v>
      </c>
    </row>
    <row r="6" spans="2:2" ht="16" x14ac:dyDescent="0.2">
      <c r="B6" s="68" t="s">
        <v>523</v>
      </c>
    </row>
    <row r="7" spans="2:2" ht="16" x14ac:dyDescent="0.2">
      <c r="B7" s="68" t="s">
        <v>657</v>
      </c>
    </row>
    <row r="8" spans="2:2" x14ac:dyDescent="0.15">
      <c r="B8" t="s">
        <v>524</v>
      </c>
    </row>
    <row r="9" spans="2:2" x14ac:dyDescent="0.15">
      <c r="B9" s="69" t="s">
        <v>525</v>
      </c>
    </row>
    <row r="10" spans="2:2" x14ac:dyDescent="0.15">
      <c r="B10" t="s">
        <v>658</v>
      </c>
    </row>
    <row r="11" spans="2:2" x14ac:dyDescent="0.15">
      <c r="B11" t="s">
        <v>659</v>
      </c>
    </row>
    <row r="14" spans="2:2" ht="16" x14ac:dyDescent="0.2">
      <c r="B14" s="6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2022-09-29T15:01:18Z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