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atrickvibild/repo/TellusAmazonPictures/after-big-bang-files/Lenovo/E550/"/>
    </mc:Choice>
  </mc:AlternateContent>
  <xr:revisionPtr revIDLastSave="0" documentId="13_ncr:1_{895B34AD-A4BB-6549-BE0C-E9A27809B122}"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L23" i="2" l="1"/>
  <c r="L22" i="2"/>
  <c r="L21" i="2"/>
  <c r="L20" i="2"/>
  <c r="L19" i="2"/>
  <c r="L18" i="2"/>
  <c r="L17" i="2"/>
  <c r="L16" i="2"/>
  <c r="U16" i="2" s="1"/>
  <c r="U17" i="1" s="1"/>
  <c r="L15" i="2"/>
  <c r="Q15" i="2" s="1"/>
  <c r="Q16" i="1" s="1"/>
  <c r="L14" i="2"/>
  <c r="U14" i="2" s="1"/>
  <c r="U15" i="1" s="1"/>
  <c r="L13" i="2"/>
  <c r="L12" i="2"/>
  <c r="L11" i="2"/>
  <c r="L10" i="2"/>
  <c r="L9" i="2"/>
  <c r="L8" i="2"/>
  <c r="L7" i="2"/>
  <c r="N7" i="2" s="1"/>
  <c r="N8" i="1" s="1"/>
  <c r="L6" i="2"/>
  <c r="Q6" i="2" s="1"/>
  <c r="Q7" i="1" s="1"/>
  <c r="L5" i="2"/>
  <c r="Q5" i="2" s="1"/>
  <c r="Q6" i="1" s="1"/>
  <c r="U4" i="2"/>
  <c r="U5" i="1" s="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H5" i="2"/>
  <c r="H6" i="2"/>
  <c r="H7" i="2"/>
  <c r="H8" i="2"/>
  <c r="H9" i="2"/>
  <c r="H10" i="2"/>
  <c r="AT11" i="1" s="1"/>
  <c r="H11" i="2"/>
  <c r="AT12" i="1" s="1"/>
  <c r="H12" i="2"/>
  <c r="H13" i="2"/>
  <c r="H14" i="2"/>
  <c r="H15" i="2"/>
  <c r="H16" i="2"/>
  <c r="H17" i="2"/>
  <c r="AT18" i="1" s="1"/>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B29" i="2"/>
  <c r="AB17"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J23" i="2"/>
  <c r="I23" i="2"/>
  <c r="D23" i="2"/>
  <c r="C23" i="2"/>
  <c r="V22" i="2"/>
  <c r="T22" i="2"/>
  <c r="S22" i="2"/>
  <c r="R22" i="2"/>
  <c r="Q22" i="2"/>
  <c r="O22" i="2"/>
  <c r="N22" i="2"/>
  <c r="N23" i="1" s="1"/>
  <c r="M22" i="2"/>
  <c r="M23" i="1" s="1"/>
  <c r="J22" i="2"/>
  <c r="I22" i="2"/>
  <c r="D22" i="2"/>
  <c r="C22" i="2"/>
  <c r="V21" i="2"/>
  <c r="U21" i="2"/>
  <c r="T21" i="2"/>
  <c r="T22" i="1" s="1"/>
  <c r="S21" i="2"/>
  <c r="S22" i="1" s="1"/>
  <c r="R21" i="2"/>
  <c r="R22" i="1" s="1"/>
  <c r="Q21" i="2"/>
  <c r="P21" i="2"/>
  <c r="O21" i="2"/>
  <c r="N21" i="2"/>
  <c r="M21" i="2"/>
  <c r="J21" i="2"/>
  <c r="I21" i="2"/>
  <c r="D21" i="2"/>
  <c r="C21" i="2"/>
  <c r="V20" i="2"/>
  <c r="U20" i="2"/>
  <c r="T20" i="2"/>
  <c r="S20" i="2"/>
  <c r="R20" i="2"/>
  <c r="P20" i="2"/>
  <c r="O20" i="2"/>
  <c r="O21" i="1" s="1"/>
  <c r="N20" i="2"/>
  <c r="N21" i="1" s="1"/>
  <c r="J20" i="2"/>
  <c r="I20" i="2"/>
  <c r="D20" i="2"/>
  <c r="C20" i="2"/>
  <c r="V19" i="2"/>
  <c r="U19" i="2"/>
  <c r="U20" i="1" s="1"/>
  <c r="T19" i="2"/>
  <c r="T20" i="1" s="1"/>
  <c r="J19" i="2"/>
  <c r="FO20" i="1" s="1"/>
  <c r="I19" i="2"/>
  <c r="D19" i="2"/>
  <c r="C19" i="2"/>
  <c r="V18" i="2"/>
  <c r="R18" i="2"/>
  <c r="R19" i="1" s="1"/>
  <c r="Q18" i="2"/>
  <c r="M18" i="2"/>
  <c r="P18" i="2"/>
  <c r="P19" i="1" s="1"/>
  <c r="J18" i="2"/>
  <c r="I18" i="2"/>
  <c r="D18" i="2"/>
  <c r="C18" i="2"/>
  <c r="CO19" i="1" s="1"/>
  <c r="V17" i="2"/>
  <c r="T17" i="2"/>
  <c r="S17" i="2"/>
  <c r="R17" i="2"/>
  <c r="Q17" i="2"/>
  <c r="P17" i="2"/>
  <c r="N17" i="2"/>
  <c r="M17" i="2"/>
  <c r="U17" i="2"/>
  <c r="U18" i="1" s="1"/>
  <c r="J17" i="2"/>
  <c r="I17" i="2"/>
  <c r="D17" i="2"/>
  <c r="C17" i="2"/>
  <c r="V16" i="2"/>
  <c r="O16" i="2"/>
  <c r="O17" i="1" s="1"/>
  <c r="N16" i="2"/>
  <c r="N17" i="1" s="1"/>
  <c r="M16" i="2"/>
  <c r="M17" i="1" s="1"/>
  <c r="J16" i="2"/>
  <c r="I16" i="2"/>
  <c r="AT17" i="1"/>
  <c r="D16" i="2"/>
  <c r="CO17" i="1" s="1"/>
  <c r="C16" i="2"/>
  <c r="V15" i="2"/>
  <c r="S15" i="2"/>
  <c r="R15" i="2"/>
  <c r="R16" i="1" s="1"/>
  <c r="J15" i="2"/>
  <c r="I15" i="2"/>
  <c r="D15" i="2"/>
  <c r="C15" i="2"/>
  <c r="V14" i="2"/>
  <c r="J14" i="2"/>
  <c r="I14" i="2"/>
  <c r="D14" i="2"/>
  <c r="C14" i="2"/>
  <c r="V13" i="2"/>
  <c r="Q13" i="2"/>
  <c r="P13" i="2"/>
  <c r="P14" i="1" s="1"/>
  <c r="O13" i="2"/>
  <c r="O14" i="1" s="1"/>
  <c r="J13" i="2"/>
  <c r="I13" i="2"/>
  <c r="D13" i="2"/>
  <c r="C13" i="2"/>
  <c r="V12" i="2"/>
  <c r="U12" i="2"/>
  <c r="U13" i="1" s="1"/>
  <c r="J12" i="2"/>
  <c r="I12" i="2"/>
  <c r="D12" i="2"/>
  <c r="C12" i="2"/>
  <c r="V11" i="2"/>
  <c r="U11" i="2"/>
  <c r="T11" i="2"/>
  <c r="T12" i="1" s="1"/>
  <c r="S11" i="2"/>
  <c r="S12" i="1" s="1"/>
  <c r="R11" i="2"/>
  <c r="R12" i="1" s="1"/>
  <c r="Q11" i="2"/>
  <c r="P11" i="2"/>
  <c r="O11" i="2"/>
  <c r="N11" i="2"/>
  <c r="M11" i="2"/>
  <c r="J11" i="2"/>
  <c r="I11" i="2"/>
  <c r="D11" i="2"/>
  <c r="CO12" i="1" s="1"/>
  <c r="C11" i="2"/>
  <c r="V10" i="2"/>
  <c r="T10" i="2"/>
  <c r="S10" i="2"/>
  <c r="R10" i="2"/>
  <c r="Q10" i="2"/>
  <c r="O10" i="2"/>
  <c r="N10" i="2"/>
  <c r="M10" i="2"/>
  <c r="M11" i="1" s="1"/>
  <c r="J10" i="2"/>
  <c r="I10" i="2"/>
  <c r="D10" i="2"/>
  <c r="C10" i="2"/>
  <c r="V9" i="2"/>
  <c r="U9" i="2"/>
  <c r="T9" i="2"/>
  <c r="T10" i="1" s="1"/>
  <c r="S9" i="2"/>
  <c r="R9" i="2"/>
  <c r="R10" i="1" s="1"/>
  <c r="Q9" i="2"/>
  <c r="Q10" i="1" s="1"/>
  <c r="P9" i="2"/>
  <c r="P10" i="1" s="1"/>
  <c r="O9" i="2"/>
  <c r="O10" i="1" s="1"/>
  <c r="N9" i="2"/>
  <c r="N10" i="1" s="1"/>
  <c r="M9" i="2"/>
  <c r="J9" i="2"/>
  <c r="I9" i="2"/>
  <c r="D9" i="2"/>
  <c r="C9" i="2"/>
  <c r="V8" i="2"/>
  <c r="Q8" i="2"/>
  <c r="Q9" i="1" s="1"/>
  <c r="P8" i="2"/>
  <c r="P9" i="1" s="1"/>
  <c r="O8" i="2"/>
  <c r="O9" i="1" s="1"/>
  <c r="J8" i="2"/>
  <c r="I8" i="2"/>
  <c r="D8" i="2"/>
  <c r="C8" i="2"/>
  <c r="CQ23" i="1"/>
  <c r="V7" i="2"/>
  <c r="S7" i="2"/>
  <c r="S8" i="1" s="1"/>
  <c r="R7" i="2"/>
  <c r="R8" i="1" s="1"/>
  <c r="Q7" i="2"/>
  <c r="Q8" i="1" s="1"/>
  <c r="P7" i="2"/>
  <c r="P8" i="1" s="1"/>
  <c r="J7" i="2"/>
  <c r="I7" i="2"/>
  <c r="D7" i="2"/>
  <c r="C7" i="2"/>
  <c r="V6" i="2"/>
  <c r="U6" i="2"/>
  <c r="U7" i="1" s="1"/>
  <c r="T6" i="2"/>
  <c r="T7" i="1" s="1"/>
  <c r="J6" i="2"/>
  <c r="I6" i="2"/>
  <c r="D6" i="2"/>
  <c r="C6" i="2"/>
  <c r="CO7" i="1" s="1"/>
  <c r="V5" i="2"/>
  <c r="J5" i="2"/>
  <c r="I5" i="2"/>
  <c r="D5" i="2"/>
  <c r="C5" i="2"/>
  <c r="V4" i="2"/>
  <c r="J4" i="2"/>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U23" i="1"/>
  <c r="CT23" i="1"/>
  <c r="CS23" i="1"/>
  <c r="CR23" i="1"/>
  <c r="CP23" i="1"/>
  <c r="CO23" i="1"/>
  <c r="L23" i="1" s="1"/>
  <c r="CL23" i="1"/>
  <c r="CK23" i="1"/>
  <c r="CI23" i="1"/>
  <c r="CH23" i="1"/>
  <c r="CG23" i="1"/>
  <c r="BH23" i="1"/>
  <c r="BG23" i="1"/>
  <c r="BF23" i="1"/>
  <c r="BE23" i="1"/>
  <c r="AV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U22" i="1"/>
  <c r="CT22" i="1"/>
  <c r="CS22" i="1"/>
  <c r="CR22" i="1"/>
  <c r="CP22" i="1"/>
  <c r="CO22" i="1"/>
  <c r="FE22" i="1" s="1"/>
  <c r="CL22" i="1"/>
  <c r="CK22" i="1"/>
  <c r="CI22" i="1"/>
  <c r="CH22" i="1"/>
  <c r="CG22" i="1"/>
  <c r="BH22" i="1"/>
  <c r="BG22" i="1"/>
  <c r="BF22" i="1"/>
  <c r="BE22" i="1"/>
  <c r="AV22" i="1"/>
  <c r="AB22" i="1"/>
  <c r="AA22" i="1"/>
  <c r="Z22" i="1"/>
  <c r="Y22" i="1"/>
  <c r="X22" i="1"/>
  <c r="W22" i="1"/>
  <c r="U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U21" i="1"/>
  <c r="CT21" i="1"/>
  <c r="CS21" i="1"/>
  <c r="CR21" i="1"/>
  <c r="CP21" i="1"/>
  <c r="CO21" i="1"/>
  <c r="L21" i="1" s="1"/>
  <c r="CL21" i="1"/>
  <c r="CK21" i="1"/>
  <c r="CI21" i="1"/>
  <c r="CH21" i="1"/>
  <c r="CG21" i="1"/>
  <c r="BH21" i="1"/>
  <c r="BG21" i="1"/>
  <c r="BF21" i="1"/>
  <c r="BE21" i="1"/>
  <c r="AV21" i="1"/>
  <c r="AT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U19" i="1"/>
  <c r="CT19" i="1"/>
  <c r="CS19" i="1"/>
  <c r="CR19" i="1"/>
  <c r="CQ19" i="1"/>
  <c r="CP19" i="1"/>
  <c r="CL19" i="1"/>
  <c r="CK19" i="1"/>
  <c r="CI19" i="1"/>
  <c r="CH19" i="1"/>
  <c r="CG19" i="1"/>
  <c r="BH19" i="1"/>
  <c r="BG19" i="1"/>
  <c r="BF19" i="1"/>
  <c r="BE19" i="1"/>
  <c r="AV19" i="1"/>
  <c r="AB19" i="1"/>
  <c r="AA19" i="1"/>
  <c r="Z19" i="1"/>
  <c r="Y19" i="1"/>
  <c r="X19" i="1"/>
  <c r="W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U17" i="1"/>
  <c r="CT17" i="1"/>
  <c r="CS17" i="1"/>
  <c r="CR17" i="1"/>
  <c r="CP17" i="1"/>
  <c r="CL17" i="1"/>
  <c r="CK17" i="1"/>
  <c r="CI17" i="1"/>
  <c r="CH17" i="1"/>
  <c r="CG17" i="1"/>
  <c r="BH17" i="1"/>
  <c r="BG17" i="1"/>
  <c r="BF17" i="1"/>
  <c r="BE17" i="1"/>
  <c r="AV17" i="1"/>
  <c r="AA17" i="1"/>
  <c r="Z17" i="1"/>
  <c r="Y17" i="1"/>
  <c r="X17" i="1"/>
  <c r="W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U16" i="1"/>
  <c r="CT16" i="1"/>
  <c r="CS16" i="1"/>
  <c r="CR16" i="1"/>
  <c r="CP16" i="1"/>
  <c r="CO16" i="1"/>
  <c r="FE16" i="1" s="1"/>
  <c r="CL16" i="1"/>
  <c r="CK16" i="1"/>
  <c r="CI16" i="1"/>
  <c r="CH16" i="1"/>
  <c r="CG16" i="1"/>
  <c r="BH16" i="1"/>
  <c r="BG16" i="1"/>
  <c r="BF16" i="1"/>
  <c r="BE16" i="1"/>
  <c r="AV16" i="1"/>
  <c r="AT16" i="1"/>
  <c r="AA16" i="1"/>
  <c r="Z16" i="1"/>
  <c r="Y16" i="1"/>
  <c r="X16" i="1"/>
  <c r="W16" i="1"/>
  <c r="S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P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Q14" i="1"/>
  <c r="K14" i="1"/>
  <c r="J14" i="1"/>
  <c r="I14" i="1"/>
  <c r="H14" i="1"/>
  <c r="G14" i="1"/>
  <c r="E14" i="1"/>
  <c r="D14" i="1"/>
  <c r="C14" i="1"/>
  <c r="B14" i="1"/>
  <c r="A14" i="1"/>
  <c r="FV13" i="1"/>
  <c r="FU13" i="1"/>
  <c r="FT13" i="1"/>
  <c r="FS13" i="1"/>
  <c r="FR13" i="1"/>
  <c r="FQ13" i="1"/>
  <c r="FP13" i="1"/>
  <c r="FO13" i="1"/>
  <c r="FM13" i="1"/>
  <c r="FJ13" i="1"/>
  <c r="FI13" i="1"/>
  <c r="FH13" i="1"/>
  <c r="EV13" i="1"/>
  <c r="ES13" i="1"/>
  <c r="EI13" i="1"/>
  <c r="DY13" i="1"/>
  <c r="DP13" i="1"/>
  <c r="DO13" i="1"/>
  <c r="DA13" i="1"/>
  <c r="CZ13" i="1"/>
  <c r="CU13" i="1"/>
  <c r="CT13" i="1"/>
  <c r="CS13" i="1"/>
  <c r="CR13" i="1"/>
  <c r="CP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U12" i="1"/>
  <c r="CT12" i="1"/>
  <c r="CS12" i="1"/>
  <c r="CR12" i="1"/>
  <c r="CP12" i="1"/>
  <c r="CL12" i="1"/>
  <c r="CK12" i="1"/>
  <c r="CI12" i="1"/>
  <c r="CH12" i="1"/>
  <c r="CG12" i="1"/>
  <c r="BH12" i="1"/>
  <c r="BG12" i="1"/>
  <c r="BF12" i="1"/>
  <c r="BE12" i="1"/>
  <c r="AV12" i="1"/>
  <c r="AB12" i="1"/>
  <c r="AA12" i="1"/>
  <c r="Z12" i="1"/>
  <c r="Y12" i="1"/>
  <c r="X12" i="1"/>
  <c r="W12" i="1"/>
  <c r="U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U11" i="1"/>
  <c r="CT11" i="1"/>
  <c r="CS11" i="1"/>
  <c r="CR11" i="1"/>
  <c r="CP11" i="1"/>
  <c r="CO11" i="1"/>
  <c r="L11" i="1" s="1"/>
  <c r="CL11" i="1"/>
  <c r="CK11" i="1"/>
  <c r="CI11" i="1"/>
  <c r="CH11" i="1"/>
  <c r="CG11" i="1"/>
  <c r="BH11" i="1"/>
  <c r="BG11" i="1"/>
  <c r="BF11" i="1"/>
  <c r="BE11" i="1"/>
  <c r="AV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EI10" i="1"/>
  <c r="DY10" i="1"/>
  <c r="DP10" i="1"/>
  <c r="DO10" i="1"/>
  <c r="DA10" i="1"/>
  <c r="CZ10" i="1"/>
  <c r="CU10" i="1"/>
  <c r="CT10" i="1"/>
  <c r="CS10" i="1"/>
  <c r="CR10" i="1"/>
  <c r="CQ10" i="1"/>
  <c r="CP10" i="1"/>
  <c r="CO10" i="1"/>
  <c r="FE10" i="1" s="1"/>
  <c r="CL10" i="1"/>
  <c r="CK10" i="1"/>
  <c r="CI10" i="1"/>
  <c r="CH10" i="1"/>
  <c r="CG10" i="1"/>
  <c r="BH10" i="1"/>
  <c r="BG10" i="1"/>
  <c r="BF10" i="1"/>
  <c r="BE10" i="1"/>
  <c r="AV10" i="1"/>
  <c r="AA10" i="1"/>
  <c r="Z10" i="1"/>
  <c r="Y10" i="1"/>
  <c r="X10" i="1"/>
  <c r="W10" i="1"/>
  <c r="U10" i="1"/>
  <c r="S10" i="1"/>
  <c r="M10" i="1"/>
  <c r="K10" i="1"/>
  <c r="J10" i="1"/>
  <c r="I10" i="1"/>
  <c r="H10" i="1"/>
  <c r="G10" i="1"/>
  <c r="E10" i="1"/>
  <c r="D10" i="1"/>
  <c r="C10" i="1"/>
  <c r="B10" i="1"/>
  <c r="A10" i="1"/>
  <c r="FV9" i="1"/>
  <c r="FU9" i="1"/>
  <c r="FT9" i="1"/>
  <c r="FS9" i="1"/>
  <c r="FR9" i="1"/>
  <c r="FQ9" i="1"/>
  <c r="FP9" i="1"/>
  <c r="FO9" i="1"/>
  <c r="FM9" i="1"/>
  <c r="FJ9" i="1"/>
  <c r="FI9" i="1"/>
  <c r="FH9" i="1"/>
  <c r="EV9" i="1"/>
  <c r="ES9" i="1"/>
  <c r="EI9" i="1"/>
  <c r="DY9" i="1"/>
  <c r="DP9" i="1"/>
  <c r="DO9" i="1"/>
  <c r="DA9" i="1"/>
  <c r="CZ9" i="1"/>
  <c r="CU9" i="1"/>
  <c r="CT9" i="1"/>
  <c r="CS9" i="1"/>
  <c r="CR9" i="1"/>
  <c r="CQ9" i="1"/>
  <c r="CP9" i="1"/>
  <c r="CO9" i="1"/>
  <c r="L9" i="1" s="1"/>
  <c r="CL9" i="1"/>
  <c r="CK9" i="1"/>
  <c r="CI9" i="1"/>
  <c r="CH9" i="1"/>
  <c r="CG9" i="1"/>
  <c r="BH9" i="1"/>
  <c r="BG9" i="1"/>
  <c r="BF9" i="1"/>
  <c r="BE9" i="1"/>
  <c r="AV9" i="1"/>
  <c r="AB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EI8" i="1"/>
  <c r="DY8" i="1"/>
  <c r="DP8" i="1"/>
  <c r="DO8" i="1"/>
  <c r="DA8" i="1"/>
  <c r="CZ8" i="1"/>
  <c r="CU8" i="1"/>
  <c r="CT8" i="1"/>
  <c r="CS8" i="1"/>
  <c r="CR8" i="1"/>
  <c r="CP8" i="1"/>
  <c r="CO8" i="1"/>
  <c r="FE8" i="1" s="1"/>
  <c r="CL8" i="1"/>
  <c r="CK8" i="1"/>
  <c r="CI8" i="1"/>
  <c r="CH8" i="1"/>
  <c r="CG8" i="1"/>
  <c r="BH8" i="1"/>
  <c r="BG8" i="1"/>
  <c r="BF8" i="1"/>
  <c r="BE8" i="1"/>
  <c r="AV8" i="1"/>
  <c r="AA8" i="1"/>
  <c r="Z8" i="1"/>
  <c r="Y8" i="1"/>
  <c r="X8" i="1"/>
  <c r="W8" i="1"/>
  <c r="K8" i="1"/>
  <c r="J8" i="1"/>
  <c r="I8" i="1"/>
  <c r="H8" i="1"/>
  <c r="G8" i="1"/>
  <c r="E8" i="1"/>
  <c r="D8" i="1"/>
  <c r="C8" i="1"/>
  <c r="B8" i="1"/>
  <c r="A8" i="1"/>
  <c r="FV7" i="1"/>
  <c r="FU7" i="1"/>
  <c r="FT7" i="1"/>
  <c r="FS7" i="1"/>
  <c r="FR7" i="1"/>
  <c r="FQ7" i="1"/>
  <c r="FP7" i="1"/>
  <c r="FO7" i="1"/>
  <c r="FM7" i="1"/>
  <c r="FJ7" i="1"/>
  <c r="FI7" i="1"/>
  <c r="FH7" i="1"/>
  <c r="EV7" i="1"/>
  <c r="ES7" i="1"/>
  <c r="EI7" i="1"/>
  <c r="DY7" i="1"/>
  <c r="DP7" i="1"/>
  <c r="DO7" i="1"/>
  <c r="DA7" i="1"/>
  <c r="CZ7" i="1"/>
  <c r="CU7" i="1"/>
  <c r="CT7" i="1"/>
  <c r="CS7" i="1"/>
  <c r="CR7" i="1"/>
  <c r="CP7" i="1"/>
  <c r="CL7" i="1"/>
  <c r="CK7" i="1"/>
  <c r="CI7" i="1"/>
  <c r="CH7" i="1"/>
  <c r="CG7" i="1"/>
  <c r="BH7" i="1"/>
  <c r="BG7" i="1"/>
  <c r="BF7" i="1"/>
  <c r="BE7" i="1"/>
  <c r="AV7" i="1"/>
  <c r="AT7" i="1"/>
  <c r="AB7" i="1"/>
  <c r="AA7" i="1"/>
  <c r="Z7" i="1"/>
  <c r="Y7" i="1"/>
  <c r="X7" i="1"/>
  <c r="W7" i="1"/>
  <c r="K7" i="1"/>
  <c r="J7" i="1"/>
  <c r="I7" i="1"/>
  <c r="H7" i="1"/>
  <c r="G7" i="1"/>
  <c r="E7" i="1"/>
  <c r="D7" i="1"/>
  <c r="C7" i="1"/>
  <c r="B7" i="1"/>
  <c r="A7" i="1"/>
  <c r="FV6" i="1"/>
  <c r="FU6" i="1"/>
  <c r="FT6" i="1"/>
  <c r="FS6" i="1"/>
  <c r="FR6" i="1"/>
  <c r="FQ6" i="1"/>
  <c r="FP6" i="1"/>
  <c r="FO6" i="1"/>
  <c r="FM6" i="1"/>
  <c r="FJ6" i="1"/>
  <c r="FI6" i="1"/>
  <c r="FH6" i="1"/>
  <c r="EV6" i="1"/>
  <c r="ES6" i="1"/>
  <c r="EI6" i="1"/>
  <c r="DY6" i="1"/>
  <c r="DP6" i="1"/>
  <c r="DO6" i="1"/>
  <c r="DA6" i="1"/>
  <c r="CZ6" i="1"/>
  <c r="CU6" i="1"/>
  <c r="CT6" i="1"/>
  <c r="CS6" i="1"/>
  <c r="CR6" i="1"/>
  <c r="CP6" i="1"/>
  <c r="CO6" i="1"/>
  <c r="FE6" i="1" s="1"/>
  <c r="CL6" i="1"/>
  <c r="CK6" i="1"/>
  <c r="CI6" i="1"/>
  <c r="CH6" i="1"/>
  <c r="CG6" i="1"/>
  <c r="BH6" i="1"/>
  <c r="BG6" i="1"/>
  <c r="BF6" i="1"/>
  <c r="BE6" i="1"/>
  <c r="AV6" i="1"/>
  <c r="AB6" i="1"/>
  <c r="AA6" i="1"/>
  <c r="Z6" i="1"/>
  <c r="Y6" i="1"/>
  <c r="X6" i="1"/>
  <c r="W6" i="1"/>
  <c r="K6" i="1"/>
  <c r="J6" i="1"/>
  <c r="I6" i="1"/>
  <c r="H6" i="1"/>
  <c r="G6" i="1"/>
  <c r="E6" i="1"/>
  <c r="D6" i="1"/>
  <c r="C6" i="1"/>
  <c r="B6" i="1"/>
  <c r="A6" i="1"/>
  <c r="FV5" i="1"/>
  <c r="FU5" i="1"/>
  <c r="FT5" i="1"/>
  <c r="FS5" i="1"/>
  <c r="FR5" i="1"/>
  <c r="FQ5" i="1"/>
  <c r="FP5" i="1"/>
  <c r="FO5" i="1"/>
  <c r="FM5" i="1"/>
  <c r="FJ5" i="1"/>
  <c r="FI5" i="1"/>
  <c r="FH5" i="1"/>
  <c r="EV5" i="1"/>
  <c r="ES5" i="1"/>
  <c r="EI5" i="1"/>
  <c r="DY5" i="1"/>
  <c r="DP5" i="1"/>
  <c r="DO5" i="1"/>
  <c r="DA5" i="1"/>
  <c r="CZ5" i="1"/>
  <c r="CU5" i="1"/>
  <c r="CT5" i="1"/>
  <c r="CS5" i="1"/>
  <c r="CR5" i="1"/>
  <c r="CP5" i="1"/>
  <c r="CO5" i="1"/>
  <c r="FE5" i="1" s="1"/>
  <c r="CL5" i="1"/>
  <c r="CK5" i="1"/>
  <c r="CJ5" i="1"/>
  <c r="CI5" i="1"/>
  <c r="CH5" i="1"/>
  <c r="CG5" i="1"/>
  <c r="BH5" i="1"/>
  <c r="BG5" i="1"/>
  <c r="BF5" i="1"/>
  <c r="BE5" i="1"/>
  <c r="AV5" i="1"/>
  <c r="AB5" i="1"/>
  <c r="AA5" i="1"/>
  <c r="Z5" i="1"/>
  <c r="Y5" i="1"/>
  <c r="X5" i="1"/>
  <c r="W5" i="1"/>
  <c r="K5" i="1"/>
  <c r="J5" i="1"/>
  <c r="I5" i="1"/>
  <c r="H5" i="1"/>
  <c r="G5" i="1"/>
  <c r="E5" i="1"/>
  <c r="D5" i="1"/>
  <c r="C5" i="1"/>
  <c r="B5" i="1"/>
  <c r="A5" i="1"/>
  <c r="AA4" i="1"/>
  <c r="J4" i="1"/>
  <c r="I4" i="1"/>
  <c r="H4" i="1"/>
  <c r="D4" i="1"/>
  <c r="B4" i="1"/>
  <c r="A4" i="1"/>
  <c r="AJ21" i="1" l="1"/>
  <c r="AI6" i="1"/>
  <c r="AB13" i="1"/>
  <c r="AB16" i="1"/>
  <c r="AB10" i="1"/>
  <c r="AB11" i="1"/>
  <c r="AB18" i="1"/>
  <c r="AI22" i="1"/>
  <c r="AJ10" i="1"/>
  <c r="AB23" i="1"/>
  <c r="AB8" i="1"/>
  <c r="AB14" i="1"/>
  <c r="AI23" i="1"/>
  <c r="S14" i="2"/>
  <c r="S15" i="1" s="1"/>
  <c r="U15" i="2"/>
  <c r="U16" i="1" s="1"/>
  <c r="P16" i="2"/>
  <c r="P17" i="1" s="1"/>
  <c r="S6" i="2"/>
  <c r="S7" i="1" s="1"/>
  <c r="T7" i="2"/>
  <c r="T8" i="1" s="1"/>
  <c r="M14" i="2"/>
  <c r="M15" i="1" s="1"/>
  <c r="Q16" i="2"/>
  <c r="Q17" i="1" s="1"/>
  <c r="O5" i="2"/>
  <c r="O6" i="1" s="1"/>
  <c r="M6" i="2"/>
  <c r="M7" i="1" s="1"/>
  <c r="N14" i="2"/>
  <c r="N15" i="1" s="1"/>
  <c r="M15" i="2"/>
  <c r="M16" i="1" s="1"/>
  <c r="R16" i="2"/>
  <c r="R17" i="1" s="1"/>
  <c r="M5" i="2"/>
  <c r="M6" i="1" s="1"/>
  <c r="N6" i="2"/>
  <c r="N7" i="1" s="1"/>
  <c r="O14" i="2"/>
  <c r="O15" i="1" s="1"/>
  <c r="N15" i="2"/>
  <c r="N16" i="1" s="1"/>
  <c r="S16" i="2"/>
  <c r="S17" i="1" s="1"/>
  <c r="T15" i="2"/>
  <c r="T16" i="1" s="1"/>
  <c r="P5" i="2"/>
  <c r="P6" i="1" s="1"/>
  <c r="O6" i="2"/>
  <c r="O7" i="1" s="1"/>
  <c r="U7" i="2"/>
  <c r="U8" i="1" s="1"/>
  <c r="P14" i="2"/>
  <c r="P15" i="1" s="1"/>
  <c r="O15" i="2"/>
  <c r="O16" i="1" s="1"/>
  <c r="T16" i="2"/>
  <c r="T17" i="1" s="1"/>
  <c r="P6" i="2"/>
  <c r="P7" i="1" s="1"/>
  <c r="M7" i="2"/>
  <c r="M8" i="1" s="1"/>
  <c r="T14" i="2"/>
  <c r="T15" i="1" s="1"/>
  <c r="P15" i="2"/>
  <c r="P16" i="1" s="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<sst xmlns="http://schemas.openxmlformats.org/spreadsheetml/2006/main" count="886" uniqueCount="717">
  <si>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</si>
  <si>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</si>
  <si>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</si>
  <si>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</si>
  <si>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</si>
  <si>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</si>
  <si>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</si>
  <si>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</si>
  <si>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</si>
  <si>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</si>
  <si>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</si>
  <si>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</si>
  <si>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</si>
  <si>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</si>
  <si>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</si>
  <si>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</si>
  <si>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</si>
  <si>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</si>
  <si>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</si>
  <si>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</si>
  <si>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</si>
  <si>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</si>
  <si>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</si>
  <si>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</si>
  <si>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</si>
  <si>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</si>
  <si>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</si>
  <si>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</si>
  <si>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</si>
  <si>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</si>
  <si>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</si>
  <si>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</si>
  <si>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</si>
  <si>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</si>
  <si>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</si>
  <si>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</si>
  <si>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</si>
  <si>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</si>
  <si>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</si>
  <si>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</si>
  <si>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</si>
  <si>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</si>
  <si>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</si>
  <si>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</si>
  <si>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</si>
  <si>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</si>
  <si>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</si>
  <si>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</si>
  <si>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</si>
  <si>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</si>
  <si>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</si>
  <si>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</si>
  <si>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</si>
  <si>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</si>
  <si>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</si>
  <si>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</si>
  <si>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</si>
  <si>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</si>
  <si>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</si>
  <si>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</si>
  <si>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</si>
  <si>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</si>
  <si>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</si>
  <si>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</si>
  <si>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</si>
  <si>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</si>
  <si>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</si>
  <si>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</si>
  <si>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</si>
  <si>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</si>
  <si>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</si>
  <si>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</si>
  <si>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</si>
  <si>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</si>
  <si>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</si>
  <si>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</si>
  <si>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</si>
  <si>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</si>
  <si>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</si>
  <si>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</si>
  <si>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</si>
  <si>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</si>
  <si>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</si>
  <si>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</si>
  <si>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</si>
  <si>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</si>
  <si>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</si>
  <si>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</si>
  <si>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</si>
  <si>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</si>
  <si>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</si>
  <si>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</si>
  <si>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</si>
  <si>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</si>
  <si>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</si>
  <si>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</si>
  <si>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</si>
  <si>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</si>
  <si>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</si>
  <si>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</si>
  <si>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</si>
  <si>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</si>
  <si>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</si>
  <si>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</si>
  <si>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</si>
  <si>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</si>
  <si>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</si>
  <si>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</si>
  <si>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</si>
  <si>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</si>
  <si>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</si>
  <si>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</si>
  <si>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</si>
  <si>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</si>
  <si>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</si>
  <si>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</si>
  <si>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</si>
  <si>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</si>
  <si>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</si>
  <si>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</si>
  <si>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</si>
  <si>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</si>
  <si>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</si>
  <si>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</si>
  <si>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</si>
  <si>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</si>
  <si>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</si>
  <si>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</si>
  <si>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</si>
  <si>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</si>
  <si>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</si>
  <si>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</si>
  <si>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</si>
  <si>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</si>
  <si>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</si>
  <si>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</si>
  <si>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</si>
  <si>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</si>
  <si>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</si>
  <si>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</si>
  <si>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</si>
  <si>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</si>
  <si>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</si>
  <si>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</si>
  <si>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</si>
  <si>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</si>
  <si>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</si>
  <si>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</si>
  <si>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</si>
  <si>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</si>
  <si>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</si>
  <si>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</si>
  <si>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</si>
  <si>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</si>
  <si>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</si>
  <si>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</si>
  <si>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</si>
  <si>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</si>
  <si>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</si>
  <si>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</si>
  <si>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</si>
  <si>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</si>
  <si>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</si>
  <si>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</si>
  <si>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</si>
  <si>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</si>
  <si>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</si>
  <si>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</si>
  <si>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</si>
  <si>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</si>
  <si>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</si>
  <si>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</si>
  <si>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</si>
  <si>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</si>
  <si>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</si>
  <si>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</si>
  <si>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</si>
  <si>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</si>
  <si>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</si>
  <si>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</si>
  <si>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</si>
  <si>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</si>
  <si>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</si>
  <si>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</si>
  <si>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</si>
  <si>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</si>
  <si>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</si>
  <si>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</si>
  <si>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</si>
  <si>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</si>
  <si>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</si>
  <si>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</si>
  <si>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</si>
  <si>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</si>
  <si>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</si>
  <si>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</si>
  <si>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</si>
  <si>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</si>
  <si>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</si>
  <si>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</si>
  <si>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</si>
  <si>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</si>
  <si>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</si>
  <si>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</si>
  <si>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</si>
  <si>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</si>
  <si>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</si>
  <si>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</si>
  <si>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</si>
  <si>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</si>
  <si>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</si>
  <si>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</si>
  <si>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</si>
  <si>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</si>
  <si>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</si>
  <si>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</si>
  <si>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</si>
  <si>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</si>
  <si>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</si>
  <si>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</si>
  <si>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</si>
  <si>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</si>
  <si>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</si>
  <si>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</si>
  <si>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</si>
  <si>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</si>
  <si>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</si>
  <si>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</si>
  <si>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</si>
  <si>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</si>
  <si>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</si>
  <si>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</si>
  <si>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</si>
  <si>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</si>
  <si>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</si>
  <si>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</si>
  <si>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</si>
  <si>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</si>
  <si>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</si>
  <si>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</si>
  <si>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</si>
  <si>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</si>
  <si>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</si>
  <si>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</si>
  <si>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</si>
  <si>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</si>
  <si>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</si>
  <si>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</si>
  <si>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</si>
  <si>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</si>
  <si>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</si>
  <si>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</si>
  <si>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</si>
  <si>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</si>
  <si>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</si>
  <si>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</si>
  <si>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</si>
  <si>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</si>
  <si>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</si>
  <si>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</si>
  <si>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</si>
  <si>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</si>
  <si>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</si>
  <si>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</si>
  <si>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</si>
  <si>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</si>
  <si>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</si>
  <si>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</si>
  <si>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</si>
  <si>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</si>
  <si>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</si>
  <si>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</si>
  <si>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</si>
  <si>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</si>
  <si>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</si>
  <si>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</si>
  <si>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</si>
  <si>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</si>
  <si>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</si>
  <si>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</si>
  <si>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</si>
  <si>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</si>
  <si>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</si>
  <si>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</si>
  <si>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</si>
  <si>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</si>
  <si>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</si>
  <si>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</si>
  <si>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</si>
  <si>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</si>
  <si>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</si>
  <si>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</si>
  <si>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</si>
  <si>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</si>
  <si>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</si>
  <si>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</si>
  <si>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</si>
  <si>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</si>
  <si>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</si>
  <si>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</si>
  <si>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</si>
  <si>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</si>
  <si>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</si>
  <si>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</si>
  <si>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</si>
  <si>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</si>
  <si>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</si>
  <si>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</si>
  <si>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</si>
  <si>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</si>
  <si>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</si>
  <si>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</si>
  <si>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</si>
  <si>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</si>
  <si>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</si>
  <si>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</si>
  <si>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</si>
  <si>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</si>
  <si>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</si>
  <si>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</si>
  <si>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</si>
  <si>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</si>
  <si>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</si>
  <si>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</si>
  <si>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</si>
  <si>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</si>
  <si>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</si>
  <si>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</si>
  <si>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</si>
  <si>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</si>
  <si>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</si>
  <si>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</si>
  <si>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</si>
  <si>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</si>
  <si>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</si>
  <si>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</si>
  <si>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</si>
  <si>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</si>
  <si>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</si>
  <si>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</si>
  <si>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</si>
  <si>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</si>
  <si>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</si>
  <si>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</si>
  <si>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</si>
  <si>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</si>
  <si>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</si>
  <si>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</si>
  <si>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</si>
  <si>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</si>
  <si>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</si>
  <si>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</si>
  <si>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</si>
  <si>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</si>
  <si>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</si>
  <si>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</si>
  <si>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</si>
  <si>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</si>
  <si>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</si>
  <si>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</si>
  <si>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</si>
  <si>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</si>
  <si>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</si>
  <si>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</si>
  <si>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</si>
  <si>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</si>
  <si>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</si>
  <si>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</si>
  <si>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</si>
  <si>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</si>
  <si>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</si>
  <si>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</si>
  <si>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</si>
  <si>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</si>
  <si>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</si>
  <si>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</si>
  <si>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</si>
  <si>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</si>
  <si>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</si>
  <si>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</si>
  <si>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</si>
  <si>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</si>
  <si>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</si>
  <si>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</si>
  <si>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</si>
  <si>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</si>
  <si>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</si>
  <si>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</si>
  <si>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</si>
  <si>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</si>
  <si>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</si>
  <si>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</si>
  <si>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</si>
  <si>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</si>
  <si>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</si>
  <si>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</si>
  <si>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</si>
  <si>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</si>
  <si>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</si>
  <si>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</si>
  <si>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</si>
  <si>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</si>
  <si>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</si>
  <si>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</si>
  <si>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</si>
  <si>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</si>
  <si>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</si>
  <si>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</si>
  <si>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</si>
  <si>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</si>
  <si>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</si>
  <si>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</si>
  <si>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</si>
  <si>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</si>
  <si>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</si>
  <si>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</si>
  <si>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</si>
  <si>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</si>
  <si>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</si>
  <si>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</si>
  <si>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</si>
  <si>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</si>
  <si>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</si>
  <si>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</si>
  <si>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</si>
  <si>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</si>
  <si>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</si>
  <si>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</si>
  <si>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</si>
  <si>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</si>
  <si>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</si>
  <si>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</si>
  <si>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</si>
  <si>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</si>
  <si>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</si>
  <si>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</si>
  <si>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</si>
  <si>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</si>
  <si>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</si>
  <si>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</si>
  <si>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</si>
  <si>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</si>
  <si>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</si>
  <si>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</si>
  <si>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</si>
  <si>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</si>
  <si>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</si>
  <si>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</si>
  <si>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</si>
  <si>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</si>
  <si>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</si>
  <si>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</si>
  <si>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</si>
  <si>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</si>
  <si>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</si>
  <si>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</si>
  <si>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</si>
  <si>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</si>
  <si>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</si>
  <si>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</si>
  <si>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</si>
  <si>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</si>
  <si>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</si>
  <si>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</si>
  <si>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</si>
  <si>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</si>
  <si>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</si>
  <si>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</si>
  <si>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</si>
  <si>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</si>
  <si>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</si>
  <si>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</si>
  <si>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</si>
  <si>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</si>
  <si>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</si>
  <si>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</si>
  <si>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</si>
  <si>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</si>
  <si>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</si>
  <si>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</si>
  <si>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</si>
  <si>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</si>
  <si>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</si>
  <si>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</si>
  <si>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</si>
  <si>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</si>
  <si>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</si>
  <si>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</si>
  <si>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</si>
  <si>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</si>
  <si>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</si>
  <si>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</si>
  <si>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</si>
  <si>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</si>
  <si>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</si>
  <si>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</si>
  <si>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</si>
  <si>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</si>
  <si>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</si>
  <si>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</si>
  <si>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</si>
  <si>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</si>
  <si>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</si>
  <si>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</si>
  <si>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</si>
  <si>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</si>
  <si>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</si>
  <si>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</si>
  <si>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</si>
  <si>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</si>
  <si>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</si>
  <si>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</si>
  <si>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</si>
  <si>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</si>
  <si>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</si>
  <si>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</si>
  <si>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</si>
  <si>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</si>
  <si>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</si>
  <si>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</si>
  <si>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</si>
  <si>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</si>
  <si>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</si>
  <si>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</si>
  <si>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</si>
  <si>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</si>
  <si>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</si>
  <si>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</si>
  <si>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</si>
  <si>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</si>
  <si>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</si>
  <si>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</si>
  <si>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</si>
  <si>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</si>
  <si>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</si>
  <si>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</si>
  <si>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</si>
  <si>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</si>
  <si>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</si>
  <si>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</si>
  <si>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</si>
  <si>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</si>
  <si>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</si>
  <si>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</si>
  <si>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</si>
  <si>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</si>
  <si>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</si>
  <si>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</si>
  <si>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</si>
  <si>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</si>
  <si>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</si>
  <si>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</si>
  <si>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</si>
  <si>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</si>
  <si>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</si>
  <si>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</si>
  <si>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</si>
  <si>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</si>
  <si>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</si>
  <si>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</si>
  <si>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</si>
  <si>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</si>
  <si>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</si>
  <si>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</si>
  <si>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</si>
  <si>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</si>
  <si>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</si>
  <si>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</si>
  <si>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</si>
  <si>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</si>
  <si>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</si>
  <si>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</si>
  <si>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</si>
  <si>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</si>
  <si>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</si>
  <si>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</si>
  <si>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</si>
  <si>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</si>
  <si>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</si>
  <si>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</si>
  <si>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</si>
  <si>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</si>
  <si>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</si>
  <si>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</si>
  <si>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</si>
  <si>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</si>
  <si>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</si>
  <si>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</si>
  <si>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</si>
  <si>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</si>
  <si>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</si>
  <si>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</si>
  <si>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</si>
  <si>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</si>
  <si>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</si>
  <si>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</si>
  <si>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</si>
  <si>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</si>
  <si>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</si>
  <si>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</si>
  <si>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</si>
  <si>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</si>
  <si>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</si>
  <si>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</si>
  <si>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</si>
  <si>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</si>
  <si>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</si>
  <si>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</si>
  <si>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</si>
  <si>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</si>
  <si>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</si>
  <si>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</si>
  <si>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</si>
  <si>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</si>
  <si>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</si>
  <si>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</si>
  <si>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</si>
  <si>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</si>
  <si>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</si>
  <si>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</si>
  <si>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</si>
  <si>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</si>
  <si>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</si>
  <si>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</si>
  <si>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</si>
  <si>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</si>
  <si>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</si>
  <si>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</si>
  <si>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</si>
  <si>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</si>
  <si>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</si>
  <si>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</si>
  <si>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</si>
  <si>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</si>
  <si>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</si>
  <si>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</si>
  <si>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</si>
  <si>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</si>
  <si>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</si>
  <si>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</si>
  <si>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</si>
  <si>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</si>
  <si>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</si>
  <si>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</si>
  <si>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</si>
  <si>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</si>
  <si>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</si>
  <si>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</si>
  <si>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</si>
  <si>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</si>
  <si>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</si>
  <si>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</si>
  <si>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</si>
  <si>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</si>
  <si>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</si>
  <si>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</si>
  <si>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</si>
  <si>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</si>
  <si>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</si>
  <si>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</si>
  <si>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</si>
  <si>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</si>
  <si>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</si>
  <si>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</si>
  <si>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</si>
  <si>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</si>
  <si>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</si>
  <si>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</si>
  <si>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</si>
  <si>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</si>
  <si>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</si>
  <si>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</si>
  <si>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</si>
  <si>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</si>
  <si>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</si>
  <si>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</si>
  <si>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Lenovo E550 Regular - DE</t>
  </si>
  <si>
    <t>Lenovo E550 Regular - FR</t>
  </si>
  <si>
    <t>Lenovo E550 Regular - IT</t>
  </si>
  <si>
    <t>Lenovo E550 Regular - ES</t>
  </si>
  <si>
    <t>Lenovo E550 Regular - UK</t>
  </si>
  <si>
    <t>Lenovo E550 Regular - NOR</t>
  </si>
  <si>
    <t>Lenovo E550 Regular - BE</t>
  </si>
  <si>
    <t>Lenovo E550 Regular - BG</t>
  </si>
  <si>
    <t>Lenovo E550 Regular - CZ</t>
  </si>
  <si>
    <t>Lenovo E550 Regular - DK</t>
  </si>
  <si>
    <t>Lenovo E550 Regular - HU</t>
  </si>
  <si>
    <t>Lenovo E550 Regular - NL</t>
  </si>
  <si>
    <t>Lenovo E550 Regular - NO</t>
  </si>
  <si>
    <t>Lenovo E550 Regular - PL</t>
  </si>
  <si>
    <t>Lenovo E550 Regular - PT</t>
  </si>
  <si>
    <t>Lenovo E550 Regular - SE/FI</t>
  </si>
  <si>
    <t>Lenovo E550 Regular - CH</t>
  </si>
  <si>
    <t>Lenovo E550 Regular - US INT</t>
  </si>
  <si>
    <t>Lenovo E550 Regular - RUS</t>
  </si>
  <si>
    <t>Lenovo E550 Regular - US</t>
  </si>
  <si>
    <t>00HN006</t>
  </si>
  <si>
    <t>00HN007</t>
  </si>
  <si>
    <t>00HN008</t>
  </si>
  <si>
    <t>00HN009</t>
  </si>
  <si>
    <t>00HN015</t>
  </si>
  <si>
    <t>00HN093</t>
  </si>
  <si>
    <t>00HN020</t>
  </si>
  <si>
    <t>00HN022</t>
  </si>
  <si>
    <t>00HN026</t>
  </si>
  <si>
    <t>00HN101</t>
  </si>
  <si>
    <t>00HN030</t>
  </si>
  <si>
    <t>00HN023</t>
  </si>
  <si>
    <t>00HN000</t>
  </si>
  <si>
    <t>Lenovo E550 Parent</t>
  </si>
  <si>
    <t>Lenovo/E550/RG/DE</t>
  </si>
  <si>
    <t>Lenovo/E550/RG/FR</t>
  </si>
  <si>
    <t>Lenovo/E550/RG/IT</t>
  </si>
  <si>
    <t>Lenovo/E550/RG/ES</t>
  </si>
  <si>
    <t>Lenovo/E550/RG/UK</t>
  </si>
  <si>
    <t>Lenovo/E550/RGNOR</t>
  </si>
  <si>
    <t>E550 E560 E560c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</si>
</sst>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8"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5">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164" fontId="0" fillId="0" borderId="0" xfId="0" applyNumberFormat="1"/>
    <xf numFmtId="0" fontId="0" fillId="0" borderId="0" xfId="0" applyFont="1" applyAlignment="1">
      <alignment wrapText="1"/>
    </xf>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0" fillId="14" borderId="0" xfId="0" applyFill="1" applyAlignment="1">
      <alignment horizontal="right" wrapText="1"/>
    </xf>
    <xf numFmtId="0" fontId="5" fillId="0" borderId="0" xfId="0" applyFont="1" applyBorder="1" applyAlignment="1">
      <alignment horizontal="center"/>
    </xf>
    <xf numFmtId="0" fontId="7" fillId="0" borderId="0" xfId="0" applyFont="1"/>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topLeftCell="CJ5" zoomScale="130" zoomScaleNormal="130" workbookViewId="0">
      <selection activeCell="CV5" sqref="CV5:CV66"/>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computercomponent</v>
      </c>
      <c r="B4" s="28" t="str">
        <f>Values!B13</f>
        <v>Lenovo E550 Parent</v>
      </c>
      <c r="C4" s="29" t="s">
        <v>345</v>
      </c>
      <c r="D4" s="30">
        <f>Values!B14</f>
        <v>5714401488996</v>
      </c>
      <c r="E4" s="31" t="s">
        <v>346</v>
      </c>
      <c r="F4" s="28" t="str">
        <f>SUBSTITUTE(Values!B1, "{language}", "") &amp; " " &amp; Values!B3</f>
        <v>ersatztastatur  Hintergrundbeleuchtung für Lenovo Thinkpad E550 E560 E560c</v>
      </c>
      <c r="G4" s="29" t="s">
        <v>345</v>
      </c>
      <c r="H4" s="27" t="str">
        <f>Values!B16</f>
        <v>computer-keyboards</v>
      </c>
      <c r="I4" s="27" t="str">
        <f>IF(ISBLANK(Values!E3),"","4730574031")</f>
        <v>4730574031</v>
      </c>
      <c r="J4" s="32" t="str">
        <f>Values!B13</f>
        <v>Lenovo E550 Parent</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48" x14ac:dyDescent="0.2">
      <c r="A5" s="27" t="str">
        <f>IF(ISBLANK(Values!E4),"",IF(Values!$B$37="EU","computercomponent","computer"))</f>
        <v>computercomponent</v>
      </c>
      <c r="B5" s="38" t="str">
        <f>IF(ISBLANK(Values!E4),"",Values!F4)</f>
        <v>Lenovo E550 Regular - DE</v>
      </c>
      <c r="C5" s="32" t="str">
        <f>IF(ISBLANK(Values!E4),"","TellusRem")</f>
        <v>TellusRem</v>
      </c>
      <c r="D5" s="30">
        <f>IF(ISBLANK(Values!E4),"",Values!E4)</f>
        <v>5714401550013</v>
      </c>
      <c r="E5" s="31" t="str">
        <f>IF(ISBLANK(Values!E4),"","EAN")</f>
        <v>EAN</v>
      </c>
      <c r="F5" s="28" t="str">
        <f>IF(ISBLANK(Values!E4),"",IF(Values!J4, SUBSTITUTE(Values!$B$1, "{language}", Values!H4) &amp; " " &amp;Values!$B$3, SUBSTITUTE(Values!$B$2, "{language}", Values!$H4) &amp; " " &amp;Values!$B$3))</f>
        <v>ersatztastatur Deutsche Nicht Hintergrundbeleuchtung für Lenovo Thinkpad E550 E560 E560c</v>
      </c>
      <c r="G5" s="32" t="str">
        <f>IF(ISBLANK(Values!E4),"","TellusRem")</f>
        <v>TellusRem</v>
      </c>
      <c r="H5" s="27" t="str">
        <f>IF(ISBLANK(Values!E4),"",Values!$B$16)</f>
        <v>computer-keyboards</v>
      </c>
      <c r="I5" s="27" t="str">
        <f>IF(ISBLANK(Values!E4),"","4730574031")</f>
        <v>4730574031</v>
      </c>
      <c r="J5" s="39" t="str">
        <f>IF(ISBLANK(Values!E4),"",Values!F4 )</f>
        <v>Lenovo E550 Regular - DE</v>
      </c>
      <c r="K5" s="28">
        <f>IF(ISBLANK(Values!E4),"",IF(Values!J4, Values!$B$4, Values!$B$5))</f>
        <v>47.99</v>
      </c>
      <c r="L5" s="40" t="str">
        <f>IF(ISBLANK(Values!E4),"",IF($CO5="DEFAULT", Values!$B$18, ""))</f>
        <v/>
      </c>
      <c r="M5" s="28" t="str">
        <f>IF(ISBLANK(Values!E4),"",Values!$M4)</f>
        <v>https://raw.githubusercontent.com/PatrickVibild/TellusAmazonPictures/master/pictures/Lenovo/E550/RG/DE/1.jpg</v>
      </c>
      <c r="N5" s="28" t="str">
        <f>IF(ISBLANK(Values!$F4),"",Values!N4)</f>
        <v>https://raw.githubusercontent.com/PatrickVibild/TellusAmazonPictures/master/pictures/Lenovo/E550/RG/DE/2.jpg</v>
      </c>
      <c r="O5" s="28" t="str">
        <f>IF(ISBLANK(Values!$F4),"",Values!O4)</f>
        <v>https://raw.githubusercontent.com/PatrickVibild/TellusAmazonPictures/master/pictures/Lenovo/E550/RG/DE/3.jpg</v>
      </c>
      <c r="P5" s="28" t="str">
        <f>IF(ISBLANK(Values!$F4),"",Values!P4)</f>
        <v>https://raw.githubusercontent.com/PatrickVibild/TellusAmazonPictures/master/pictures/Lenovo/E550/RG/DE/4.jpg</v>
      </c>
      <c r="Q5" s="28" t="str">
        <f>IF(ISBLANK(Values!$F4),"",Values!Q4)</f>
        <v>https://raw.githubusercontent.com/PatrickVibild/TellusAmazonPictures/master/pictures/Lenovo/E550/RG/DE/5.jpg</v>
      </c>
      <c r="R5" s="28" t="str">
        <f>IF(ISBLANK(Values!$F4),"",Values!R4)</f>
        <v>https://raw.githubusercontent.com/PatrickVibild/TellusAmazonPictures/master/pictures/Lenovo/E550/RG/DE/6.jpg</v>
      </c>
      <c r="S5" s="28" t="str">
        <f>IF(ISBLANK(Values!$F4),"",Values!S4)</f>
        <v>https://raw.githubusercontent.com/PatrickVibild/TellusAmazonPictures/master/pictures/Lenovo/E550/RG/DE/7.jpg</v>
      </c>
      <c r="T5" s="28" t="str">
        <f>IF(ISBLANK(Values!$F4),"",Values!T4)</f>
        <v>https://raw.githubusercontent.com/PatrickVibild/TellusAmazonPictures/master/pictures/Lenovo/E550/RG/DE/8.jpg</v>
      </c>
      <c r="U5" s="28" t="str">
        <f>IF(ISBLANK(Values!$F4),"",Values!U4)</f>
        <v>https://raw.githubusercontent.com/PatrickVibild/TellusAmazonPictures/master/pictures/Lenovo/E550/RG/DE/9.jpg</v>
      </c>
      <c r="W5" s="32" t="str">
        <f>IF(ISBLANK(Values!E4),"","Child")</f>
        <v>Child</v>
      </c>
      <c r="X5" s="32" t="str">
        <f>IF(ISBLANK(Values!E4),"",Values!$B$13)</f>
        <v>Lenovo E550 Parent</v>
      </c>
      <c r="Y5" s="39" t="str">
        <f>IF(ISBLANK(Values!E4),"","Size-Color")</f>
        <v>Size-Color</v>
      </c>
      <c r="Z5" s="32" t="str">
        <f>IF(ISBLANK(Values!E4),"","variation")</f>
        <v>variation</v>
      </c>
      <c r="AA5" s="36" t="str">
        <f>IF(ISBLANK(Values!E4),"",Values!$B$20)</f>
        <v>Update</v>
      </c>
      <c r="AB5" s="1" t="str">
        <f>IF(ISBLANK(Values!E4),"",Values!$B$29)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5" s="41" t="str">
        <f>IF(ISBLANK(Values!E4),"",IF(Values!I4,Values!$B$23,Values!$B$33))</f>
        <v xml:space="preserve">👉 ÜBERARBEITET: GELD SPAREN - Ersatz-Lenovo-Laptop-Tastatur, gleiche Qualität wie OEM-Tastaturen. TellusRem ist seit 2011 der weltweit führende Distributor von Tastaturen. Perfekte Ersatztastatur, einfach auszutauschen und zu installieren. </v>
      </c>
      <c r="AJ5" s="42" t="str">
        <f>IF(ISBLANK(Values!E4),"",Values!$B$24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5" s="1" t="str">
        <f>IF(ISBLANK(Values!E4),"",Values!$B$25)</f>
        <v xml:space="preserve">♻️ ÖFFENTLICHES PRODUKT - Kaufen Sie renoviert, KAUFEN SIE GRÜN! Reduzieren Sie mehr als 80% Kohlendioxid, indem Sie unsere überholten Tastaturen kaufen, im Vergleich zu einer neuen Tastatur! </v>
      </c>
      <c r="AL5" s="1" t="str">
        <f>IF(ISBLANK(Values!E4),"",SUBSTITUTE(SUBSTITUTE(IF(Values!$J4, Values!$B$26, Values!$B$33), "{language}", Values!$H4), "{flag}", INDEX(options!$E$1:$E$20, Values!$V4)))</f>
        <v xml:space="preserve">👉 LAYOUT - 🇩🇪 Deutsche Nicht Hintergrundbeleuchtung </v>
      </c>
      <c r="AM5" s="1" t="str">
        <f>SUBSTITUTE(IF(ISBLANK(Values!E4),"",Values!$B$27),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5" s="28" t="str">
        <f>IF(ISBLANK(Values!E4),"",Values!H4)</f>
        <v>Deutsche</v>
      </c>
      <c r="AV5" s="1" t="str">
        <f>IF(ISBLANK(Values!E4),"",IF(Values!J4,"Backlit", "Non-Backlit"))</f>
        <v>Non-Backlit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5" s="1" t="str">
        <f>IF(ISBLANK(Values!E4),"","No")</f>
        <v>No</v>
      </c>
      <c r="DA5" s="1" t="str">
        <f>IF(ISBLANK(Values!E4),"","No")</f>
        <v>No</v>
      </c>
      <c r="DO5" s="27" t="str">
        <f>IF(ISBLANK(Values!E4),"","Parts")</f>
        <v>Parts</v>
      </c>
      <c r="DP5" s="27" t="str">
        <f>IF(ISBLANK(Values!E4),"",Values!$B$31)</f>
        <v>6 Monate Garantie nach dem Liefertermin. Im Falle einer Fehlfunktion der Tastatur wird ein neues Gerät oder ein Ersatzteil für die Tastatur des Produkts gesendet. Bei Sortierung des Bestands wird eine volle Rückerstattung gewährt.</v>
      </c>
      <c r="DS5" s="31"/>
      <c r="DY5" t="str">
        <f>IF(ISBLANK(Values!$E4), "", "not_applicable")</f>
        <v>not_applicable</v>
      </c>
      <c r="DZ5" s="31"/>
      <c r="EA5" s="31"/>
      <c r="EB5" s="31"/>
      <c r="EC5" s="31"/>
      <c r="EI5" s="1" t="str">
        <f>IF(ISBLANK(Values!E4),"",Values!$B$31)</f>
        <v>6 Monate Garantie nach dem Liefertermin. Im Falle einer Fehlfunktion der Tastatur wird ein neues Gerät oder ein Ersatzteil für die Tastatur des Produkts gesendet. Bei Sortierung des Bestands wird eine volle Rückerstattung gewährt.</v>
      </c>
      <c r="ES5" s="1" t="str">
        <f>IF(ISBLANK(Values!E4),"","Amazon Tellus UPS")</f>
        <v>Amazon Tellus UPS</v>
      </c>
      <c r="EV5" s="3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8">
        <f>IF(ISBLANK(Values!E4),"",IF(Values!J4, Values!$B$4, Values!$B$5))</f>
        <v>47.99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48" x14ac:dyDescent="0.2">
      <c r="A6" s="27" t="str">
        <f>IF(ISBLANK(Values!E5),"",IF(Values!$B$37="EU","computercomponent","computer"))</f>
        <v>computercomponent</v>
      </c>
      <c r="B6" s="38" t="str">
        <f>IF(ISBLANK(Values!E5),"",Values!F5)</f>
        <v>Lenovo E550 Regular - FR</v>
      </c>
      <c r="C6" s="32" t="str">
        <f>IF(ISBLANK(Values!E5),"","TellusRem")</f>
        <v>TellusRem</v>
      </c>
      <c r="D6" s="30">
        <f>IF(ISBLANK(Values!E5),"",Values!E5)</f>
        <v>5714401550020</v>
      </c>
      <c r="E6" s="31" t="str">
        <f>IF(ISBLANK(Values!E5),"","EAN")</f>
        <v>EAN</v>
      </c>
      <c r="F6" s="28" t="str">
        <f>IF(ISBLANK(Values!E5),"",IF(Values!J5, SUBSTITUTE(Values!$B$1, "{language}", Values!H5) &amp; " " &amp;Values!$B$3, SUBSTITUTE(Values!$B$2, "{language}", Values!$H5) &amp; " " &amp;Values!$B$3))</f>
        <v>ersatztastatur Französisch Nicht Hintergrundbeleuchtung für Lenovo Thinkpad E550 E560 E560c</v>
      </c>
      <c r="G6" s="32" t="str">
        <f>IF(ISBLANK(Values!E5),"","TellusRem")</f>
        <v>TellusRem</v>
      </c>
      <c r="H6" s="27" t="str">
        <f>IF(ISBLANK(Values!E5),"",Values!$B$16)</f>
        <v>computer-keyboards</v>
      </c>
      <c r="I6" s="27" t="str">
        <f>IF(ISBLANK(Values!E5),"","4730574031")</f>
        <v>4730574031</v>
      </c>
      <c r="J6" s="39" t="str">
        <f>IF(ISBLANK(Values!E5),"",Values!F5 )</f>
        <v>Lenovo E550 Regular - FR</v>
      </c>
      <c r="K6" s="28">
        <f>IF(ISBLANK(Values!E5),"",IF(Values!J5, Values!$B$4, Values!$B$5))</f>
        <v>47.99</v>
      </c>
      <c r="L6" s="40" t="str">
        <f>IF(ISBLANK(Values!E5),"",IF($CO6="DEFAULT", Values!$B$18, ""))</f>
        <v/>
      </c>
      <c r="M6" s="28" t="str">
        <f>IF(ISBLANK(Values!E5),"",Values!$M5)</f>
        <v>https://download.lenovo.com/Images/Parts/Lenovo/E550/RG/FR/Lenovo/E550/RG/FR_A.jpg</v>
      </c>
      <c r="N6" s="28" t="str">
        <f>IF(ISBLANK(Values!$F5),"",Values!N5)</f>
        <v>https://download.lenovo.com/Images/Parts/Lenovo/E550/RG/FR/Lenovo/E550/RG/FR_B.jpg</v>
      </c>
      <c r="O6" s="28" t="str">
        <f>IF(ISBLANK(Values!$F5),"",Values!O5)</f>
        <v>https://download.lenovo.com/Images/Parts/Lenovo/E550/RG/FR/Lenovo/E550/RG/FR_details.jpg</v>
      </c>
      <c r="P6" s="28" t="str">
        <f>IF(ISBLANK(Values!$F5),"",Values!P5)</f>
        <v/>
      </c>
      <c r="Q6" s="28" t="str">
        <f>IF(ISBLANK(Values!$F5),"",Values!Q5)</f>
        <v/>
      </c>
      <c r="R6" s="28" t="str">
        <f>IF(ISBLANK(Values!$F5),"",Values!R5)</f>
        <v/>
      </c>
      <c r="S6" s="28" t="str">
        <f>IF(ISBLANK(Values!$F5),"",Values!S5)</f>
        <v/>
      </c>
      <c r="T6" s="28" t="str">
        <f>IF(ISBLANK(Values!$F5),"",Values!T5)</f>
        <v/>
      </c>
      <c r="U6" s="28" t="str">
        <f>IF(ISBLANK(Values!$F5),"",Values!U5)</f>
        <v/>
      </c>
      <c r="W6" s="32" t="str">
        <f>IF(ISBLANK(Values!E5),"","Child")</f>
        <v>Child</v>
      </c>
      <c r="X6" s="32" t="str">
        <f>IF(ISBLANK(Values!E5),"",Values!$B$13)</f>
        <v>Lenovo E550 Parent</v>
      </c>
      <c r="Y6" s="39" t="str">
        <f>IF(ISBLANK(Values!E5),"","Size-Color")</f>
        <v>Size-Color</v>
      </c>
      <c r="Z6" s="32" t="str">
        <f>IF(ISBLANK(Values!E5),"","variation")</f>
        <v>variation</v>
      </c>
      <c r="AA6" s="36" t="str">
        <f>IF(ISBLANK(Values!E5),"",Values!$B$20)</f>
        <v>Update</v>
      </c>
      <c r="AB6" s="1" t="str">
        <f>IF(ISBLANK(Values!E5),"",Values!$B$29)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6" s="41" t="str">
        <f>IF(ISBLANK(Values!E5),"",IF(Values!I5,Values!$B$23,Values!$B$33))</f>
        <v xml:space="preserve">👉 ÜBERARBEITET: GELD SPAREN - Ersatz-Lenovo-Laptop-Tastatur, gleiche Qualität wie OEM-Tastaturen. TellusRem ist seit 2011 der weltweit führende Distributor von Tastaturen. Perfekte Ersatztastatur, einfach auszutauschen und zu installieren. </v>
      </c>
      <c r="AJ6" s="42" t="str">
        <f>IF(ISBLANK(Values!E5),"",Values!$B$24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6" s="1" t="str">
        <f>IF(ISBLANK(Values!E5),"",Values!$B$25)</f>
        <v xml:space="preserve">♻️ ÖFFENTLICHES PRODUKT - Kaufen Sie renoviert, KAUFEN SIE GRÜN! Reduzieren Sie mehr als 80% Kohlendioxid, indem Sie unsere überholten Tastaturen kaufen, im Vergleich zu einer neuen Tastatur! </v>
      </c>
      <c r="AL6" s="1" t="str">
        <f>IF(ISBLANK(Values!E5),"",SUBSTITUTE(SUBSTITUTE(IF(Values!$J5, Values!$B$26, Values!$B$33), "{language}", Values!$H5), "{flag}", INDEX(options!$E$1:$E$20, Values!$V5)))</f>
        <v xml:space="preserve">👉 LAYOUT - 🇫🇷 Französisch Nicht Hintergrundbeleuchtung </v>
      </c>
      <c r="AM6" s="1" t="str">
        <f>SUBSTITUTE(IF(ISBLANK(Values!E5),"",Values!$B$27),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6" s="28" t="str">
        <f>IF(ISBLANK(Values!E5),"",Values!H5)</f>
        <v>Französisch</v>
      </c>
      <c r="AV6" s="1" t="str">
        <f>IF(ISBLANK(Values!E5),"",IF(Values!J5,"Backlit", "Non-Backlit"))</f>
        <v>Non-Backlit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36"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6" s="1" t="str">
        <f>IF(ISBLANK(Values!E5),"","No")</f>
        <v>No</v>
      </c>
      <c r="DA6" s="1" t="str">
        <f>IF(ISBLANK(Values!E5),"","No")</f>
        <v>No</v>
      </c>
      <c r="DO6" s="27" t="str">
        <f>IF(ISBLANK(Values!E5),"","Parts")</f>
        <v>Parts</v>
      </c>
      <c r="DP6" s="27" t="str">
        <f>IF(ISBLANK(Values!E5),"",Values!$B$31)</f>
        <v>6 Monate Garantie nach dem Liefertermin. Im Falle einer Fehlfunktion der Tastatur wird ein neues Gerät oder ein Ersatzteil für die Tastatur des Produkts gesendet. Bei Sortierung des Bestands wird eine volle Rückerstattung gewährt.</v>
      </c>
      <c r="DS6" s="31"/>
      <c r="DY6" t="str">
        <f>IF(ISBLANK(Values!$E5), "", "not_applicable")</f>
        <v>not_applicable</v>
      </c>
      <c r="DZ6" s="31"/>
      <c r="EA6" s="31"/>
      <c r="EB6" s="31"/>
      <c r="EC6" s="31"/>
      <c r="EI6" s="1" t="str">
        <f>IF(ISBLANK(Values!E5),"",Values!$B$31)</f>
        <v>6 Monate Garantie nach dem Liefertermin. Im Falle einer Fehlfunktion der Tastatur wird ein neues Gerät oder ein Ersatzteil für die Tastatur des Produkts gesendet. Bei Sortierung des Bestands wird eine volle Rückerstattung gewährt.</v>
      </c>
      <c r="ES6" s="1" t="str">
        <f>IF(ISBLANK(Values!E5),"","Amazon Tellus UPS")</f>
        <v>Amazon Tellus UPS</v>
      </c>
      <c r="EV6" s="3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8">
        <f>IF(ISBLANK(Values!E5),"",IF(Values!J5, Values!$B$4, Values!$B$5))</f>
        <v>47.99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48" x14ac:dyDescent="0.2">
      <c r="A7" s="27" t="str">
        <f>IF(ISBLANK(Values!E6),"",IF(Values!$B$37="EU","computercomponent","computer"))</f>
        <v>computercomponent</v>
      </c>
      <c r="B7" s="38" t="str">
        <f>IF(ISBLANK(Values!E6),"",Values!F6)</f>
        <v>Lenovo E550 Regular - IT</v>
      </c>
      <c r="C7" s="32" t="str">
        <f>IF(ISBLANK(Values!E6),"","TellusRem")</f>
        <v>TellusRem</v>
      </c>
      <c r="D7" s="30">
        <f>IF(ISBLANK(Values!E6),"",Values!E6)</f>
        <v>5714401550037</v>
      </c>
      <c r="E7" s="31" t="str">
        <f>IF(ISBLANK(Values!E6),"","EAN")</f>
        <v>EAN</v>
      </c>
      <c r="F7" s="28" t="str">
        <f>IF(ISBLANK(Values!E6),"",IF(Values!J6, SUBSTITUTE(Values!$B$1, "{language}", Values!H6) &amp; " " &amp;Values!$B$3, SUBSTITUTE(Values!$B$2, "{language}", Values!$H6) &amp; " " &amp;Values!$B$3))</f>
        <v>ersatztastatur Italienisch Nicht Hintergrundbeleuchtung für Lenovo Thinkpad E550 E560 E560c</v>
      </c>
      <c r="G7" s="32" t="str">
        <f>IF(ISBLANK(Values!E6),"","TellusRem")</f>
        <v>TellusRem</v>
      </c>
      <c r="H7" s="27" t="str">
        <f>IF(ISBLANK(Values!E6),"",Values!$B$16)</f>
        <v>computer-keyboards</v>
      </c>
      <c r="I7" s="27" t="str">
        <f>IF(ISBLANK(Values!E6),"","4730574031")</f>
        <v>4730574031</v>
      </c>
      <c r="J7" s="39" t="str">
        <f>IF(ISBLANK(Values!E6),"",Values!F6 )</f>
        <v>Lenovo E550 Regular - IT</v>
      </c>
      <c r="K7" s="28">
        <f>IF(ISBLANK(Values!E6),"",IF(Values!J6, Values!$B$4, Values!$B$5))</f>
        <v>47.99</v>
      </c>
      <c r="L7" s="40" t="str">
        <f>IF(ISBLANK(Values!E6),"",IF($CO7="DEFAULT", Values!$B$18, ""))</f>
        <v/>
      </c>
      <c r="M7" s="28" t="str">
        <f>IF(ISBLANK(Values!E6),"",Values!$M6)</f>
        <v>https://download.lenovo.com/Images/Parts/Lenovo/E550/RG/IT/Lenovo/E550/RG/IT_A.jpg</v>
      </c>
      <c r="N7" s="28" t="str">
        <f>IF(ISBLANK(Values!$F6),"",Values!N6)</f>
        <v>https://download.lenovo.com/Images/Parts/Lenovo/E550/RG/IT/Lenovo/E550/RG/IT_B.jpg</v>
      </c>
      <c r="O7" s="28" t="str">
        <f>IF(ISBLANK(Values!$F6),"",Values!O6)</f>
        <v>https://download.lenovo.com/Images/Parts/Lenovo/E550/RG/IT/Lenovo/E550/RG/IT_details.jpg</v>
      </c>
      <c r="P7" s="28" t="str">
        <f>IF(ISBLANK(Values!$F6),"",Values!P6)</f>
        <v/>
      </c>
      <c r="Q7" s="28" t="str">
        <f>IF(ISBLANK(Values!$F6),"",Values!Q6)</f>
        <v/>
      </c>
      <c r="R7" s="28" t="str">
        <f>IF(ISBLANK(Values!$F6),"",Values!R6)</f>
        <v/>
      </c>
      <c r="S7" s="28" t="str">
        <f>IF(ISBLANK(Values!$F6),"",Values!S6)</f>
        <v/>
      </c>
      <c r="T7" s="28" t="str">
        <f>IF(ISBLANK(Values!$F6),"",Values!T6)</f>
        <v/>
      </c>
      <c r="U7" s="28" t="str">
        <f>IF(ISBLANK(Values!$F6),"",Values!U6)</f>
        <v/>
      </c>
      <c r="W7" s="32" t="str">
        <f>IF(ISBLANK(Values!E6),"","Child")</f>
        <v>Child</v>
      </c>
      <c r="X7" s="32" t="str">
        <f>IF(ISBLANK(Values!E6),"",Values!$B$13)</f>
        <v>Lenovo E550 Parent</v>
      </c>
      <c r="Y7" s="39" t="str">
        <f>IF(ISBLANK(Values!E6),"","Size-Color")</f>
        <v>Size-Color</v>
      </c>
      <c r="Z7" s="32" t="str">
        <f>IF(ISBLANK(Values!E6),"","variation")</f>
        <v>variation</v>
      </c>
      <c r="AA7" s="36" t="str">
        <f>IF(ISBLANK(Values!E6),"",Values!$B$20)</f>
        <v>Update</v>
      </c>
      <c r="AB7" s="1" t="str">
        <f>IF(ISBLANK(Values!E6),"",Values!$B$29)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7" s="41" t="str">
        <f>IF(ISBLANK(Values!E6),"",IF(Values!I6,Values!$B$23,Values!$B$33))</f>
        <v xml:space="preserve">👉 ÜBERARBEITET: GELD SPAREN - Ersatz-Lenovo-Laptop-Tastatur, gleiche Qualität wie OEM-Tastaturen. TellusRem ist seit 2011 der weltweit führende Distributor von Tastaturen. Perfekte Ersatztastatur, einfach auszutauschen und zu installieren. </v>
      </c>
      <c r="AJ7" s="42" t="str">
        <f>IF(ISBLANK(Values!E6),"",Values!$B$24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7" s="1" t="str">
        <f>IF(ISBLANK(Values!E6),"",Values!$B$25)</f>
        <v xml:space="preserve">♻️ ÖFFENTLICHES PRODUKT - Kaufen Sie renoviert, KAUFEN SIE GRÜN! Reduzieren Sie mehr als 80% Kohlendioxid, indem Sie unsere überholten Tastaturen kaufen, im Vergleich zu einer neuen Tastatur! </v>
      </c>
      <c r="AL7" s="1" t="str">
        <f>IF(ISBLANK(Values!E6),"",SUBSTITUTE(SUBSTITUTE(IF(Values!$J6, Values!$B$26, Values!$B$33), "{language}", Values!$H6), "{flag}", INDEX(options!$E$1:$E$20, Values!$V6)))</f>
        <v xml:space="preserve">👉 LAYOUT - 🇮🇹 Italienisch Nicht Hintergrundbeleuchtung </v>
      </c>
      <c r="AM7" s="1" t="str">
        <f>SUBSTITUTE(IF(ISBLANK(Values!E6),"",Values!$B$27),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7" s="28" t="str">
        <f>IF(ISBLANK(Values!E6),"",Values!H6)</f>
        <v>Italienisch</v>
      </c>
      <c r="AV7" s="1" t="str">
        <f>IF(ISBLANK(Values!E6),"",IF(Values!J6,"Backlit", "Non-Backlit"))</f>
        <v>Non-Backlit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36"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7" s="1" t="str">
        <f>IF(ISBLANK(Values!E6),"","No")</f>
        <v>No</v>
      </c>
      <c r="DA7" s="1" t="str">
        <f>IF(ISBLANK(Values!E6),"","No")</f>
        <v>No</v>
      </c>
      <c r="DO7" s="27" t="str">
        <f>IF(ISBLANK(Values!E6),"","Parts")</f>
        <v>Parts</v>
      </c>
      <c r="DP7" s="27" t="str">
        <f>IF(ISBLANK(Values!E6),"",Values!$B$31)</f>
        <v>6 Monate Garantie nach dem Liefertermin. Im Falle einer Fehlfunktion der Tastatur wird ein neues Gerät oder ein Ersatzteil für die Tastatur des Produkts gesendet. Bei Sortierung des Bestands wird eine volle Rückerstattung gewährt.</v>
      </c>
      <c r="DS7" s="31"/>
      <c r="DY7" t="str">
        <f>IF(ISBLANK(Values!$E6), "", "not_applicable")</f>
        <v>not_applicable</v>
      </c>
      <c r="DZ7" s="31"/>
      <c r="EA7" s="31"/>
      <c r="EB7" s="31"/>
      <c r="EC7" s="31"/>
      <c r="EI7" s="1" t="str">
        <f>IF(ISBLANK(Values!E6),"",Values!$B$31)</f>
        <v>6 Monate Garantie nach dem Liefertermin. Im Falle einer Fehlfunktion der Tastatur wird ein neues Gerät oder ein Ersatzteil für die Tastatur des Produkts gesendet. Bei Sortierung des Bestands wird eine volle Rückerstattung gewährt.</v>
      </c>
      <c r="ES7" s="1" t="str">
        <f>IF(ISBLANK(Values!E6),"","Amazon Tellus UPS")</f>
        <v>Amazon Tellus UPS</v>
      </c>
      <c r="EV7" s="3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8">
        <f>IF(ISBLANK(Values!E6),"",IF(Values!J6, Values!$B$4, Values!$B$5))</f>
        <v>47.99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48" x14ac:dyDescent="0.2">
      <c r="A8" s="27" t="str">
        <f>IF(ISBLANK(Values!E7),"",IF(Values!$B$37="EU","computercomponent","computer"))</f>
        <v>computercomponent</v>
      </c>
      <c r="B8" s="38" t="str">
        <f>IF(ISBLANK(Values!E7),"",Values!F7)</f>
        <v>Lenovo E550 Regular - ES</v>
      </c>
      <c r="C8" s="32" t="str">
        <f>IF(ISBLANK(Values!E7),"","TellusRem")</f>
        <v>TellusRem</v>
      </c>
      <c r="D8" s="30">
        <f>IF(ISBLANK(Values!E7),"",Values!E7)</f>
        <v>5714401550044</v>
      </c>
      <c r="E8" s="31" t="str">
        <f>IF(ISBLANK(Values!E7),"","EAN")</f>
        <v>EAN</v>
      </c>
      <c r="F8" s="28" t="str">
        <f>IF(ISBLANK(Values!E7),"",IF(Values!J7, SUBSTITUTE(Values!$B$1, "{language}", Values!H7) &amp; " " &amp;Values!$B$3, SUBSTITUTE(Values!$B$2, "{language}", Values!$H7) &amp; " " &amp;Values!$B$3))</f>
        <v>ersatztastatur Spanisch Nicht Hintergrundbeleuchtung für Lenovo Thinkpad E550 E560 E560c</v>
      </c>
      <c r="G8" s="32" t="str">
        <f>IF(ISBLANK(Values!E7),"","TellusRem")</f>
        <v>TellusRem</v>
      </c>
      <c r="H8" s="27" t="str">
        <f>IF(ISBLANK(Values!E7),"",Values!$B$16)</f>
        <v>computer-keyboards</v>
      </c>
      <c r="I8" s="27" t="str">
        <f>IF(ISBLANK(Values!E7),"","4730574031")</f>
        <v>4730574031</v>
      </c>
      <c r="J8" s="39" t="str">
        <f>IF(ISBLANK(Values!E7),"",Values!F7 )</f>
        <v>Lenovo E550 Regular - ES</v>
      </c>
      <c r="K8" s="28">
        <f>IF(ISBLANK(Values!E7),"",IF(Values!J7, Values!$B$4, Values!$B$5))</f>
        <v>47.99</v>
      </c>
      <c r="L8" s="40" t="str">
        <f>IF(ISBLANK(Values!E7),"",IF($CO8="DEFAULT", Values!$B$18, ""))</f>
        <v/>
      </c>
      <c r="M8" s="28" t="str">
        <f>IF(ISBLANK(Values!E7),"",Values!$M7)</f>
        <v>https://download.lenovo.com/Images/Parts/Lenovo/E550/RG/ES/Lenovo/E550/RG/ES_A.jpg</v>
      </c>
      <c r="N8" s="28" t="str">
        <f>IF(ISBLANK(Values!$F7),"",Values!N7)</f>
        <v>https://download.lenovo.com/Images/Parts/Lenovo/E550/RG/ES/Lenovo/E550/RG/ES_B.jpg</v>
      </c>
      <c r="O8" s="28" t="str">
        <f>IF(ISBLANK(Values!$F7),"",Values!O7)</f>
        <v>https://download.lenovo.com/Images/Parts/Lenovo/E550/RG/ES/Lenovo/E550/RG/ES_details.jpg</v>
      </c>
      <c r="P8" s="28" t="str">
        <f>IF(ISBLANK(Values!$F7),"",Values!P7)</f>
        <v/>
      </c>
      <c r="Q8" s="28" t="str">
        <f>IF(ISBLANK(Values!$F7),"",Values!Q7)</f>
        <v/>
      </c>
      <c r="R8" s="28" t="str">
        <f>IF(ISBLANK(Values!$F7),"",Values!R7)</f>
        <v/>
      </c>
      <c r="S8" s="28" t="str">
        <f>IF(ISBLANK(Values!$F7),"",Values!S7)</f>
        <v/>
      </c>
      <c r="T8" s="28" t="str">
        <f>IF(ISBLANK(Values!$F7),"",Values!T7)</f>
        <v/>
      </c>
      <c r="U8" s="28" t="str">
        <f>IF(ISBLANK(Values!$F7),"",Values!U7)</f>
        <v/>
      </c>
      <c r="W8" s="32" t="str">
        <f>IF(ISBLANK(Values!E7),"","Child")</f>
        <v>Child</v>
      </c>
      <c r="X8" s="32" t="str">
        <f>IF(ISBLANK(Values!E7),"",Values!$B$13)</f>
        <v>Lenovo E550 Parent</v>
      </c>
      <c r="Y8" s="39" t="str">
        <f>IF(ISBLANK(Values!E7),"","Size-Color")</f>
        <v>Size-Color</v>
      </c>
      <c r="Z8" s="32" t="str">
        <f>IF(ISBLANK(Values!E7),"","variation")</f>
        <v>variation</v>
      </c>
      <c r="AA8" s="36" t="str">
        <f>IF(ISBLANK(Values!E7),"",Values!$B$20)</f>
        <v>Update</v>
      </c>
      <c r="AB8" s="1" t="str">
        <f>IF(ISBLANK(Values!E7),"",Values!$B$29)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8" s="41" t="str">
        <f>IF(ISBLANK(Values!E7),"",IF(Values!I7,Values!$B$23,Values!$B$33))</f>
        <v xml:space="preserve">👉 ÜBERARBEITET: GELD SPAREN - Ersatz-Lenovo-Laptop-Tastatur, gleiche Qualität wie OEM-Tastaturen. TellusRem ist seit 2011 der weltweit führende Distributor von Tastaturen. Perfekte Ersatztastatur, einfach auszutauschen und zu installieren. </v>
      </c>
      <c r="AJ8" s="42" t="str">
        <f>IF(ISBLANK(Values!E7),"",Values!$B$24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8" s="1" t="str">
        <f>IF(ISBLANK(Values!E7),"",Values!$B$25)</f>
        <v xml:space="preserve">♻️ ÖFFENTLICHES PRODUKT - Kaufen Sie renoviert, KAUFEN SIE GRÜN! Reduzieren Sie mehr als 80% Kohlendioxid, indem Sie unsere überholten Tastaturen kaufen, im Vergleich zu einer neuen Tastatur! </v>
      </c>
      <c r="AL8" s="1" t="str">
        <f>IF(ISBLANK(Values!E7),"",SUBSTITUTE(SUBSTITUTE(IF(Values!$J7, Values!$B$26, Values!$B$33), "{language}", Values!$H7), "{flag}", INDEX(options!$E$1:$E$20, Values!$V7)))</f>
        <v xml:space="preserve">👉 LAYOUT - 🇪🇸 Spanisch Nicht Hintergrundbeleuchtung </v>
      </c>
      <c r="AM8" s="1" t="str">
        <f>SUBSTITUTE(IF(ISBLANK(Values!E7),"",Values!$B$27),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8" s="28" t="str">
        <f>IF(ISBLANK(Values!E7),"",Values!H7)</f>
        <v>Spanisch</v>
      </c>
      <c r="AV8" s="1" t="str">
        <f>IF(ISBLANK(Values!E7),"",IF(Values!J7,"Backlit", "Non-Backlit"))</f>
        <v>Non-Backlit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36"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8" s="1" t="str">
        <f>IF(ISBLANK(Values!E7),"","No")</f>
        <v>No</v>
      </c>
      <c r="DA8" s="1" t="str">
        <f>IF(ISBLANK(Values!E7),"","No")</f>
        <v>No</v>
      </c>
      <c r="DO8" s="27" t="str">
        <f>IF(ISBLANK(Values!E7),"","Parts")</f>
        <v>Parts</v>
      </c>
      <c r="DP8" s="27" t="str">
        <f>IF(ISBLANK(Values!E7),"",Values!$B$31)</f>
        <v>6 Monate Garantie nach dem Liefertermin. Im Falle einer Fehlfunktion der Tastatur wird ein neues Gerät oder ein Ersatzteil für die Tastatur des Produkts gesendet. Bei Sortierung des Bestands wird eine volle Rückerstattung gewährt.</v>
      </c>
      <c r="DS8" s="31"/>
      <c r="DY8" t="str">
        <f>IF(ISBLANK(Values!$E7), "", "not_applicable")</f>
        <v>not_applicable</v>
      </c>
      <c r="DZ8" s="31"/>
      <c r="EA8" s="31"/>
      <c r="EB8" s="31"/>
      <c r="EC8" s="31"/>
      <c r="EI8" s="1" t="str">
        <f>IF(ISBLANK(Values!E7),"",Values!$B$31)</f>
        <v>6 Monate Garantie nach dem Liefertermin. Im Falle einer Fehlfunktion der Tastatur wird ein neues Gerät oder ein Ersatzteil für die Tastatur des Produkts gesendet. Bei Sortierung des Bestands wird eine volle Rückerstattung gewährt.</v>
      </c>
      <c r="ES8" s="1" t="str">
        <f>IF(ISBLANK(Values!E7),"","Amazon Tellus UPS")</f>
        <v>Amazon Tellus UPS</v>
      </c>
      <c r="EV8" s="3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8">
        <f>IF(ISBLANK(Values!E7),"",IF(Values!J7, Values!$B$4, Values!$B$5))</f>
        <v>47.99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48" x14ac:dyDescent="0.2">
      <c r="A9" s="27" t="str">
        <f>IF(ISBLANK(Values!E8),"",IF(Values!$B$37="EU","computercomponent","computer"))</f>
        <v>computercomponent</v>
      </c>
      <c r="B9" s="38" t="str">
        <f>IF(ISBLANK(Values!E8),"",Values!F8)</f>
        <v>Lenovo E550 Regular - UK</v>
      </c>
      <c r="C9" s="32" t="str">
        <f>IF(ISBLANK(Values!E8),"","TellusRem")</f>
        <v>TellusRem</v>
      </c>
      <c r="D9" s="30">
        <f>IF(ISBLANK(Values!E8),"",Values!E8)</f>
        <v>5714401550051</v>
      </c>
      <c r="E9" s="31" t="str">
        <f>IF(ISBLANK(Values!E8),"","EAN")</f>
        <v>EAN</v>
      </c>
      <c r="F9" s="28" t="str">
        <f>IF(ISBLANK(Values!E8),"",IF(Values!J8, SUBSTITUTE(Values!$B$1, "{language}", Values!H8) &amp; " " &amp;Values!$B$3, SUBSTITUTE(Values!$B$2, "{language}", Values!$H8) &amp; " " &amp;Values!$B$3))</f>
        <v>ersatztastatur UK Nicht Hintergrundbeleuchtung für Lenovo Thinkpad E550 E560 E560c</v>
      </c>
      <c r="G9" s="32" t="str">
        <f>IF(ISBLANK(Values!E8),"","TellusRem")</f>
        <v>TellusRem</v>
      </c>
      <c r="H9" s="27" t="str">
        <f>IF(ISBLANK(Values!E8),"",Values!$B$16)</f>
        <v>computer-keyboards</v>
      </c>
      <c r="I9" s="27" t="str">
        <f>IF(ISBLANK(Values!E8),"","4730574031")</f>
        <v>4730574031</v>
      </c>
      <c r="J9" s="39" t="str">
        <f>IF(ISBLANK(Values!E8),"",Values!F8 )</f>
        <v>Lenovo E550 Regular - UK</v>
      </c>
      <c r="K9" s="28">
        <f>IF(ISBLANK(Values!E8),"",IF(Values!J8, Values!$B$4, Values!$B$5))</f>
        <v>47.99</v>
      </c>
      <c r="L9" s="40" t="str">
        <f>IF(ISBLANK(Values!E8),"",IF($CO9="DEFAULT", Values!$B$18, ""))</f>
        <v/>
      </c>
      <c r="M9" s="28" t="str">
        <f>IF(ISBLANK(Values!E8),"",Values!$M8)</f>
        <v>https://download.lenovo.com/Images/Parts/Lenovo/E550/RG/UK/Lenovo/E550/RG/UK_A.jpg</v>
      </c>
      <c r="N9" s="28" t="str">
        <f>IF(ISBLANK(Values!$F8),"",Values!N8)</f>
        <v>https://download.lenovo.com/Images/Parts/Lenovo/E550/RG/UK/Lenovo/E550/RG/UK_B.jpg</v>
      </c>
      <c r="O9" s="28" t="str">
        <f>IF(ISBLANK(Values!$F8),"",Values!O8)</f>
        <v>https://download.lenovo.com/Images/Parts/Lenovo/E550/RG/UK/Lenovo/E550/RG/UK_details.jpg</v>
      </c>
      <c r="P9" s="28" t="str">
        <f>IF(ISBLANK(Values!$F8),"",Values!P8)</f>
        <v/>
      </c>
      <c r="Q9" s="28" t="str">
        <f>IF(ISBLANK(Values!$F8),"",Values!Q8)</f>
        <v/>
      </c>
      <c r="R9" s="28" t="str">
        <f>IF(ISBLANK(Values!$F8),"",Values!R8)</f>
        <v/>
      </c>
      <c r="S9" s="28" t="str">
        <f>IF(ISBLANK(Values!$F8),"",Values!S8)</f>
        <v/>
      </c>
      <c r="T9" s="28" t="str">
        <f>IF(ISBLANK(Values!$F8),"",Values!T8)</f>
        <v/>
      </c>
      <c r="U9" s="28" t="str">
        <f>IF(ISBLANK(Values!$F8),"",Values!U8)</f>
        <v/>
      </c>
      <c r="W9" s="32" t="str">
        <f>IF(ISBLANK(Values!E8),"","Child")</f>
        <v>Child</v>
      </c>
      <c r="X9" s="32" t="str">
        <f>IF(ISBLANK(Values!E8),"",Values!$B$13)</f>
        <v>Lenovo E550 Parent</v>
      </c>
      <c r="Y9" s="39" t="str">
        <f>IF(ISBLANK(Values!E8),"","Size-Color")</f>
        <v>Size-Color</v>
      </c>
      <c r="Z9" s="32" t="str">
        <f>IF(ISBLANK(Values!E8),"","variation")</f>
        <v>variation</v>
      </c>
      <c r="AA9" s="36" t="str">
        <f>IF(ISBLANK(Values!E8),"",Values!$B$20)</f>
        <v>Update</v>
      </c>
      <c r="AB9" s="1" t="str">
        <f>IF(ISBLANK(Values!E8),"",Values!$B$29)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9" s="41" t="str">
        <f>IF(ISBLANK(Values!E8),"",IF(Values!I8,Values!$B$23,Values!$B$33))</f>
        <v xml:space="preserve">👉 ÜBERARBEITET: GELD SPAREN - Ersatz-Lenovo-Laptop-Tastatur, gleiche Qualität wie OEM-Tastaturen. TellusRem ist seit 2011 der weltweit führende Distributor von Tastaturen. Perfekte Ersatztastatur, einfach auszutauschen und zu installieren. </v>
      </c>
      <c r="AJ9" s="42" t="str">
        <f>IF(ISBLANK(Values!E8),"",Values!$B$24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9" s="1" t="str">
        <f>IF(ISBLANK(Values!E8),"",Values!$B$25)</f>
        <v xml:space="preserve">♻️ ÖFFENTLICHES PRODUKT - Kaufen Sie renoviert, KAUFEN SIE GRÜN! Reduzieren Sie mehr als 80% Kohlendioxid, indem Sie unsere überholten Tastaturen kaufen, im Vergleich zu einer neuen Tastatur! </v>
      </c>
      <c r="AL9" s="1" t="str">
        <f>IF(ISBLANK(Values!E8),"",SUBSTITUTE(SUBSTITUTE(IF(Values!$J8, Values!$B$26, Values!$B$33), "{language}", Values!$H8), "{flag}", INDEX(options!$E$1:$E$20, Values!$V8)))</f>
        <v xml:space="preserve">👉 LAYOUT - 🇬🇧 UK Nicht Hintergrundbeleuchtung </v>
      </c>
      <c r="AM9" s="1" t="str">
        <f>SUBSTITUTE(IF(ISBLANK(Values!E8),"",Values!$B$27),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9" s="28" t="str">
        <f>IF(ISBLANK(Values!E8),"",Values!H8)</f>
        <v>UK</v>
      </c>
      <c r="AV9" s="1" t="str">
        <f>IF(ISBLANK(Values!E8),"",IF(Values!J8,"Backlit", "Non-Backlit"))</f>
        <v>Non-Backlit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36"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9" s="1" t="str">
        <f>IF(ISBLANK(Values!E8),"","No")</f>
        <v>No</v>
      </c>
      <c r="DA9" s="1" t="str">
        <f>IF(ISBLANK(Values!E8),"","No")</f>
        <v>No</v>
      </c>
      <c r="DO9" s="27" t="str">
        <f>IF(ISBLANK(Values!E8),"","Parts")</f>
        <v>Parts</v>
      </c>
      <c r="DP9" s="27" t="str">
        <f>IF(ISBLANK(Values!E8),"",Values!$B$31)</f>
        <v>6 Monate Garantie nach dem Liefertermin. Im Falle einer Fehlfunktion der Tastatur wird ein neues Gerät oder ein Ersatzteil für die Tastatur des Produkts gesendet. Bei Sortierung des Bestands wird eine volle Rückerstattung gewährt.</v>
      </c>
      <c r="DS9" s="31"/>
      <c r="DY9" t="str">
        <f>IF(ISBLANK(Values!$E8), "", "not_applicable")</f>
        <v>not_applicable</v>
      </c>
      <c r="DZ9" s="31"/>
      <c r="EA9" s="31"/>
      <c r="EB9" s="31"/>
      <c r="EC9" s="31"/>
      <c r="EI9" s="1" t="str">
        <f>IF(ISBLANK(Values!E8),"",Values!$B$31)</f>
        <v>6 Monate Garantie nach dem Liefertermin. Im Falle einer Fehlfunktion der Tastatur wird ein neues Gerät oder ein Ersatzteil für die Tastatur des Produkts gesendet. Bei Sortierung des Bestands wird eine volle Rückerstattung gewährt.</v>
      </c>
      <c r="ES9" s="1" t="str">
        <f>IF(ISBLANK(Values!E8),"","Amazon Tellus UPS")</f>
        <v>Amazon Tellus UPS</v>
      </c>
      <c r="EV9" s="3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8">
        <f>IF(ISBLANK(Values!E8),"",IF(Values!J8, Values!$B$4, Values!$B$5))</f>
        <v>47.99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48" x14ac:dyDescent="0.2">
      <c r="A10" s="27" t="str">
        <f>IF(ISBLANK(Values!E9),"",IF(Values!$B$37="EU","computercomponent","computer"))</f>
        <v>computercomponent</v>
      </c>
      <c r="B10" s="38" t="str">
        <f>IF(ISBLANK(Values!E9),"",Values!F9)</f>
        <v>Lenovo E550 Regular - NOR</v>
      </c>
      <c r="C10" s="32" t="str">
        <f>IF(ISBLANK(Values!E9),"","TellusRem")</f>
        <v>TellusRem</v>
      </c>
      <c r="D10" s="30">
        <f>IF(ISBLANK(Values!E9),"",Values!E9)</f>
        <v>5714401550068</v>
      </c>
      <c r="E10" s="31" t="str">
        <f>IF(ISBLANK(Values!E9),"","EAN")</f>
        <v>EAN</v>
      </c>
      <c r="F10" s="28" t="str">
        <f>IF(ISBLANK(Values!E9),"",IF(Values!J9, SUBSTITUTE(Values!$B$1, "{language}", Values!H9) &amp; " " &amp;Values!$B$3, SUBSTITUTE(Values!$B$2, "{language}", Values!$H9) &amp; " " &amp;Values!$B$3))</f>
        <v>ersatztastatur Skandinavisch – Nordisch Nicht Hintergrundbeleuchtung für Lenovo Thinkpad E550 E560 E560c</v>
      </c>
      <c r="G10" s="32" t="str">
        <f>IF(ISBLANK(Values!E9),"","TellusRem")</f>
        <v>TellusRem</v>
      </c>
      <c r="H10" s="27" t="str">
        <f>IF(ISBLANK(Values!E9),"",Values!$B$16)</f>
        <v>computer-keyboards</v>
      </c>
      <c r="I10" s="27" t="str">
        <f>IF(ISBLANK(Values!E9),"","4730574031")</f>
        <v>4730574031</v>
      </c>
      <c r="J10" s="39" t="str">
        <f>IF(ISBLANK(Values!E9),"",Values!F9 )</f>
        <v>Lenovo E550 Regular - NOR</v>
      </c>
      <c r="K10" s="28">
        <f>IF(ISBLANK(Values!E9),"",IF(Values!J9, Values!$B$4, Values!$B$5))</f>
        <v>47.99</v>
      </c>
      <c r="L10" s="40" t="str">
        <f>IF(ISBLANK(Values!E9),"",IF($CO10="DEFAULT", Values!$B$18, ""))</f>
        <v/>
      </c>
      <c r="M10" s="28" t="str">
        <f>IF(ISBLANK(Values!E9),"",Values!$M9)</f>
        <v>https://download.lenovo.com/Images/Parts/Lenovo/E550/RGNOR/Lenovo/E550/RGNOR_A.jpg</v>
      </c>
      <c r="N10" s="28" t="str">
        <f>IF(ISBLANK(Values!$F9),"",Values!N9)</f>
        <v>https://download.lenovo.com/Images/Parts/Lenovo/E550/RGNOR/Lenovo/E550/RGNOR_B.jpg</v>
      </c>
      <c r="O10" s="28" t="str">
        <f>IF(ISBLANK(Values!$F9),"",Values!O9)</f>
        <v>https://download.lenovo.com/Images/Parts/Lenovo/E550/RGNOR/Lenovo/E550/RGNOR_details.jpg</v>
      </c>
      <c r="P10" s="28" t="str">
        <f>IF(ISBLANK(Values!$F9),"",Values!P9)</f>
        <v/>
      </c>
      <c r="Q10" s="28" t="str">
        <f>IF(ISBLANK(Values!$F9),"",Values!Q9)</f>
        <v/>
      </c>
      <c r="R10" s="28" t="str">
        <f>IF(ISBLANK(Values!$F9),"",Values!R9)</f>
        <v/>
      </c>
      <c r="S10" s="28" t="str">
        <f>IF(ISBLANK(Values!$F9),"",Values!S9)</f>
        <v/>
      </c>
      <c r="T10" s="28" t="str">
        <f>IF(ISBLANK(Values!$F9),"",Values!T9)</f>
        <v/>
      </c>
      <c r="U10" s="28" t="str">
        <f>IF(ISBLANK(Values!$F9),"",Values!U9)</f>
        <v/>
      </c>
      <c r="W10" s="32" t="str">
        <f>IF(ISBLANK(Values!E9),"","Child")</f>
        <v>Child</v>
      </c>
      <c r="X10" s="32" t="str">
        <f>IF(ISBLANK(Values!E9),"",Values!$B$13)</f>
        <v>Lenovo E550 Parent</v>
      </c>
      <c r="Y10" s="39" t="str">
        <f>IF(ISBLANK(Values!E9),"","Size-Color")</f>
        <v>Size-Color</v>
      </c>
      <c r="Z10" s="32" t="str">
        <f>IF(ISBLANK(Values!E9),"","variation")</f>
        <v>variation</v>
      </c>
      <c r="AA10" s="36" t="str">
        <f>IF(ISBLANK(Values!E9),"",Values!$B$20)</f>
        <v>Update</v>
      </c>
      <c r="AB10" s="1" t="str">
        <f>IF(ISBLANK(Values!E9),"",Values!$B$29)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0" s="41" t="str">
        <f>IF(ISBLANK(Values!E9),"",IF(Values!I9,Values!$B$23,Values!$B$33))</f>
        <v xml:space="preserve">👉 ÜBERARBEITET: GELD SPAREN - Ersatz-Lenovo-Laptop-Tastatur, gleiche Qualität wie OEM-Tastaturen. TellusRem ist seit 2011 der weltweit führende Distributor von Tastaturen. Perfekte Ersatztastatur, einfach auszutauschen und zu installieren. </v>
      </c>
      <c r="AJ10" s="42" t="str">
        <f>IF(ISBLANK(Values!E9),"",Values!$B$24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10" s="1" t="str">
        <f>IF(ISBLANK(Values!E9),"",Values!$B$25)</f>
        <v xml:space="preserve">♻️ ÖFFENTLICHES PRODUKT - Kaufen Sie renoviert, KAUFEN SIE GRÜN! Reduzieren Sie mehr als 80% Kohlendioxid, indem Sie unsere überholten Tastaturen kaufen, im Vergleich zu einer neuen Tastatur! </v>
      </c>
      <c r="AL10" s="1" t="str">
        <f>IF(ISBLANK(Values!E9),"",SUBSTITUTE(SUBSTITUTE(IF(Values!$J9, Values!$B$26, Values!$B$33), "{language}", Values!$H9), "{flag}", INDEX(options!$E$1:$E$20, Values!$V9)))</f>
        <v xml:space="preserve">👉 LAYOUT - 🇸🇪 🇫🇮 🇳🇴 🇩🇰 Skandinavisch – Nordisch Nicht Hintergrundbeleuchtung </v>
      </c>
      <c r="AM10" s="1" t="str">
        <f>SUBSTITUTE(IF(ISBLANK(Values!E9),"",Values!$B$27),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10" s="28" t="str">
        <f>IF(ISBLANK(Values!E9),"",Values!H9)</f>
        <v>Skandinavisch – Nordisch</v>
      </c>
      <c r="AV10" s="1" t="str">
        <f>IF(ISBLANK(Values!E9),"",IF(Values!J9,"Backlit", "Non-Backlit"))</f>
        <v>Non-Backlit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36"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0" s="1" t="str">
        <f>IF(ISBLANK(Values!E9),"","No")</f>
        <v>No</v>
      </c>
      <c r="DA10" s="1" t="str">
        <f>IF(ISBLANK(Values!E9),"","No")</f>
        <v>No</v>
      </c>
      <c r="DO10" s="27" t="str">
        <f>IF(ISBLANK(Values!E9),"","Parts")</f>
        <v>Parts</v>
      </c>
      <c r="DP10" s="27" t="str">
        <f>IF(ISBLANK(Values!E9),"",Values!$B$31)</f>
        <v>6 Monate Garantie nach dem Liefertermin. Im Falle einer Fehlfunktion der Tastatur wird ein neues Gerät oder ein Ersatzteil für die Tastatur des Produkts gesendet. Bei Sortierung des Bestands wird eine volle Rückerstattung gewährt.</v>
      </c>
      <c r="DS10" s="31"/>
      <c r="DY10" t="str">
        <f>IF(ISBLANK(Values!$E9), "", "not_applicable")</f>
        <v>not_applicable</v>
      </c>
      <c r="DZ10" s="31"/>
      <c r="EA10" s="31"/>
      <c r="EB10" s="31"/>
      <c r="EC10" s="31"/>
      <c r="EI10" s="1" t="str">
        <f>IF(ISBLANK(Values!E9),"",Values!$B$31)</f>
        <v>6 Monate Garantie nach dem Liefertermin. Im Falle einer Fehlfunktion der Tastatur wird ein neues Gerät oder ein Ersatzteil für die Tastatur des Produkts gesendet. Bei Sortierung des Bestands wird eine volle Rückerstattung gewährt.</v>
      </c>
      <c r="ES10" s="1" t="str">
        <f>IF(ISBLANK(Values!E9),"","Amazon Tellus UPS")</f>
        <v>Amazon Tellus UPS</v>
      </c>
      <c r="EV10" s="3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8">
        <f>IF(ISBLANK(Values!E9),"",IF(Values!J9, Values!$B$4, Values!$B$5))</f>
        <v>47.99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row>
    <row r="11" spans="1:192" ht="48" x14ac:dyDescent="0.2">
      <c r="A11" s="27" t="str">
        <f>IF(ISBLANK(Values!E10),"",IF(Values!$B$37="EU","computercomponent","computer"))</f>
        <v>computercomponent</v>
      </c>
      <c r="B11" s="38" t="str">
        <f>IF(ISBLANK(Values!E10),"",Values!F10)</f>
        <v>Lenovo E550 Regular - BE</v>
      </c>
      <c r="C11" s="32" t="str">
        <f>IF(ISBLANK(Values!E10),"","TellusRem")</f>
        <v>TellusRem</v>
      </c>
      <c r="D11" s="30">
        <f>IF(ISBLANK(Values!E10),"",Values!E10)</f>
        <v>5714401550075</v>
      </c>
      <c r="E11" s="31" t="str">
        <f>IF(ISBLANK(Values!E10),"","EAN")</f>
        <v>EAN</v>
      </c>
      <c r="F11" s="28" t="str">
        <f>IF(ISBLANK(Values!E10),"",IF(Values!J10, SUBSTITUTE(Values!$B$1, "{language}", Values!H10) &amp; " " &amp;Values!$B$3, SUBSTITUTE(Values!$B$2, "{language}", Values!$H10) &amp; " " &amp;Values!$B$3))</f>
        <v>ersatztastatur Belgier Nicht Hintergrundbeleuchtung für Lenovo Thinkpad E550 E560 E560c</v>
      </c>
      <c r="G11" s="32" t="str">
        <f>IF(ISBLANK(Values!E10),"","TellusRem")</f>
        <v>TellusRem</v>
      </c>
      <c r="H11" s="27" t="str">
        <f>IF(ISBLANK(Values!E10),"",Values!$B$16)</f>
        <v>computer-keyboards</v>
      </c>
      <c r="I11" s="27" t="str">
        <f>IF(ISBLANK(Values!E10),"","4730574031")</f>
        <v>4730574031</v>
      </c>
      <c r="J11" s="39" t="str">
        <f>IF(ISBLANK(Values!E10),"",Values!F10 )</f>
        <v>Lenovo E550 Regular - BE</v>
      </c>
      <c r="K11" s="28">
        <f>IF(ISBLANK(Values!E10),"",IF(Values!J10, Values!$B$4, Values!$B$5))</f>
        <v>47.99</v>
      </c>
      <c r="L11" s="40">
        <f>IF(ISBLANK(Values!E10),"",IF($CO11="DEFAULT", Values!$B$18, ""))</f>
        <v>5</v>
      </c>
      <c r="M11" s="28" t="str">
        <f>IF(ISBLANK(Values!E10),"",Values!$M10)</f>
        <v>https://download.lenovo.com/Images/Parts/00HN006/00HN006_A.jpg</v>
      </c>
      <c r="N11" s="28" t="str">
        <f>IF(ISBLANK(Values!$F10),"",Values!N10)</f>
        <v>https://download.lenovo.com/Images/Parts/00HN006/00HN006_B.jpg</v>
      </c>
      <c r="O11" s="28" t="str">
        <f>IF(ISBLANK(Values!$F10),"",Values!O10)</f>
        <v>https://download.lenovo.com/Images/Parts/00HN006/00HN006_details.jpg</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Child</v>
      </c>
      <c r="X11" s="32" t="str">
        <f>IF(ISBLANK(Values!E10),"",Values!$B$13)</f>
        <v>Lenovo E550 Parent</v>
      </c>
      <c r="Y11" s="39" t="str">
        <f>IF(ISBLANK(Values!E10),"","Size-Color")</f>
        <v>Size-Color</v>
      </c>
      <c r="Z11" s="32" t="str">
        <f>IF(ISBLANK(Values!E10),"","variation")</f>
        <v>variation</v>
      </c>
      <c r="AA11" s="36" t="str">
        <f>IF(ISBLANK(Values!E10),"",Values!$B$20)</f>
        <v>Update</v>
      </c>
      <c r="AB11" s="1" t="str">
        <f>IF(ISBLANK(Values!E10),"",Values!$B$29)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1" s="41" t="str">
        <f>IF(ISBLANK(Values!E10),"",IF(Values!I10,Values!$B$23,Values!$B$33))</f>
        <v xml:space="preserve">👉 ÜBERARBEITET: GELD SPAREN - Ersatz-Lenovo-Laptop-Tastatur, gleiche Qualität wie OEM-Tastaturen. TellusRem ist seit 2011 der weltweit führende Distributor von Tastaturen. Perfekte Ersatztastatur, einfach auszutauschen und zu installieren. </v>
      </c>
      <c r="AJ11" s="42" t="str">
        <f>IF(ISBLANK(Values!E10),"",Values!$B$24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11" s="1" t="str">
        <f>IF(ISBLANK(Values!E10),"",Values!$B$25)</f>
        <v xml:space="preserve">♻️ ÖFFENTLICHES PRODUKT - Kaufen Sie renoviert, KAUFEN SIE GRÜN! Reduzieren Sie mehr als 80% Kohlendioxid, indem Sie unsere überholten Tastaturen kaufen, im Vergleich zu einer neuen Tastatur! </v>
      </c>
      <c r="AL11" s="1" t="str">
        <f>IF(ISBLANK(Values!E10),"",SUBSTITUTE(SUBSTITUTE(IF(Values!$J10, Values!$B$26, Values!$B$33), "{language}", Values!$H10), "{flag}", INDEX(options!$E$1:$E$20, Values!$V10)))</f>
        <v xml:space="preserve">👉 LAYOUT - 🇧🇪 Belgier Nicht Hintergrundbeleuchtung </v>
      </c>
      <c r="AM11" s="1" t="str">
        <f>SUBSTITUTE(IF(ISBLANK(Values!E10),"",Values!$B$27),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11" s="28" t="str">
        <f>IF(ISBLANK(Values!E10),"",Values!H10)</f>
        <v>Belgier</v>
      </c>
      <c r="AV11" s="1" t="str">
        <f>IF(ISBLANK(Values!E10),"",IF(Values!J10,"Backlit", "Non-Backlit"))</f>
        <v>Non-Backlit</v>
      </c>
      <c r="AW11"/>
      <c r="BE11" s="27" t="str">
        <f>IF(ISBLANK(Values!E10),"","Professional Audience")</f>
        <v>Professional Audience</v>
      </c>
      <c r="BF11" s="27" t="str">
        <f>IF(ISBLANK(Values!E10),"","Consumer Audience")</f>
        <v>Consumer Audience</v>
      </c>
      <c r="BG11" s="27" t="str">
        <f>IF(ISBLANK(Values!E10),"","Adults")</f>
        <v>Adults</v>
      </c>
      <c r="BH11" s="27" t="str">
        <f>IF(ISBLANK(Values!E10),"","People")</f>
        <v>People</v>
      </c>
      <c r="CG11" s="1">
        <f>IF(ISBLANK(Values!E10),"",Values!$B$11)</f>
        <v>150</v>
      </c>
      <c r="CH11" s="1" t="str">
        <f>IF(ISBLANK(Values!E10),"","GR")</f>
        <v>GR</v>
      </c>
      <c r="CI11" s="1" t="str">
        <f>IF(ISBLANK(Values!E10),"",Values!$B$7)</f>
        <v>32</v>
      </c>
      <c r="CJ11" s="1" t="str">
        <f>IF(ISBLANK(Values!E10),"",Values!$B$8)</f>
        <v>18</v>
      </c>
      <c r="CK11" s="1" t="str">
        <f>IF(ISBLANK(Values!E10),"",Values!$B$9)</f>
        <v>2</v>
      </c>
      <c r="CL11" s="1" t="str">
        <f>IF(ISBLANK(Values!E10),"","CM")</f>
        <v>CM</v>
      </c>
      <c r="CO11" s="1" t="str">
        <f>IF(ISBLANK(Values!E10), "", IF(AND(Values!$B$37=options!$G$2, Values!$C10), "AMAZON_NA", IF(AND(Values!$B$37=options!$G$1, Values!$D10), "AMAZON_EU", "DEFAULT")))</f>
        <v>DEFAULT</v>
      </c>
      <c r="CP11" s="1" t="str">
        <f>IF(ISBLANK(Values!E10),"",Values!$B$7)</f>
        <v>32</v>
      </c>
      <c r="CQ11" s="1" t="str">
        <f>IF(ISBLANK(Values!E10),"",Values!$B$8)</f>
        <v>18</v>
      </c>
      <c r="CR11" s="1" t="str">
        <f>IF(ISBLANK(Values!E10),"",Values!$B$9)</f>
        <v>2</v>
      </c>
      <c r="CS11" s="1">
        <f>IF(ISBLANK(Values!E10),"",Values!$B$11)</f>
        <v>150</v>
      </c>
      <c r="CT11" s="1" t="str">
        <f>IF(ISBLANK(Values!E10),"","GR")</f>
        <v>GR</v>
      </c>
      <c r="CU11" s="1" t="str">
        <f>IF(ISBLANK(Values!E10),"","CM")</f>
        <v>CM</v>
      </c>
      <c r="CV11" s="36"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1" s="1" t="str">
        <f>IF(ISBLANK(Values!E10),"","No")</f>
        <v>No</v>
      </c>
      <c r="DA11" s="1" t="str">
        <f>IF(ISBLANK(Values!E10),"","No")</f>
        <v>No</v>
      </c>
      <c r="DO11" s="27" t="str">
        <f>IF(ISBLANK(Values!E10),"","Parts")</f>
        <v>Parts</v>
      </c>
      <c r="DP11" s="27" t="str">
        <f>IF(ISBLANK(Values!E10),"",Values!$B$31)</f>
        <v>6 Monate Garantie nach dem Liefertermin. Im Falle einer Fehlfunktion der Tastatur wird ein neues Gerät oder ein Ersatzteil für die Tastatur des Produkts gesendet. Bei Sortierung des Bestands wird eine volle Rückerstattung gewährt.</v>
      </c>
      <c r="DS11" s="31"/>
      <c r="DY11" t="str">
        <f>IF(ISBLANK(Values!$E10), "", "not_applicable")</f>
        <v>not_applicable</v>
      </c>
      <c r="DZ11" s="31"/>
      <c r="EA11" s="31"/>
      <c r="EB11" s="31"/>
      <c r="EC11" s="31"/>
      <c r="EI11" s="1" t="str">
        <f>IF(ISBLANK(Values!E10),"",Values!$B$31)</f>
        <v>6 Monate Garantie nach dem Liefertermin. Im Falle einer Fehlfunktion der Tastatur wird ein neues Gerät oder ein Ersatzteil für die Tastatur des Produkts gesendet. Bei Sortierung des Bestands wird eine volle Rückerstattung gewährt.</v>
      </c>
      <c r="ES11" s="1" t="str">
        <f>IF(ISBLANK(Values!E10),"","Amazon Tellus UPS")</f>
        <v>Amazon Tellus UPS</v>
      </c>
      <c r="EV11" s="31" t="str">
        <f>IF(ISBLANK(Values!E10),"","New")</f>
        <v>New</v>
      </c>
      <c r="FE11" s="1">
        <f>IF(ISBLANK(Values!E10),"",IF(CO11&lt;&gt;"DEFAULT", "", 3))</f>
        <v>3</v>
      </c>
      <c r="FH11" s="1" t="str">
        <f>IF(ISBLANK(Values!E10),"","FALSE")</f>
        <v>FALSE</v>
      </c>
      <c r="FI11" s="1" t="str">
        <f>IF(ISBLANK(Values!E10),"","FALSE")</f>
        <v>FALSE</v>
      </c>
      <c r="FJ11" s="1" t="str">
        <f>IF(ISBLANK(Values!E10),"","FALSE")</f>
        <v>FALSE</v>
      </c>
      <c r="FM11" s="1" t="str">
        <f>IF(ISBLANK(Values!E10),"","1")</f>
        <v>1</v>
      </c>
      <c r="FO11" s="28">
        <f>IF(ISBLANK(Values!E10),"",IF(Values!J10, Values!$B$4, Values!$B$5))</f>
        <v>47.99</v>
      </c>
      <c r="FP11" s="1" t="str">
        <f>IF(ISBLANK(Values!E10),"","Percent")</f>
        <v>Percent</v>
      </c>
      <c r="FQ11" s="1" t="str">
        <f>IF(ISBLANK(Values!E10),"","2")</f>
        <v>2</v>
      </c>
      <c r="FR11" s="1" t="str">
        <f>IF(ISBLANK(Values!E10),"","3")</f>
        <v>3</v>
      </c>
      <c r="FS11" s="1" t="str">
        <f>IF(ISBLANK(Values!E10),"","5")</f>
        <v>5</v>
      </c>
      <c r="FT11" s="1" t="str">
        <f>IF(ISBLANK(Values!E10),"","6")</f>
        <v>6</v>
      </c>
      <c r="FU11" s="1" t="str">
        <f>IF(ISBLANK(Values!E10),"","10")</f>
        <v>10</v>
      </c>
      <c r="FV11" s="1" t="str">
        <f>IF(ISBLANK(Values!E10),"","10")</f>
        <v>10</v>
      </c>
    </row>
    <row r="12" spans="1:192" ht="48" x14ac:dyDescent="0.2">
      <c r="A12" s="27" t="str">
        <f>IF(ISBLANK(Values!E11),"",IF(Values!$B$37="EU","computercomponent","computer"))</f>
        <v>computercomponent</v>
      </c>
      <c r="B12" s="38" t="str">
        <f>IF(ISBLANK(Values!E11),"",Values!F11)</f>
        <v>Lenovo E550 Regular - BG</v>
      </c>
      <c r="C12" s="32" t="str">
        <f>IF(ISBLANK(Values!E11),"","TellusRem")</f>
        <v>TellusRem</v>
      </c>
      <c r="D12" s="30">
        <f>IF(ISBLANK(Values!E11),"",Values!E11)</f>
        <v>5714401550082</v>
      </c>
      <c r="E12" s="31" t="str">
        <f>IF(ISBLANK(Values!E11),"","EAN")</f>
        <v>EAN</v>
      </c>
      <c r="F12" s="28" t="str">
        <f>IF(ISBLANK(Values!E11),"",IF(Values!J11, SUBSTITUTE(Values!$B$1, "{language}", Values!H11) &amp; " " &amp;Values!$B$3, SUBSTITUTE(Values!$B$2, "{language}", Values!$H11) &amp; " " &amp;Values!$B$3))</f>
        <v>ersatztastatur Bulgarisch Nicht Hintergrundbeleuchtung für Lenovo Thinkpad E550 E560 E560c</v>
      </c>
      <c r="G12" s="32" t="str">
        <f>IF(ISBLANK(Values!E11),"","TellusRem")</f>
        <v>TellusRem</v>
      </c>
      <c r="H12" s="27" t="str">
        <f>IF(ISBLANK(Values!E11),"",Values!$B$16)</f>
        <v>computer-keyboards</v>
      </c>
      <c r="I12" s="27" t="str">
        <f>IF(ISBLANK(Values!E11),"","4730574031")</f>
        <v>4730574031</v>
      </c>
      <c r="J12" s="39" t="str">
        <f>IF(ISBLANK(Values!E11),"",Values!F11 )</f>
        <v>Lenovo E550 Regular - BG</v>
      </c>
      <c r="K12" s="28">
        <f>IF(ISBLANK(Values!E11),"",IF(Values!J11, Values!$B$4, Values!$B$5))</f>
        <v>47.99</v>
      </c>
      <c r="L12" s="40">
        <f>IF(ISBLANK(Values!E11),"",IF($CO12="DEFAULT", Values!$B$18, ""))</f>
        <v>5</v>
      </c>
      <c r="M12" s="28" t="str">
        <f>IF(ISBLANK(Values!E11),"",Values!$M11)</f>
        <v>https://download.lenovo.com/Images/Parts/00HN007/00HN007_A.jpg</v>
      </c>
      <c r="N12" s="28" t="str">
        <f>IF(ISBLANK(Values!$F11),"",Values!N11)</f>
        <v>https://download.lenovo.com/Images/Parts/00HN007/00HN007_B.jpg</v>
      </c>
      <c r="O12" s="28" t="str">
        <f>IF(ISBLANK(Values!$F11),"",Values!O11)</f>
        <v>https://download.lenovo.com/Images/Parts/00HN007/00HN007_details.jpg</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Child</v>
      </c>
      <c r="X12" s="32" t="str">
        <f>IF(ISBLANK(Values!E11),"",Values!$B$13)</f>
        <v>Lenovo E550 Parent</v>
      </c>
      <c r="Y12" s="39" t="str">
        <f>IF(ISBLANK(Values!E11),"","Size-Color")</f>
        <v>Size-Color</v>
      </c>
      <c r="Z12" s="32" t="str">
        <f>IF(ISBLANK(Values!E11),"","variation")</f>
        <v>variation</v>
      </c>
      <c r="AA12" s="36" t="str">
        <f>IF(ISBLANK(Values!E11),"",Values!$B$20)</f>
        <v>Update</v>
      </c>
      <c r="AB12" s="1" t="str">
        <f>IF(ISBLANK(Values!E11),"",Values!$B$29)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2" s="41" t="str">
        <f>IF(ISBLANK(Values!E11),"",IF(Values!I11,Values!$B$23,Values!$B$33))</f>
        <v xml:space="preserve">👉 ÜBERARBEITET: GELD SPAREN - Ersatz-Lenovo-Laptop-Tastatur, gleiche Qualität wie OEM-Tastaturen. TellusRem ist seit 2011 der weltweit führende Distributor von Tastaturen. Perfekte Ersatztastatur, einfach auszutauschen und zu installieren. </v>
      </c>
      <c r="AJ12" s="42" t="str">
        <f>IF(ISBLANK(Values!E11),"",Values!$B$24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12" s="1" t="str">
        <f>IF(ISBLANK(Values!E11),"",Values!$B$25)</f>
        <v xml:space="preserve">♻️ ÖFFENTLICHES PRODUKT - Kaufen Sie renoviert, KAUFEN SIE GRÜN! Reduzieren Sie mehr als 80% Kohlendioxid, indem Sie unsere überholten Tastaturen kaufen, im Vergleich zu einer neuen Tastatur! </v>
      </c>
      <c r="AL12" s="1" t="str">
        <f>IF(ISBLANK(Values!E11),"",SUBSTITUTE(SUBSTITUTE(IF(Values!$J11, Values!$B$26, Values!$B$33), "{language}", Values!$H11), "{flag}", INDEX(options!$E$1:$E$20, Values!$V11)))</f>
        <v xml:space="preserve">👉 LAYOUT - 🇧🇬 Bulgarisch Nicht Hintergrundbeleuchtung </v>
      </c>
      <c r="AM12" s="1" t="str">
        <f>SUBSTITUTE(IF(ISBLANK(Values!E11),"",Values!$B$27),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12" s="28" t="str">
        <f>IF(ISBLANK(Values!E11),"",Values!H11)</f>
        <v>Bulgarisch</v>
      </c>
      <c r="AV12" s="1" t="str">
        <f>IF(ISBLANK(Values!E11),"",IF(Values!J11,"Backlit", "Non-Backlit"))</f>
        <v>Non-Backlit</v>
      </c>
      <c r="AW12"/>
      <c r="BE12" s="27" t="str">
        <f>IF(ISBLANK(Values!E11),"","Professional Audience")</f>
        <v>Professional Audience</v>
      </c>
      <c r="BF12" s="27" t="str">
        <f>IF(ISBLANK(Values!E11),"","Consumer Audience")</f>
        <v>Consumer Audience</v>
      </c>
      <c r="BG12" s="27" t="str">
        <f>IF(ISBLANK(Values!E11),"","Adults")</f>
        <v>Adults</v>
      </c>
      <c r="BH12" s="27" t="str">
        <f>IF(ISBLANK(Values!E11),"","People")</f>
        <v>People</v>
      </c>
      <c r="CG12" s="1">
        <f>IF(ISBLANK(Values!E11),"",Values!$B$11)</f>
        <v>150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DEFAULT</v>
      </c>
      <c r="CP12" s="1" t="str">
        <f>IF(ISBLANK(Values!E11),"",Values!$B$7)</f>
        <v>32</v>
      </c>
      <c r="CQ12" s="1" t="str">
        <f>IF(ISBLANK(Values!E11),"",Values!$B$8)</f>
        <v>18</v>
      </c>
      <c r="CR12" s="1" t="str">
        <f>IF(ISBLANK(Values!E11),"",Values!$B$9)</f>
        <v>2</v>
      </c>
      <c r="CS12" s="1">
        <f>IF(ISBLANK(Values!E11),"",Values!$B$11)</f>
        <v>150</v>
      </c>
      <c r="CT12" s="1" t="str">
        <f>IF(ISBLANK(Values!E11),"","GR")</f>
        <v>GR</v>
      </c>
      <c r="CU12" s="1" t="str">
        <f>IF(ISBLANK(Values!E11),"","CM")</f>
        <v>CM</v>
      </c>
      <c r="CV12" s="36"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2" s="1" t="str">
        <f>IF(ISBLANK(Values!E11),"","No")</f>
        <v>No</v>
      </c>
      <c r="DA12" s="1" t="str">
        <f>IF(ISBLANK(Values!E11),"","No")</f>
        <v>No</v>
      </c>
      <c r="DO12" s="27" t="str">
        <f>IF(ISBLANK(Values!E11),"","Parts")</f>
        <v>Parts</v>
      </c>
      <c r="DP12" s="27" t="str">
        <f>IF(ISBLANK(Values!E11),"",Values!$B$31)</f>
        <v>6 Monate Garantie nach dem Liefertermin. Im Falle einer Fehlfunktion der Tastatur wird ein neues Gerät oder ein Ersatzteil für die Tastatur des Produkts gesendet. Bei Sortierung des Bestands wird eine volle Rückerstattung gewährt.</v>
      </c>
      <c r="DS12" s="31"/>
      <c r="DY12" t="str">
        <f>IF(ISBLANK(Values!$E11), "", "not_applicable")</f>
        <v>not_applicable</v>
      </c>
      <c r="DZ12" s="31"/>
      <c r="EA12" s="31"/>
      <c r="EB12" s="31"/>
      <c r="EC12" s="31"/>
      <c r="EI12" s="1" t="str">
        <f>IF(ISBLANK(Values!E11),"",Values!$B$31)</f>
        <v>6 Monate Garantie nach dem Liefertermin. Im Falle einer Fehlfunktion der Tastatur wird ein neues Gerät oder ein Ersatzteil für die Tastatur des Produkts gesendet. Bei Sortierung des Bestands wird eine volle Rückerstattung gewährt.</v>
      </c>
      <c r="ES12" s="1" t="str">
        <f>IF(ISBLANK(Values!E11),"","Amazon Tellus UPS")</f>
        <v>Amazon Tellus UPS</v>
      </c>
      <c r="EV12" s="31" t="str">
        <f>IF(ISBLANK(Values!E11),"","New")</f>
        <v>New</v>
      </c>
      <c r="FE12" s="1">
        <f>IF(ISBLANK(Values!E11),"",IF(CO12&lt;&gt;"DEFAULT", "", 3))</f>
        <v>3</v>
      </c>
      <c r="FH12" s="1" t="str">
        <f>IF(ISBLANK(Values!E11),"","FALSE")</f>
        <v>FALSE</v>
      </c>
      <c r="FI12" s="1" t="str">
        <f>IF(ISBLANK(Values!E11),"","FALSE")</f>
        <v>FALSE</v>
      </c>
      <c r="FJ12" s="1" t="str">
        <f>IF(ISBLANK(Values!E11),"","FALSE")</f>
        <v>FALSE</v>
      </c>
      <c r="FM12" s="1" t="str">
        <f>IF(ISBLANK(Values!E11),"","1")</f>
        <v>1</v>
      </c>
      <c r="FO12" s="28">
        <f>IF(ISBLANK(Values!E11),"",IF(Values!J11, Values!$B$4, Values!$B$5))</f>
        <v>47.99</v>
      </c>
      <c r="FP12" s="1" t="str">
        <f>IF(ISBLANK(Values!E11),"","Percent")</f>
        <v>Percent</v>
      </c>
      <c r="FQ12" s="1" t="str">
        <f>IF(ISBLANK(Values!E11),"","2")</f>
        <v>2</v>
      </c>
      <c r="FR12" s="1" t="str">
        <f>IF(ISBLANK(Values!E11),"","3")</f>
        <v>3</v>
      </c>
      <c r="FS12" s="1" t="str">
        <f>IF(ISBLANK(Values!E11),"","5")</f>
        <v>5</v>
      </c>
      <c r="FT12" s="1" t="str">
        <f>IF(ISBLANK(Values!E11),"","6")</f>
        <v>6</v>
      </c>
      <c r="FU12" s="1" t="str">
        <f>IF(ISBLANK(Values!E11),"","10")</f>
        <v>10</v>
      </c>
      <c r="FV12" s="1" t="str">
        <f>IF(ISBLANK(Values!E11),"","10")</f>
        <v>10</v>
      </c>
    </row>
    <row r="13" spans="1:192" ht="48" x14ac:dyDescent="0.2">
      <c r="A13" s="27" t="str">
        <f>IF(ISBLANK(Values!E12),"",IF(Values!$B$37="EU","computercomponent","computer"))</f>
        <v>computercomponent</v>
      </c>
      <c r="B13" s="38" t="str">
        <f>IF(ISBLANK(Values!E12),"",Values!F12)</f>
        <v>Lenovo E550 Regular - CZ</v>
      </c>
      <c r="C13" s="32" t="str">
        <f>IF(ISBLANK(Values!E12),"","TellusRem")</f>
        <v>TellusRem</v>
      </c>
      <c r="D13" s="30">
        <f>IF(ISBLANK(Values!E12),"",Values!E12)</f>
        <v>5714401550099</v>
      </c>
      <c r="E13" s="31" t="str">
        <f>IF(ISBLANK(Values!E12),"","EAN")</f>
        <v>EAN</v>
      </c>
      <c r="F13" s="28" t="str">
        <f>IF(ISBLANK(Values!E12),"",IF(Values!J12, SUBSTITUTE(Values!$B$1, "{language}", Values!H12) &amp; " " &amp;Values!$B$3, SUBSTITUTE(Values!$B$2, "{language}", Values!$H12) &amp; " " &amp;Values!$B$3))</f>
        <v>ersatztastatur Tschechisch Nicht Hintergrundbeleuchtung für Lenovo Thinkpad E550 E560 E560c</v>
      </c>
      <c r="G13" s="32" t="str">
        <f>IF(ISBLANK(Values!E12),"","TellusRem")</f>
        <v>TellusRem</v>
      </c>
      <c r="H13" s="27" t="str">
        <f>IF(ISBLANK(Values!E12),"",Values!$B$16)</f>
        <v>computer-keyboards</v>
      </c>
      <c r="I13" s="27" t="str">
        <f>IF(ISBLANK(Values!E12),"","4730574031")</f>
        <v>4730574031</v>
      </c>
      <c r="J13" s="39" t="str">
        <f>IF(ISBLANK(Values!E12),"",Values!F12 )</f>
        <v>Lenovo E550 Regular - CZ</v>
      </c>
      <c r="K13" s="28">
        <f>IF(ISBLANK(Values!E12),"",IF(Values!J12, Values!$B$4, Values!$B$5))</f>
        <v>47.99</v>
      </c>
      <c r="L13" s="40">
        <f>IF(ISBLANK(Values!E12),"",IF($CO13="DEFAULT", Values!$B$18, ""))</f>
        <v>5</v>
      </c>
      <c r="M13" s="28" t="str">
        <f>IF(ISBLANK(Values!E12),"",Values!$M12)</f>
        <v>https://download.lenovo.com/Images/Parts/00HN008/00HN008_A.jpg</v>
      </c>
      <c r="N13" s="28" t="str">
        <f>IF(ISBLANK(Values!$F12),"",Values!N12)</f>
        <v>https://download.lenovo.com/Images/Parts/00HN008/00HN008_B.jpg</v>
      </c>
      <c r="O13" s="28" t="str">
        <f>IF(ISBLANK(Values!$F12),"",Values!O12)</f>
        <v>https://download.lenovo.com/Images/Parts/00HN008/00HN008_details.jpg</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Child</v>
      </c>
      <c r="X13" s="32" t="str">
        <f>IF(ISBLANK(Values!E12),"",Values!$B$13)</f>
        <v>Lenovo E550 Parent</v>
      </c>
      <c r="Y13" s="39" t="str">
        <f>IF(ISBLANK(Values!E12),"","Size-Color")</f>
        <v>Size-Color</v>
      </c>
      <c r="Z13" s="32" t="str">
        <f>IF(ISBLANK(Values!E12),"","variation")</f>
        <v>variation</v>
      </c>
      <c r="AA13" s="36" t="str">
        <f>IF(ISBLANK(Values!E12),"",Values!$B$20)</f>
        <v>Update</v>
      </c>
      <c r="AB13" s="1" t="str">
        <f>IF(ISBLANK(Values!E12),"",Values!$B$29)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3" s="41" t="str">
        <f>IF(ISBLANK(Values!E12),"",IF(Values!I12,Values!$B$23,Values!$B$33))</f>
        <v xml:space="preserve">👉 ÜBERARBEITET: GELD SPAREN - Ersatz-Lenovo-Laptop-Tastatur, gleiche Qualität wie OEM-Tastaturen. TellusRem ist seit 2011 der weltweit führende Distributor von Tastaturen. Perfekte Ersatztastatur, einfach auszutauschen und zu installieren. </v>
      </c>
      <c r="AJ13" s="42" t="str">
        <f>IF(ISBLANK(Values!E12),"",Values!$B$24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13" s="1" t="str">
        <f>IF(ISBLANK(Values!E12),"",Values!$B$25)</f>
        <v xml:space="preserve">♻️ ÖFFENTLICHES PRODUKT - Kaufen Sie renoviert, KAUFEN SIE GRÜN! Reduzieren Sie mehr als 80% Kohlendioxid, indem Sie unsere überholten Tastaturen kaufen, im Vergleich zu einer neuen Tastatur! </v>
      </c>
      <c r="AL13" s="1" t="str">
        <f>IF(ISBLANK(Values!E12),"",SUBSTITUTE(SUBSTITUTE(IF(Values!$J12, Values!$B$26, Values!$B$33), "{language}", Values!$H12), "{flag}", INDEX(options!$E$1:$E$20, Values!$V12)))</f>
        <v xml:space="preserve">👉 LAYOUT - 🇨🇿 Tschechisch Nicht Hintergrundbeleuchtung </v>
      </c>
      <c r="AM13" s="1" t="str">
        <f>SUBSTITUTE(IF(ISBLANK(Values!E12),"",Values!$B$27),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13" s="28" t="str">
        <f>IF(ISBLANK(Values!E12),"",Values!H12)</f>
        <v>Tschechisch</v>
      </c>
      <c r="AV13" s="1" t="str">
        <f>IF(ISBLANK(Values!E12),"",IF(Values!J12,"Backlit", "Non-Backlit"))</f>
        <v>Non-Backlit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36"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3" s="1" t="str">
        <f>IF(ISBLANK(Values!E12),"","No")</f>
        <v>No</v>
      </c>
      <c r="DA13" s="1" t="str">
        <f>IF(ISBLANK(Values!E12),"","No")</f>
        <v>No</v>
      </c>
      <c r="DO13" s="27" t="str">
        <f>IF(ISBLANK(Values!E12),"","Parts")</f>
        <v>Parts</v>
      </c>
      <c r="DP13" s="27" t="str">
        <f>IF(ISBLANK(Values!E12),"",Values!$B$31)</f>
        <v>6 Monate Garantie nach dem Liefertermin. Im Falle einer Fehlfunktion der Tastatur wird ein neues Gerät oder ein Ersatzteil für die Tastatur des Produkts gesendet. Bei Sortierung des Bestands wird eine volle Rückerstattung gewährt.</v>
      </c>
      <c r="DS13" s="31"/>
      <c r="DY13" t="str">
        <f>IF(ISBLANK(Values!$E12), "", "not_applicable")</f>
        <v>not_applicable</v>
      </c>
      <c r="DZ13" s="31"/>
      <c r="EA13" s="31"/>
      <c r="EB13" s="31"/>
      <c r="EC13" s="31"/>
      <c r="EI13" s="1" t="str">
        <f>IF(ISBLANK(Values!E12),"",Values!$B$31)</f>
        <v>6 Monate Garantie nach dem Liefertermin. Im Falle einer Fehlfunktion der Tastatur wird ein neues Gerät oder ein Ersatzteil für die Tastatur des Produkts gesendet. Bei Sortierung des Bestands wird eine volle Rückerstattung gewährt.</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8">
        <f>IF(ISBLANK(Values!E12),"",IF(Values!J12, Values!$B$4, Values!$B$5))</f>
        <v>47.99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row>
    <row r="14" spans="1:192" ht="48" x14ac:dyDescent="0.2">
      <c r="A14" s="27" t="str">
        <f>IF(ISBLANK(Values!E13),"",IF(Values!$B$37="EU","computercomponent","computer"))</f>
        <v>computercomponent</v>
      </c>
      <c r="B14" s="38" t="str">
        <f>IF(ISBLANK(Values!E13),"",Values!F13)</f>
        <v>Lenovo E550 Regular - DK</v>
      </c>
      <c r="C14" s="32" t="str">
        <f>IF(ISBLANK(Values!E13),"","TellusRem")</f>
        <v>TellusRem</v>
      </c>
      <c r="D14" s="30">
        <f>IF(ISBLANK(Values!E13),"",Values!E13)</f>
        <v>5714401550105</v>
      </c>
      <c r="E14" s="31" t="str">
        <f>IF(ISBLANK(Values!E13),"","EAN")</f>
        <v>EAN</v>
      </c>
      <c r="F14" s="28" t="str">
        <f>IF(ISBLANK(Values!E13),"",IF(Values!J13, SUBSTITUTE(Values!$B$1, "{language}", Values!H13) &amp; " " &amp;Values!$B$3, SUBSTITUTE(Values!$B$2, "{language}", Values!$H13) &amp; " " &amp;Values!$B$3))</f>
        <v>ersatztastatur Dänisch Nicht Hintergrundbeleuchtung für Lenovo Thinkpad E550 E560 E560c</v>
      </c>
      <c r="G14" s="32" t="str">
        <f>IF(ISBLANK(Values!E13),"","TellusRem")</f>
        <v>TellusRem</v>
      </c>
      <c r="H14" s="27" t="str">
        <f>IF(ISBLANK(Values!E13),"",Values!$B$16)</f>
        <v>computer-keyboards</v>
      </c>
      <c r="I14" s="27" t="str">
        <f>IF(ISBLANK(Values!E13),"","4730574031")</f>
        <v>4730574031</v>
      </c>
      <c r="J14" s="39" t="str">
        <f>IF(ISBLANK(Values!E13),"",Values!F13 )</f>
        <v>Lenovo E550 Regular - DK</v>
      </c>
      <c r="K14" s="28">
        <f>IF(ISBLANK(Values!E13),"",IF(Values!J13, Values!$B$4, Values!$B$5))</f>
        <v>47.99</v>
      </c>
      <c r="L14" s="40">
        <f>IF(ISBLANK(Values!E13),"",IF($CO14="DEFAULT", Values!$B$18, ""))</f>
        <v>5</v>
      </c>
      <c r="M14" s="28" t="str">
        <f>IF(ISBLANK(Values!E13),"",Values!$M13)</f>
        <v>https://download.lenovo.com/Images/Parts/00HN009/00HN009_A.jpg</v>
      </c>
      <c r="N14" s="28" t="str">
        <f>IF(ISBLANK(Values!$F13),"",Values!N13)</f>
        <v>https://download.lenovo.com/Images/Parts/00HN009/00HN009_B.jpg</v>
      </c>
      <c r="O14" s="28" t="str">
        <f>IF(ISBLANK(Values!$F13),"",Values!O13)</f>
        <v>https://download.lenovo.com/Images/Parts/00HN009/00HN009_details.jpg</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Child</v>
      </c>
      <c r="X14" s="32" t="str">
        <f>IF(ISBLANK(Values!E13),"",Values!$B$13)</f>
        <v>Lenovo E550 Parent</v>
      </c>
      <c r="Y14" s="39" t="str">
        <f>IF(ISBLANK(Values!E13),"","Size-Color")</f>
        <v>Size-Color</v>
      </c>
      <c r="Z14" s="32" t="str">
        <f>IF(ISBLANK(Values!E13),"","variation")</f>
        <v>variation</v>
      </c>
      <c r="AA14" s="36" t="str">
        <f>IF(ISBLANK(Values!E13),"",Values!$B$20)</f>
        <v>Update</v>
      </c>
      <c r="AB14" s="1" t="str">
        <f>IF(ISBLANK(Values!E13),"",Values!$B$29)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4" s="41" t="str">
        <f>IF(ISBLANK(Values!E13),"",IF(Values!I13,Values!$B$23,Values!$B$33))</f>
        <v xml:space="preserve">👉 ÜBERARBEITET: GELD SPAREN - Ersatz-Lenovo-Laptop-Tastatur, gleiche Qualität wie OEM-Tastaturen. TellusRem ist seit 2011 der weltweit führende Distributor von Tastaturen. Perfekte Ersatztastatur, einfach auszutauschen und zu installieren. </v>
      </c>
      <c r="AJ14" s="42" t="str">
        <f>IF(ISBLANK(Values!E13),"",Values!$B$24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14" s="1" t="str">
        <f>IF(ISBLANK(Values!E13),"",Values!$B$25)</f>
        <v xml:space="preserve">♻️ ÖFFENTLICHES PRODUKT - Kaufen Sie renoviert, KAUFEN SIE GRÜN! Reduzieren Sie mehr als 80% Kohlendioxid, indem Sie unsere überholten Tastaturen kaufen, im Vergleich zu einer neuen Tastatur! </v>
      </c>
      <c r="AL14" s="1" t="str">
        <f>IF(ISBLANK(Values!E13),"",SUBSTITUTE(SUBSTITUTE(IF(Values!$J13, Values!$B$26, Values!$B$33), "{language}", Values!$H13), "{flag}", INDEX(options!$E$1:$E$20, Values!$V13)))</f>
        <v xml:space="preserve">👉 LAYOUT - 🇩🇰 Dänisch Nicht Hintergrundbeleuchtung </v>
      </c>
      <c r="AM14" s="1" t="str">
        <f>SUBSTITUTE(IF(ISBLANK(Values!E13),"",Values!$B$27),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14" s="28" t="str">
        <f>IF(ISBLANK(Values!E13),"",Values!H13)</f>
        <v>Dänisch</v>
      </c>
      <c r="AV14" s="1" t="str">
        <f>IF(ISBLANK(Values!E13),"",IF(Values!J13,"Backlit", "Non-Backlit"))</f>
        <v>Non-Backlit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36"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4" s="1" t="str">
        <f>IF(ISBLANK(Values!E13),"","No")</f>
        <v>No</v>
      </c>
      <c r="DA14" s="1" t="str">
        <f>IF(ISBLANK(Values!E13),"","No")</f>
        <v>No</v>
      </c>
      <c r="DO14" s="27" t="str">
        <f>IF(ISBLANK(Values!E13),"","Parts")</f>
        <v>Parts</v>
      </c>
      <c r="DP14" s="27" t="str">
        <f>IF(ISBLANK(Values!E13),"",Values!$B$31)</f>
        <v>6 Monate Garantie nach dem Liefertermin. Im Falle einer Fehlfunktion der Tastatur wird ein neues Gerät oder ein Ersatzteil für die Tastatur des Produkts gesendet. Bei Sortierung des Bestands wird eine volle Rückerstattung gewährt.</v>
      </c>
      <c r="DS14" s="31"/>
      <c r="DY14" t="str">
        <f>IF(ISBLANK(Values!$E13), "", "not_applicable")</f>
        <v>not_applicable</v>
      </c>
      <c r="DZ14" s="31"/>
      <c r="EA14" s="31"/>
      <c r="EB14" s="31"/>
      <c r="EC14" s="31"/>
      <c r="EI14" s="1" t="str">
        <f>IF(ISBLANK(Values!E13),"",Values!$B$31)</f>
        <v>6 Monate Garantie nach dem Liefertermin. Im Falle einer Fehlfunktion der Tastatur wird ein neues Gerät oder ein Ersatzteil für die Tastatur des Produkts gesendet. Bei Sortierung des Bestands wird eine volle Rückerstattung gewährt.</v>
      </c>
      <c r="ES14" s="1" t="str">
        <f>IF(ISBLANK(Values!E13),"","Amazon Tellus UPS")</f>
        <v>Amazon Tellus UPS</v>
      </c>
      <c r="EV14" s="3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8">
        <f>IF(ISBLANK(Values!E13),"",IF(Values!J13, Values!$B$4, Values!$B$5))</f>
        <v>47.99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row>
    <row r="15" spans="1:192" ht="48" x14ac:dyDescent="0.2">
      <c r="A15" s="27" t="str">
        <f>IF(ISBLANK(Values!E14),"",IF(Values!$B$37="EU","computercomponent","computer"))</f>
        <v>computercomponent</v>
      </c>
      <c r="B15" s="38" t="str">
        <f>IF(ISBLANK(Values!E14),"",Values!F14)</f>
        <v>Lenovo E550 Regular - HU</v>
      </c>
      <c r="C15" s="32" t="str">
        <f>IF(ISBLANK(Values!E14),"","TellusRem")</f>
        <v>TellusRem</v>
      </c>
      <c r="D15" s="30">
        <f>IF(ISBLANK(Values!E14),"",Values!E14)</f>
        <v>5714401550112</v>
      </c>
      <c r="E15" s="31" t="str">
        <f>IF(ISBLANK(Values!E14),"","EAN")</f>
        <v>EAN</v>
      </c>
      <c r="F15" s="28" t="str">
        <f>IF(ISBLANK(Values!E14),"",IF(Values!J14, SUBSTITUTE(Values!$B$1, "{language}", Values!H14) &amp; " " &amp;Values!$B$3, SUBSTITUTE(Values!$B$2, "{language}", Values!$H14) &amp; " " &amp;Values!$B$3))</f>
        <v>ersatztastatur Hungarisch Nicht Hintergrundbeleuchtung für Lenovo Thinkpad E550 E560 E560c</v>
      </c>
      <c r="G15" s="32" t="str">
        <f>IF(ISBLANK(Values!E14),"","TellusRem")</f>
        <v>TellusRem</v>
      </c>
      <c r="H15" s="27" t="str">
        <f>IF(ISBLANK(Values!E14),"",Values!$B$16)</f>
        <v>computer-keyboards</v>
      </c>
      <c r="I15" s="27" t="str">
        <f>IF(ISBLANK(Values!E14),"","4730574031")</f>
        <v>4730574031</v>
      </c>
      <c r="J15" s="39" t="str">
        <f>IF(ISBLANK(Values!E14),"",Values!F14 )</f>
        <v>Lenovo E550 Regular - HU</v>
      </c>
      <c r="K15" s="28">
        <f>IF(ISBLANK(Values!E14),"",IF(Values!J14, Values!$B$4, Values!$B$5))</f>
        <v>47.99</v>
      </c>
      <c r="L15" s="40">
        <f>IF(ISBLANK(Values!E14),"",IF($CO15="DEFAULT", Values!$B$18, ""))</f>
        <v>5</v>
      </c>
      <c r="M15" s="28" t="str">
        <f>IF(ISBLANK(Values!E14),"",Values!$M14)</f>
        <v>https://download.lenovo.com/Images/Parts/00HN015/00HN015_A.jpg</v>
      </c>
      <c r="N15" s="28" t="str">
        <f>IF(ISBLANK(Values!$F14),"",Values!N14)</f>
        <v>https://download.lenovo.com/Images/Parts/00HN015/00HN015_B.jpg</v>
      </c>
      <c r="O15" s="28" t="str">
        <f>IF(ISBLANK(Values!$F14),"",Values!O14)</f>
        <v>https://download.lenovo.com/Images/Parts/00HN015/00HN015_details.jpg</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Child</v>
      </c>
      <c r="X15" s="32" t="str">
        <f>IF(ISBLANK(Values!E14),"",Values!$B$13)</f>
        <v>Lenovo E550 Parent</v>
      </c>
      <c r="Y15" s="39" t="str">
        <f>IF(ISBLANK(Values!E14),"","Size-Color")</f>
        <v>Size-Color</v>
      </c>
      <c r="Z15" s="32" t="str">
        <f>IF(ISBLANK(Values!E14),"","variation")</f>
        <v>variation</v>
      </c>
      <c r="AA15" s="36" t="str">
        <f>IF(ISBLANK(Values!E14),"",Values!$B$20)</f>
        <v>Update</v>
      </c>
      <c r="AB15" s="1" t="str">
        <f>IF(ISBLANK(Values!E14),"",Values!$B$29)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5" s="41" t="str">
        <f>IF(ISBLANK(Values!E14),"",IF(Values!I14,Values!$B$23,Values!$B$33))</f>
        <v xml:space="preserve">👉 ÜBERARBEITET: GELD SPAREN - Ersatz-Lenovo-Laptop-Tastatur, gleiche Qualität wie OEM-Tastaturen. TellusRem ist seit 2011 der weltweit führende Distributor von Tastaturen. Perfekte Ersatztastatur, einfach auszutauschen und zu installieren. </v>
      </c>
      <c r="AJ15" s="42" t="str">
        <f>IF(ISBLANK(Values!E14),"",Values!$B$24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15" s="1" t="str">
        <f>IF(ISBLANK(Values!E14),"",Values!$B$25)</f>
        <v xml:space="preserve">♻️ ÖFFENTLICHES PRODUKT - Kaufen Sie renoviert, KAUFEN SIE GRÜN! Reduzieren Sie mehr als 80% Kohlendioxid, indem Sie unsere überholten Tastaturen kaufen, im Vergleich zu einer neuen Tastatur! </v>
      </c>
      <c r="AL15" s="1" t="str">
        <f>IF(ISBLANK(Values!E14),"",SUBSTITUTE(SUBSTITUTE(IF(Values!$J14, Values!$B$26, Values!$B$33), "{language}", Values!$H14), "{flag}", INDEX(options!$E$1:$E$20, Values!$V14)))</f>
        <v xml:space="preserve">👉 LAYOUT - 🇭🇺 Hungarisch Nicht Hintergrundbeleuchtung </v>
      </c>
      <c r="AM15" s="1" t="str">
        <f>SUBSTITUTE(IF(ISBLANK(Values!E14),"",Values!$B$27),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15" s="28" t="str">
        <f>IF(ISBLANK(Values!E14),"",Values!H14)</f>
        <v>Hungarisch</v>
      </c>
      <c r="AV15" s="1" t="str">
        <f>IF(ISBLANK(Values!E14),"",IF(Values!J14,"Backlit", "Non-Backlit"))</f>
        <v>Non-Backlit</v>
      </c>
      <c r="AW15"/>
      <c r="BE15" s="27" t="str">
        <f>IF(ISBLANK(Values!E14),"","Professional Audience")</f>
        <v>Professional Audience</v>
      </c>
      <c r="BF15" s="27" t="str">
        <f>IF(ISBLANK(Values!E14),"","Consumer Audience")</f>
        <v>Consumer Audience</v>
      </c>
      <c r="BG15" s="27" t="str">
        <f>IF(ISBLANK(Values!E14),"","Adults")</f>
        <v>Adults</v>
      </c>
      <c r="BH15" s="27" t="str">
        <f>IF(ISBLANK(Values!E14),"","People")</f>
        <v>People</v>
      </c>
      <c r="CG15" s="1">
        <f>IF(ISBLANK(Values!E14),"",Values!$B$11)</f>
        <v>150</v>
      </c>
      <c r="CH15" s="1" t="str">
        <f>IF(ISBLANK(Values!E14),"","GR")</f>
        <v>GR</v>
      </c>
      <c r="CI15" s="1" t="str">
        <f>IF(ISBLANK(Values!E14),"",Values!$B$7)</f>
        <v>32</v>
      </c>
      <c r="CJ15" s="1" t="str">
        <f>IF(ISBLANK(Values!E14),"",Values!$B$8)</f>
        <v>18</v>
      </c>
      <c r="CK15" s="1" t="str">
        <f>IF(ISBLANK(Values!E14),"",Values!$B$9)</f>
        <v>2</v>
      </c>
      <c r="CL15" s="1" t="str">
        <f>IF(ISBLANK(Values!E14),"","CM")</f>
        <v>CM</v>
      </c>
      <c r="CO15" s="1" t="str">
        <f>IF(ISBLANK(Values!E14), "", IF(AND(Values!$B$37=options!$G$2, Values!$C14), "AMAZON_NA", IF(AND(Values!$B$37=options!$G$1, Values!$D14), "AMAZON_EU", "DEFAULT")))</f>
        <v>DEFAULT</v>
      </c>
      <c r="CP15" s="1" t="str">
        <f>IF(ISBLANK(Values!E14),"",Values!$B$7)</f>
        <v>32</v>
      </c>
      <c r="CQ15" s="1" t="str">
        <f>IF(ISBLANK(Values!E14),"",Values!$B$8)</f>
        <v>18</v>
      </c>
      <c r="CR15" s="1" t="str">
        <f>IF(ISBLANK(Values!E14),"",Values!$B$9)</f>
        <v>2</v>
      </c>
      <c r="CS15" s="1">
        <f>IF(ISBLANK(Values!E14),"",Values!$B$11)</f>
        <v>150</v>
      </c>
      <c r="CT15" s="1" t="str">
        <f>IF(ISBLANK(Values!E14),"","GR")</f>
        <v>GR</v>
      </c>
      <c r="CU15" s="1" t="str">
        <f>IF(ISBLANK(Values!E14),"","CM")</f>
        <v>CM</v>
      </c>
      <c r="CV15" s="36"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5" s="1" t="str">
        <f>IF(ISBLANK(Values!E14),"","No")</f>
        <v>No</v>
      </c>
      <c r="DA15" s="1" t="str">
        <f>IF(ISBLANK(Values!E14),"","No")</f>
        <v>No</v>
      </c>
      <c r="DO15" s="27" t="str">
        <f>IF(ISBLANK(Values!E14),"","Parts")</f>
        <v>Parts</v>
      </c>
      <c r="DP15" s="27" t="str">
        <f>IF(ISBLANK(Values!E14),"",Values!$B$31)</f>
        <v>6 Monate Garantie nach dem Liefertermin. Im Falle einer Fehlfunktion der Tastatur wird ein neues Gerät oder ein Ersatzteil für die Tastatur des Produkts gesendet. Bei Sortierung des Bestands wird eine volle Rückerstattung gewährt.</v>
      </c>
      <c r="DS15" s="31"/>
      <c r="DY15" t="str">
        <f>IF(ISBLANK(Values!$E14), "", "not_applicable")</f>
        <v>not_applicable</v>
      </c>
      <c r="DZ15" s="31"/>
      <c r="EA15" s="31"/>
      <c r="EB15" s="31"/>
      <c r="EC15" s="31"/>
      <c r="EI15" s="1" t="str">
        <f>IF(ISBLANK(Values!E14),"",Values!$B$31)</f>
        <v>6 Monate Garantie nach dem Liefertermin. Im Falle einer Fehlfunktion der Tastatur wird ein neues Gerät oder ein Ersatzteil für die Tastatur des Produkts gesendet. Bei Sortierung des Bestands wird eine volle Rückerstattung gewährt.</v>
      </c>
      <c r="ES15" s="1" t="str">
        <f>IF(ISBLANK(Values!E14),"","Amazon Tellus UPS")</f>
        <v>Amazon Tellus UPS</v>
      </c>
      <c r="EV15" s="31" t="str">
        <f>IF(ISBLANK(Values!E14),"","New")</f>
        <v>New</v>
      </c>
      <c r="FE15" s="1">
        <f>IF(ISBLANK(Values!E14),"",IF(CO15&lt;&gt;"DEFAULT", "", 3))</f>
        <v>3</v>
      </c>
      <c r="FH15" s="1" t="str">
        <f>IF(ISBLANK(Values!E14),"","FALSE")</f>
        <v>FALSE</v>
      </c>
      <c r="FI15" s="1" t="str">
        <f>IF(ISBLANK(Values!E14),"","FALSE")</f>
        <v>FALSE</v>
      </c>
      <c r="FJ15" s="1" t="str">
        <f>IF(ISBLANK(Values!E14),"","FALSE")</f>
        <v>FALSE</v>
      </c>
      <c r="FM15" s="1" t="str">
        <f>IF(ISBLANK(Values!E14),"","1")</f>
        <v>1</v>
      </c>
      <c r="FO15" s="28">
        <f>IF(ISBLANK(Values!E14),"",IF(Values!J14, Values!$B$4, Values!$B$5))</f>
        <v>47.99</v>
      </c>
      <c r="FP15" s="1" t="str">
        <f>IF(ISBLANK(Values!E14),"","Percent")</f>
        <v>Percent</v>
      </c>
      <c r="FQ15" s="1" t="str">
        <f>IF(ISBLANK(Values!E14),"","2")</f>
        <v>2</v>
      </c>
      <c r="FR15" s="1" t="str">
        <f>IF(ISBLANK(Values!E14),"","3")</f>
        <v>3</v>
      </c>
      <c r="FS15" s="1" t="str">
        <f>IF(ISBLANK(Values!E14),"","5")</f>
        <v>5</v>
      </c>
      <c r="FT15" s="1" t="str">
        <f>IF(ISBLANK(Values!E14),"","6")</f>
        <v>6</v>
      </c>
      <c r="FU15" s="1" t="str">
        <f>IF(ISBLANK(Values!E14),"","10")</f>
        <v>10</v>
      </c>
      <c r="FV15" s="1" t="str">
        <f>IF(ISBLANK(Values!E14),"","10")</f>
        <v>10</v>
      </c>
    </row>
    <row r="16" spans="1:192" ht="48" x14ac:dyDescent="0.2">
      <c r="A16" s="27" t="str">
        <f>IF(ISBLANK(Values!E15),"",IF(Values!$B$37="EU","computercomponent","computer"))</f>
        <v>computercomponent</v>
      </c>
      <c r="B16" s="38" t="str">
        <f>IF(ISBLANK(Values!E15),"",Values!F15)</f>
        <v>Lenovo E550 Regular - NL</v>
      </c>
      <c r="C16" s="32" t="str">
        <f>IF(ISBLANK(Values!E15),"","TellusRem")</f>
        <v>TellusRem</v>
      </c>
      <c r="D16" s="30">
        <f>IF(ISBLANK(Values!E15),"",Values!E15)</f>
        <v>5714401550129</v>
      </c>
      <c r="E16" s="31" t="str">
        <f>IF(ISBLANK(Values!E15),"","EAN")</f>
        <v>EAN</v>
      </c>
      <c r="F16" s="28" t="str">
        <f>IF(ISBLANK(Values!E15),"",IF(Values!J15, SUBSTITUTE(Values!$B$1, "{language}", Values!H15) &amp; " " &amp;Values!$B$3, SUBSTITUTE(Values!$B$2, "{language}", Values!$H15) &amp; " " &amp;Values!$B$3))</f>
        <v>ersatztastatur Niederländisch Nicht Hintergrundbeleuchtung für Lenovo Thinkpad E550 E560 E560c</v>
      </c>
      <c r="G16" s="32" t="str">
        <f>IF(ISBLANK(Values!E15),"","TellusRem")</f>
        <v>TellusRem</v>
      </c>
      <c r="H16" s="27" t="str">
        <f>IF(ISBLANK(Values!E15),"",Values!$B$16)</f>
        <v>computer-keyboards</v>
      </c>
      <c r="I16" s="27" t="str">
        <f>IF(ISBLANK(Values!E15),"","4730574031")</f>
        <v>4730574031</v>
      </c>
      <c r="J16" s="39" t="str">
        <f>IF(ISBLANK(Values!E15),"",Values!F15 )</f>
        <v>Lenovo E550 Regular - NL</v>
      </c>
      <c r="K16" s="28">
        <f>IF(ISBLANK(Values!E15),"",IF(Values!J15, Values!$B$4, Values!$B$5))</f>
        <v>47.99</v>
      </c>
      <c r="L16" s="40">
        <f>IF(ISBLANK(Values!E15),"",IF($CO16="DEFAULT", Values!$B$18, ""))</f>
        <v>5</v>
      </c>
      <c r="M16" s="28" t="str">
        <f>IF(ISBLANK(Values!E15),"",Values!$M15)</f>
        <v>https://download.lenovo.com/Images/Parts/00HN093/00HN093_A.jpg</v>
      </c>
      <c r="N16" s="28" t="str">
        <f>IF(ISBLANK(Values!$F15),"",Values!N15)</f>
        <v>https://download.lenovo.com/Images/Parts/00HN093/00HN093_B.jpg</v>
      </c>
      <c r="O16" s="28" t="str">
        <f>IF(ISBLANK(Values!$F15),"",Values!O15)</f>
        <v>https://download.lenovo.com/Images/Parts/00HN093/00HN093_details.jpg</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Child</v>
      </c>
      <c r="X16" s="32" t="str">
        <f>IF(ISBLANK(Values!E15),"",Values!$B$13)</f>
        <v>Lenovo E550 Parent</v>
      </c>
      <c r="Y16" s="39" t="str">
        <f>IF(ISBLANK(Values!E15),"","Size-Color")</f>
        <v>Size-Color</v>
      </c>
      <c r="Z16" s="32" t="str">
        <f>IF(ISBLANK(Values!E15),"","variation")</f>
        <v>variation</v>
      </c>
      <c r="AA16" s="36" t="str">
        <f>IF(ISBLANK(Values!E15),"",Values!$B$20)</f>
        <v>Update</v>
      </c>
      <c r="AB16" s="1" t="str">
        <f>IF(ISBLANK(Values!E15),"",Values!$B$29)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6" s="41" t="str">
        <f>IF(ISBLANK(Values!E15),"",IF(Values!I15,Values!$B$23,Values!$B$33))</f>
        <v xml:space="preserve">👉 ÜBERARBEITET: GELD SPAREN - Ersatz-Lenovo-Laptop-Tastatur, gleiche Qualität wie OEM-Tastaturen. TellusRem ist seit 2011 der weltweit führende Distributor von Tastaturen. Perfekte Ersatztastatur, einfach auszutauschen und zu installieren. </v>
      </c>
      <c r="AJ16" s="42" t="str">
        <f>IF(ISBLANK(Values!E15),"",Values!$B$24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16" s="1" t="str">
        <f>IF(ISBLANK(Values!E15),"",Values!$B$25)</f>
        <v xml:space="preserve">♻️ ÖFFENTLICHES PRODUKT - Kaufen Sie renoviert, KAUFEN SIE GRÜN! Reduzieren Sie mehr als 80% Kohlendioxid, indem Sie unsere überholten Tastaturen kaufen, im Vergleich zu einer neuen Tastatur! </v>
      </c>
      <c r="AL16" s="1" t="str">
        <f>IF(ISBLANK(Values!E15),"",SUBSTITUTE(SUBSTITUTE(IF(Values!$J15, Values!$B$26, Values!$B$33), "{language}", Values!$H15), "{flag}", INDEX(options!$E$1:$E$20, Values!$V15)))</f>
        <v xml:space="preserve">👉 LAYOUT - 🇳🇱 Niederländisch Nicht Hintergrundbeleuchtung </v>
      </c>
      <c r="AM16" s="1" t="str">
        <f>SUBSTITUTE(IF(ISBLANK(Values!E15),"",Values!$B$27),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16" s="28" t="str">
        <f>IF(ISBLANK(Values!E15),"",Values!H15)</f>
        <v>Niederländisch</v>
      </c>
      <c r="AV16" s="1" t="str">
        <f>IF(ISBLANK(Values!E15),"",IF(Values!J15,"Backlit", "Non-Backlit"))</f>
        <v>Non-Backlit</v>
      </c>
      <c r="AW16"/>
      <c r="BE16" s="27" t="str">
        <f>IF(ISBLANK(Values!E15),"","Professional Audience")</f>
        <v>Professional Audience</v>
      </c>
      <c r="BF16" s="27" t="str">
        <f>IF(ISBLANK(Values!E15),"","Consumer Audience")</f>
        <v>Consumer Audience</v>
      </c>
      <c r="BG16" s="27" t="str">
        <f>IF(ISBLANK(Values!E15),"","Adults")</f>
        <v>Adults</v>
      </c>
      <c r="BH16" s="27" t="str">
        <f>IF(ISBLANK(Values!E15),"","People")</f>
        <v>People</v>
      </c>
      <c r="CG16" s="1">
        <f>IF(ISBLANK(Values!E15),"",Values!$B$11)</f>
        <v>150</v>
      </c>
      <c r="CH16" s="1" t="str">
        <f>IF(ISBLANK(Values!E15),"","GR")</f>
        <v>GR</v>
      </c>
      <c r="CI16" s="1" t="str">
        <f>IF(ISBLANK(Values!E15),"",Values!$B$7)</f>
        <v>32</v>
      </c>
      <c r="CJ16" s="1" t="str">
        <f>IF(ISBLANK(Values!E15),"",Values!$B$8)</f>
        <v>18</v>
      </c>
      <c r="CK16" s="1" t="str">
        <f>IF(ISBLANK(Values!E15),"",Values!$B$9)</f>
        <v>2</v>
      </c>
      <c r="CL16" s="1" t="str">
        <f>IF(ISBLANK(Values!E15),"","CM")</f>
        <v>CM</v>
      </c>
      <c r="CO16" s="1" t="str">
        <f>IF(ISBLANK(Values!E15), "", IF(AND(Values!$B$37=options!$G$2, Values!$C15), "AMAZON_NA", IF(AND(Values!$B$37=options!$G$1, Values!$D15), "AMAZON_EU", "DEFAULT")))</f>
        <v>DEFAULT</v>
      </c>
      <c r="CP16" s="1" t="str">
        <f>IF(ISBLANK(Values!E15),"",Values!$B$7)</f>
        <v>32</v>
      </c>
      <c r="CQ16" s="1" t="str">
        <f>IF(ISBLANK(Values!E15),"",Values!$B$8)</f>
        <v>18</v>
      </c>
      <c r="CR16" s="1" t="str">
        <f>IF(ISBLANK(Values!E15),"",Values!$B$9)</f>
        <v>2</v>
      </c>
      <c r="CS16" s="1">
        <f>IF(ISBLANK(Values!E15),"",Values!$B$11)</f>
        <v>150</v>
      </c>
      <c r="CT16" s="1" t="str">
        <f>IF(ISBLANK(Values!E15),"","GR")</f>
        <v>GR</v>
      </c>
      <c r="CU16" s="1" t="str">
        <f>IF(ISBLANK(Values!E15),"","CM")</f>
        <v>CM</v>
      </c>
      <c r="CV16" s="36"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6" s="1" t="str">
        <f>IF(ISBLANK(Values!E15),"","No")</f>
        <v>No</v>
      </c>
      <c r="DA16" s="1" t="str">
        <f>IF(ISBLANK(Values!E15),"","No")</f>
        <v>No</v>
      </c>
      <c r="DO16" s="27" t="str">
        <f>IF(ISBLANK(Values!E15),"","Parts")</f>
        <v>Parts</v>
      </c>
      <c r="DP16" s="27" t="str">
        <f>IF(ISBLANK(Values!E15),"",Values!$B$31)</f>
        <v>6 Monate Garantie nach dem Liefertermin. Im Falle einer Fehlfunktion der Tastatur wird ein neues Gerät oder ein Ersatzteil für die Tastatur des Produkts gesendet. Bei Sortierung des Bestands wird eine volle Rückerstattung gewährt.</v>
      </c>
      <c r="DS16" s="31"/>
      <c r="DY16" t="str">
        <f>IF(ISBLANK(Values!$E15), "", "not_applicable")</f>
        <v>not_applicable</v>
      </c>
      <c r="DZ16" s="31"/>
      <c r="EA16" s="31"/>
      <c r="EB16" s="31"/>
      <c r="EC16" s="31"/>
      <c r="EI16" s="1" t="str">
        <f>IF(ISBLANK(Values!E15),"",Values!$B$31)</f>
        <v>6 Monate Garantie nach dem Liefertermin. Im Falle einer Fehlfunktion der Tastatur wird ein neues Gerät oder ein Ersatzteil für die Tastatur des Produkts gesendet. Bei Sortierung des Bestands wird eine volle Rückerstattung gewährt.</v>
      </c>
      <c r="ES16" s="1" t="str">
        <f>IF(ISBLANK(Values!E15),"","Amazon Tellus UPS")</f>
        <v>Amazon Tellus UPS</v>
      </c>
      <c r="EV16" s="31" t="str">
        <f>IF(ISBLANK(Values!E15),"","New")</f>
        <v>New</v>
      </c>
      <c r="FE16" s="1">
        <f>IF(ISBLANK(Values!E15),"",IF(CO16&lt;&gt;"DEFAULT", "", 3))</f>
        <v>3</v>
      </c>
      <c r="FH16" s="1" t="str">
        <f>IF(ISBLANK(Values!E15),"","FALSE")</f>
        <v>FALSE</v>
      </c>
      <c r="FI16" s="1" t="str">
        <f>IF(ISBLANK(Values!E15),"","FALSE")</f>
        <v>FALSE</v>
      </c>
      <c r="FJ16" s="1" t="str">
        <f>IF(ISBLANK(Values!E15),"","FALSE")</f>
        <v>FALSE</v>
      </c>
      <c r="FM16" s="1" t="str">
        <f>IF(ISBLANK(Values!E15),"","1")</f>
        <v>1</v>
      </c>
      <c r="FO16" s="28">
        <f>IF(ISBLANK(Values!E15),"",IF(Values!J15, Values!$B$4, Values!$B$5))</f>
        <v>47.99</v>
      </c>
      <c r="FP16" s="1" t="str">
        <f>IF(ISBLANK(Values!E15),"","Percent")</f>
        <v>Percent</v>
      </c>
      <c r="FQ16" s="1" t="str">
        <f>IF(ISBLANK(Values!E15),"","2")</f>
        <v>2</v>
      </c>
      <c r="FR16" s="1" t="str">
        <f>IF(ISBLANK(Values!E15),"","3")</f>
        <v>3</v>
      </c>
      <c r="FS16" s="1" t="str">
        <f>IF(ISBLANK(Values!E15),"","5")</f>
        <v>5</v>
      </c>
      <c r="FT16" s="1" t="str">
        <f>IF(ISBLANK(Values!E15),"","6")</f>
        <v>6</v>
      </c>
      <c r="FU16" s="1" t="str">
        <f>IF(ISBLANK(Values!E15),"","10")</f>
        <v>10</v>
      </c>
      <c r="FV16" s="1" t="str">
        <f>IF(ISBLANK(Values!E15),"","10")</f>
        <v>10</v>
      </c>
    </row>
    <row r="17" spans="1:192" ht="48" x14ac:dyDescent="0.2">
      <c r="A17" s="27" t="str">
        <f>IF(ISBLANK(Values!E16),"",IF(Values!$B$37="EU","computercomponent","computer"))</f>
        <v>computercomponent</v>
      </c>
      <c r="B17" s="38" t="str">
        <f>IF(ISBLANK(Values!E16),"",Values!F16)</f>
        <v>Lenovo E550 Regular - NO</v>
      </c>
      <c r="C17" s="32" t="str">
        <f>IF(ISBLANK(Values!E16),"","TellusRem")</f>
        <v>TellusRem</v>
      </c>
      <c r="D17" s="30">
        <f>IF(ISBLANK(Values!E16),"",Values!E16)</f>
        <v>5714401550136</v>
      </c>
      <c r="E17" s="31" t="str">
        <f>IF(ISBLANK(Values!E16),"","EAN")</f>
        <v>EAN</v>
      </c>
      <c r="F17" s="28" t="str">
        <f>IF(ISBLANK(Values!E16),"",IF(Values!J16, SUBSTITUTE(Values!$B$1, "{language}", Values!H16) &amp; " " &amp;Values!$B$3, SUBSTITUTE(Values!$B$2, "{language}", Values!$H16) &amp; " " &amp;Values!$B$3))</f>
        <v>ersatztastatur norwegisch Nicht Hintergrundbeleuchtung für Lenovo Thinkpad E550 E560 E560c</v>
      </c>
      <c r="G17" s="32" t="str">
        <f>IF(ISBLANK(Values!E16),"","TellusRem")</f>
        <v>TellusRem</v>
      </c>
      <c r="H17" s="27" t="str">
        <f>IF(ISBLANK(Values!E16),"",Values!$B$16)</f>
        <v>computer-keyboards</v>
      </c>
      <c r="I17" s="27" t="str">
        <f>IF(ISBLANK(Values!E16),"","4730574031")</f>
        <v>4730574031</v>
      </c>
      <c r="J17" s="39" t="str">
        <f>IF(ISBLANK(Values!E16),"",Values!F16 )</f>
        <v>Lenovo E550 Regular - NO</v>
      </c>
      <c r="K17" s="28">
        <f>IF(ISBLANK(Values!E16),"",IF(Values!J16, Values!$B$4, Values!$B$5))</f>
        <v>47.99</v>
      </c>
      <c r="L17" s="40">
        <f>IF(ISBLANK(Values!E16),"",IF($CO17="DEFAULT", Values!$B$18, ""))</f>
        <v>5</v>
      </c>
      <c r="M17" s="28" t="str">
        <f>IF(ISBLANK(Values!E16),"",Values!$M16)</f>
        <v>https://download.lenovo.com/Images/Parts/00HN020/00HN020_A.jpg</v>
      </c>
      <c r="N17" s="28" t="str">
        <f>IF(ISBLANK(Values!$F16),"",Values!N16)</f>
        <v>https://download.lenovo.com/Images/Parts/00HN020/00HN020_B.jpg</v>
      </c>
      <c r="O17" s="28" t="str">
        <f>IF(ISBLANK(Values!$F16),"",Values!O16)</f>
        <v>https://download.lenovo.com/Images/Parts/00HN020/00HN020_details.jpg</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Child</v>
      </c>
      <c r="X17" s="32" t="str">
        <f>IF(ISBLANK(Values!E16),"",Values!$B$13)</f>
        <v>Lenovo E550 Parent</v>
      </c>
      <c r="Y17" s="39" t="str">
        <f>IF(ISBLANK(Values!E16),"","Size-Color")</f>
        <v>Size-Color</v>
      </c>
      <c r="Z17" s="32" t="str">
        <f>IF(ISBLANK(Values!E16),"","variation")</f>
        <v>variation</v>
      </c>
      <c r="AA17" s="36" t="str">
        <f>IF(ISBLANK(Values!E16),"",Values!$B$20)</f>
        <v>Update</v>
      </c>
      <c r="AB17" s="1" t="str">
        <f>IF(ISBLANK(Values!E16),"",Values!$B$29)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7" s="41" t="str">
        <f>IF(ISBLANK(Values!E16),"",IF(Values!I16,Values!$B$23,Values!$B$33))</f>
        <v xml:space="preserve">👉 ÜBERARBEITET: GELD SPAREN - Ersatz-Lenovo-Laptop-Tastatur, gleiche Qualität wie OEM-Tastaturen. TellusRem ist seit 2011 der weltweit führende Distributor von Tastaturen. Perfekte Ersatztastatur, einfach auszutauschen und zu installieren. </v>
      </c>
      <c r="AJ17" s="42" t="str">
        <f>IF(ISBLANK(Values!E16),"",Values!$B$24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17" s="1" t="str">
        <f>IF(ISBLANK(Values!E16),"",Values!$B$25)</f>
        <v xml:space="preserve">♻️ ÖFFENTLICHES PRODUKT - Kaufen Sie renoviert, KAUFEN SIE GRÜN! Reduzieren Sie mehr als 80% Kohlendioxid, indem Sie unsere überholten Tastaturen kaufen, im Vergleich zu einer neuen Tastatur! </v>
      </c>
      <c r="AL17" s="1" t="str">
        <f>IF(ISBLANK(Values!E16),"",SUBSTITUTE(SUBSTITUTE(IF(Values!$J16, Values!$B$26, Values!$B$33), "{language}", Values!$H16), "{flag}", INDEX(options!$E$1:$E$20, Values!$V16)))</f>
        <v xml:space="preserve">👉 LAYOUT - 🇳🇴 norwegisch Nicht Hintergrundbeleuchtung </v>
      </c>
      <c r="AM17" s="1" t="str">
        <f>SUBSTITUTE(IF(ISBLANK(Values!E16),"",Values!$B$27),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17" s="28" t="str">
        <f>IF(ISBLANK(Values!E16),"",Values!H16)</f>
        <v>norwegisch</v>
      </c>
      <c r="AV17" s="1" t="str">
        <f>IF(ISBLANK(Values!E16),"",IF(Values!J16,"Backlit", "Non-Backlit"))</f>
        <v>Non-Backlit</v>
      </c>
      <c r="AW17"/>
      <c r="BE17" s="27" t="str">
        <f>IF(ISBLANK(Values!E16),"","Professional Audience")</f>
        <v>Professional Audience</v>
      </c>
      <c r="BF17" s="27" t="str">
        <f>IF(ISBLANK(Values!E16),"","Consumer Audience")</f>
        <v>Consumer Audience</v>
      </c>
      <c r="BG17" s="27" t="str">
        <f>IF(ISBLANK(Values!E16),"","Adults")</f>
        <v>Adults</v>
      </c>
      <c r="BH17" s="27" t="str">
        <f>IF(ISBLANK(Values!E16),"","People")</f>
        <v>People</v>
      </c>
      <c r="CG17" s="1">
        <f>IF(ISBLANK(Values!E16),"",Values!$B$11)</f>
        <v>150</v>
      </c>
      <c r="CH17" s="1" t="str">
        <f>IF(ISBLANK(Values!E16),"","GR")</f>
        <v>GR</v>
      </c>
      <c r="CI17" s="1" t="str">
        <f>IF(ISBLANK(Values!E16),"",Values!$B$7)</f>
        <v>32</v>
      </c>
      <c r="CJ17" s="1" t="str">
        <f>IF(ISBLANK(Values!E16),"",Values!$B$8)</f>
        <v>18</v>
      </c>
      <c r="CK17" s="1" t="str">
        <f>IF(ISBLANK(Values!E16),"",Values!$B$9)</f>
        <v>2</v>
      </c>
      <c r="CL17" s="1" t="str">
        <f>IF(ISBLANK(Values!E16),"","CM")</f>
        <v>CM</v>
      </c>
      <c r="CO17" s="1" t="str">
        <f>IF(ISBLANK(Values!E16), "", IF(AND(Values!$B$37=options!$G$2, Values!$C16), "AMAZON_NA", IF(AND(Values!$B$37=options!$G$1, Values!$D16), "AMAZON_EU", "DEFAULT")))</f>
        <v>DEFAULT</v>
      </c>
      <c r="CP17" s="1" t="str">
        <f>IF(ISBLANK(Values!E16),"",Values!$B$7)</f>
        <v>32</v>
      </c>
      <c r="CQ17" s="1" t="str">
        <f>IF(ISBLANK(Values!E16),"",Values!$B$8)</f>
        <v>18</v>
      </c>
      <c r="CR17" s="1" t="str">
        <f>IF(ISBLANK(Values!E16),"",Values!$B$9)</f>
        <v>2</v>
      </c>
      <c r="CS17" s="1">
        <f>IF(ISBLANK(Values!E16),"",Values!$B$11)</f>
        <v>150</v>
      </c>
      <c r="CT17" s="1" t="str">
        <f>IF(ISBLANK(Values!E16),"","GR")</f>
        <v>GR</v>
      </c>
      <c r="CU17" s="1" t="str">
        <f>IF(ISBLANK(Values!E16),"","CM")</f>
        <v>CM</v>
      </c>
      <c r="CV17" s="36"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7" s="1" t="str">
        <f>IF(ISBLANK(Values!E16),"","No")</f>
        <v>No</v>
      </c>
      <c r="DA17" s="1" t="str">
        <f>IF(ISBLANK(Values!E16),"","No")</f>
        <v>No</v>
      </c>
      <c r="DO17" s="27" t="str">
        <f>IF(ISBLANK(Values!E16),"","Parts")</f>
        <v>Parts</v>
      </c>
      <c r="DP17" s="27" t="str">
        <f>IF(ISBLANK(Values!E16),"",Values!$B$31)</f>
        <v>6 Monate Garantie nach dem Liefertermin. Im Falle einer Fehlfunktion der Tastatur wird ein neues Gerät oder ein Ersatzteil für die Tastatur des Produkts gesendet. Bei Sortierung des Bestands wird eine volle Rückerstattung gewährt.</v>
      </c>
      <c r="DS17" s="31"/>
      <c r="DY17" t="str">
        <f>IF(ISBLANK(Values!$E16), "", "not_applicable")</f>
        <v>not_applicable</v>
      </c>
      <c r="DZ17" s="31"/>
      <c r="EA17" s="31"/>
      <c r="EB17" s="31"/>
      <c r="EC17" s="31"/>
      <c r="EI17" s="1" t="str">
        <f>IF(ISBLANK(Values!E16),"",Values!$B$31)</f>
        <v>6 Monate Garantie nach dem Liefertermin. Im Falle einer Fehlfunktion der Tastatur wird ein neues Gerät oder ein Ersatzteil für die Tastatur des Produkts gesendet. Bei Sortierung des Bestands wird eine volle Rückerstattung gewährt.</v>
      </c>
      <c r="ES17" s="1" t="str">
        <f>IF(ISBLANK(Values!E16),"","Amazon Tellus UPS")</f>
        <v>Amazon Tellus UPS</v>
      </c>
      <c r="EV17" s="31" t="str">
        <f>IF(ISBLANK(Values!E16),"","New")</f>
        <v>New</v>
      </c>
      <c r="FE17" s="1">
        <f>IF(ISBLANK(Values!E16),"",IF(CO17&lt;&gt;"DEFAULT", "", 3))</f>
        <v>3</v>
      </c>
      <c r="FH17" s="1" t="str">
        <f>IF(ISBLANK(Values!E16),"","FALSE")</f>
        <v>FALSE</v>
      </c>
      <c r="FI17" s="1" t="str">
        <f>IF(ISBLANK(Values!E16),"","FALSE")</f>
        <v>FALSE</v>
      </c>
      <c r="FJ17" s="1" t="str">
        <f>IF(ISBLANK(Values!E16),"","FALSE")</f>
        <v>FALSE</v>
      </c>
      <c r="FM17" s="1" t="str">
        <f>IF(ISBLANK(Values!E16),"","1")</f>
        <v>1</v>
      </c>
      <c r="FO17" s="28">
        <f>IF(ISBLANK(Values!E16),"",IF(Values!J16, Values!$B$4, Values!$B$5))</f>
        <v>47.99</v>
      </c>
      <c r="FP17" s="1" t="str">
        <f>IF(ISBLANK(Values!E16),"","Percent")</f>
        <v>Percent</v>
      </c>
      <c r="FQ17" s="1" t="str">
        <f>IF(ISBLANK(Values!E16),"","2")</f>
        <v>2</v>
      </c>
      <c r="FR17" s="1" t="str">
        <f>IF(ISBLANK(Values!E16),"","3")</f>
        <v>3</v>
      </c>
      <c r="FS17" s="1" t="str">
        <f>IF(ISBLANK(Values!E16),"","5")</f>
        <v>5</v>
      </c>
      <c r="FT17" s="1" t="str">
        <f>IF(ISBLANK(Values!E16),"","6")</f>
        <v>6</v>
      </c>
      <c r="FU17" s="1" t="str">
        <f>IF(ISBLANK(Values!E16),"","10")</f>
        <v>10</v>
      </c>
      <c r="FV17" s="1" t="str">
        <f>IF(ISBLANK(Values!E16),"","10")</f>
        <v>10</v>
      </c>
    </row>
    <row r="18" spans="1:192" ht="48" x14ac:dyDescent="0.2">
      <c r="A18" s="27" t="str">
        <f>IF(ISBLANK(Values!E17),"",IF(Values!$B$37="EU","computercomponent","computer"))</f>
        <v>computercomponent</v>
      </c>
      <c r="B18" s="38" t="str">
        <f>IF(ISBLANK(Values!E17),"",Values!F17)</f>
        <v>Lenovo E550 Regular - PL</v>
      </c>
      <c r="C18" s="32" t="str">
        <f>IF(ISBLANK(Values!E17),"","TellusRem")</f>
        <v>TellusRem</v>
      </c>
      <c r="D18" s="30">
        <f>IF(ISBLANK(Values!E17),"",Values!E17)</f>
        <v>5714401550143</v>
      </c>
      <c r="E18" s="31" t="str">
        <f>IF(ISBLANK(Values!E17),"","EAN")</f>
        <v>EAN</v>
      </c>
      <c r="F18" s="28" t="str">
        <f>IF(ISBLANK(Values!E17),"",IF(Values!J17, SUBSTITUTE(Values!$B$1, "{language}", Values!H17) &amp; " " &amp;Values!$B$3, SUBSTITUTE(Values!$B$2, "{language}", Values!$H17) &amp; " " &amp;Values!$B$3))</f>
        <v>ersatztastatur Polieren Nicht Hintergrundbeleuchtung für Lenovo Thinkpad E550 E560 E560c</v>
      </c>
      <c r="G18" s="32" t="str">
        <f>IF(ISBLANK(Values!E17),"","TellusRem")</f>
        <v>TellusRem</v>
      </c>
      <c r="H18" s="27" t="str">
        <f>IF(ISBLANK(Values!E17),"",Values!$B$16)</f>
        <v>computer-keyboards</v>
      </c>
      <c r="I18" s="27" t="str">
        <f>IF(ISBLANK(Values!E17),"","4730574031")</f>
        <v>4730574031</v>
      </c>
      <c r="J18" s="39" t="str">
        <f>IF(ISBLANK(Values!E17),"",Values!F17 )</f>
        <v>Lenovo E550 Regular - PL</v>
      </c>
      <c r="K18" s="28">
        <f>IF(ISBLANK(Values!E17),"",IF(Values!J17, Values!$B$4, Values!$B$5))</f>
        <v>47.99</v>
      </c>
      <c r="L18" s="40">
        <f>IF(ISBLANK(Values!E17),"",IF($CO18="DEFAULT", Values!$B$18, ""))</f>
        <v>5</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Child</v>
      </c>
      <c r="X18" s="32" t="str">
        <f>IF(ISBLANK(Values!E17),"",Values!$B$13)</f>
        <v>Lenovo E550 Parent</v>
      </c>
      <c r="Y18" s="39" t="str">
        <f>IF(ISBLANK(Values!E17),"","Size-Color")</f>
        <v>Size-Color</v>
      </c>
      <c r="Z18" s="32" t="str">
        <f>IF(ISBLANK(Values!E17),"","variation")</f>
        <v>variation</v>
      </c>
      <c r="AA18" s="36" t="str">
        <f>IF(ISBLANK(Values!E17),"",Values!$B$20)</f>
        <v>Update</v>
      </c>
      <c r="AB18" s="1" t="str">
        <f>IF(ISBLANK(Values!E17),"",Values!$B$29)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8" s="41" t="str">
        <f>IF(ISBLANK(Values!E17),"",IF(Values!I17,Values!$B$23,Values!$B$33))</f>
        <v xml:space="preserve">👉 ÜBERARBEITET: GELD SPAREN - Ersatz-Lenovo-Laptop-Tastatur, gleiche Qualität wie OEM-Tastaturen. TellusRem ist seit 2011 der weltweit führende Distributor von Tastaturen. Perfekte Ersatztastatur, einfach auszutauschen und zu installieren. </v>
      </c>
      <c r="AJ18" s="42" t="str">
        <f>IF(ISBLANK(Values!E17),"",Values!$B$24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18" s="1" t="str">
        <f>IF(ISBLANK(Values!E17),"",Values!$B$25)</f>
        <v xml:space="preserve">♻️ ÖFFENTLICHES PRODUKT - Kaufen Sie renoviert, KAUFEN SIE GRÜN! Reduzieren Sie mehr als 80% Kohlendioxid, indem Sie unsere überholten Tastaturen kaufen, im Vergleich zu einer neuen Tastatur! </v>
      </c>
      <c r="AL18" s="1" t="str">
        <f>IF(ISBLANK(Values!E17),"",SUBSTITUTE(SUBSTITUTE(IF(Values!$J17, Values!$B$26, Values!$B$33), "{language}", Values!$H17), "{flag}", INDEX(options!$E$1:$E$20, Values!$V17)))</f>
        <v xml:space="preserve">👉 LAYOUT - 🇵🇱 Polieren Nicht Hintergrundbeleuchtung </v>
      </c>
      <c r="AM18" s="1" t="str">
        <f>SUBSTITUTE(IF(ISBLANK(Values!E17),"",Values!$B$27),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18" s="28" t="str">
        <f>IF(ISBLANK(Values!E17),"",Values!H17)</f>
        <v>Polieren</v>
      </c>
      <c r="AV18" s="1" t="str">
        <f>IF(ISBLANK(Values!E17),"",IF(Values!J17,"Backlit", "Non-Backlit"))</f>
        <v>Non-Backlit</v>
      </c>
      <c r="AW18"/>
      <c r="BE18" s="27" t="str">
        <f>IF(ISBLANK(Values!E17),"","Professional Audience")</f>
        <v>Professional Audience</v>
      </c>
      <c r="BF18" s="27" t="str">
        <f>IF(ISBLANK(Values!E17),"","Consumer Audience")</f>
        <v>Consumer Audience</v>
      </c>
      <c r="BG18" s="27" t="str">
        <f>IF(ISBLANK(Values!E17),"","Adults")</f>
        <v>Adults</v>
      </c>
      <c r="BH18" s="27" t="str">
        <f>IF(ISBLANK(Values!E17),"","People")</f>
        <v>People</v>
      </c>
      <c r="CG18" s="1">
        <f>IF(ISBLANK(Values!E17),"",Values!$B$11)</f>
        <v>150</v>
      </c>
      <c r="CH18" s="1" t="str">
        <f>IF(ISBLANK(Values!E17),"","GR")</f>
        <v>GR</v>
      </c>
      <c r="CI18" s="1" t="str">
        <f>IF(ISBLANK(Values!E17),"",Values!$B$7)</f>
        <v>32</v>
      </c>
      <c r="CJ18" s="1" t="str">
        <f>IF(ISBLANK(Values!E17),"",Values!$B$8)</f>
        <v>18</v>
      </c>
      <c r="CK18" s="1" t="str">
        <f>IF(ISBLANK(Values!E17),"",Values!$B$9)</f>
        <v>2</v>
      </c>
      <c r="CL18" s="1" t="str">
        <f>IF(ISBLANK(Values!E17),"","CM")</f>
        <v>CM</v>
      </c>
      <c r="CO18" s="1" t="str">
        <f>IF(ISBLANK(Values!E17), "", IF(AND(Values!$B$37=options!$G$2, Values!$C17), "AMAZON_NA", IF(AND(Values!$B$37=options!$G$1, Values!$D17), "AMAZON_EU", "DEFAULT")))</f>
        <v>DEFAULT</v>
      </c>
      <c r="CP18" s="1" t="str">
        <f>IF(ISBLANK(Values!E17),"",Values!$B$7)</f>
        <v>32</v>
      </c>
      <c r="CQ18" s="1" t="str">
        <f>IF(ISBLANK(Values!E17),"",Values!$B$8)</f>
        <v>18</v>
      </c>
      <c r="CR18" s="1" t="str">
        <f>IF(ISBLANK(Values!E17),"",Values!$B$9)</f>
        <v>2</v>
      </c>
      <c r="CS18" s="1">
        <f>IF(ISBLANK(Values!E17),"",Values!$B$11)</f>
        <v>150</v>
      </c>
      <c r="CT18" s="1" t="str">
        <f>IF(ISBLANK(Values!E17),"","GR")</f>
        <v>GR</v>
      </c>
      <c r="CU18" s="1" t="str">
        <f>IF(ISBLANK(Values!E17),"","CM")</f>
        <v>CM</v>
      </c>
      <c r="CV18" s="36"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8" s="1" t="str">
        <f>IF(ISBLANK(Values!E17),"","No")</f>
        <v>No</v>
      </c>
      <c r="DA18" s="1" t="str">
        <f>IF(ISBLANK(Values!E17),"","No")</f>
        <v>No</v>
      </c>
      <c r="DO18" s="27" t="str">
        <f>IF(ISBLANK(Values!E17),"","Parts")</f>
        <v>Parts</v>
      </c>
      <c r="DP18" s="27" t="str">
        <f>IF(ISBLANK(Values!E17),"",Values!$B$31)</f>
        <v>6 Monate Garantie nach dem Liefertermin. Im Falle einer Fehlfunktion der Tastatur wird ein neues Gerät oder ein Ersatzteil für die Tastatur des Produkts gesendet. Bei Sortierung des Bestands wird eine volle Rückerstattung gewährt.</v>
      </c>
      <c r="DS18" s="31"/>
      <c r="DY18" t="str">
        <f>IF(ISBLANK(Values!$E17), "", "not_applicable")</f>
        <v>not_applicable</v>
      </c>
      <c r="DZ18" s="31"/>
      <c r="EA18" s="31"/>
      <c r="EB18" s="31"/>
      <c r="EC18" s="31"/>
      <c r="EI18" s="1" t="str">
        <f>IF(ISBLANK(Values!E17),"",Values!$B$31)</f>
        <v>6 Monate Garantie nach dem Liefertermin. Im Falle einer Fehlfunktion der Tastatur wird ein neues Gerät oder ein Ersatzteil für die Tastatur des Produkts gesendet. Bei Sortierung des Bestands wird eine volle Rückerstattung gewährt.</v>
      </c>
      <c r="ES18" s="1" t="str">
        <f>IF(ISBLANK(Values!E17),"","Amazon Tellus UPS")</f>
        <v>Amazon Tellus UPS</v>
      </c>
      <c r="EV18" s="31" t="str">
        <f>IF(ISBLANK(Values!E17),"","New")</f>
        <v>New</v>
      </c>
      <c r="FE18" s="1">
        <f>IF(ISBLANK(Values!E17),"",IF(CO18&lt;&gt;"DEFAULT", "", 3))</f>
        <v>3</v>
      </c>
      <c r="FH18" s="1" t="str">
        <f>IF(ISBLANK(Values!E17),"","FALSE")</f>
        <v>FALSE</v>
      </c>
      <c r="FI18" s="1" t="str">
        <f>IF(ISBLANK(Values!E17),"","FALSE")</f>
        <v>FALSE</v>
      </c>
      <c r="FJ18" s="1" t="str">
        <f>IF(ISBLANK(Values!E17),"","FALSE")</f>
        <v>FALSE</v>
      </c>
      <c r="FM18" s="1" t="str">
        <f>IF(ISBLANK(Values!E17),"","1")</f>
        <v>1</v>
      </c>
      <c r="FO18" s="28">
        <f>IF(ISBLANK(Values!E17),"",IF(Values!J17, Values!$B$4, Values!$B$5))</f>
        <v>47.99</v>
      </c>
      <c r="FP18" s="1" t="str">
        <f>IF(ISBLANK(Values!E17),"","Percent")</f>
        <v>Percent</v>
      </c>
      <c r="FQ18" s="1" t="str">
        <f>IF(ISBLANK(Values!E17),"","2")</f>
        <v>2</v>
      </c>
      <c r="FR18" s="1" t="str">
        <f>IF(ISBLANK(Values!E17),"","3")</f>
        <v>3</v>
      </c>
      <c r="FS18" s="1" t="str">
        <f>IF(ISBLANK(Values!E17),"","5")</f>
        <v>5</v>
      </c>
      <c r="FT18" s="1" t="str">
        <f>IF(ISBLANK(Values!E17),"","6")</f>
        <v>6</v>
      </c>
      <c r="FU18" s="1" t="str">
        <f>IF(ISBLANK(Values!E17),"","10")</f>
        <v>10</v>
      </c>
      <c r="FV18" s="1" t="str">
        <f>IF(ISBLANK(Values!E17),"","10")</f>
        <v>10</v>
      </c>
    </row>
    <row r="19" spans="1:192" ht="48" x14ac:dyDescent="0.2">
      <c r="A19" s="27" t="str">
        <f>IF(ISBLANK(Values!E18),"",IF(Values!$B$37="EU","computercomponent","computer"))</f>
        <v>computercomponent</v>
      </c>
      <c r="B19" s="38" t="str">
        <f>IF(ISBLANK(Values!E18),"",Values!F18)</f>
        <v>Lenovo E550 Regular - PT</v>
      </c>
      <c r="C19" s="32" t="str">
        <f>IF(ISBLANK(Values!E18),"","TellusRem")</f>
        <v>TellusRem</v>
      </c>
      <c r="D19" s="30">
        <f>IF(ISBLANK(Values!E18),"",Values!E18)</f>
        <v>5714401550150</v>
      </c>
      <c r="E19" s="31" t="str">
        <f>IF(ISBLANK(Values!E18),"","EAN")</f>
        <v>EAN</v>
      </c>
      <c r="F19" s="28" t="str">
        <f>IF(ISBLANK(Values!E18),"",IF(Values!J18, SUBSTITUTE(Values!$B$1, "{language}", Values!H18) &amp; " " &amp;Values!$B$3, SUBSTITUTE(Values!$B$2, "{language}", Values!$H18) &amp; " " &amp;Values!$B$3))</f>
        <v>ersatztastatur Portugiesisch Nicht Hintergrundbeleuchtung für Lenovo Thinkpad E550 E560 E560c</v>
      </c>
      <c r="G19" s="32" t="str">
        <f>IF(ISBLANK(Values!E18),"","TellusRem")</f>
        <v>TellusRem</v>
      </c>
      <c r="H19" s="27" t="str">
        <f>IF(ISBLANK(Values!E18),"",Values!$B$16)</f>
        <v>computer-keyboards</v>
      </c>
      <c r="I19" s="27" t="str">
        <f>IF(ISBLANK(Values!E18),"","4730574031")</f>
        <v>4730574031</v>
      </c>
      <c r="J19" s="39" t="str">
        <f>IF(ISBLANK(Values!E18),"",Values!F18 )</f>
        <v>Lenovo E550 Regular - PT</v>
      </c>
      <c r="K19" s="28">
        <f>IF(ISBLANK(Values!E18),"",IF(Values!J18, Values!$B$4, Values!$B$5))</f>
        <v>47.99</v>
      </c>
      <c r="L19" s="40">
        <f>IF(ISBLANK(Values!E18),"",IF($CO19="DEFAULT", Values!$B$18, ""))</f>
        <v>5</v>
      </c>
      <c r="M19" s="28" t="str">
        <f>IF(ISBLANK(Values!E18),"",Values!$M18)</f>
        <v>https://download.lenovo.com/Images/Parts/00HN022/00HN022_A.jpg</v>
      </c>
      <c r="N19" s="28" t="str">
        <f>IF(ISBLANK(Values!$F18),"",Values!N18)</f>
        <v>https://download.lenovo.com/Images/Parts/00HN022/00HN022_B.jpg</v>
      </c>
      <c r="O19" s="28" t="str">
        <f>IF(ISBLANK(Values!$F18),"",Values!O18)</f>
        <v>https://download.lenovo.com/Images/Parts/00HN022/00HN022_details.jpg</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Child</v>
      </c>
      <c r="X19" s="32" t="str">
        <f>IF(ISBLANK(Values!E18),"",Values!$B$13)</f>
        <v>Lenovo E550 Parent</v>
      </c>
      <c r="Y19" s="39" t="str">
        <f>IF(ISBLANK(Values!E18),"","Size-Color")</f>
        <v>Size-Color</v>
      </c>
      <c r="Z19" s="32" t="str">
        <f>IF(ISBLANK(Values!E18),"","variation")</f>
        <v>variation</v>
      </c>
      <c r="AA19" s="36" t="str">
        <f>IF(ISBLANK(Values!E18),"",Values!$B$20)</f>
        <v>Update</v>
      </c>
      <c r="AB19" s="1" t="str">
        <f>IF(ISBLANK(Values!E18),"",Values!$B$29)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9" s="41" t="str">
        <f>IF(ISBLANK(Values!E18),"",IF(Values!I18,Values!$B$23,Values!$B$33))</f>
        <v xml:space="preserve">👉 ÜBERARBEITET: GELD SPAREN - Ersatz-Lenovo-Laptop-Tastatur, gleiche Qualität wie OEM-Tastaturen. TellusRem ist seit 2011 der weltweit führende Distributor von Tastaturen. Perfekte Ersatztastatur, einfach auszutauschen und zu installieren. </v>
      </c>
      <c r="AJ19" s="42" t="str">
        <f>IF(ISBLANK(Values!E18),"",Values!$B$24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19" s="1" t="str">
        <f>IF(ISBLANK(Values!E18),"",Values!$B$25)</f>
        <v xml:space="preserve">♻️ ÖFFENTLICHES PRODUKT - Kaufen Sie renoviert, KAUFEN SIE GRÜN! Reduzieren Sie mehr als 80% Kohlendioxid, indem Sie unsere überholten Tastaturen kaufen, im Vergleich zu einer neuen Tastatur! </v>
      </c>
      <c r="AL19" s="1" t="str">
        <f>IF(ISBLANK(Values!E18),"",SUBSTITUTE(SUBSTITUTE(IF(Values!$J18, Values!$B$26, Values!$B$33), "{language}", Values!$H18), "{flag}", INDEX(options!$E$1:$E$20, Values!$V18)))</f>
        <v xml:space="preserve">👉 LAYOUT - 🇵🇹 Portugiesisch Nicht Hintergrundbeleuchtung </v>
      </c>
      <c r="AM19" s="1" t="str">
        <f>SUBSTITUTE(IF(ISBLANK(Values!E18),"",Values!$B$27),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19" s="28" t="str">
        <f>IF(ISBLANK(Values!E18),"",Values!H18)</f>
        <v>Portugiesisch</v>
      </c>
      <c r="AV19" s="1" t="str">
        <f>IF(ISBLANK(Values!E18),"",IF(Values!J18,"Backlit", "Non-Backlit"))</f>
        <v>Non-Backlit</v>
      </c>
      <c r="AW19"/>
      <c r="BE19" s="27" t="str">
        <f>IF(ISBLANK(Values!E18),"","Professional Audience")</f>
        <v>Professional Audience</v>
      </c>
      <c r="BF19" s="27" t="str">
        <f>IF(ISBLANK(Values!E18),"","Consumer Audience")</f>
        <v>Consumer Audience</v>
      </c>
      <c r="BG19" s="27" t="str">
        <f>IF(ISBLANK(Values!E18),"","Adults")</f>
        <v>Adults</v>
      </c>
      <c r="BH19" s="27" t="str">
        <f>IF(ISBLANK(Values!E18),"","People")</f>
        <v>People</v>
      </c>
      <c r="CG19" s="1">
        <f>IF(ISBLANK(Values!E18),"",Values!$B$11)</f>
        <v>150</v>
      </c>
      <c r="CH19" s="1" t="str">
        <f>IF(ISBLANK(Values!E18),"","GR")</f>
        <v>GR</v>
      </c>
      <c r="CI19" s="1" t="str">
        <f>IF(ISBLANK(Values!E18),"",Values!$B$7)</f>
        <v>32</v>
      </c>
      <c r="CJ19" s="1" t="str">
        <f>IF(ISBLANK(Values!E18),"",Values!$B$8)</f>
        <v>18</v>
      </c>
      <c r="CK19" s="1" t="str">
        <f>IF(ISBLANK(Values!E18),"",Values!$B$9)</f>
        <v>2</v>
      </c>
      <c r="CL19" s="1" t="str">
        <f>IF(ISBLANK(Values!E18),"","CM")</f>
        <v>CM</v>
      </c>
      <c r="CO19" s="1" t="str">
        <f>IF(ISBLANK(Values!E18), "", IF(AND(Values!$B$37=options!$G$2, Values!$C18), "AMAZON_NA", IF(AND(Values!$B$37=options!$G$1, Values!$D18), "AMAZON_EU", "DEFAULT")))</f>
        <v>DEFAULT</v>
      </c>
      <c r="CP19" s="1" t="str">
        <f>IF(ISBLANK(Values!E18),"",Values!$B$7)</f>
        <v>32</v>
      </c>
      <c r="CQ19" s="1" t="str">
        <f>IF(ISBLANK(Values!E18),"",Values!$B$8)</f>
        <v>18</v>
      </c>
      <c r="CR19" s="1" t="str">
        <f>IF(ISBLANK(Values!E18),"",Values!$B$9)</f>
        <v>2</v>
      </c>
      <c r="CS19" s="1">
        <f>IF(ISBLANK(Values!E18),"",Values!$B$11)</f>
        <v>150</v>
      </c>
      <c r="CT19" s="1" t="str">
        <f>IF(ISBLANK(Values!E18),"","GR")</f>
        <v>GR</v>
      </c>
      <c r="CU19" s="1" t="str">
        <f>IF(ISBLANK(Values!E18),"","CM")</f>
        <v>CM</v>
      </c>
      <c r="CV19" s="36"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9" s="1" t="str">
        <f>IF(ISBLANK(Values!E18),"","No")</f>
        <v>No</v>
      </c>
      <c r="DA19" s="1" t="str">
        <f>IF(ISBLANK(Values!E18),"","No")</f>
        <v>No</v>
      </c>
      <c r="DO19" s="27" t="str">
        <f>IF(ISBLANK(Values!E18),"","Parts")</f>
        <v>Parts</v>
      </c>
      <c r="DP19" s="27" t="str">
        <f>IF(ISBLANK(Values!E18),"",Values!$B$31)</f>
        <v>6 Monate Garantie nach dem Liefertermin. Im Falle einer Fehlfunktion der Tastatur wird ein neues Gerät oder ein Ersatzteil für die Tastatur des Produkts gesendet. Bei Sortierung des Bestands wird eine volle Rückerstattung gewährt.</v>
      </c>
      <c r="DS19" s="31"/>
      <c r="DY19" t="str">
        <f>IF(ISBLANK(Values!$E18), "", "not_applicable")</f>
        <v>not_applicable</v>
      </c>
      <c r="DZ19" s="31"/>
      <c r="EA19" s="31"/>
      <c r="EB19" s="31"/>
      <c r="EC19" s="31"/>
      <c r="EI19" s="1" t="str">
        <f>IF(ISBLANK(Values!E18),"",Values!$B$31)</f>
        <v>6 Monate Garantie nach dem Liefertermin. Im Falle einer Fehlfunktion der Tastatur wird ein neues Gerät oder ein Ersatzteil für die Tastatur des Produkts gesendet. Bei Sortierung des Bestands wird eine volle Rückerstattung gewährt.</v>
      </c>
      <c r="ES19" s="1" t="str">
        <f>IF(ISBLANK(Values!E18),"","Amazon Tellus UPS")</f>
        <v>Amazon Tellus UPS</v>
      </c>
      <c r="EV19" s="31" t="str">
        <f>IF(ISBLANK(Values!E18),"","New")</f>
        <v>New</v>
      </c>
      <c r="FE19" s="1">
        <f>IF(ISBLANK(Values!E18),"",IF(CO19&lt;&gt;"DEFAULT", "", 3))</f>
        <v>3</v>
      </c>
      <c r="FH19" s="1" t="str">
        <f>IF(ISBLANK(Values!E18),"","FALSE")</f>
        <v>FALSE</v>
      </c>
      <c r="FI19" s="1" t="str">
        <f>IF(ISBLANK(Values!E18),"","FALSE")</f>
        <v>FALSE</v>
      </c>
      <c r="FJ19" s="1" t="str">
        <f>IF(ISBLANK(Values!E18),"","FALSE")</f>
        <v>FALSE</v>
      </c>
      <c r="FM19" s="1" t="str">
        <f>IF(ISBLANK(Values!E18),"","1")</f>
        <v>1</v>
      </c>
      <c r="FO19" s="28">
        <f>IF(ISBLANK(Values!E18),"",IF(Values!J18, Values!$B$4, Values!$B$5))</f>
        <v>47.99</v>
      </c>
      <c r="FP19" s="1" t="str">
        <f>IF(ISBLANK(Values!E18),"","Percent")</f>
        <v>Percent</v>
      </c>
      <c r="FQ19" s="1" t="str">
        <f>IF(ISBLANK(Values!E18),"","2")</f>
        <v>2</v>
      </c>
      <c r="FR19" s="1" t="str">
        <f>IF(ISBLANK(Values!E18),"","3")</f>
        <v>3</v>
      </c>
      <c r="FS19" s="1" t="str">
        <f>IF(ISBLANK(Values!E18),"","5")</f>
        <v>5</v>
      </c>
      <c r="FT19" s="1" t="str">
        <f>IF(ISBLANK(Values!E18),"","6")</f>
        <v>6</v>
      </c>
      <c r="FU19" s="1" t="str">
        <f>IF(ISBLANK(Values!E18),"","10")</f>
        <v>10</v>
      </c>
      <c r="FV19" s="1" t="str">
        <f>IF(ISBLANK(Values!E18),"","10")</f>
        <v>10</v>
      </c>
    </row>
    <row r="20" spans="1:192" ht="48" x14ac:dyDescent="0.2">
      <c r="A20" s="27" t="str">
        <f>IF(ISBLANK(Values!E19),"",IF(Values!$B$37="EU","computercomponent","computer"))</f>
        <v>computercomponent</v>
      </c>
      <c r="B20" s="38" t="str">
        <f>IF(ISBLANK(Values!E19),"",Values!F19)</f>
        <v>Lenovo E550 Regular - SE/FI</v>
      </c>
      <c r="C20" s="32" t="str">
        <f>IF(ISBLANK(Values!E19),"","TellusRem")</f>
        <v>TellusRem</v>
      </c>
      <c r="D20" s="30">
        <f>IF(ISBLANK(Values!E19),"",Values!E19)</f>
        <v>5714401550167</v>
      </c>
      <c r="E20" s="31" t="str">
        <f>IF(ISBLANK(Values!E19),"","EAN")</f>
        <v>EAN</v>
      </c>
      <c r="F20" s="28" t="str">
        <f>IF(ISBLANK(Values!E19),"",IF(Values!J19, SUBSTITUTE(Values!$B$1, "{language}", Values!H19) &amp; " " &amp;Values!$B$3, SUBSTITUTE(Values!$B$2, "{language}", Values!$H19) &amp; " " &amp;Values!$B$3))</f>
        <v>ersatztastatur Schwedisch -  finnisch Nicht Hintergrundbeleuchtung für Lenovo Thinkpad E550 E560 E560c</v>
      </c>
      <c r="G20" s="32" t="str">
        <f>IF(ISBLANK(Values!E19),"","TellusRem")</f>
        <v>TellusRem</v>
      </c>
      <c r="H20" s="27" t="str">
        <f>IF(ISBLANK(Values!E19),"",Values!$B$16)</f>
        <v>computer-keyboards</v>
      </c>
      <c r="I20" s="27" t="str">
        <f>IF(ISBLANK(Values!E19),"","4730574031")</f>
        <v>4730574031</v>
      </c>
      <c r="J20" s="39" t="str">
        <f>IF(ISBLANK(Values!E19),"",Values!F19 )</f>
        <v>Lenovo E550 Regular - SE/FI</v>
      </c>
      <c r="K20" s="28">
        <f>IF(ISBLANK(Values!E19),"",IF(Values!J19, Values!$B$4, Values!$B$5))</f>
        <v>47.99</v>
      </c>
      <c r="L20" s="40">
        <f>IF(ISBLANK(Values!E19),"",IF($CO20="DEFAULT", Values!$B$18, ""))</f>
        <v>5</v>
      </c>
      <c r="M20" s="28" t="str">
        <f>IF(ISBLANK(Values!E19),"",Values!$M19)</f>
        <v>https://download.lenovo.com/Images/Parts/00HN026/00HN026_A.jpg</v>
      </c>
      <c r="N20" s="28" t="str">
        <f>IF(ISBLANK(Values!$F19),"",Values!N19)</f>
        <v>https://download.lenovo.com/Images/Parts/00HN026/00HN026_B.jpg</v>
      </c>
      <c r="O20" s="28" t="str">
        <f>IF(ISBLANK(Values!$F19),"",Values!O19)</f>
        <v>https://download.lenovo.com/Images/Parts/00HN026/00HN026_details.jpg</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Child</v>
      </c>
      <c r="X20" s="32" t="str">
        <f>IF(ISBLANK(Values!E19),"",Values!$B$13)</f>
        <v>Lenovo E550 Parent</v>
      </c>
      <c r="Y20" s="39" t="str">
        <f>IF(ISBLANK(Values!E19),"","Size-Color")</f>
        <v>Size-Color</v>
      </c>
      <c r="Z20" s="32" t="str">
        <f>IF(ISBLANK(Values!E19),"","variation")</f>
        <v>variation</v>
      </c>
      <c r="AA20" s="36" t="str">
        <f>IF(ISBLANK(Values!E19),"",Values!$B$20)</f>
        <v>Update</v>
      </c>
      <c r="AB20" s="1" t="str">
        <f>IF(ISBLANK(Values!E19),"",Values!$B$29)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20" s="41" t="str">
        <f>IF(ISBLANK(Values!E19),"",IF(Values!I19,Values!$B$23,Values!$B$33))</f>
        <v xml:space="preserve">👉 ÜBERARBEITET: GELD SPAREN - Ersatz-Lenovo-Laptop-Tastatur, gleiche Qualität wie OEM-Tastaturen. TellusRem ist seit 2011 der weltweit führende Distributor von Tastaturen. Perfekte Ersatztastatur, einfach auszutauschen und zu installieren. </v>
      </c>
      <c r="AJ20" s="42" t="str">
        <f>IF(ISBLANK(Values!E19),"",Values!$B$24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20" s="1" t="str">
        <f>IF(ISBLANK(Values!E19),"",Values!$B$25)</f>
        <v xml:space="preserve">♻️ ÖFFENTLICHES PRODUKT - Kaufen Sie renoviert, KAUFEN SIE GRÜN! Reduzieren Sie mehr als 80% Kohlendioxid, indem Sie unsere überholten Tastaturen kaufen, im Vergleich zu einer neuen Tastatur! </v>
      </c>
      <c r="AL20" s="1" t="str">
        <f>IF(ISBLANK(Values!E19),"",SUBSTITUTE(SUBSTITUTE(IF(Values!$J19, Values!$B$26, Values!$B$33), "{language}", Values!$H19), "{flag}", INDEX(options!$E$1:$E$20, Values!$V19)))</f>
        <v xml:space="preserve">👉 LAYOUT - 🇸🇪 🇫🇮 Schwedisch -  finnisch Nicht Hintergrundbeleuchtung </v>
      </c>
      <c r="AM20" s="1" t="str">
        <f>SUBSTITUTE(IF(ISBLANK(Values!E19),"",Values!$B$27),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20" s="28" t="str">
        <f>IF(ISBLANK(Values!E19),"",Values!H19)</f>
        <v>Schwedisch -  finnisch</v>
      </c>
      <c r="AV20" s="1" t="str">
        <f>IF(ISBLANK(Values!E19),"",IF(Values!J19,"Backlit", "Non-Backlit"))</f>
        <v>Non-Backlit</v>
      </c>
      <c r="AW20"/>
      <c r="BE20" s="27" t="str">
        <f>IF(ISBLANK(Values!E19),"","Professional Audience")</f>
        <v>Professional Audience</v>
      </c>
      <c r="BF20" s="27" t="str">
        <f>IF(ISBLANK(Values!E19),"","Consumer Audience")</f>
        <v>Consumer Audience</v>
      </c>
      <c r="BG20" s="27" t="str">
        <f>IF(ISBLANK(Values!E19),"","Adults")</f>
        <v>Adults</v>
      </c>
      <c r="BH20" s="27" t="str">
        <f>IF(ISBLANK(Values!E19),"","People")</f>
        <v>People</v>
      </c>
      <c r="CG20" s="1">
        <f>IF(ISBLANK(Values!E19),"",Values!$B$11)</f>
        <v>150</v>
      </c>
      <c r="CH20" s="1" t="str">
        <f>IF(ISBLANK(Values!E19),"","GR")</f>
        <v>GR</v>
      </c>
      <c r="CI20" s="1" t="str">
        <f>IF(ISBLANK(Values!E19),"",Values!$B$7)</f>
        <v>32</v>
      </c>
      <c r="CJ20" s="1" t="str">
        <f>IF(ISBLANK(Values!E19),"",Values!$B$8)</f>
        <v>18</v>
      </c>
      <c r="CK20" s="1" t="str">
        <f>IF(ISBLANK(Values!E19),"",Values!$B$9)</f>
        <v>2</v>
      </c>
      <c r="CL20" s="1" t="str">
        <f>IF(ISBLANK(Values!E19),"","CM")</f>
        <v>CM</v>
      </c>
      <c r="CO20" s="1" t="str">
        <f>IF(ISBLANK(Values!E19), "", IF(AND(Values!$B$37=options!$G$2, Values!$C19), "AMAZON_NA", IF(AND(Values!$B$37=options!$G$1, Values!$D19), "AMAZON_EU", "DEFAULT")))</f>
        <v>DEFAULT</v>
      </c>
      <c r="CP20" s="1" t="str">
        <f>IF(ISBLANK(Values!E19),"",Values!$B$7)</f>
        <v>32</v>
      </c>
      <c r="CQ20" s="1" t="str">
        <f>IF(ISBLANK(Values!E19),"",Values!$B$8)</f>
        <v>18</v>
      </c>
      <c r="CR20" s="1" t="str">
        <f>IF(ISBLANK(Values!E19),"",Values!$B$9)</f>
        <v>2</v>
      </c>
      <c r="CS20" s="1">
        <f>IF(ISBLANK(Values!E19),"",Values!$B$11)</f>
        <v>150</v>
      </c>
      <c r="CT20" s="1" t="str">
        <f>IF(ISBLANK(Values!E19),"","GR")</f>
        <v>GR</v>
      </c>
      <c r="CU20" s="1" t="str">
        <f>IF(ISBLANK(Values!E19),"","CM")</f>
        <v>CM</v>
      </c>
      <c r="CV20" s="36"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20" s="1" t="str">
        <f>IF(ISBLANK(Values!E19),"","No")</f>
        <v>No</v>
      </c>
      <c r="DA20" s="1" t="str">
        <f>IF(ISBLANK(Values!E19),"","No")</f>
        <v>No</v>
      </c>
      <c r="DO20" s="27" t="str">
        <f>IF(ISBLANK(Values!E19),"","Parts")</f>
        <v>Parts</v>
      </c>
      <c r="DP20" s="27" t="str">
        <f>IF(ISBLANK(Values!E19),"",Values!$B$31)</f>
        <v>6 Monate Garantie nach dem Liefertermin. Im Falle einer Fehlfunktion der Tastatur wird ein neues Gerät oder ein Ersatzteil für die Tastatur des Produkts gesendet. Bei Sortierung des Bestands wird eine volle Rückerstattung gewährt.</v>
      </c>
      <c r="DS20" s="31"/>
      <c r="DY20" t="str">
        <f>IF(ISBLANK(Values!$E19), "", "not_applicable")</f>
        <v>not_applicable</v>
      </c>
      <c r="DZ20" s="31"/>
      <c r="EA20" s="31"/>
      <c r="EB20" s="31"/>
      <c r="EC20" s="31"/>
      <c r="EI20" s="1" t="str">
        <f>IF(ISBLANK(Values!E19),"",Values!$B$31)</f>
        <v>6 Monate Garantie nach dem Liefertermin. Im Falle einer Fehlfunktion der Tastatur wird ein neues Gerät oder ein Ersatzteil für die Tastatur des Produkts gesendet. Bei Sortierung des Bestands wird eine volle Rückerstattung gewährt.</v>
      </c>
      <c r="ES20" s="1" t="str">
        <f>IF(ISBLANK(Values!E19),"","Amazon Tellus UPS")</f>
        <v>Amazon Tellus UPS</v>
      </c>
      <c r="EV20" s="31" t="str">
        <f>IF(ISBLANK(Values!E19),"","New")</f>
        <v>New</v>
      </c>
      <c r="FE20" s="1">
        <f>IF(ISBLANK(Values!E19),"",IF(CO20&lt;&gt;"DEFAULT", "", 3))</f>
        <v>3</v>
      </c>
      <c r="FH20" s="1" t="str">
        <f>IF(ISBLANK(Values!E19),"","FALSE")</f>
        <v>FALSE</v>
      </c>
      <c r="FI20" s="1" t="str">
        <f>IF(ISBLANK(Values!E19),"","FALSE")</f>
        <v>FALSE</v>
      </c>
      <c r="FJ20" s="1" t="str">
        <f>IF(ISBLANK(Values!E19),"","FALSE")</f>
        <v>FALSE</v>
      </c>
      <c r="FM20" s="1" t="str">
        <f>IF(ISBLANK(Values!E19),"","1")</f>
        <v>1</v>
      </c>
      <c r="FO20" s="28">
        <f>IF(ISBLANK(Values!E19),"",IF(Values!J19, Values!$B$4, Values!$B$5))</f>
        <v>47.99</v>
      </c>
      <c r="FP20" s="1" t="str">
        <f>IF(ISBLANK(Values!E19),"","Percent")</f>
        <v>Percent</v>
      </c>
      <c r="FQ20" s="1" t="str">
        <f>IF(ISBLANK(Values!E19),"","2")</f>
        <v>2</v>
      </c>
      <c r="FR20" s="1" t="str">
        <f>IF(ISBLANK(Values!E19),"","3")</f>
        <v>3</v>
      </c>
      <c r="FS20" s="1" t="str">
        <f>IF(ISBLANK(Values!E19),"","5")</f>
        <v>5</v>
      </c>
      <c r="FT20" s="1" t="str">
        <f>IF(ISBLANK(Values!E19),"","6")</f>
        <v>6</v>
      </c>
      <c r="FU20" s="1" t="str">
        <f>IF(ISBLANK(Values!E19),"","10")</f>
        <v>10</v>
      </c>
      <c r="FV20" s="1" t="str">
        <f>IF(ISBLANK(Values!E19),"","10")</f>
        <v>10</v>
      </c>
    </row>
    <row r="21" spans="1:192" ht="48" x14ac:dyDescent="0.2">
      <c r="A21" s="27" t="str">
        <f>IF(ISBLANK(Values!E20),"",IF(Values!$B$37="EU","computercomponent","computer"))</f>
        <v>computercomponent</v>
      </c>
      <c r="B21" s="38" t="str">
        <f>IF(ISBLANK(Values!E20),"",Values!F20)</f>
        <v>Lenovo E550 Regular - CH</v>
      </c>
      <c r="C21" s="32" t="str">
        <f>IF(ISBLANK(Values!E20),"","TellusRem")</f>
        <v>TellusRem</v>
      </c>
      <c r="D21" s="30">
        <f>IF(ISBLANK(Values!E20),"",Values!E20)</f>
        <v>5714401550174</v>
      </c>
      <c r="E21" s="31" t="str">
        <f>IF(ISBLANK(Values!E20),"","EAN")</f>
        <v>EAN</v>
      </c>
      <c r="F21" s="28" t="str">
        <f>IF(ISBLANK(Values!E20),"",IF(Values!J20, SUBSTITUTE(Values!$B$1, "{language}", Values!H20) &amp; " " &amp;Values!$B$3, SUBSTITUTE(Values!$B$2, "{language}", Values!$H20) &amp; " " &amp;Values!$B$3))</f>
        <v>ersatztastatur Schweizerisch Nicht Hintergrundbeleuchtung für Lenovo Thinkpad E550 E560 E560c</v>
      </c>
      <c r="G21" s="32" t="str">
        <f>IF(ISBLANK(Values!E20),"","TellusRem")</f>
        <v>TellusRem</v>
      </c>
      <c r="H21" s="27" t="str">
        <f>IF(ISBLANK(Values!E20),"",Values!$B$16)</f>
        <v>computer-keyboards</v>
      </c>
      <c r="I21" s="27" t="str">
        <f>IF(ISBLANK(Values!E20),"","4730574031")</f>
        <v>4730574031</v>
      </c>
      <c r="J21" s="39" t="str">
        <f>IF(ISBLANK(Values!E20),"",Values!F20 )</f>
        <v>Lenovo E550 Regular - CH</v>
      </c>
      <c r="K21" s="28">
        <f>IF(ISBLANK(Values!E20),"",IF(Values!J20, Values!$B$4, Values!$B$5))</f>
        <v>47.99</v>
      </c>
      <c r="L21" s="40">
        <f>IF(ISBLANK(Values!E20),"",IF($CO21="DEFAULT", Values!$B$18, ""))</f>
        <v>5</v>
      </c>
      <c r="M21" s="28" t="str">
        <f>IF(ISBLANK(Values!E20),"",Values!$M20)</f>
        <v>https://download.lenovo.com/Images/Parts/00HN101/00HN101_A.jpg</v>
      </c>
      <c r="N21" s="28" t="str">
        <f>IF(ISBLANK(Values!$F20),"",Values!N20)</f>
        <v>https://download.lenovo.com/Images/Parts/00HN101/00HN101_B.jpg</v>
      </c>
      <c r="O21" s="28" t="str">
        <f>IF(ISBLANK(Values!$F20),"",Values!O20)</f>
        <v>https://download.lenovo.com/Images/Parts/00HN101/00HN101_details.jpg</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Child</v>
      </c>
      <c r="X21" s="32" t="str">
        <f>IF(ISBLANK(Values!E20),"",Values!$B$13)</f>
        <v>Lenovo E550 Parent</v>
      </c>
      <c r="Y21" s="39" t="str">
        <f>IF(ISBLANK(Values!E20),"","Size-Color")</f>
        <v>Size-Color</v>
      </c>
      <c r="Z21" s="32" t="str">
        <f>IF(ISBLANK(Values!E20),"","variation")</f>
        <v>variation</v>
      </c>
      <c r="AA21" s="36" t="str">
        <f>IF(ISBLANK(Values!E20),"",Values!$B$20)</f>
        <v>Update</v>
      </c>
      <c r="AB21" s="1" t="str">
        <f>IF(ISBLANK(Values!E20),"",Values!$B$29)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21" s="41" t="str">
        <f>IF(ISBLANK(Values!E20),"",IF(Values!I20,Values!$B$23,Values!$B$33))</f>
        <v xml:space="preserve">👉 ÜBERARBEITET: GELD SPAREN - Ersatz-Lenovo-Laptop-Tastatur, gleiche Qualität wie OEM-Tastaturen. TellusRem ist seit 2011 der weltweit führende Distributor von Tastaturen. Perfekte Ersatztastatur, einfach auszutauschen und zu installieren. </v>
      </c>
      <c r="AJ21" s="42" t="str">
        <f>IF(ISBLANK(Values!E20),"",Values!$B$24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21" s="1" t="str">
        <f>IF(ISBLANK(Values!E20),"",Values!$B$25)</f>
        <v xml:space="preserve">♻️ ÖFFENTLICHES PRODUKT - Kaufen Sie renoviert, KAUFEN SIE GRÜN! Reduzieren Sie mehr als 80% Kohlendioxid, indem Sie unsere überholten Tastaturen kaufen, im Vergleich zu einer neuen Tastatur! </v>
      </c>
      <c r="AL21" s="1" t="str">
        <f>IF(ISBLANK(Values!E20),"",SUBSTITUTE(SUBSTITUTE(IF(Values!$J20, Values!$B$26, Values!$B$33), "{language}", Values!$H20), "{flag}", INDEX(options!$E$1:$E$20, Values!$V20)))</f>
        <v xml:space="preserve">👉 LAYOUT - 🇨🇭 Schweizerisch Nicht Hintergrundbeleuchtung </v>
      </c>
      <c r="AM21" s="1" t="str">
        <f>SUBSTITUTE(IF(ISBLANK(Values!E20),"",Values!$B$27),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21" s="28" t="str">
        <f>IF(ISBLANK(Values!E20),"",Values!H20)</f>
        <v>Schweizerisch</v>
      </c>
      <c r="AV21" s="1" t="str">
        <f>IF(ISBLANK(Values!E20),"",IF(Values!J20,"Backlit", "Non-Backlit"))</f>
        <v>Non-Backlit</v>
      </c>
      <c r="AW21"/>
      <c r="BE21" s="27" t="str">
        <f>IF(ISBLANK(Values!E20),"","Professional Audience")</f>
        <v>Professional Audience</v>
      </c>
      <c r="BF21" s="27" t="str">
        <f>IF(ISBLANK(Values!E20),"","Consumer Audience")</f>
        <v>Consumer Audience</v>
      </c>
      <c r="BG21" s="27" t="str">
        <f>IF(ISBLANK(Values!E20),"","Adults")</f>
        <v>Adults</v>
      </c>
      <c r="BH21" s="27" t="str">
        <f>IF(ISBLANK(Values!E20),"","People")</f>
        <v>People</v>
      </c>
      <c r="CG21" s="1">
        <f>IF(ISBLANK(Values!E20),"",Values!$B$11)</f>
        <v>150</v>
      </c>
      <c r="CH21" s="1" t="str">
        <f>IF(ISBLANK(Values!E20),"","GR")</f>
        <v>GR</v>
      </c>
      <c r="CI21" s="1" t="str">
        <f>IF(ISBLANK(Values!E20),"",Values!$B$7)</f>
        <v>32</v>
      </c>
      <c r="CJ21" s="1" t="str">
        <f>IF(ISBLANK(Values!E20),"",Values!$B$8)</f>
        <v>18</v>
      </c>
      <c r="CK21" s="1" t="str">
        <f>IF(ISBLANK(Values!E20),"",Values!$B$9)</f>
        <v>2</v>
      </c>
      <c r="CL21" s="1" t="str">
        <f>IF(ISBLANK(Values!E20),"","CM")</f>
        <v>CM</v>
      </c>
      <c r="CO21" s="1" t="str">
        <f>IF(ISBLANK(Values!E20), "", IF(AND(Values!$B$37=options!$G$2, Values!$C20), "AMAZON_NA", IF(AND(Values!$B$37=options!$G$1, Values!$D20), "AMAZON_EU", "DEFAULT")))</f>
        <v>DEFAULT</v>
      </c>
      <c r="CP21" s="1" t="str">
        <f>IF(ISBLANK(Values!E20),"",Values!$B$7)</f>
        <v>32</v>
      </c>
      <c r="CQ21" s="1" t="str">
        <f>IF(ISBLANK(Values!E20),"",Values!$B$8)</f>
        <v>18</v>
      </c>
      <c r="CR21" s="1" t="str">
        <f>IF(ISBLANK(Values!E20),"",Values!$B$9)</f>
        <v>2</v>
      </c>
      <c r="CS21" s="1">
        <f>IF(ISBLANK(Values!E20),"",Values!$B$11)</f>
        <v>150</v>
      </c>
      <c r="CT21" s="1" t="str">
        <f>IF(ISBLANK(Values!E20),"","GR")</f>
        <v>GR</v>
      </c>
      <c r="CU21" s="1" t="str">
        <f>IF(ISBLANK(Values!E20),"","CM")</f>
        <v>CM</v>
      </c>
      <c r="CV21" s="36"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21" s="1" t="str">
        <f>IF(ISBLANK(Values!E20),"","No")</f>
        <v>No</v>
      </c>
      <c r="DA21" s="1" t="str">
        <f>IF(ISBLANK(Values!E20),"","No")</f>
        <v>No</v>
      </c>
      <c r="DO21" s="27" t="str">
        <f>IF(ISBLANK(Values!E20),"","Parts")</f>
        <v>Parts</v>
      </c>
      <c r="DP21" s="27" t="str">
        <f>IF(ISBLANK(Values!E20),"",Values!$B$31)</f>
        <v>6 Monate Garantie nach dem Liefertermin. Im Falle einer Fehlfunktion der Tastatur wird ein neues Gerät oder ein Ersatzteil für die Tastatur des Produkts gesendet. Bei Sortierung des Bestands wird eine volle Rückerstattung gewährt.</v>
      </c>
      <c r="DS21" s="31"/>
      <c r="DY21" t="str">
        <f>IF(ISBLANK(Values!$E20), "", "not_applicable")</f>
        <v>not_applicable</v>
      </c>
      <c r="DZ21" s="31"/>
      <c r="EA21" s="31"/>
      <c r="EB21" s="31"/>
      <c r="EC21" s="31"/>
      <c r="EI21" s="1" t="str">
        <f>IF(ISBLANK(Values!E20),"",Values!$B$31)</f>
        <v>6 Monate Garantie nach dem Liefertermin. Im Falle einer Fehlfunktion der Tastatur wird ein neues Gerät oder ein Ersatzteil für die Tastatur des Produkts gesendet. Bei Sortierung des Bestands wird eine volle Rückerstattung gewährt.</v>
      </c>
      <c r="ES21" s="1" t="str">
        <f>IF(ISBLANK(Values!E20),"","Amazon Tellus UPS")</f>
        <v>Amazon Tellus UPS</v>
      </c>
      <c r="EV21" s="31" t="str">
        <f>IF(ISBLANK(Values!E20),"","New")</f>
        <v>New</v>
      </c>
      <c r="FE21" s="1">
        <f>IF(ISBLANK(Values!E20),"",IF(CO21&lt;&gt;"DEFAULT", "", 3))</f>
        <v>3</v>
      </c>
      <c r="FH21" s="1" t="str">
        <f>IF(ISBLANK(Values!E20),"","FALSE")</f>
        <v>FALSE</v>
      </c>
      <c r="FI21" s="1" t="str">
        <f>IF(ISBLANK(Values!E20),"","FALSE")</f>
        <v>FALSE</v>
      </c>
      <c r="FJ21" s="1" t="str">
        <f>IF(ISBLANK(Values!E20),"","FALSE")</f>
        <v>FALSE</v>
      </c>
      <c r="FM21" s="1" t="str">
        <f>IF(ISBLANK(Values!E20),"","1")</f>
        <v>1</v>
      </c>
      <c r="FO21" s="28">
        <f>IF(ISBLANK(Values!E20),"",IF(Values!J20, Values!$B$4, Values!$B$5))</f>
        <v>47.99</v>
      </c>
      <c r="FP21" s="1" t="str">
        <f>IF(ISBLANK(Values!E20),"","Percent")</f>
        <v>Percent</v>
      </c>
      <c r="FQ21" s="1" t="str">
        <f>IF(ISBLANK(Values!E20),"","2")</f>
        <v>2</v>
      </c>
      <c r="FR21" s="1" t="str">
        <f>IF(ISBLANK(Values!E20),"","3")</f>
        <v>3</v>
      </c>
      <c r="FS21" s="1" t="str">
        <f>IF(ISBLANK(Values!E20),"","5")</f>
        <v>5</v>
      </c>
      <c r="FT21" s="1" t="str">
        <f>IF(ISBLANK(Values!E20),"","6")</f>
        <v>6</v>
      </c>
      <c r="FU21" s="1" t="str">
        <f>IF(ISBLANK(Values!E20),"","10")</f>
        <v>10</v>
      </c>
      <c r="FV21" s="1" t="str">
        <f>IF(ISBLANK(Values!E20),"","10")</f>
        <v>10</v>
      </c>
    </row>
    <row r="22" spans="1:192" ht="48" x14ac:dyDescent="0.2">
      <c r="A22" s="27" t="str">
        <f>IF(ISBLANK(Values!E21),"",IF(Values!$B$37="EU","computercomponent","computer"))</f>
        <v>computercomponent</v>
      </c>
      <c r="B22" s="38" t="str">
        <f>IF(ISBLANK(Values!E21),"",Values!F21)</f>
        <v>Lenovo E550 Regular - US INT</v>
      </c>
      <c r="C22" s="32" t="str">
        <f>IF(ISBLANK(Values!E21),"","TellusRem")</f>
        <v>TellusRem</v>
      </c>
      <c r="D22" s="30">
        <f>IF(ISBLANK(Values!E21),"",Values!E21)</f>
        <v>5714401550181</v>
      </c>
      <c r="E22" s="31" t="str">
        <f>IF(ISBLANK(Values!E21),"","EAN")</f>
        <v>EAN</v>
      </c>
      <c r="F22" s="28" t="str">
        <f>IF(ISBLANK(Values!E21),"",IF(Values!J21, SUBSTITUTE(Values!$B$1, "{language}", Values!H21) &amp; " " &amp;Values!$B$3, SUBSTITUTE(Values!$B$2, "{language}", Values!$H21) &amp; " " &amp;Values!$B$3))</f>
        <v>ersatztastatur US International Nicht Hintergrundbeleuchtung für Lenovo Thinkpad E550 E560 E560c</v>
      </c>
      <c r="G22" s="32" t="str">
        <f>IF(ISBLANK(Values!E21),"","TellusRem")</f>
        <v>TellusRem</v>
      </c>
      <c r="H22" s="27" t="str">
        <f>IF(ISBLANK(Values!E21),"",Values!$B$16)</f>
        <v>computer-keyboards</v>
      </c>
      <c r="I22" s="27" t="str">
        <f>IF(ISBLANK(Values!E21),"","4730574031")</f>
        <v>4730574031</v>
      </c>
      <c r="J22" s="39" t="str">
        <f>IF(ISBLANK(Values!E21),"",Values!F21 )</f>
        <v>Lenovo E550 Regular - US INT</v>
      </c>
      <c r="K22" s="28">
        <f>IF(ISBLANK(Values!E21),"",IF(Values!J21, Values!$B$4, Values!$B$5))</f>
        <v>47.99</v>
      </c>
      <c r="L22" s="40">
        <f>IF(ISBLANK(Values!E21),"",IF($CO22="DEFAULT", Values!$B$18, ""))</f>
        <v>5</v>
      </c>
      <c r="M22" s="28" t="str">
        <f>IF(ISBLANK(Values!E21),"",Values!$M21)</f>
        <v>https://download.lenovo.com/Images/Parts/00HN030/00HN030_A.jpg</v>
      </c>
      <c r="N22" s="28" t="str">
        <f>IF(ISBLANK(Values!$F21),"",Values!N21)</f>
        <v>https://download.lenovo.com/Images/Parts/00HN030/00HN030_B.jpg</v>
      </c>
      <c r="O22" s="28" t="str">
        <f>IF(ISBLANK(Values!$F21),"",Values!O21)</f>
        <v>https://download.lenovo.com/Images/Parts/00HN030/00HN030_details.jpg</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Child</v>
      </c>
      <c r="X22" s="32" t="str">
        <f>IF(ISBLANK(Values!E21),"",Values!$B$13)</f>
        <v>Lenovo E550 Parent</v>
      </c>
      <c r="Y22" s="39" t="str">
        <f>IF(ISBLANK(Values!E21),"","Size-Color")</f>
        <v>Size-Color</v>
      </c>
      <c r="Z22" s="32" t="str">
        <f>IF(ISBLANK(Values!E21),"","variation")</f>
        <v>variation</v>
      </c>
      <c r="AA22" s="36" t="str">
        <f>IF(ISBLANK(Values!E21),"",Values!$B$20)</f>
        <v>Update</v>
      </c>
      <c r="AB22" s="1" t="str">
        <f>IF(ISBLANK(Values!E21),"",Values!$B$29)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22" s="41" t="str">
        <f>IF(ISBLANK(Values!E21),"",IF(Values!I21,Values!$B$23,Values!$B$33))</f>
        <v xml:space="preserve">👉 ÜBERARBEITET: GELD SPAREN - Ersatz-Lenovo-Laptop-Tastatur, gleiche Qualität wie OEM-Tastaturen. TellusRem ist seit 2011 der weltweit führende Distributor von Tastaturen. Perfekte Ersatztastatur, einfach auszutauschen und zu installieren. </v>
      </c>
      <c r="AJ22" s="42" t="str">
        <f>IF(ISBLANK(Values!E21),"",Values!$B$24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22" s="1" t="str">
        <f>IF(ISBLANK(Values!E21),"",Values!$B$25)</f>
        <v xml:space="preserve">♻️ ÖFFENTLICHES PRODUKT - Kaufen Sie renoviert, KAUFEN SIE GRÜN! Reduzieren Sie mehr als 80% Kohlendioxid, indem Sie unsere überholten Tastaturen kaufen, im Vergleich zu einer neuen Tastatur! </v>
      </c>
      <c r="AL22" s="1" t="str">
        <f>IF(ISBLANK(Values!E21),"",SUBSTITUTE(SUBSTITUTE(IF(Values!$J21, Values!$B$26, Values!$B$33), "{language}", Values!$H21), "{flag}", INDEX(options!$E$1:$E$20, Values!$V21)))</f>
        <v xml:space="preserve">👉 LAYOUT - 🇺🇸 with € symbol US International Nicht Hintergrundbeleuchtung </v>
      </c>
      <c r="AM22" s="1" t="str">
        <f>SUBSTITUTE(IF(ISBLANK(Values!E21),"",Values!$B$27),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T22" s="28" t="str">
        <f>IF(ISBLANK(Values!E21),"",Values!H21)</f>
        <v>US International</v>
      </c>
      <c r="AV22" s="1" t="str">
        <f>IF(ISBLANK(Values!E21),"",IF(Values!J21,"Backlit", "Non-Backlit"))</f>
        <v>Non-Backlit</v>
      </c>
      <c r="AW22"/>
      <c r="BE22" s="27" t="str">
        <f>IF(ISBLANK(Values!E21),"","Professional Audience")</f>
        <v>Professional Audience</v>
      </c>
      <c r="BF22" s="27" t="str">
        <f>IF(ISBLANK(Values!E21),"","Consumer Audience")</f>
        <v>Consumer Audience</v>
      </c>
      <c r="BG22" s="27" t="str">
        <f>IF(ISBLANK(Values!E21),"","Adults")</f>
        <v>Adults</v>
      </c>
      <c r="BH22" s="27" t="str">
        <f>IF(ISBLANK(Values!E21),"","People")</f>
        <v>People</v>
      </c>
      <c r="CG22" s="1">
        <f>IF(ISBLANK(Values!E21),"",Values!$B$11)</f>
        <v>150</v>
      </c>
      <c r="CH22" s="1" t="str">
        <f>IF(ISBLANK(Values!E21),"","GR")</f>
        <v>GR</v>
      </c>
      <c r="CI22" s="1" t="str">
        <f>IF(ISBLANK(Values!E21),"",Values!$B$7)</f>
        <v>32</v>
      </c>
      <c r="CJ22" s="1" t="str">
        <f>IF(ISBLANK(Values!E21),"",Values!$B$8)</f>
        <v>18</v>
      </c>
      <c r="CK22" s="1" t="str">
        <f>IF(ISBLANK(Values!E21),"",Values!$B$9)</f>
        <v>2</v>
      </c>
      <c r="CL22" s="1" t="str">
        <f>IF(ISBLANK(Values!E21),"","CM")</f>
        <v>CM</v>
      </c>
      <c r="CO22" s="1" t="str">
        <f>IF(ISBLANK(Values!E21), "", IF(AND(Values!$B$37=options!$G$2, Values!$C21), "AMAZON_NA", IF(AND(Values!$B$37=options!$G$1, Values!$D21), "AMAZON_EU", "DEFAULT")))</f>
        <v>DEFAULT</v>
      </c>
      <c r="CP22" s="1" t="str">
        <f>IF(ISBLANK(Values!E21),"",Values!$B$7)</f>
        <v>32</v>
      </c>
      <c r="CQ22" s="1" t="str">
        <f>IF(ISBLANK(Values!E21),"",Values!$B$8)</f>
        <v>18</v>
      </c>
      <c r="CR22" s="1" t="str">
        <f>IF(ISBLANK(Values!E21),"",Values!$B$9)</f>
        <v>2</v>
      </c>
      <c r="CS22" s="1">
        <f>IF(ISBLANK(Values!E21),"",Values!$B$11)</f>
        <v>150</v>
      </c>
      <c r="CT22" s="1" t="str">
        <f>IF(ISBLANK(Values!E21),"","GR")</f>
        <v>GR</v>
      </c>
      <c r="CU22" s="1" t="str">
        <f>IF(ISBLANK(Values!E21),"","CM")</f>
        <v>CM</v>
      </c>
      <c r="CV22" s="36"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22" s="1" t="str">
        <f>IF(ISBLANK(Values!E21),"","No")</f>
        <v>No</v>
      </c>
      <c r="DA22" s="1" t="str">
        <f>IF(ISBLANK(Values!E21),"","No")</f>
        <v>No</v>
      </c>
      <c r="DO22" s="27" t="str">
        <f>IF(ISBLANK(Values!E21),"","Parts")</f>
        <v>Parts</v>
      </c>
      <c r="DP22" s="27" t="str">
        <f>IF(ISBLANK(Values!E21),"",Values!$B$31)</f>
        <v>6 Monate Garantie nach dem Liefertermin. Im Falle einer Fehlfunktion der Tastatur wird ein neues Gerät oder ein Ersatzteil für die Tastatur des Produkts gesendet. Bei Sortierung des Bestands wird eine volle Rückerstattung gewährt.</v>
      </c>
      <c r="DS22" s="31"/>
      <c r="DY22" t="str">
        <f>IF(ISBLANK(Values!$E21), "", "not_applicable")</f>
        <v>not_applicable</v>
      </c>
      <c r="DZ22" s="31"/>
      <c r="EA22" s="31"/>
      <c r="EB22" s="31"/>
      <c r="EC22" s="31"/>
      <c r="EI22" s="1" t="str">
        <f>IF(ISBLANK(Values!E21),"",Values!$B$31)</f>
        <v>6 Monate Garantie nach dem Liefertermin. Im Falle einer Fehlfunktion der Tastatur wird ein neues Gerät oder ein Ersatzteil für die Tastatur des Produkts gesendet. Bei Sortierung des Bestands wird eine volle Rückerstattung gewährt.</v>
      </c>
      <c r="ES22" s="1" t="str">
        <f>IF(ISBLANK(Values!E21),"","Amazon Tellus UPS")</f>
        <v>Amazon Tellus UPS</v>
      </c>
      <c r="EV22" s="31" t="str">
        <f>IF(ISBLANK(Values!E21),"","New")</f>
        <v>New</v>
      </c>
      <c r="FE22" s="1">
        <f>IF(ISBLANK(Values!E21),"",IF(CO22&lt;&gt;"DEFAULT", "", 3))</f>
        <v>3</v>
      </c>
      <c r="FH22" s="1" t="str">
        <f>IF(ISBLANK(Values!E21),"","FALSE")</f>
        <v>FALSE</v>
      </c>
      <c r="FI22" s="1" t="str">
        <f>IF(ISBLANK(Values!E21),"","FALSE")</f>
        <v>FALSE</v>
      </c>
      <c r="FJ22" s="1" t="str">
        <f>IF(ISBLANK(Values!E21),"","FALSE")</f>
        <v>FALSE</v>
      </c>
      <c r="FM22" s="1" t="str">
        <f>IF(ISBLANK(Values!E21),"","1")</f>
        <v>1</v>
      </c>
      <c r="FO22" s="28">
        <f>IF(ISBLANK(Values!E21),"",IF(Values!J21, Values!$B$4, Values!$B$5))</f>
        <v>47.99</v>
      </c>
      <c r="FP22" s="1" t="str">
        <f>IF(ISBLANK(Values!E21),"","Percent")</f>
        <v>Percent</v>
      </c>
      <c r="FQ22" s="1" t="str">
        <f>IF(ISBLANK(Values!E21),"","2")</f>
        <v>2</v>
      </c>
      <c r="FR22" s="1" t="str">
        <f>IF(ISBLANK(Values!E21),"","3")</f>
        <v>3</v>
      </c>
      <c r="FS22" s="1" t="str">
        <f>IF(ISBLANK(Values!E21),"","5")</f>
        <v>5</v>
      </c>
      <c r="FT22" s="1" t="str">
        <f>IF(ISBLANK(Values!E21),"","6")</f>
        <v>6</v>
      </c>
      <c r="FU22" s="1" t="str">
        <f>IF(ISBLANK(Values!E21),"","10")</f>
        <v>10</v>
      </c>
      <c r="FV22" s="1" t="str">
        <f>IF(ISBLANK(Values!E21),"","10")</f>
        <v>10</v>
      </c>
    </row>
    <row r="23" spans="1:192" s="43" customFormat="1" ht="48" x14ac:dyDescent="0.2">
      <c r="A23" s="27" t="str">
        <f>IF(ISBLANK(Values!E22),"",IF(Values!$B$37="EU","computercomponent","computer"))</f>
        <v>computercomponent</v>
      </c>
      <c r="B23" s="38" t="str">
        <f>IF(ISBLANK(Values!E22),"",Values!F22)</f>
        <v>Lenovo E550 Regular - RUS</v>
      </c>
      <c r="C23" s="32" t="str">
        <f>IF(ISBLANK(Values!E22),"","TellusRem")</f>
        <v>TellusRem</v>
      </c>
      <c r="D23" s="30">
        <f>IF(ISBLANK(Values!E22),"",Values!E22)</f>
        <v>5714401550198</v>
      </c>
      <c r="E23" s="31" t="str">
        <f>IF(ISBLANK(Values!E22),"","EAN")</f>
        <v>EAN</v>
      </c>
      <c r="F23" s="28" t="str">
        <f>IF(ISBLANK(Values!E22),"",IF(Values!J22, SUBSTITUTE(Values!$B$1, "{language}", Values!H22) &amp; " " &amp;Values!$B$3, SUBSTITUTE(Values!$B$2, "{language}", Values!$H22) &amp; " " &amp;Values!$B$3))</f>
        <v>ersatztastatur Russisch Nicht Hintergrundbeleuchtung für Lenovo Thinkpad E550 E560 E560c</v>
      </c>
      <c r="G23" s="32" t="str">
        <f>IF(ISBLANK(Values!E22),"","TellusRem")</f>
        <v>TellusRem</v>
      </c>
      <c r="H23" s="27" t="str">
        <f>IF(ISBLANK(Values!E22),"",Values!$B$16)</f>
        <v>computer-keyboards</v>
      </c>
      <c r="I23" s="27" t="str">
        <f>IF(ISBLANK(Values!E22),"","4730574031")</f>
        <v>4730574031</v>
      </c>
      <c r="J23" s="39" t="str">
        <f>IF(ISBLANK(Values!E22),"",Values!F22 )</f>
        <v>Lenovo E550 Regular - RUS</v>
      </c>
      <c r="K23" s="28">
        <f>IF(ISBLANK(Values!E22),"",IF(Values!J22, Values!$B$4, Values!$B$5))</f>
        <v>47.99</v>
      </c>
      <c r="L23" s="40">
        <f>IF(ISBLANK(Values!E22),"",IF($CO23="DEFAULT", Values!$B$18, ""))</f>
        <v>5</v>
      </c>
      <c r="M23" s="28" t="str">
        <f>IF(ISBLANK(Values!E22),"",Values!$M22)</f>
        <v>https://download.lenovo.com/Images/Parts/00HN023/00HN023_A.jpg</v>
      </c>
      <c r="N23" s="28" t="str">
        <f>IF(ISBLANK(Values!$F22),"",Values!N22)</f>
        <v>https://download.lenovo.com/Images/Parts/00HN023/00HN023_B.jpg</v>
      </c>
      <c r="O23" s="28" t="str">
        <f>IF(ISBLANK(Values!$F22),"",Values!O22)</f>
        <v>https://download.lenovo.com/Images/Parts/00HN023/00HN023_details.jpg</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Child</v>
      </c>
      <c r="X23" s="32" t="str">
        <f>IF(ISBLANK(Values!E22),"",Values!$B$13)</f>
        <v>Lenovo E550 Parent</v>
      </c>
      <c r="Y23" s="39" t="str">
        <f>IF(ISBLANK(Values!E22),"","Size-Color")</f>
        <v>Size-Color</v>
      </c>
      <c r="Z23" s="32" t="str">
        <f>IF(ISBLANK(Values!E22),"","variation")</f>
        <v>variation</v>
      </c>
      <c r="AA23" s="36" t="str">
        <f>IF(ISBLANK(Values!E22),"",Values!$B$20)</f>
        <v>Update</v>
      </c>
      <c r="AB23" s="1" t="str">
        <f>IF(ISBLANK(Values!E22),"",Values!$B$29)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23" s="1"/>
      <c r="AD23" s="1"/>
      <c r="AE23" s="1"/>
      <c r="AF23" s="1"/>
      <c r="AG23" s="1"/>
      <c r="AH23" s="1"/>
      <c r="AI23" s="41" t="str">
        <f>IF(ISBLANK(Values!E22),"",IF(Values!I22,Values!$B$23,Values!$B$33))</f>
        <v xml:space="preserve">👉 ÜBERARBEITET: GELD SPAREN - Ersatz-Lenovo-Laptop-Tastatur, gleiche Qualität wie OEM-Tastaturen. TellusRem ist seit 2011 der weltweit führende Distributor von Tastaturen. Perfekte Ersatztastatur, einfach auszutauschen und zu installieren. </v>
      </c>
      <c r="AJ23" s="42" t="str">
        <f>IF(ISBLANK(Values!E22),"",Values!$B$24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23" s="1" t="str">
        <f>IF(ISBLANK(Values!E22),"",Values!$B$25)</f>
        <v xml:space="preserve">♻️ ÖFFENTLICHES PRODUKT - Kaufen Sie renoviert, KAUFEN SIE GRÜN! Reduzieren Sie mehr als 80% Kohlendioxid, indem Sie unsere überholten Tastaturen kaufen, im Vergleich zu einer neuen Tastatur! </v>
      </c>
      <c r="AL23" s="1" t="str">
        <f>IF(ISBLANK(Values!E22),"",SUBSTITUTE(SUBSTITUTE(IF(Values!$J22, Values!$B$26, Values!$B$33), "{language}", Values!$H22), "{flag}", INDEX(options!$E$1:$E$20, Values!$V22)))</f>
        <v xml:space="preserve">👉 LAYOUT - 🇷🇺 Russisch Nicht Hintergrundbeleuchtung </v>
      </c>
      <c r="AM23" s="1" t="str">
        <f>SUBSTITUTE(IF(ISBLANK(Values!E22),"",Values!$B$27),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N23" s="1"/>
      <c r="AO23" s="1"/>
      <c r="AP23" s="1"/>
      <c r="AQ23" s="1"/>
      <c r="AR23" s="1"/>
      <c r="AS23" s="1"/>
      <c r="AT23" s="28" t="str">
        <f>IF(ISBLANK(Values!E22),"",Values!H22)</f>
        <v>Russisch</v>
      </c>
      <c r="AU23" s="1"/>
      <c r="AV23" s="1" t="str">
        <f>IF(ISBLANK(Values!E22),"",IF(Values!J22,"Backlit", "Non-Backlit"))</f>
        <v>Non-Backlit</v>
      </c>
      <c r="AW23"/>
      <c r="AX23" s="1"/>
      <c r="AY23" s="1"/>
      <c r="AZ23" s="1"/>
      <c r="BA23" s="1"/>
      <c r="BB23" s="1"/>
      <c r="BC23" s="1"/>
      <c r="BD23" s="1"/>
      <c r="BE23" s="27" t="str">
        <f>IF(ISBLANK(Values!E22),"","Professional Audience")</f>
        <v>Professional Audience</v>
      </c>
      <c r="BF23" s="27" t="str">
        <f>IF(ISBLANK(Values!E22),"","Consumer Audience")</f>
        <v>Consumer Audience</v>
      </c>
      <c r="BG23" s="27" t="str">
        <f>IF(ISBLANK(Values!E22),"","Adults")</f>
        <v>Adults</v>
      </c>
      <c r="BH23" s="27" t="str">
        <f>IF(ISBLANK(Values!E22),"","People")</f>
        <v>People</v>
      </c>
      <c r="BI23" s="1"/>
      <c r="BJ23" s="1"/>
      <c r="BK23" s="1"/>
      <c r="BL23" s="1"/>
      <c r="BM23" s="1"/>
      <c r="BN23" s="1"/>
      <c r="BO23" s="1"/>
      <c r="BP23" s="1"/>
      <c r="BQ23" s="1"/>
      <c r="BR23" s="1"/>
      <c r="BS23" s="1"/>
      <c r="BT23" s="1"/>
      <c r="BU23" s="1"/>
      <c r="BV23" s="1"/>
      <c r="BW23" s="1"/>
      <c r="BX23" s="1"/>
      <c r="BY23" s="1"/>
      <c r="BZ23" s="1"/>
      <c r="CA23" s="1"/>
      <c r="CB23" s="1"/>
      <c r="CC23" s="1"/>
      <c r="CD23" s="1"/>
      <c r="CE23" s="1"/>
      <c r="CF23" s="1"/>
      <c r="CG23" s="1">
        <f>IF(ISBLANK(Values!E22),"",Values!$B$11)</f>
        <v>150</v>
      </c>
      <c r="CH23" s="1" t="str">
        <f>IF(ISBLANK(Values!E22),"","GR")</f>
        <v>GR</v>
      </c>
      <c r="CI23" s="1" t="str">
        <f>IF(ISBLANK(Values!E22),"",Values!$B$7)</f>
        <v>32</v>
      </c>
      <c r="CJ23" s="1" t="str">
        <f>IF(ISBLANK(Values!E22),"",Values!$B$8)</f>
        <v>18</v>
      </c>
      <c r="CK23" s="1" t="str">
        <f>IF(ISBLANK(Values!E22),"",Values!$B$9)</f>
        <v>2</v>
      </c>
      <c r="CL23" s="1" t="str">
        <f>IF(ISBLANK(Values!E22),"","CM")</f>
        <v>CM</v>
      </c>
      <c r="CM23" s="1"/>
      <c r="CN23" s="1"/>
      <c r="CO23" s="1" t="str">
        <f>IF(ISBLANK(Values!E22), "", IF(AND(Values!$B$37=options!$G$2, Values!$C22), "AMAZON_NA", IF(AND(Values!$B$37=options!$G$1, Values!$D22), "AMAZON_EU", "DEFAULT")))</f>
        <v>DEFAULT</v>
      </c>
      <c r="CP23" s="1" t="str">
        <f>IF(ISBLANK(Values!E22),"",Values!$B$7)</f>
        <v>32</v>
      </c>
      <c r="CQ23" s="1" t="str">
        <f>IF(ISBLANK(Values!E22),"",Values!$B$8)</f>
        <v>18</v>
      </c>
      <c r="CR23" s="1" t="str">
        <f>IF(ISBLANK(Values!E22),"",Values!$B$9)</f>
        <v>2</v>
      </c>
      <c r="CS23" s="1">
        <f>IF(ISBLANK(Values!E22),"",Values!$B$11)</f>
        <v>150</v>
      </c>
      <c r="CT23" s="1" t="str">
        <f>IF(ISBLANK(Values!E22),"","GR")</f>
        <v>GR</v>
      </c>
      <c r="CU23" s="1" t="str">
        <f>IF(ISBLANK(Values!E22),"","CM")</f>
        <v>CM</v>
      </c>
      <c r="CV23" s="36"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23" s="1"/>
      <c r="CX23" s="1"/>
      <c r="CY23" s="1"/>
      <c r="CZ23" s="1" t="str">
        <f>IF(ISBLANK(Values!E22),"","No")</f>
        <v>No</v>
      </c>
      <c r="DA23" s="1" t="str">
        <f>IF(ISBLANK(Values!E22),"","No")</f>
        <v>No</v>
      </c>
      <c r="DB23" s="1"/>
      <c r="DC23" s="1"/>
      <c r="DD23" s="1"/>
      <c r="DE23" s="1"/>
      <c r="DF23" s="1"/>
      <c r="DG23" s="1"/>
      <c r="DH23" s="1"/>
      <c r="DI23" s="1"/>
      <c r="DJ23" s="1"/>
      <c r="DK23" s="1"/>
      <c r="DL23" s="1"/>
      <c r="DM23" s="1"/>
      <c r="DN23" s="1"/>
      <c r="DO23" s="27" t="str">
        <f>IF(ISBLANK(Values!E22),"","Parts")</f>
        <v>Parts</v>
      </c>
      <c r="DP23" s="27" t="str">
        <f>IF(ISBLANK(Values!E22),"",Values!$B$31)</f>
        <v>6 Monate Garantie nach dem Liefertermin. Im Falle einer Fehlfunktion der Tastatur wird ein neues Gerät oder ein Ersatzteil für die Tastatur des Produkts gesendet. Bei Sortierung des Bestands wird eine volle Rückerstattung gewährt.</v>
      </c>
      <c r="DQ23" s="1"/>
      <c r="DR23" s="1"/>
      <c r="DS23" s="31"/>
      <c r="DT23" s="1"/>
      <c r="DU23" s="1"/>
      <c r="DV23" s="1"/>
      <c r="DW23" s="1"/>
      <c r="DX23" s="1"/>
      <c r="DY23" t="str">
        <f>IF(ISBLANK(Values!$E22), "", "not_applicable")</f>
        <v>not_applicable</v>
      </c>
      <c r="DZ23" s="31"/>
      <c r="EA23" s="31"/>
      <c r="EB23" s="31"/>
      <c r="EC23" s="31"/>
      <c r="ED23" s="1"/>
      <c r="EE23" s="1"/>
      <c r="EF23" s="1"/>
      <c r="EG23" s="1"/>
      <c r="EH23" s="1"/>
      <c r="EI23" s="1" t="str">
        <f>IF(ISBLANK(Values!E22),"",Values!$B$31)</f>
        <v>6 Monate Garantie nach dem Liefertermin. Im Falle einer Fehlfunktion der Tastatur wird ein neues Gerät oder ein Ersatzteil für die Tastatur des Produkts gesendet. Bei Sortierung des Bestands wird eine volle Rückerstattung gewährt.</v>
      </c>
      <c r="EJ23" s="1"/>
      <c r="EK23" s="1"/>
      <c r="EL23" s="1"/>
      <c r="EM23" s="1"/>
      <c r="EN23" s="1"/>
      <c r="EO23" s="1"/>
      <c r="EP23" s="1"/>
      <c r="EQ23" s="1"/>
      <c r="ER23" s="1"/>
      <c r="ES23" s="1" t="str">
        <f>IF(ISBLANK(Values!E22),"","Amazon Tellus UPS")</f>
        <v>Amazon Tellus UPS</v>
      </c>
      <c r="ET23" s="1"/>
      <c r="EU23" s="1"/>
      <c r="EV23" s="31" t="str">
        <f>IF(ISBLANK(Values!E22),"","New")</f>
        <v>New</v>
      </c>
      <c r="EW23" s="1"/>
      <c r="EX23" s="1"/>
      <c r="EY23" s="1"/>
      <c r="EZ23" s="1"/>
      <c r="FA23" s="1"/>
      <c r="FB23" s="1"/>
      <c r="FC23" s="1"/>
      <c r="FD23" s="1"/>
      <c r="FE23" s="1">
        <f>IF(ISBLANK(Values!E22),"",IF(CO23&lt;&gt;"DEFAULT", "", 3))</f>
        <v>3</v>
      </c>
      <c r="FF23" s="1"/>
      <c r="FG23" s="1"/>
      <c r="FH23" s="1" t="str">
        <f>IF(ISBLANK(Values!E22),"","FALSE")</f>
        <v>FALSE</v>
      </c>
      <c r="FI23" s="1" t="str">
        <f>IF(ISBLANK(Values!E22),"","FALSE")</f>
        <v>FALSE</v>
      </c>
      <c r="FJ23" s="1" t="str">
        <f>IF(ISBLANK(Values!E22),"","FALSE")</f>
        <v>FALSE</v>
      </c>
      <c r="FK23" s="1"/>
      <c r="FL23" s="1"/>
      <c r="FM23" s="1" t="str">
        <f>IF(ISBLANK(Values!E22),"","1")</f>
        <v>1</v>
      </c>
      <c r="FN23" s="1"/>
      <c r="FO23" s="28">
        <f>IF(ISBLANK(Values!E22),"",IF(Values!J22, Values!$B$4, Values!$B$5))</f>
        <v>47.99</v>
      </c>
      <c r="FP23" s="1" t="str">
        <f>IF(ISBLANK(Values!E22),"","Percent")</f>
        <v>Percent</v>
      </c>
      <c r="FQ23" s="1" t="str">
        <f>IF(ISBLANK(Values!E22),"","2")</f>
        <v>2</v>
      </c>
      <c r="FR23" s="1" t="str">
        <f>IF(ISBLANK(Values!E22),"","3")</f>
        <v>3</v>
      </c>
      <c r="FS23" s="1" t="str">
        <f>IF(ISBLANK(Values!E22),"","5")</f>
        <v>5</v>
      </c>
      <c r="FT23" s="1" t="str">
        <f>IF(ISBLANK(Values!E22),"","6")</f>
        <v>6</v>
      </c>
      <c r="FU23" s="1" t="str">
        <f>IF(ISBLANK(Values!E22),"","10")</f>
        <v>10</v>
      </c>
      <c r="FV23" s="1" t="str">
        <f>IF(ISBLANK(Values!E22),"","10")</f>
        <v>10</v>
      </c>
      <c r="FW23" s="1"/>
      <c r="FX23" s="1"/>
      <c r="FY23" s="1"/>
      <c r="FZ23" s="1"/>
      <c r="GA23" s="1"/>
      <c r="GB23" s="1"/>
      <c r="GC23" s="1"/>
      <c r="GD23" s="1"/>
      <c r="GE23" s="1"/>
      <c r="GF23" s="1"/>
      <c r="GG23" s="1"/>
      <c r="GH23" s="1"/>
      <c r="GI23" s="1"/>
      <c r="GJ23" s="1"/>
    </row>
    <row r="24" spans="1:192" s="43" customFormat="1" ht="48" x14ac:dyDescent="0.2">
      <c r="A24" s="27" t="str">
        <f>IF(ISBLANK(Values!E23),"",IF(Values!$B$37="EU","computercomponent","computer"))</f>
        <v>computercomponent</v>
      </c>
      <c r="B24" s="38" t="str">
        <f>IF(ISBLANK(Values!E23),"",Values!F23)</f>
        <v>Lenovo E550 Regular - US</v>
      </c>
      <c r="C24" s="32" t="str">
        <f>IF(ISBLANK(Values!E23),"","TellusRem")</f>
        <v>TellusRem</v>
      </c>
      <c r="D24" s="30">
        <f>IF(ISBLANK(Values!E23),"",Values!E23)</f>
        <v>5714401550204</v>
      </c>
      <c r="E24" s="31" t="str">
        <f>IF(ISBLANK(Values!E23),"","EAN")</f>
        <v>EAN</v>
      </c>
      <c r="F24" s="28" t="str">
        <f>IF(ISBLANK(Values!E23),"",IF(Values!J23, SUBSTITUTE(Values!$B$1, "{language}", Values!H23) &amp; " " &amp;Values!$B$3, SUBSTITUTE(Values!$B$2, "{language}", Values!$H23) &amp; " " &amp;Values!$B$3))</f>
        <v>ersatztastatur US  Nicht Hintergrundbeleuchtung für Lenovo Thinkpad E550 E560 E560c</v>
      </c>
      <c r="G24" s="32" t="str">
        <f>IF(ISBLANK(Values!E23),"","TellusRem")</f>
        <v>TellusRem</v>
      </c>
      <c r="H24" s="27" t="str">
        <f>IF(ISBLANK(Values!E23),"",Values!$B$16)</f>
        <v>computer-keyboards</v>
      </c>
      <c r="I24" s="27" t="str">
        <f>IF(ISBLANK(Values!E23),"","4730574031")</f>
        <v>4730574031</v>
      </c>
      <c r="J24" s="39" t="str">
        <f>IF(ISBLANK(Values!E23),"",Values!F23 )</f>
        <v>Lenovo E550 Regular - US</v>
      </c>
      <c r="K24" s="28">
        <f>IF(ISBLANK(Values!E23),"",IF(Values!J23, Values!$B$4, Values!$B$5))</f>
        <v>47.99</v>
      </c>
      <c r="L24" s="40">
        <f>IF(ISBLANK(Values!E23),"",IF($CO24="DEFAULT", Values!$B$18, ""))</f>
        <v>5</v>
      </c>
      <c r="M24" s="28" t="str">
        <f>IF(ISBLANK(Values!E23),"",Values!$M23)</f>
        <v>https://download.lenovo.com/Images/Parts/00HN000/00HN000_A.jpg</v>
      </c>
      <c r="N24" s="28" t="str">
        <f>IF(ISBLANK(Values!$F23),"",Values!N23)</f>
        <v>https://download.lenovo.com/Images/Parts/00HN000/00HN000_B.jpg</v>
      </c>
      <c r="O24" s="28" t="str">
        <f>IF(ISBLANK(Values!$F23),"",Values!O23)</f>
        <v>https://download.lenovo.com/Images/Parts/00HN000/00HN000_details.jpg</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Child</v>
      </c>
      <c r="X24" s="32" t="str">
        <f>IF(ISBLANK(Values!E23),"",Values!$B$13)</f>
        <v>Lenovo E550 Parent</v>
      </c>
      <c r="Y24" s="39" t="str">
        <f>IF(ISBLANK(Values!E23),"","Size-Color")</f>
        <v>Size-Color</v>
      </c>
      <c r="Z24" s="32" t="str">
        <f>IF(ISBLANK(Values!E23),"","variation")</f>
        <v>variation</v>
      </c>
      <c r="AA24" s="36" t="str">
        <f>IF(ISBLANK(Values!E23),"",Values!$B$20)</f>
        <v>Update</v>
      </c>
      <c r="AB24" s="1" t="str">
        <f>IF(ISBLANK(Values!E23),"",Values!$B$29)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24" s="1"/>
      <c r="AD24" s="1"/>
      <c r="AE24" s="1"/>
      <c r="AF24" s="1"/>
      <c r="AG24" s="1"/>
      <c r="AH24" s="1"/>
      <c r="AI24" s="41" t="str">
        <f>IF(ISBLANK(Values!E23),"",IF(Values!I23,Values!$B$23,Values!$B$33))</f>
        <v xml:space="preserve">👉 ÜBERARBEITET: GELD SPAREN - Ersatz-Lenovo-Laptop-Tastatur, gleiche Qualität wie OEM-Tastaturen. TellusRem ist seit 2011 der weltweit führende Distributor von Tastaturen. Perfekte Ersatztastatur, einfach auszutauschen und zu installieren. </v>
      </c>
      <c r="AJ24" s="42" t="str">
        <f>IF(ISBLANK(Values!E23),"",Values!$B$24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E550 E560 E560c</v>
      </c>
      <c r="AK24" s="1" t="str">
        <f>IF(ISBLANK(Values!E23),"",Values!$B$25)</f>
        <v xml:space="preserve">♻️ ÖFFENTLICHES PRODUKT - Kaufen Sie renoviert, KAUFEN SIE GRÜN! Reduzieren Sie mehr als 80% Kohlendioxid, indem Sie unsere überholten Tastaturen kaufen, im Vergleich zu einer neuen Tastatur! </v>
      </c>
      <c r="AL24" s="1" t="str">
        <f>IF(ISBLANK(Values!E23),"",SUBSTITUTE(SUBSTITUTE(IF(Values!$J23, Values!$B$26, Values!$B$33), "{language}", Values!$H23), "{flag}", INDEX(options!$E$1:$E$20, Values!$V23)))</f>
        <v xml:space="preserve">👉 LAYOUT - 🇺🇸 US  Nicht Hintergrundbeleuchtung </v>
      </c>
      <c r="AM24" s="1" t="str">
        <f>SUBSTITUTE(IF(ISBLANK(Values!E23),"",Values!$B$27), "{model}", Values!$B$3)</f>
        <v xml:space="preserve">👉 KOMPATIBEL MIT - Lenovo E550 E560 E560c. Bitte überprüfen Sie das Bild und die Beschreibung sorgfältig, bevor Sie eine Tastatur kaufen. Dies stellt sicher, dass Sie die richtige Laptop-Tastatur für Ihren Computer erhalten. Super einfache Installation. </v>
      </c>
      <c r="AN24" s="1"/>
      <c r="AO24" s="1"/>
      <c r="AP24" s="1"/>
      <c r="AQ24" s="1"/>
      <c r="AR24" s="1"/>
      <c r="AS24" s="1"/>
      <c r="AT24" s="28" t="str">
        <f>IF(ISBLANK(Values!E23),"",Values!H23)</f>
        <v xml:space="preserve">US </v>
      </c>
      <c r="AU24" s="1"/>
      <c r="AV24" s="1" t="str">
        <f>IF(ISBLANK(Values!E23),"",IF(Values!J23,"Backlit", "Non-Backlit"))</f>
        <v>Non-Backlit</v>
      </c>
      <c r="AW24"/>
      <c r="AX24" s="1"/>
      <c r="AY24" s="1"/>
      <c r="AZ24" s="1"/>
      <c r="BA24" s="1"/>
      <c r="BB24" s="1"/>
      <c r="BC24" s="1"/>
      <c r="BD24" s="1"/>
      <c r="BE24" s="27" t="str">
        <f>IF(ISBLANK(Values!E23),"","Professional Audience")</f>
        <v>Professional Audience</v>
      </c>
      <c r="BF24" s="27" t="str">
        <f>IF(ISBLANK(Values!E23),"","Consumer Audience")</f>
        <v>Consumer Audience</v>
      </c>
      <c r="BG24" s="27" t="str">
        <f>IF(ISBLANK(Values!E23),"","Adults")</f>
        <v>Adults</v>
      </c>
      <c r="BH24" s="27" t="str">
        <f>IF(ISBLANK(Values!E23),"","People")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f>IF(ISBLANK(Values!E23),"",Values!$B$11)</f>
        <v>150</v>
      </c>
      <c r="CH24" s="1" t="str">
        <f>IF(ISBLANK(Values!E23),"","GR")</f>
        <v>GR</v>
      </c>
      <c r="CI24" s="1" t="str">
        <f>IF(ISBLANK(Values!E23),"",Values!$B$7)</f>
        <v>32</v>
      </c>
      <c r="CJ24" s="1" t="str">
        <f>IF(ISBLANK(Values!E23),"",Values!$B$8)</f>
        <v>18</v>
      </c>
      <c r="CK24" s="1" t="str">
        <f>IF(ISBLANK(Values!E23),"",Values!$B$9)</f>
        <v>2</v>
      </c>
      <c r="CL24" s="1" t="str">
        <f>IF(ISBLANK(Values!E23),"","CM")</f>
        <v>CM</v>
      </c>
      <c r="CM24" s="1"/>
      <c r="CN24" s="1"/>
      <c r="CO24" s="1" t="str">
        <f>IF(ISBLANK(Values!E23), "", IF(AND(Values!$B$37=options!$G$2, Values!$C23), "AMAZON_NA", IF(AND(Values!$B$37=options!$G$1, Values!$D23), "AMAZON_EU", "DEFAULT")))</f>
        <v>DEFAULT</v>
      </c>
      <c r="CP24" s="1" t="str">
        <f>IF(ISBLANK(Values!E23),"",Values!$B$7)</f>
        <v>32</v>
      </c>
      <c r="CQ24" s="1" t="str">
        <f>IF(ISBLANK(Values!E23),"",Values!$B$8)</f>
        <v>18</v>
      </c>
      <c r="CR24" s="1" t="str">
        <f>IF(ISBLANK(Values!E23),"",Values!$B$9)</f>
        <v>2</v>
      </c>
      <c r="CS24" s="1">
        <f>IF(ISBLANK(Values!E23),"",Values!$B$11)</f>
        <v>150</v>
      </c>
      <c r="CT24" s="1" t="str">
        <f>IF(ISBLANK(Values!E23),"","GR")</f>
        <v>GR</v>
      </c>
      <c r="CU24" s="1" t="str">
        <f>IF(ISBLANK(Values!E23),"","CM")</f>
        <v>CM</v>
      </c>
      <c r="CV24" s="36"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24" s="1"/>
      <c r="CX24" s="1"/>
      <c r="CY24" s="1"/>
      <c r="CZ24" s="1" t="str">
        <f>IF(ISBLANK(Values!E23),"","No")</f>
        <v>No</v>
      </c>
      <c r="DA24" s="1" t="str">
        <f>IF(ISBLANK(Values!E23),"","No")</f>
        <v>No</v>
      </c>
      <c r="DB24" s="1"/>
      <c r="DC24" s="1"/>
      <c r="DD24" s="1"/>
      <c r="DE24" s="1"/>
      <c r="DF24" s="1"/>
      <c r="DG24" s="1"/>
      <c r="DH24" s="1"/>
      <c r="DI24" s="1"/>
      <c r="DJ24" s="1"/>
      <c r="DK24" s="1"/>
      <c r="DL24" s="1"/>
      <c r="DM24" s="1"/>
      <c r="DN24" s="1"/>
      <c r="DO24" s="27" t="str">
        <f>IF(ISBLANK(Values!E23),"","Parts")</f>
        <v>Parts</v>
      </c>
      <c r="DP24" s="27" t="str">
        <f>IF(ISBLANK(Values!E23),"",Values!$B$31)</f>
        <v>6 Monate Garantie nach dem Liefertermin. Im Falle einer Fehlfunktion der Tastatur wird ein neues Gerät oder ein Ersatzteil für die Tastatur des Produkts gesendet. Bei Sortierung des Bestands wird eine volle Rückerstattung gewährt.</v>
      </c>
      <c r="DQ24" s="1"/>
      <c r="DR24" s="1"/>
      <c r="DS24" s="31"/>
      <c r="DT24" s="1"/>
      <c r="DU24" s="1"/>
      <c r="DV24" s="1"/>
      <c r="DW24" s="1"/>
      <c r="DX24" s="1"/>
      <c r="DY24" t="str">
        <f>IF(ISBLANK(Values!$E23), "", "not_applicable")</f>
        <v>not_applicable</v>
      </c>
      <c r="DZ24" s="31"/>
      <c r="EA24" s="31"/>
      <c r="EB24" s="31"/>
      <c r="EC24" s="31"/>
      <c r="ED24" s="1"/>
      <c r="EE24" s="1"/>
      <c r="EF24" s="1"/>
      <c r="EG24" s="1"/>
      <c r="EH24" s="1"/>
      <c r="EI24" s="1" t="str">
        <f>IF(ISBLANK(Values!E23),"",Values!$B$31)</f>
        <v>6 Monate Garantie nach dem Liefertermin. Im Falle einer Fehlfunktion der Tastatur wird ein neues Gerät oder ein Ersatzteil für die Tastatur des Produkts gesendet. Bei Sortierung des Bestands wird eine volle Rückerstattung gewährt.</v>
      </c>
      <c r="EJ24" s="1"/>
      <c r="EK24" s="1"/>
      <c r="EL24" s="1"/>
      <c r="EM24" s="1"/>
      <c r="EN24" s="1"/>
      <c r="EO24" s="1"/>
      <c r="EP24" s="1"/>
      <c r="EQ24" s="1"/>
      <c r="ER24" s="1"/>
      <c r="ES24" s="1" t="str">
        <f>IF(ISBLANK(Values!E23),"","Amazon Tellus UPS")</f>
        <v>Amazon Tellus UPS</v>
      </c>
      <c r="ET24" s="1"/>
      <c r="EU24" s="1"/>
      <c r="EV24" s="31" t="str">
        <f>IF(ISBLANK(Values!E23),"","New")</f>
        <v>New</v>
      </c>
      <c r="EW24" s="1"/>
      <c r="EX24" s="1"/>
      <c r="EY24" s="1"/>
      <c r="EZ24" s="1"/>
      <c r="FA24" s="1"/>
      <c r="FB24" s="1"/>
      <c r="FC24" s="1"/>
      <c r="FD24" s="1"/>
      <c r="FE24" s="1">
        <f>IF(ISBLANK(Values!E23),"",IF(CO24&lt;&gt;"DEFAULT", "", 3))</f>
        <v>3</v>
      </c>
      <c r="FF24" s="1"/>
      <c r="FG24" s="1"/>
      <c r="FH24" s="1" t="str">
        <f>IF(ISBLANK(Values!E23),"","FALSE")</f>
        <v>FALSE</v>
      </c>
      <c r="FI24" s="1" t="str">
        <f>IF(ISBLANK(Values!E23),"","FALSE")</f>
        <v>FALSE</v>
      </c>
      <c r="FJ24" s="1" t="str">
        <f>IF(ISBLANK(Values!E23),"","FALSE")</f>
        <v>FALSE</v>
      </c>
      <c r="FK24" s="1"/>
      <c r="FL24" s="1"/>
      <c r="FM24" s="1" t="str">
        <f>IF(ISBLANK(Values!E23),"","1")</f>
        <v>1</v>
      </c>
      <c r="FN24" s="1"/>
      <c r="FO24" s="28">
        <f>IF(ISBLANK(Values!E23),"",IF(Values!J23, Values!$B$4, Values!$B$5))</f>
        <v>47.99</v>
      </c>
      <c r="FP24" s="1" t="str">
        <f>IF(ISBLANK(Values!E23),"","Percent")</f>
        <v>Percent</v>
      </c>
      <c r="FQ24" s="1" t="str">
        <f>IF(ISBLANK(Values!E23),"","2")</f>
        <v>2</v>
      </c>
      <c r="FR24" s="1" t="str">
        <f>IF(ISBLANK(Values!E23),"","3")</f>
        <v>3</v>
      </c>
      <c r="FS24" s="1" t="str">
        <f>IF(ISBLANK(Values!E23),"","5")</f>
        <v>5</v>
      </c>
      <c r="FT24" s="1" t="str">
        <f>IF(ISBLANK(Values!E23),"","6")</f>
        <v>6</v>
      </c>
      <c r="FU24" s="1" t="str">
        <f>IF(ISBLANK(Values!E23),"","10")</f>
        <v>10</v>
      </c>
      <c r="FV24" s="1" t="str">
        <f>IF(ISBLANK(Values!E23),"","10")</f>
        <v>10</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9" t="str">
        <f>IF(ISBLANK(Values!E24),"",Values!F24 )</f>
        <v/>
      </c>
      <c r="K25" s="28" t="str">
        <f>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1"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1" t="str">
        <f>IF(ISBLANK(Values!E24),"",IF(Values!J24,"Backlit", "Non-Backlit"))</f>
        <v/>
      </c>
      <c r="AW25"/>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36"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9" t="str">
        <f>IF(ISBLANK(Values!E25),"",Values!F25 )</f>
        <v/>
      </c>
      <c r="K26" s="28" t="str">
        <f>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1"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1" t="str">
        <f>IF(ISBLANK(Values!E25),"",IF(Values!J25,"Backlit", "Non-Backlit"))</f>
        <v/>
      </c>
      <c r="AW26"/>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36"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9" t="str">
        <f>IF(ISBLANK(Values!E26),"",Values!F26 )</f>
        <v/>
      </c>
      <c r="K27" s="28" t="str">
        <f>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1"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1" t="str">
        <f>IF(ISBLANK(Values!E26),"",IF(Values!J26,"Backlit", "Non-Backlit"))</f>
        <v/>
      </c>
      <c r="AW27"/>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36"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9" t="str">
        <f>IF(ISBLANK(Values!E27),"",Values!F27 )</f>
        <v/>
      </c>
      <c r="K28" s="28" t="str">
        <f>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1"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1" t="str">
        <f>IF(ISBLANK(Values!E27),"",IF(Values!J27,"Backlit", "Non-Backlit"))</f>
        <v/>
      </c>
      <c r="AW28"/>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36"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9" t="str">
        <f>IF(ISBLANK(Values!E28),"",Values!F28 )</f>
        <v/>
      </c>
      <c r="K29" s="28" t="str">
        <f>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1"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1" t="str">
        <f>IF(ISBLANK(Values!E28),"",IF(Values!J28,"Backlit", "Non-Backlit"))</f>
        <v/>
      </c>
      <c r="AW29"/>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36"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9" t="str">
        <f>IF(ISBLANK(Values!E29),"",Values!F29 )</f>
        <v/>
      </c>
      <c r="K30" s="28" t="str">
        <f>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1"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1" t="str">
        <f>IF(ISBLANK(Values!E29),"",IF(Values!J29,"Backlit", "Non-Backlit"))</f>
        <v/>
      </c>
      <c r="AW30"/>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36"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9" t="str">
        <f>IF(ISBLANK(Values!E30),"",Values!F30 )</f>
        <v/>
      </c>
      <c r="K31" s="28" t="str">
        <f>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1"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1" t="str">
        <f>IF(ISBLANK(Values!E30),"",IF(Values!J30,"Backlit", "Non-Backlit"))</f>
        <v/>
      </c>
      <c r="AW3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36"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9" t="str">
        <f>IF(ISBLANK(Values!E31),"",Values!F31 )</f>
        <v/>
      </c>
      <c r="K32" s="28" t="str">
        <f>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1"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1" t="str">
        <f>IF(ISBLANK(Values!E31),"",IF(Values!J31,"Backlit", "Non-Backlit"))</f>
        <v/>
      </c>
      <c r="AW32"/>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36"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9" t="str">
        <f>IF(ISBLANK(Values!E32),"",Values!F32 )</f>
        <v/>
      </c>
      <c r="K33" s="28" t="str">
        <f>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1"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1" t="str">
        <f>IF(ISBLANK(Values!E32),"",IF(Values!J32,"Backlit", "Non-Backlit"))</f>
        <v/>
      </c>
      <c r="AW33"/>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36"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9" t="str">
        <f>IF(ISBLANK(Values!E33),"",Values!F33 )</f>
        <v/>
      </c>
      <c r="K34" s="28" t="str">
        <f>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1"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1" t="str">
        <f>IF(ISBLANK(Values!E33),"",IF(Values!J33,"Backlit", "Non-Backlit"))</f>
        <v/>
      </c>
      <c r="AW34"/>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36"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9" t="str">
        <f>IF(ISBLANK(Values!E34),"",Values!F34 )</f>
        <v/>
      </c>
      <c r="K35" s="28" t="str">
        <f>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1"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1" t="str">
        <f>IF(ISBLANK(Values!E34),"",IF(Values!J34,"Backlit", "Non-Backlit"))</f>
        <v/>
      </c>
      <c r="AW35"/>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36"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9" t="str">
        <f>IF(ISBLANK(Values!E35),"",Values!F35 )</f>
        <v/>
      </c>
      <c r="K36" s="28" t="str">
        <f>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1"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1" t="str">
        <f>IF(ISBLANK(Values!E35),"",IF(Values!J35,"Backlit", "Non-Backlit"))</f>
        <v/>
      </c>
      <c r="AW36"/>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36"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9" t="str">
        <f>IF(ISBLANK(Values!E36),"",Values!F36 )</f>
        <v/>
      </c>
      <c r="K37" s="28" t="str">
        <f>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1"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1" t="str">
        <f>IF(ISBLANK(Values!E36),"",IF(Values!J36,"Backlit", "Non-Backlit"))</f>
        <v/>
      </c>
      <c r="AW37"/>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36"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9" t="str">
        <f>IF(ISBLANK(Values!E37),"",Values!F37 )</f>
        <v/>
      </c>
      <c r="K38" s="28" t="str">
        <f>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1"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1" t="str">
        <f>IF(ISBLANK(Values!E37),"",IF(Values!J37,"Backlit", "Non-Backlit"))</f>
        <v/>
      </c>
      <c r="AW38"/>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36"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9" t="str">
        <f>IF(ISBLANK(Values!E38),"",Values!F38 )</f>
        <v/>
      </c>
      <c r="K39" s="28" t="str">
        <f>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1"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1" t="str">
        <f>IF(ISBLANK(Values!E38),"",IF(Values!J38,"Backlit", "Non-Backlit"))</f>
        <v/>
      </c>
      <c r="AW39"/>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36"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9" t="str">
        <f>IF(ISBLANK(Values!E39),"",Values!F39 )</f>
        <v/>
      </c>
      <c r="K40" s="28" t="str">
        <f>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1"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1" t="str">
        <f>IF(ISBLANK(Values!E39),"",IF(Values!J39,"Backlit", "Non-Backlit"))</f>
        <v/>
      </c>
      <c r="AW40"/>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36"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9" t="str">
        <f>IF(ISBLANK(Values!E40),"",Values!F40 )</f>
        <v/>
      </c>
      <c r="K41" s="28" t="str">
        <f>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1"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1" t="str">
        <f>IF(ISBLANK(Values!E40),"",IF(Values!J40,"Backlit", "Non-Backlit"))</f>
        <v/>
      </c>
      <c r="AW4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36"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9" t="str">
        <f>IF(ISBLANK(Values!E41),"",Values!F41 )</f>
        <v/>
      </c>
      <c r="K42" s="28" t="str">
        <f>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1"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1" t="str">
        <f>IF(ISBLANK(Values!E41),"",IF(Values!J41,"Backlit", "Non-Backlit"))</f>
        <v/>
      </c>
      <c r="AW42"/>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36"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27" t="str">
        <f>IF(ISBLANK(Values!E41),"","Parts")</f>
        <v/>
      </c>
      <c r="DP42" s="27" t="str">
        <f>IF(ISBLANK(Values!E41),"",Values!$B$31)</f>
        <v/>
      </c>
      <c r="DS42" s="31"/>
      <c r="DY42"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9" t="str">
        <f>IF(ISBLANK(Values!E42),"",Values!F42 )</f>
        <v/>
      </c>
      <c r="K43" s="28" t="str">
        <f>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1"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1" t="str">
        <f>IF(ISBLANK(Values!E42),"",IF(Values!J42,"Backlit", "Non-Backlit"))</f>
        <v/>
      </c>
      <c r="AW43"/>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36"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27" t="str">
        <f>IF(ISBLANK(Values!E42),"","Parts")</f>
        <v/>
      </c>
      <c r="DP43" s="27" t="str">
        <f>IF(ISBLANK(Values!E42),"",Values!$B$31)</f>
        <v/>
      </c>
      <c r="DS43" s="31"/>
      <c r="DY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9" t="str">
        <f>IF(ISBLANK(Values!E43),"",Values!F43 )</f>
        <v/>
      </c>
      <c r="K44" s="28" t="str">
        <f>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1"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1" t="str">
        <f>IF(ISBLANK(Values!E43),"",IF(Values!J43,"Backlit", "Non-Backlit"))</f>
        <v/>
      </c>
      <c r="AW44"/>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36"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27" t="str">
        <f>IF(ISBLANK(Values!E43),"","Parts")</f>
        <v/>
      </c>
      <c r="DP44" s="27" t="str">
        <f>IF(ISBLANK(Values!E43),"",Values!$B$31)</f>
        <v/>
      </c>
      <c r="DS44" s="31"/>
      <c r="DY44"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8" t="str">
        <f>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36"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8" t="str">
        <f>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36"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8" t="str">
        <f>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36"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8" t="str">
        <f>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36"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8" t="str">
        <f>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36"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8" t="str">
        <f>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36"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8" t="str">
        <f>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36"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8" t="str">
        <f>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36"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8" t="str">
        <f>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36"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8" t="str">
        <f>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36"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8" t="str">
        <f>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36"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8" t="str">
        <f>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36"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8" t="str">
        <f>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36"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8" t="str">
        <f>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36"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8" t="str">
        <f>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36"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8" t="str">
        <f>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36"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8" t="str">
        <f>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36"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8" t="str">
        <f>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36"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8" t="str">
        <f>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36"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8" t="str">
        <f>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36"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8" t="str">
        <f>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36"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8" t="str">
        <f>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36"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8" t="str">
        <f>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8" t="str">
        <f>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8" t="str">
        <f>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8" t="str">
        <f>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8" t="str">
        <f>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8" t="str">
        <f>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8" t="str">
        <f>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8" t="str">
        <f>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8" t="str">
        <f>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8" t="str">
        <f>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8" t="str">
        <f>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8" t="str">
        <f>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8" t="str">
        <f>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8" t="str">
        <f>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8" t="str">
        <f>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8" t="str">
        <f>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8" t="str">
        <f>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8" t="str">
        <f>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8" t="str">
        <f>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8" t="str">
        <f>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8" t="str">
        <f>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8" t="str">
        <f>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8" t="str">
        <f>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8" t="str">
        <f>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8" t="str">
        <f>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8" t="str">
        <f>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8" t="str">
        <f>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8" t="str">
        <f>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8" t="str">
        <f>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8" t="str">
        <f>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8" t="str">
        <f>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8" t="str">
        <f>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8" t="str">
        <f>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8" t="str">
        <f>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8" t="str">
        <f>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8" t="str">
        <f>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8" t="str">
        <f>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8" t="str">
        <f>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8" t="str">
        <f>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8" t="str">
        <f>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8" t="str">
        <f>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8" t="str">
        <f>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8" t="str">
        <f>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8" t="str">
        <f>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8" t="str">
        <f>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8" t="str">
        <f>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8" t="str">
        <f>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8" t="str">
        <f>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8" t="str">
        <f>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8" t="str">
        <f>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8" t="str">
        <f>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8" t="str">
        <f>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8" t="str">
        <f>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8" t="str">
        <f>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8" t="str">
        <f>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8" t="str">
        <f>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8" t="str">
        <f>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8" t="str">
        <f>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8" t="str">
        <f>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8" t="str">
        <f>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8" t="str">
        <f>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8" t="str">
        <f>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8" t="str">
        <f>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8" t="str">
        <f>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8" t="str">
        <f>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8" t="str">
        <f>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8" t="str">
        <f>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8" t="str">
        <f>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8" t="str">
        <f>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8" t="str">
        <f>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8" t="str">
        <f>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8" t="str">
        <f>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8" t="str">
        <f>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8" t="str">
        <f>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8" t="str">
        <f>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8" t="str">
        <f>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8" t="str">
        <f>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8" t="str">
        <f>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8" t="str">
        <f>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8" t="str">
        <f>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8" t="str">
        <f>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8" t="str">
        <f>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8" t="str">
        <f>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8" t="str">
        <f>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8" t="str">
        <f>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8" t="str">
        <f>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8" t="str">
        <f>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8" t="str">
        <f>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8" t="str">
        <f>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8" t="str">
        <f>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8" t="str">
        <f>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8" t="str">
        <f>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8" t="str">
        <f>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8" t="str">
        <f>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8" t="str">
        <f>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8" t="str">
        <f>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8" t="str">
        <f>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8" t="str">
        <f>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8" t="str">
        <f>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8" t="str">
        <f>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8" t="str">
        <f>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8" t="str">
        <f>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8" t="str">
        <f>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8" t="str">
        <f>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8" t="str">
        <f>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8" t="str">
        <f>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8" t="str">
        <f>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8" t="str">
        <f>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8" t="str">
        <f>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8" t="str">
        <f>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8" t="str">
        <f>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8" t="str">
        <f>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8" t="str">
        <f>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8" t="str">
        <f>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8" t="str">
        <f>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8" t="str">
        <f>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8" t="str">
        <f>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8" t="str">
        <f>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8" t="str">
        <f>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8" t="str">
        <f>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8" t="str">
        <f>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8" t="str">
        <f>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8" t="str">
        <f>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8" t="str">
        <f>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8" t="str">
        <f>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8" t="str">
        <f>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8" t="str">
        <f>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8" t="str">
        <f>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8" t="str">
        <f>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8" t="str">
        <f>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8" t="str">
        <f>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8" t="str">
        <f>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8" t="str">
        <f>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8" t="str">
        <f>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8" t="str">
        <f>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8" t="str">
        <f>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8" t="str">
        <f>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8" t="str">
        <f>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17" zoomScaleNormal="100" workbookViewId="0">
      <selection activeCell="B4" sqref="B4"/>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ersatztastatur {language} Hintergrundbeleuchtung für Lenovo Thinkpad</v>
      </c>
      <c r="E1" s="73" t="s">
        <v>352</v>
      </c>
      <c r="F1" s="73"/>
      <c r="G1" s="73"/>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ersatztastatur {language} Nicht Hintergrundbeleuchtung für Lenovo Thinkpad</v>
      </c>
    </row>
    <row r="3" spans="1:22" x14ac:dyDescent="0.15">
      <c r="A3" s="45" t="s">
        <v>354</v>
      </c>
      <c r="B3" s="74" t="s">
        <v>716</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28" x14ac:dyDescent="0.15">
      <c r="A4" s="45" t="s">
        <v>369</v>
      </c>
      <c r="B4" s="72">
        <v>47.99</v>
      </c>
      <c r="C4" s="49" t="b">
        <f>FALSE()</f>
        <v>0</v>
      </c>
      <c r="D4" s="49" t="b">
        <f>TRUE()</f>
        <v>1</v>
      </c>
      <c r="E4" s="44">
        <v>5714401550013</v>
      </c>
      <c r="F4" s="44" t="s">
        <v>676</v>
      </c>
      <c r="G4" s="51"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Deutsche</v>
      </c>
      <c r="I4" s="52" t="b">
        <f>TRUE()</f>
        <v>1</v>
      </c>
      <c r="J4" s="53" t="b">
        <f>FALSE()</f>
        <v>0</v>
      </c>
      <c r="K4" s="44" t="s">
        <v>710</v>
      </c>
      <c r="L4" s="54" t="b">
        <v>1</v>
      </c>
      <c r="M4" s="55" t="str">
        <f t="shared" ref="M4:M35" si="0">IF(ISBLANK(K4),"",IF(L4, "https://raw.githubusercontent.com/PatrickVibild/TellusAmazonPictures/master/pictures/"&amp;K4&amp;"/1.jpg","https://download.lenovo.com/Images/Parts/"&amp;K4&amp;"/"&amp;K4&amp;"_A.jpg"))</f>
        <v>https://raw.githubusercontent.com/PatrickVibild/TellusAmazonPictures/master/pictures/Lenovo/E550/RG/DE/1.jpg</v>
      </c>
      <c r="N4" s="55" t="str">
        <f t="shared" ref="N4:N35" si="1">IF(ISBLANK(K4),"",IF(L4, "https://raw.githubusercontent.com/PatrickVibild/TellusAmazonPictures/master/pictures/"&amp;K4&amp;"/2.jpg","https://download.lenovo.com/Images/Parts/"&amp;K4&amp;"/"&amp;K4&amp;"_B.jpg"))</f>
        <v>https://raw.githubusercontent.com/PatrickVibild/TellusAmazonPictures/master/pictures/Lenovo/E550/RG/DE/2.jpg</v>
      </c>
      <c r="O4" s="56" t="str">
        <f t="shared" ref="O4:O35" si="2">IF(ISBLANK(K4),"",IF(L4, "https://raw.githubusercontent.com/PatrickVibild/TellusAmazonPictures/master/pictures/"&amp;K4&amp;"/3.jpg","https://download.lenovo.com/Images/Parts/"&amp;K4&amp;"/"&amp;K4&amp;"_details.jpg"))</f>
        <v>https://raw.githubusercontent.com/PatrickVibild/TellusAmazonPictures/master/pictures/Lenovo/E550/RG/DE/3.jpg</v>
      </c>
      <c r="P4" t="str">
        <f t="shared" ref="P4:P35" si="3">IF(ISBLANK(K4),"",IF(L4, "https://raw.githubusercontent.com/PatrickVibild/TellusAmazonPictures/master/pictures/"&amp;K4&amp;"/4.jpg", ""))</f>
        <v>https://raw.githubusercontent.com/PatrickVibild/TellusAmazonPictures/master/pictures/Lenovo/E550/RG/DE/4.jpg</v>
      </c>
      <c r="Q4" t="str">
        <f t="shared" ref="Q4:Q35" si="4">IF(ISBLANK(K4),"",IF(L4, "https://raw.githubusercontent.com/PatrickVibild/TellusAmazonPictures/master/pictures/"&amp;K4&amp;"/5.jpg", ""))</f>
        <v>https://raw.githubusercontent.com/PatrickVibild/TellusAmazonPictures/master/pictures/Lenovo/E550/RG/DE/5.jpg</v>
      </c>
      <c r="R4" t="str">
        <f t="shared" ref="R4:R35" si="5">IF(ISBLANK(K4),"",IF(L4, "https://raw.githubusercontent.com/PatrickVibild/TellusAmazonPictures/master/pictures/"&amp;K4&amp;"/6.jpg", ""))</f>
        <v>https://raw.githubusercontent.com/PatrickVibild/TellusAmazonPictures/master/pictures/Lenovo/E550/RG/DE/6.jpg</v>
      </c>
      <c r="S4" t="str">
        <f t="shared" ref="S4:S35" si="6">IF(ISBLANK(K4),"",IF(L4, "https://raw.githubusercontent.com/PatrickVibild/TellusAmazonPictures/master/pictures/"&amp;K4&amp;"/7.jpg", ""))</f>
        <v>https://raw.githubusercontent.com/PatrickVibild/TellusAmazonPictures/master/pictures/Lenovo/E550/RG/DE/7.jpg</v>
      </c>
      <c r="T4" t="str">
        <f t="shared" ref="T4:T35" si="7">IF(ISBLANK(K4),"",IF(L4, "https://raw.githubusercontent.com/PatrickVibild/TellusAmazonPictures/master/pictures/"&amp;K4&amp;"/8.jpg",""))</f>
        <v>https://raw.githubusercontent.com/PatrickVibild/TellusAmazonPictures/master/pictures/Lenovo/E550/RG/DE/8.jpg</v>
      </c>
      <c r="U4" t="str">
        <f t="shared" ref="U4:U35" si="8">IF(ISBLANK(K4),"",IF(L4, "https://raw.githubusercontent.com/PatrickVibild/TellusAmazonPictures/master/pictures/"&amp;K4&amp;"/9.jpg", ""))</f>
        <v>https://raw.githubusercontent.com/PatrickVibild/TellusAmazonPictures/master/pictures/Lenovo/E550/RG/DE/9.jpg</v>
      </c>
      <c r="V4" s="57">
        <f>MATCH(G4,options!$D$1:$D$20,0)</f>
        <v>1</v>
      </c>
    </row>
    <row r="5" spans="1:22" ht="28" x14ac:dyDescent="0.15">
      <c r="A5" s="45" t="s">
        <v>371</v>
      </c>
      <c r="B5" s="72">
        <v>47.99</v>
      </c>
      <c r="C5" s="49" t="b">
        <f>FALSE()</f>
        <v>0</v>
      </c>
      <c r="D5" s="49" t="b">
        <f>TRUE()</f>
        <v>1</v>
      </c>
      <c r="E5" s="44">
        <v>5714401550020</v>
      </c>
      <c r="F5" s="44" t="s">
        <v>677</v>
      </c>
      <c r="G5" s="51"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Französisch</v>
      </c>
      <c r="I5" s="52" t="b">
        <f>TRUE()</f>
        <v>1</v>
      </c>
      <c r="J5" s="53" t="b">
        <f>FALSE()</f>
        <v>0</v>
      </c>
      <c r="K5" s="44" t="s">
        <v>711</v>
      </c>
      <c r="L5" s="54" t="b">
        <f>FALSE()</f>
        <v>0</v>
      </c>
      <c r="M5" s="55" t="str">
        <f t="shared" si="0"/>
        <v>https://download.lenovo.com/Images/Parts/Lenovo/E550/RG/FR/Lenovo/E550/RG/FR_A.jpg</v>
      </c>
      <c r="N5" s="55" t="str">
        <f t="shared" si="1"/>
        <v>https://download.lenovo.com/Images/Parts/Lenovo/E550/RG/FR/Lenovo/E550/RG/FR_B.jpg</v>
      </c>
      <c r="O5" s="56" t="str">
        <f t="shared" si="2"/>
        <v>https://download.lenovo.com/Images/Parts/Lenovo/E550/RG/FR/Lenovo/E550/RG/FR_details.jpg</v>
      </c>
      <c r="P5" t="str">
        <f t="shared" si="3"/>
        <v/>
      </c>
      <c r="Q5" t="str">
        <f t="shared" si="4"/>
        <v/>
      </c>
      <c r="R5" t="str">
        <f t="shared" si="5"/>
        <v/>
      </c>
      <c r="S5" t="str">
        <f t="shared" si="6"/>
        <v/>
      </c>
      <c r="T5" t="str">
        <f t="shared" si="7"/>
        <v/>
      </c>
      <c r="U5" t="str">
        <f t="shared" si="8"/>
        <v/>
      </c>
      <c r="V5" s="57">
        <f>MATCH(G5,options!$D$1:$D$20,0)</f>
        <v>2</v>
      </c>
    </row>
    <row r="6" spans="1:22" ht="28" x14ac:dyDescent="0.15">
      <c r="A6" s="45" t="s">
        <v>373</v>
      </c>
      <c r="B6" s="58" t="s">
        <v>414</v>
      </c>
      <c r="C6" s="49" t="b">
        <f>FALSE()</f>
        <v>0</v>
      </c>
      <c r="D6" s="49" t="b">
        <f>TRUE()</f>
        <v>1</v>
      </c>
      <c r="E6" s="44">
        <v>5714401550037</v>
      </c>
      <c r="F6" s="44" t="s">
        <v>678</v>
      </c>
      <c r="G6" s="51"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Italienisch</v>
      </c>
      <c r="I6" s="52" t="b">
        <f>TRUE()</f>
        <v>1</v>
      </c>
      <c r="J6" s="53" t="b">
        <f>FALSE()</f>
        <v>0</v>
      </c>
      <c r="K6" s="44" t="s">
        <v>712</v>
      </c>
      <c r="L6" s="54" t="b">
        <f>FALSE()</f>
        <v>0</v>
      </c>
      <c r="M6" s="55" t="str">
        <f t="shared" si="0"/>
        <v>https://download.lenovo.com/Images/Parts/Lenovo/E550/RG/IT/Lenovo/E550/RG/IT_A.jpg</v>
      </c>
      <c r="N6" s="55" t="str">
        <f t="shared" si="1"/>
        <v>https://download.lenovo.com/Images/Parts/Lenovo/E550/RG/IT/Lenovo/E550/RG/IT_B.jpg</v>
      </c>
      <c r="O6" s="56" t="str">
        <f t="shared" si="2"/>
        <v>https://download.lenovo.com/Images/Parts/Lenovo/E550/RG/IT/Lenovo/E550/RG/IT_details.jpg</v>
      </c>
      <c r="P6" t="str">
        <f t="shared" si="3"/>
        <v/>
      </c>
      <c r="Q6" t="str">
        <f t="shared" si="4"/>
        <v/>
      </c>
      <c r="R6" t="str">
        <f t="shared" si="5"/>
        <v/>
      </c>
      <c r="S6" t="str">
        <f t="shared" si="6"/>
        <v/>
      </c>
      <c r="T6" t="str">
        <f t="shared" si="7"/>
        <v/>
      </c>
      <c r="U6" t="str">
        <f t="shared" si="8"/>
        <v/>
      </c>
      <c r="V6" s="57">
        <f>MATCH(G6,options!$D$1:$D$20,0)</f>
        <v>3</v>
      </c>
    </row>
    <row r="7" spans="1:22" ht="28" x14ac:dyDescent="0.15">
      <c r="A7" s="45" t="s">
        <v>376</v>
      </c>
      <c r="B7" s="59" t="str">
        <f>IF(B6=options!C1,"32","41")</f>
        <v>32</v>
      </c>
      <c r="C7" s="49" t="b">
        <f>FALSE()</f>
        <v>0</v>
      </c>
      <c r="D7" s="49" t="b">
        <f>TRUE()</f>
        <v>1</v>
      </c>
      <c r="E7" s="44">
        <v>5714401550044</v>
      </c>
      <c r="F7" s="44" t="s">
        <v>679</v>
      </c>
      <c r="G7" s="51"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Spanisch</v>
      </c>
      <c r="I7" s="52" t="b">
        <f>TRUE()</f>
        <v>1</v>
      </c>
      <c r="J7" s="53" t="b">
        <f>FALSE()</f>
        <v>0</v>
      </c>
      <c r="K7" s="44" t="s">
        <v>713</v>
      </c>
      <c r="L7" s="54" t="b">
        <f>FALSE()</f>
        <v>0</v>
      </c>
      <c r="M7" s="55" t="str">
        <f t="shared" si="0"/>
        <v>https://download.lenovo.com/Images/Parts/Lenovo/E550/RG/ES/Lenovo/E550/RG/ES_A.jpg</v>
      </c>
      <c r="N7" s="55" t="str">
        <f t="shared" si="1"/>
        <v>https://download.lenovo.com/Images/Parts/Lenovo/E550/RG/ES/Lenovo/E550/RG/ES_B.jpg</v>
      </c>
      <c r="O7" s="56" t="str">
        <f t="shared" si="2"/>
        <v>https://download.lenovo.com/Images/Parts/Lenovo/E550/RG/ES/Lenovo/E550/RG/ES_details.jpg</v>
      </c>
      <c r="P7" t="str">
        <f t="shared" si="3"/>
        <v/>
      </c>
      <c r="Q7" t="str">
        <f t="shared" si="4"/>
        <v/>
      </c>
      <c r="R7" t="str">
        <f t="shared" si="5"/>
        <v/>
      </c>
      <c r="S7" t="str">
        <f t="shared" si="6"/>
        <v/>
      </c>
      <c r="T7" t="str">
        <f t="shared" si="7"/>
        <v/>
      </c>
      <c r="U7" t="str">
        <f t="shared" si="8"/>
        <v/>
      </c>
      <c r="V7" s="57">
        <f>MATCH(G7,options!$D$1:$D$20,0)</f>
        <v>4</v>
      </c>
    </row>
    <row r="8" spans="1:22" ht="28" x14ac:dyDescent="0.15">
      <c r="A8" s="45" t="s">
        <v>378</v>
      </c>
      <c r="B8" s="59" t="str">
        <f>IF(B6=options!C1,"18","17")</f>
        <v>18</v>
      </c>
      <c r="C8" s="49" t="b">
        <f>FALSE()</f>
        <v>0</v>
      </c>
      <c r="D8" s="49" t="b">
        <f>TRUE()</f>
        <v>1</v>
      </c>
      <c r="E8" s="44">
        <v>5714401550051</v>
      </c>
      <c r="F8" s="44" t="s">
        <v>680</v>
      </c>
      <c r="G8" s="51"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52" t="b">
        <f>TRUE()</f>
        <v>1</v>
      </c>
      <c r="J8" s="53" t="b">
        <f>FALSE()</f>
        <v>0</v>
      </c>
      <c r="K8" s="44" t="s">
        <v>714</v>
      </c>
      <c r="L8" s="54" t="b">
        <f>FALSE()</f>
        <v>0</v>
      </c>
      <c r="M8" s="55" t="str">
        <f t="shared" si="0"/>
        <v>https://download.lenovo.com/Images/Parts/Lenovo/E550/RG/UK/Lenovo/E550/RG/UK_A.jpg</v>
      </c>
      <c r="N8" s="55" t="str">
        <f t="shared" si="1"/>
        <v>https://download.lenovo.com/Images/Parts/Lenovo/E550/RG/UK/Lenovo/E550/RG/UK_B.jpg</v>
      </c>
      <c r="O8" s="56" t="str">
        <f t="shared" si="2"/>
        <v>https://download.lenovo.com/Images/Parts/Lenovo/E550/RG/UK/Lenovo/E550/RG/UK_details.jpg</v>
      </c>
      <c r="P8" t="str">
        <f t="shared" si="3"/>
        <v/>
      </c>
      <c r="Q8" t="str">
        <f t="shared" si="4"/>
        <v/>
      </c>
      <c r="R8" t="str">
        <f t="shared" si="5"/>
        <v/>
      </c>
      <c r="S8" t="str">
        <f t="shared" si="6"/>
        <v/>
      </c>
      <c r="T8" t="str">
        <f t="shared" si="7"/>
        <v/>
      </c>
      <c r="U8" t="str">
        <f t="shared" si="8"/>
        <v/>
      </c>
      <c r="V8" s="57">
        <f>MATCH(G8,options!$D$1:$D$20,0)</f>
        <v>5</v>
      </c>
    </row>
    <row r="9" spans="1:22" ht="28" x14ac:dyDescent="0.15">
      <c r="A9" s="45" t="s">
        <v>380</v>
      </c>
      <c r="B9" s="59" t="str">
        <f>IF(B6=options!C1,"2","5")</f>
        <v>2</v>
      </c>
      <c r="C9" s="49" t="b">
        <f>FALSE()</f>
        <v>0</v>
      </c>
      <c r="D9" s="49" t="b">
        <f>TRUE()</f>
        <v>1</v>
      </c>
      <c r="E9" s="44">
        <v>5714401550068</v>
      </c>
      <c r="F9" s="44" t="s">
        <v>681</v>
      </c>
      <c r="G9" s="51"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Skandinavisch – Nordisch</v>
      </c>
      <c r="I9" s="52" t="b">
        <f>TRUE()</f>
        <v>1</v>
      </c>
      <c r="J9" s="53" t="b">
        <f>FALSE()</f>
        <v>0</v>
      </c>
      <c r="K9" s="44" t="s">
        <v>715</v>
      </c>
      <c r="L9" s="54" t="b">
        <f>FALSE()</f>
        <v>0</v>
      </c>
      <c r="M9" s="55" t="str">
        <f t="shared" si="0"/>
        <v>https://download.lenovo.com/Images/Parts/Lenovo/E550/RGNOR/Lenovo/E550/RGNOR_A.jpg</v>
      </c>
      <c r="N9" s="55" t="str">
        <f t="shared" si="1"/>
        <v>https://download.lenovo.com/Images/Parts/Lenovo/E550/RGNOR/Lenovo/E550/RGNOR_B.jpg</v>
      </c>
      <c r="O9" s="56" t="str">
        <f t="shared" si="2"/>
        <v>https://download.lenovo.com/Images/Parts/Lenovo/E550/RGNOR/Lenovo/E550/RGNOR_details.jpg</v>
      </c>
      <c r="P9" t="str">
        <f t="shared" si="3"/>
        <v/>
      </c>
      <c r="Q9" t="str">
        <f t="shared" si="4"/>
        <v/>
      </c>
      <c r="R9" t="str">
        <f t="shared" si="5"/>
        <v/>
      </c>
      <c r="S9" t="str">
        <f t="shared" si="6"/>
        <v/>
      </c>
      <c r="T9" t="str">
        <f t="shared" si="7"/>
        <v/>
      </c>
      <c r="U9" t="str">
        <f t="shared" si="8"/>
        <v/>
      </c>
      <c r="V9" s="57">
        <f>MATCH(G9,options!$D$1:$D$20,0)</f>
        <v>6</v>
      </c>
    </row>
    <row r="10" spans="1:22" ht="14" x14ac:dyDescent="0.15">
      <c r="A10" t="s">
        <v>382</v>
      </c>
      <c r="B10" s="60"/>
      <c r="C10" s="49" t="b">
        <f>FALSE()</f>
        <v>0</v>
      </c>
      <c r="D10" s="49" t="b">
        <f>FALSE()</f>
        <v>0</v>
      </c>
      <c r="E10" s="44">
        <v>5714401550075</v>
      </c>
      <c r="F10" s="44" t="s">
        <v>682</v>
      </c>
      <c r="G10" s="51"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Belgier</v>
      </c>
      <c r="I10" s="52" t="b">
        <f>TRUE()</f>
        <v>1</v>
      </c>
      <c r="J10" s="53" t="b">
        <f>FALSE()</f>
        <v>0</v>
      </c>
      <c r="K10" s="44" t="s">
        <v>696</v>
      </c>
      <c r="L10" s="54" t="b">
        <f>FALSE()</f>
        <v>0</v>
      </c>
      <c r="M10" s="55" t="str">
        <f t="shared" si="0"/>
        <v>https://download.lenovo.com/Images/Parts/00HN006/00HN006_A.jpg</v>
      </c>
      <c r="N10" s="55" t="str">
        <f t="shared" si="1"/>
        <v>https://download.lenovo.com/Images/Parts/00HN006/00HN006_B.jpg</v>
      </c>
      <c r="O10" s="56" t="str">
        <f t="shared" si="2"/>
        <v>https://download.lenovo.com/Images/Parts/00HN006/00HN006_details.jpg</v>
      </c>
      <c r="P10" t="str">
        <f t="shared" si="3"/>
        <v/>
      </c>
      <c r="Q10" t="str">
        <f t="shared" si="4"/>
        <v/>
      </c>
      <c r="R10" t="str">
        <f t="shared" si="5"/>
        <v/>
      </c>
      <c r="S10" t="str">
        <f t="shared" si="6"/>
        <v/>
      </c>
      <c r="T10" t="str">
        <f t="shared" si="7"/>
        <v/>
      </c>
      <c r="U10" t="str">
        <f t="shared" si="8"/>
        <v/>
      </c>
      <c r="V10" s="57">
        <f>MATCH(G10,options!$D$1:$D$20,0)</f>
        <v>7</v>
      </c>
    </row>
    <row r="11" spans="1:22" ht="14" x14ac:dyDescent="0.15">
      <c r="A11" s="45" t="s">
        <v>384</v>
      </c>
      <c r="B11" s="61">
        <v>150</v>
      </c>
      <c r="C11" s="49" t="b">
        <f>FALSE()</f>
        <v>0</v>
      </c>
      <c r="D11" s="49" t="b">
        <f>FALSE()</f>
        <v>0</v>
      </c>
      <c r="E11" s="44">
        <v>5714401550082</v>
      </c>
      <c r="F11" s="44" t="s">
        <v>683</v>
      </c>
      <c r="G11" s="51"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Bulgarisch</v>
      </c>
      <c r="I11" s="52" t="b">
        <f>TRUE()</f>
        <v>1</v>
      </c>
      <c r="J11" s="53" t="b">
        <f>FALSE()</f>
        <v>0</v>
      </c>
      <c r="K11" s="44" t="s">
        <v>697</v>
      </c>
      <c r="L11" s="54" t="b">
        <f>FALSE()</f>
        <v>0</v>
      </c>
      <c r="M11" s="55" t="str">
        <f t="shared" si="0"/>
        <v>https://download.lenovo.com/Images/Parts/00HN007/00HN007_A.jpg</v>
      </c>
      <c r="N11" s="55" t="str">
        <f t="shared" si="1"/>
        <v>https://download.lenovo.com/Images/Parts/00HN007/00HN007_B.jpg</v>
      </c>
      <c r="O11" s="56" t="str">
        <f t="shared" si="2"/>
        <v>https://download.lenovo.com/Images/Parts/00HN007/00HN007_details.jpg</v>
      </c>
      <c r="P11" t="str">
        <f t="shared" si="3"/>
        <v/>
      </c>
      <c r="Q11" t="str">
        <f t="shared" si="4"/>
        <v/>
      </c>
      <c r="R11" t="str">
        <f t="shared" si="5"/>
        <v/>
      </c>
      <c r="S11" t="str">
        <f t="shared" si="6"/>
        <v/>
      </c>
      <c r="T11" t="str">
        <f t="shared" si="7"/>
        <v/>
      </c>
      <c r="U11" t="str">
        <f t="shared" si="8"/>
        <v/>
      </c>
      <c r="V11" s="57">
        <f>MATCH(G11,options!$D$1:$D$20,0)</f>
        <v>8</v>
      </c>
    </row>
    <row r="12" spans="1:22" ht="14" x14ac:dyDescent="0.15">
      <c r="B12" s="60"/>
      <c r="C12" s="49" t="b">
        <f>FALSE()</f>
        <v>0</v>
      </c>
      <c r="D12" s="49" t="b">
        <f>FALSE()</f>
        <v>0</v>
      </c>
      <c r="E12" s="44">
        <v>5714401550099</v>
      </c>
      <c r="F12" s="44" t="s">
        <v>684</v>
      </c>
      <c r="G12" s="51" t="s">
        <v>386</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Tschechisch</v>
      </c>
      <c r="I12" s="52" t="b">
        <f>TRUE()</f>
        <v>1</v>
      </c>
      <c r="J12" s="53" t="b">
        <f>FALSE()</f>
        <v>0</v>
      </c>
      <c r="K12" s="44" t="s">
        <v>698</v>
      </c>
      <c r="L12" s="54" t="b">
        <f>FALSE()</f>
        <v>0</v>
      </c>
      <c r="M12" s="55" t="str">
        <f t="shared" si="0"/>
        <v>https://download.lenovo.com/Images/Parts/00HN008/00HN008_A.jpg</v>
      </c>
      <c r="N12" s="55" t="str">
        <f t="shared" si="1"/>
        <v>https://download.lenovo.com/Images/Parts/00HN008/00HN008_B.jpg</v>
      </c>
      <c r="O12" s="56" t="str">
        <f t="shared" si="2"/>
        <v>https://download.lenovo.com/Images/Parts/00HN008/00HN008_details.jpg</v>
      </c>
      <c r="P12" t="str">
        <f t="shared" si="3"/>
        <v/>
      </c>
      <c r="Q12" t="str">
        <f t="shared" si="4"/>
        <v/>
      </c>
      <c r="R12" t="str">
        <f t="shared" si="5"/>
        <v/>
      </c>
      <c r="S12" t="str">
        <f t="shared" si="6"/>
        <v/>
      </c>
      <c r="T12" t="str">
        <f t="shared" si="7"/>
        <v/>
      </c>
      <c r="U12" t="str">
        <f t="shared" si="8"/>
        <v/>
      </c>
      <c r="V12" s="57">
        <f>MATCH(G12,options!$D$1:$D$20,0)</f>
        <v>20</v>
      </c>
    </row>
    <row r="13" spans="1:22" ht="14" x14ac:dyDescent="0.15">
      <c r="A13" s="45" t="s">
        <v>387</v>
      </c>
      <c r="B13" s="44" t="s">
        <v>709</v>
      </c>
      <c r="C13" s="49" t="b">
        <f>FALSE()</f>
        <v>0</v>
      </c>
      <c r="D13" s="49" t="b">
        <f>FALSE()</f>
        <v>0</v>
      </c>
      <c r="E13" s="44">
        <v>5714401550105</v>
      </c>
      <c r="F13" s="44" t="s">
        <v>685</v>
      </c>
      <c r="G13" s="51" t="s">
        <v>388</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Dänisch</v>
      </c>
      <c r="I13" s="52" t="b">
        <f>TRUE()</f>
        <v>1</v>
      </c>
      <c r="J13" s="53" t="b">
        <f>FALSE()</f>
        <v>0</v>
      </c>
      <c r="K13" s="44" t="s">
        <v>699</v>
      </c>
      <c r="L13" s="54" t="b">
        <f>FALSE()</f>
        <v>0</v>
      </c>
      <c r="M13" s="55" t="str">
        <f t="shared" si="0"/>
        <v>https://download.lenovo.com/Images/Parts/00HN009/00HN009_A.jpg</v>
      </c>
      <c r="N13" s="55" t="str">
        <f t="shared" si="1"/>
        <v>https://download.lenovo.com/Images/Parts/00HN009/00HN009_B.jpg</v>
      </c>
      <c r="O13" s="56" t="str">
        <f t="shared" si="2"/>
        <v>https://download.lenovo.com/Images/Parts/00HN009/00HN009_details.jpg</v>
      </c>
      <c r="P13" t="str">
        <f t="shared" si="3"/>
        <v/>
      </c>
      <c r="Q13" t="str">
        <f t="shared" si="4"/>
        <v/>
      </c>
      <c r="R13" t="str">
        <f t="shared" si="5"/>
        <v/>
      </c>
      <c r="S13" t="str">
        <f t="shared" si="6"/>
        <v/>
      </c>
      <c r="T13" t="str">
        <f t="shared" si="7"/>
        <v/>
      </c>
      <c r="U13" t="str">
        <f t="shared" si="8"/>
        <v/>
      </c>
      <c r="V13" s="57">
        <f>MATCH(G13,options!$D$1:$D$20,0)</f>
        <v>9</v>
      </c>
    </row>
    <row r="14" spans="1:22" ht="14" x14ac:dyDescent="0.15">
      <c r="A14" s="45" t="s">
        <v>389</v>
      </c>
      <c r="B14" s="44">
        <v>5714401488996</v>
      </c>
      <c r="C14" s="49" t="b">
        <f>FALSE()</f>
        <v>0</v>
      </c>
      <c r="D14" s="49" t="b">
        <f>FALSE()</f>
        <v>0</v>
      </c>
      <c r="E14" s="44">
        <v>5714401550112</v>
      </c>
      <c r="F14" s="44" t="s">
        <v>686</v>
      </c>
      <c r="G14" s="51"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Hungarisch</v>
      </c>
      <c r="I14" s="52" t="b">
        <f>TRUE()</f>
        <v>1</v>
      </c>
      <c r="J14" s="53" t="b">
        <f>FALSE()</f>
        <v>0</v>
      </c>
      <c r="K14" s="44" t="s">
        <v>700</v>
      </c>
      <c r="L14" s="54" t="b">
        <f>FALSE()</f>
        <v>0</v>
      </c>
      <c r="M14" s="55" t="str">
        <f t="shared" si="0"/>
        <v>https://download.lenovo.com/Images/Parts/00HN015/00HN015_A.jpg</v>
      </c>
      <c r="N14" s="55" t="str">
        <f t="shared" si="1"/>
        <v>https://download.lenovo.com/Images/Parts/00HN015/00HN015_B.jpg</v>
      </c>
      <c r="O14" s="56" t="str">
        <f t="shared" si="2"/>
        <v>https://download.lenovo.com/Images/Parts/00HN015/00HN015_details.jpg</v>
      </c>
      <c r="P14" t="str">
        <f t="shared" si="3"/>
        <v/>
      </c>
      <c r="Q14" t="str">
        <f t="shared" si="4"/>
        <v/>
      </c>
      <c r="R14" t="str">
        <f t="shared" si="5"/>
        <v/>
      </c>
      <c r="S14" t="str">
        <f t="shared" si="6"/>
        <v/>
      </c>
      <c r="T14" t="str">
        <f t="shared" si="7"/>
        <v/>
      </c>
      <c r="U14" t="str">
        <f t="shared" si="8"/>
        <v/>
      </c>
      <c r="V14" s="57">
        <f>MATCH(G14,options!$D$1:$D$20,0)</f>
        <v>19</v>
      </c>
    </row>
    <row r="15" spans="1:22" ht="14" x14ac:dyDescent="0.15">
      <c r="B15" s="60"/>
      <c r="C15" s="49" t="b">
        <f>FALSE()</f>
        <v>0</v>
      </c>
      <c r="D15" s="49" t="b">
        <f>FALSE()</f>
        <v>0</v>
      </c>
      <c r="E15" s="44">
        <v>5714401550129</v>
      </c>
      <c r="F15" s="44" t="s">
        <v>687</v>
      </c>
      <c r="G15" s="51"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Niederländisch</v>
      </c>
      <c r="I15" s="52" t="b">
        <f>TRUE()</f>
        <v>1</v>
      </c>
      <c r="J15" s="53" t="b">
        <f>FALSE()</f>
        <v>0</v>
      </c>
      <c r="K15" s="44" t="s">
        <v>701</v>
      </c>
      <c r="L15" s="54" t="b">
        <f>FALSE()</f>
        <v>0</v>
      </c>
      <c r="M15" s="55" t="str">
        <f t="shared" si="0"/>
        <v>https://download.lenovo.com/Images/Parts/00HN093/00HN093_A.jpg</v>
      </c>
      <c r="N15" s="55" t="str">
        <f t="shared" si="1"/>
        <v>https://download.lenovo.com/Images/Parts/00HN093/00HN093_B.jpg</v>
      </c>
      <c r="O15" s="56" t="str">
        <f t="shared" si="2"/>
        <v>https://download.lenovo.com/Images/Parts/00HN093/00HN093_details.jpg</v>
      </c>
      <c r="P15" t="str">
        <f t="shared" si="3"/>
        <v/>
      </c>
      <c r="Q15" t="str">
        <f t="shared" si="4"/>
        <v/>
      </c>
      <c r="R15" t="str">
        <f t="shared" si="5"/>
        <v/>
      </c>
      <c r="S15" t="str">
        <f t="shared" si="6"/>
        <v/>
      </c>
      <c r="T15" t="str">
        <f t="shared" si="7"/>
        <v/>
      </c>
      <c r="U15" t="str">
        <f t="shared" si="8"/>
        <v/>
      </c>
      <c r="V15" s="57">
        <f>MATCH(G15,options!$D$1:$D$20,0)</f>
        <v>10</v>
      </c>
    </row>
    <row r="16" spans="1:22" ht="14" x14ac:dyDescent="0.15">
      <c r="A16" s="45" t="s">
        <v>392</v>
      </c>
      <c r="B16" s="70" t="s">
        <v>589</v>
      </c>
      <c r="C16" s="49" t="b">
        <f>FALSE()</f>
        <v>0</v>
      </c>
      <c r="D16" s="49" t="b">
        <f>FALSE()</f>
        <v>0</v>
      </c>
      <c r="E16" s="44">
        <v>5714401550136</v>
      </c>
      <c r="F16" s="44" t="s">
        <v>688</v>
      </c>
      <c r="G16" s="51"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norwegisch</v>
      </c>
      <c r="I16" s="52" t="b">
        <f>TRUE()</f>
        <v>1</v>
      </c>
      <c r="J16" s="53" t="b">
        <f>FALSE()</f>
        <v>0</v>
      </c>
      <c r="K16" s="44" t="s">
        <v>702</v>
      </c>
      <c r="L16" s="54" t="b">
        <f>FALSE()</f>
        <v>0</v>
      </c>
      <c r="M16" s="55" t="str">
        <f t="shared" si="0"/>
        <v>https://download.lenovo.com/Images/Parts/00HN020/00HN020_A.jpg</v>
      </c>
      <c r="N16" s="55" t="str">
        <f t="shared" si="1"/>
        <v>https://download.lenovo.com/Images/Parts/00HN020/00HN020_B.jpg</v>
      </c>
      <c r="O16" s="56" t="str">
        <f t="shared" si="2"/>
        <v>https://download.lenovo.com/Images/Parts/00HN020/00HN020_details.jpg</v>
      </c>
      <c r="P16" t="str">
        <f t="shared" si="3"/>
        <v/>
      </c>
      <c r="Q16" t="str">
        <f t="shared" si="4"/>
        <v/>
      </c>
      <c r="R16" t="str">
        <f t="shared" si="5"/>
        <v/>
      </c>
      <c r="S16" t="str">
        <f t="shared" si="6"/>
        <v/>
      </c>
      <c r="T16" t="str">
        <f t="shared" si="7"/>
        <v/>
      </c>
      <c r="U16" t="str">
        <f t="shared" si="8"/>
        <v/>
      </c>
      <c r="V16" s="57">
        <f>MATCH(G16,options!$D$1:$D$20,0)</f>
        <v>11</v>
      </c>
    </row>
    <row r="17" spans="1:22" ht="14" x14ac:dyDescent="0.15">
      <c r="B17" s="60"/>
      <c r="C17" s="49" t="b">
        <f>FALSE()</f>
        <v>0</v>
      </c>
      <c r="D17" s="49" t="b">
        <f>FALSE()</f>
        <v>0</v>
      </c>
      <c r="E17" s="44">
        <v>5714401550143</v>
      </c>
      <c r="F17" s="44" t="s">
        <v>689</v>
      </c>
      <c r="G17" s="51"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Polieren</v>
      </c>
      <c r="I17" s="52" t="b">
        <f>TRUE()</f>
        <v>1</v>
      </c>
      <c r="J17" s="53" t="b">
        <f>FALSE()</f>
        <v>0</v>
      </c>
      <c r="K17" s="44"/>
      <c r="L17" s="54" t="b">
        <f>FALSE()</f>
        <v>0</v>
      </c>
      <c r="M17" s="55" t="str">
        <f t="shared" si="0"/>
        <v/>
      </c>
      <c r="N17" s="55" t="str">
        <f t="shared" si="1"/>
        <v/>
      </c>
      <c r="O17" s="56" t="str">
        <f t="shared" si="2"/>
        <v/>
      </c>
      <c r="P17" t="str">
        <f t="shared" si="3"/>
        <v/>
      </c>
      <c r="Q17" t="str">
        <f t="shared" si="4"/>
        <v/>
      </c>
      <c r="R17" t="str">
        <f t="shared" si="5"/>
        <v/>
      </c>
      <c r="S17" t="str">
        <f t="shared" si="6"/>
        <v/>
      </c>
      <c r="T17" t="str">
        <f t="shared" si="7"/>
        <v/>
      </c>
      <c r="U17" t="str">
        <f t="shared" si="8"/>
        <v/>
      </c>
      <c r="V17" s="57">
        <f>MATCH(G17,options!$D$1:$D$20,0)</f>
        <v>12</v>
      </c>
    </row>
    <row r="18" spans="1:22" ht="14" x14ac:dyDescent="0.15">
      <c r="A18" s="45" t="s">
        <v>395</v>
      </c>
      <c r="B18" s="61">
        <v>5</v>
      </c>
      <c r="C18" s="49" t="b">
        <f>FALSE()</f>
        <v>0</v>
      </c>
      <c r="D18" s="49" t="b">
        <f>FALSE()</f>
        <v>0</v>
      </c>
      <c r="E18" s="44">
        <v>5714401550150</v>
      </c>
      <c r="F18" s="44" t="s">
        <v>690</v>
      </c>
      <c r="G18" s="51"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Portugiesisch</v>
      </c>
      <c r="I18" s="52" t="b">
        <f>TRUE()</f>
        <v>1</v>
      </c>
      <c r="J18" s="53" t="b">
        <f>FALSE()</f>
        <v>0</v>
      </c>
      <c r="K18" s="44" t="s">
        <v>703</v>
      </c>
      <c r="L18" s="54" t="b">
        <f>FALSE()</f>
        <v>0</v>
      </c>
      <c r="M18" s="55" t="str">
        <f t="shared" si="0"/>
        <v>https://download.lenovo.com/Images/Parts/00HN022/00HN022_A.jpg</v>
      </c>
      <c r="N18" s="55" t="str">
        <f t="shared" si="1"/>
        <v>https://download.lenovo.com/Images/Parts/00HN022/00HN022_B.jpg</v>
      </c>
      <c r="O18" s="56" t="str">
        <f t="shared" si="2"/>
        <v>https://download.lenovo.com/Images/Parts/00HN022/00HN022_details.jpg</v>
      </c>
      <c r="P18" t="str">
        <f t="shared" si="3"/>
        <v/>
      </c>
      <c r="Q18" t="str">
        <f t="shared" si="4"/>
        <v/>
      </c>
      <c r="R18" t="str">
        <f t="shared" si="5"/>
        <v/>
      </c>
      <c r="S18" t="str">
        <f t="shared" si="6"/>
        <v/>
      </c>
      <c r="T18" t="str">
        <f t="shared" si="7"/>
        <v/>
      </c>
      <c r="U18" t="str">
        <f t="shared" si="8"/>
        <v/>
      </c>
      <c r="V18" s="57">
        <f>MATCH(G18,options!$D$1:$D$20,0)</f>
        <v>13</v>
      </c>
    </row>
    <row r="19" spans="1:22" ht="14" x14ac:dyDescent="0.15">
      <c r="B19" s="60"/>
      <c r="C19" s="49" t="b">
        <f>FALSE()</f>
        <v>0</v>
      </c>
      <c r="D19" s="49" t="b">
        <f>FALSE()</f>
        <v>0</v>
      </c>
      <c r="E19" s="44">
        <v>5714401550167</v>
      </c>
      <c r="F19" s="44" t="s">
        <v>691</v>
      </c>
      <c r="G19" s="51"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Schwedisch -  finnisch</v>
      </c>
      <c r="I19" s="52" t="b">
        <f>TRUE()</f>
        <v>1</v>
      </c>
      <c r="J19" s="53" t="b">
        <f>FALSE()</f>
        <v>0</v>
      </c>
      <c r="K19" s="44" t="s">
        <v>704</v>
      </c>
      <c r="L19" s="54" t="b">
        <f>FALSE()</f>
        <v>0</v>
      </c>
      <c r="M19" s="55" t="str">
        <f t="shared" si="0"/>
        <v>https://download.lenovo.com/Images/Parts/00HN026/00HN026_A.jpg</v>
      </c>
      <c r="N19" s="55" t="str">
        <f t="shared" si="1"/>
        <v>https://download.lenovo.com/Images/Parts/00HN026/00HN026_B.jpg</v>
      </c>
      <c r="O19" s="56" t="str">
        <f t="shared" si="2"/>
        <v>https://download.lenovo.com/Images/Parts/00HN026/00HN026_details.jpg</v>
      </c>
      <c r="P19" t="str">
        <f t="shared" si="3"/>
        <v/>
      </c>
      <c r="Q19" t="str">
        <f t="shared" si="4"/>
        <v/>
      </c>
      <c r="R19" t="str">
        <f t="shared" si="5"/>
        <v/>
      </c>
      <c r="S19" t="str">
        <f t="shared" si="6"/>
        <v/>
      </c>
      <c r="T19" t="str">
        <f t="shared" si="7"/>
        <v/>
      </c>
      <c r="U19" t="str">
        <f t="shared" si="8"/>
        <v/>
      </c>
      <c r="V19" s="57">
        <f>MATCH(G19,options!$D$1:$D$20,0)</f>
        <v>14</v>
      </c>
    </row>
    <row r="20" spans="1:22" ht="14" x14ac:dyDescent="0.15">
      <c r="A20" s="45" t="s">
        <v>398</v>
      </c>
      <c r="B20" s="62" t="s">
        <v>399</v>
      </c>
      <c r="C20" s="49" t="b">
        <f>FALSE()</f>
        <v>0</v>
      </c>
      <c r="D20" s="49" t="b">
        <f>FALSE()</f>
        <v>0</v>
      </c>
      <c r="E20" s="44">
        <v>5714401550174</v>
      </c>
      <c r="F20" s="44" t="s">
        <v>692</v>
      </c>
      <c r="G20" s="51"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Schweizerisch</v>
      </c>
      <c r="I20" s="52" t="b">
        <f>TRUE()</f>
        <v>1</v>
      </c>
      <c r="J20" s="53" t="b">
        <f>FALSE()</f>
        <v>0</v>
      </c>
      <c r="K20" s="44" t="s">
        <v>705</v>
      </c>
      <c r="L20" s="54" t="b">
        <f>FALSE()</f>
        <v>0</v>
      </c>
      <c r="M20" s="55" t="str">
        <f t="shared" si="0"/>
        <v>https://download.lenovo.com/Images/Parts/00HN101/00HN101_A.jpg</v>
      </c>
      <c r="N20" s="55" t="str">
        <f t="shared" si="1"/>
        <v>https://download.lenovo.com/Images/Parts/00HN101/00HN101_B.jpg</v>
      </c>
      <c r="O20" s="56" t="str">
        <f t="shared" si="2"/>
        <v>https://download.lenovo.com/Images/Parts/00HN101/00HN101_details.jpg</v>
      </c>
      <c r="P20" t="str">
        <f t="shared" si="3"/>
        <v/>
      </c>
      <c r="Q20" t="str">
        <f t="shared" si="4"/>
        <v/>
      </c>
      <c r="R20" t="str">
        <f t="shared" si="5"/>
        <v/>
      </c>
      <c r="S20" t="str">
        <f t="shared" si="6"/>
        <v/>
      </c>
      <c r="T20" t="str">
        <f t="shared" si="7"/>
        <v/>
      </c>
      <c r="U20" t="str">
        <f t="shared" si="8"/>
        <v/>
      </c>
      <c r="V20" s="57">
        <f>MATCH(G20,options!$D$1:$D$20,0)</f>
        <v>15</v>
      </c>
    </row>
    <row r="21" spans="1:22" ht="14" x14ac:dyDescent="0.15">
      <c r="B21" s="60"/>
      <c r="C21" s="49" t="b">
        <f>FALSE()</f>
        <v>0</v>
      </c>
      <c r="D21" s="49" t="b">
        <f>FALSE()</f>
        <v>0</v>
      </c>
      <c r="E21" s="44">
        <v>5714401550181</v>
      </c>
      <c r="F21" s="44" t="s">
        <v>693</v>
      </c>
      <c r="G21" s="51"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2" t="b">
        <f>TRUE()</f>
        <v>1</v>
      </c>
      <c r="J21" s="53" t="b">
        <f>FALSE()</f>
        <v>0</v>
      </c>
      <c r="K21" s="44" t="s">
        <v>706</v>
      </c>
      <c r="L21" s="54" t="b">
        <f>FALSE()</f>
        <v>0</v>
      </c>
      <c r="M21" s="55" t="str">
        <f t="shared" si="0"/>
        <v>https://download.lenovo.com/Images/Parts/00HN030/00HN030_A.jpg</v>
      </c>
      <c r="N21" s="55" t="str">
        <f t="shared" si="1"/>
        <v>https://download.lenovo.com/Images/Parts/00HN030/00HN030_B.jpg</v>
      </c>
      <c r="O21" s="56" t="str">
        <f t="shared" si="2"/>
        <v>https://download.lenovo.com/Images/Parts/00HN030/00HN030_details.jpg</v>
      </c>
      <c r="P21" t="str">
        <f t="shared" si="3"/>
        <v/>
      </c>
      <c r="Q21" t="str">
        <f t="shared" si="4"/>
        <v/>
      </c>
      <c r="R21" t="str">
        <f t="shared" si="5"/>
        <v/>
      </c>
      <c r="S21" t="str">
        <f t="shared" si="6"/>
        <v/>
      </c>
      <c r="T21" t="str">
        <f t="shared" si="7"/>
        <v/>
      </c>
      <c r="U21" t="str">
        <f t="shared" si="8"/>
        <v/>
      </c>
      <c r="V21" s="57">
        <f>MATCH(G21,options!$D$1:$D$20,0)</f>
        <v>16</v>
      </c>
    </row>
    <row r="22" spans="1:22" ht="14" x14ac:dyDescent="0.15">
      <c r="B22" s="60"/>
      <c r="C22" s="49" t="b">
        <f>FALSE()</f>
        <v>0</v>
      </c>
      <c r="D22" s="49" t="b">
        <f>FALSE()</f>
        <v>0</v>
      </c>
      <c r="E22" s="44">
        <v>5714401550198</v>
      </c>
      <c r="F22" s="44" t="s">
        <v>694</v>
      </c>
      <c r="G22" s="51"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Russisch</v>
      </c>
      <c r="I22" s="52" t="b">
        <f>TRUE()</f>
        <v>1</v>
      </c>
      <c r="J22" s="53" t="b">
        <f>FALSE()</f>
        <v>0</v>
      </c>
      <c r="K22" s="44" t="s">
        <v>707</v>
      </c>
      <c r="L22" s="54" t="b">
        <f>FALSE()</f>
        <v>0</v>
      </c>
      <c r="M22" s="55" t="str">
        <f t="shared" si="0"/>
        <v>https://download.lenovo.com/Images/Parts/00HN023/00HN023_A.jpg</v>
      </c>
      <c r="N22" s="55" t="str">
        <f t="shared" si="1"/>
        <v>https://download.lenovo.com/Images/Parts/00HN023/00HN023_B.jpg</v>
      </c>
      <c r="O22" s="56" t="str">
        <f t="shared" si="2"/>
        <v>https://download.lenovo.com/Images/Parts/00HN023/00HN023_details.jpg</v>
      </c>
      <c r="P22" t="str">
        <f t="shared" si="3"/>
        <v/>
      </c>
      <c r="Q22" t="str">
        <f t="shared" si="4"/>
        <v/>
      </c>
      <c r="R22" t="str">
        <f t="shared" si="5"/>
        <v/>
      </c>
      <c r="S22" t="str">
        <f t="shared" si="6"/>
        <v/>
      </c>
      <c r="T22" t="str">
        <f t="shared" si="7"/>
        <v/>
      </c>
      <c r="U22" t="str">
        <f t="shared" si="8"/>
        <v/>
      </c>
      <c r="V22" s="57">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xml:space="preserve">👉 ÜBERARBEITET: GELD SPAREN - Ersatz-Lenovo-Laptop-Tastatur, gleiche Qualität wie OEM-Tastaturen. TellusRem ist seit 2011 der weltweit führende Distributor von Tastaturen. Perfekte Ersatztastatur, einfach auszutauschen und zu installieren. </v>
      </c>
      <c r="C23" s="49" t="b">
        <f>TRUE()</f>
        <v>1</v>
      </c>
      <c r="D23" s="49" t="b">
        <f>FALSE()</f>
        <v>0</v>
      </c>
      <c r="E23" s="44">
        <v>5714401550204</v>
      </c>
      <c r="F23" s="44" t="s">
        <v>695</v>
      </c>
      <c r="G23" s="51"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 xml:space="preserve">US </v>
      </c>
      <c r="I23" s="52" t="b">
        <f>TRUE()</f>
        <v>1</v>
      </c>
      <c r="J23" s="53" t="b">
        <f>FALSE()</f>
        <v>0</v>
      </c>
      <c r="K23" s="44" t="s">
        <v>708</v>
      </c>
      <c r="L23" s="54" t="b">
        <f>FALSE()</f>
        <v>0</v>
      </c>
      <c r="M23" s="55" t="str">
        <f t="shared" si="0"/>
        <v>https://download.lenovo.com/Images/Parts/00HN000/00HN000_A.jpg</v>
      </c>
      <c r="N23" s="55" t="str">
        <f t="shared" si="1"/>
        <v>https://download.lenovo.com/Images/Parts/00HN000/00HN000_B.jpg</v>
      </c>
      <c r="O23" s="56" t="str">
        <f t="shared" si="2"/>
        <v>https://download.lenovo.com/Images/Parts/00HN000/00HN000_details.jpg</v>
      </c>
      <c r="P23" t="str">
        <f t="shared" si="3"/>
        <v/>
      </c>
      <c r="Q23" t="str">
        <f t="shared" si="4"/>
        <v/>
      </c>
      <c r="R23" t="str">
        <f t="shared" si="5"/>
        <v/>
      </c>
      <c r="S23" t="str">
        <f t="shared" si="6"/>
        <v/>
      </c>
      <c r="T23" t="str">
        <f t="shared" si="7"/>
        <v/>
      </c>
      <c r="U23" t="str">
        <f t="shared" si="8"/>
        <v/>
      </c>
      <c r="V23" s="57">
        <f>MATCH(G23,options!$D$1:$D$20,0)</f>
        <v>18</v>
      </c>
    </row>
    <row r="24" spans="1:22" ht="56"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v>
      </c>
      <c r="C24" s="49"/>
      <c r="D24" s="49"/>
      <c r="E24" s="50"/>
      <c r="F24" s="50"/>
      <c r="G24" s="51"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Deutsche</v>
      </c>
      <c r="I24" s="52"/>
      <c r="J24" s="53"/>
      <c r="K24" s="50"/>
      <c r="L24" s="54"/>
      <c r="M24" s="55" t="str">
        <f t="shared" si="0"/>
        <v/>
      </c>
      <c r="N24" s="55" t="str">
        <f t="shared" si="1"/>
        <v/>
      </c>
      <c r="O24" s="56" t="str">
        <f t="shared" si="2"/>
        <v/>
      </c>
      <c r="P24" t="str">
        <f t="shared" si="3"/>
        <v/>
      </c>
      <c r="Q24" t="str">
        <f t="shared" si="4"/>
        <v/>
      </c>
      <c r="R24" t="str">
        <f t="shared" si="5"/>
        <v/>
      </c>
      <c r="S24" t="str">
        <f t="shared" si="6"/>
        <v/>
      </c>
      <c r="T24" t="str">
        <f t="shared" si="7"/>
        <v/>
      </c>
      <c r="U24" t="str">
        <f t="shared" si="8"/>
        <v/>
      </c>
      <c r="V24" s="57">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ÖFFENTLICHES PRODUKT - Kaufen Sie renoviert, KAUFEN SIE GRÜN! Reduzieren Sie mehr als 80% Kohlendioxid, indem Sie unsere überholten Tastaturen kaufen, im Vergleich zu einer neuen Tastatur! </v>
      </c>
      <c r="C25" s="49"/>
      <c r="D25" s="49"/>
      <c r="E25" s="50"/>
      <c r="F25" s="50"/>
      <c r="G25" s="51"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Französisch</v>
      </c>
      <c r="I25" s="52"/>
      <c r="J25" s="53"/>
      <c r="K25" s="50"/>
      <c r="L25" s="54"/>
      <c r="M25" s="55" t="str">
        <f t="shared" si="0"/>
        <v/>
      </c>
      <c r="N25" s="55" t="str">
        <f t="shared" si="1"/>
        <v/>
      </c>
      <c r="O25" s="56" t="str">
        <f t="shared" si="2"/>
        <v/>
      </c>
      <c r="P25" t="str">
        <f t="shared" si="3"/>
        <v/>
      </c>
      <c r="Q25" t="str">
        <f t="shared" si="4"/>
        <v/>
      </c>
      <c r="R25" t="str">
        <f t="shared" si="5"/>
        <v/>
      </c>
      <c r="S25" t="str">
        <f t="shared" si="6"/>
        <v/>
      </c>
      <c r="T25" t="str">
        <f t="shared" si="7"/>
        <v/>
      </c>
      <c r="U25" t="str">
        <f t="shared" si="8"/>
        <v/>
      </c>
      <c r="V25" s="57">
        <f>MATCH(G25,options!$D$1:$D$20,0)</f>
        <v>2</v>
      </c>
    </row>
    <row r="26" spans="1:22" ht="14"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xml:space="preserve">👉 LAYOUT - {flag} {language} mit Hintergrundbeleuchtung </v>
      </c>
      <c r="C26" s="49"/>
      <c r="D26" s="49"/>
      <c r="E26" s="50"/>
      <c r="F26" s="50"/>
      <c r="G26" s="51"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Italienisch</v>
      </c>
      <c r="I26" s="52"/>
      <c r="J26" s="53"/>
      <c r="K26" s="50"/>
      <c r="L26" s="54"/>
      <c r="M26" s="55" t="str">
        <f t="shared" si="0"/>
        <v/>
      </c>
      <c r="N26" s="55" t="str">
        <f t="shared" si="1"/>
        <v/>
      </c>
      <c r="O26" s="56" t="str">
        <f t="shared" si="2"/>
        <v/>
      </c>
      <c r="P26" t="str">
        <f t="shared" si="3"/>
        <v/>
      </c>
      <c r="Q26" t="str">
        <f t="shared" si="4"/>
        <v/>
      </c>
      <c r="R26" t="str">
        <f t="shared" si="5"/>
        <v/>
      </c>
      <c r="S26" t="str">
        <f t="shared" si="6"/>
        <v/>
      </c>
      <c r="T26" t="str">
        <f t="shared" si="7"/>
        <v/>
      </c>
      <c r="U26" t="str">
        <f t="shared" si="8"/>
        <v/>
      </c>
      <c r="V26" s="57">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KOMPATIBEL MIT - Lenovo {model}. Bitte überprüfen Sie das Bild und die Beschreibung sorgfältig, bevor Sie eine Tastatur kaufen. Dies stellt sicher, dass Sie die richtige Laptop-Tastatur für Ihren Computer erhalten. Super einfache Installation. </v>
      </c>
      <c r="C27" s="49"/>
      <c r="D27" s="49"/>
      <c r="E27" s="50"/>
      <c r="F27" s="50"/>
      <c r="G27" s="51"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Spanisch</v>
      </c>
      <c r="I27" s="52"/>
      <c r="J27" s="53"/>
      <c r="K27" s="50"/>
      <c r="L27" s="54"/>
      <c r="M27" s="55" t="str">
        <f t="shared" si="0"/>
        <v/>
      </c>
      <c r="N27" s="55" t="str">
        <f t="shared" si="1"/>
        <v/>
      </c>
      <c r="O27" s="56" t="str">
        <f t="shared" si="2"/>
        <v/>
      </c>
      <c r="P27" t="str">
        <f t="shared" si="3"/>
        <v/>
      </c>
      <c r="Q27" t="str">
        <f t="shared" si="4"/>
        <v/>
      </c>
      <c r="R27" t="str">
        <f t="shared" si="5"/>
        <v/>
      </c>
      <c r="S27" t="str">
        <f t="shared" si="6"/>
        <v/>
      </c>
      <c r="T27" t="str">
        <f t="shared" si="7"/>
        <v/>
      </c>
      <c r="U27" t="str">
        <f t="shared" si="8"/>
        <v/>
      </c>
      <c r="V27" s="57">
        <f>MATCH(G27,options!$D$1:$D$20,0)</f>
        <v>4</v>
      </c>
    </row>
    <row r="28" spans="1:22" x14ac:dyDescent="0.15">
      <c r="B28" s="63"/>
      <c r="C28" s="49"/>
      <c r="D28" s="49"/>
      <c r="E28" s="50"/>
      <c r="F28" s="50"/>
      <c r="G28" s="51"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52"/>
      <c r="J28" s="53"/>
      <c r="K28" s="50"/>
      <c r="L28" s="54"/>
      <c r="M28" s="55" t="str">
        <f t="shared" si="0"/>
        <v/>
      </c>
      <c r="N28" s="55" t="str">
        <f t="shared" si="1"/>
        <v/>
      </c>
      <c r="O28" s="56" t="str">
        <f t="shared" si="2"/>
        <v/>
      </c>
      <c r="P28" t="str">
        <f t="shared" si="3"/>
        <v/>
      </c>
      <c r="Q28" t="str">
        <f t="shared" si="4"/>
        <v/>
      </c>
      <c r="R28" t="str">
        <f t="shared" si="5"/>
        <v/>
      </c>
      <c r="S28" t="str">
        <f t="shared" si="6"/>
        <v/>
      </c>
      <c r="T28" t="str">
        <f t="shared" si="7"/>
        <v/>
      </c>
      <c r="U28" t="str">
        <f t="shared" si="8"/>
        <v/>
      </c>
      <c r="V28" s="57">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C29" s="49"/>
      <c r="D29" s="49"/>
      <c r="E29" s="50"/>
      <c r="F29" s="50"/>
      <c r="G29" s="51"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Skandinavisch – Nordisch</v>
      </c>
      <c r="I29" s="52"/>
      <c r="J29" s="53"/>
      <c r="K29" s="50"/>
      <c r="L29" s="54"/>
      <c r="M29" s="55" t="str">
        <f t="shared" si="0"/>
        <v/>
      </c>
      <c r="N29" s="55" t="str">
        <f t="shared" si="1"/>
        <v/>
      </c>
      <c r="O29" s="56" t="str">
        <f t="shared" si="2"/>
        <v/>
      </c>
      <c r="P29" t="str">
        <f t="shared" si="3"/>
        <v/>
      </c>
      <c r="Q29" t="str">
        <f t="shared" si="4"/>
        <v/>
      </c>
      <c r="R29" t="str">
        <f t="shared" si="5"/>
        <v/>
      </c>
      <c r="S29" t="str">
        <f t="shared" si="6"/>
        <v/>
      </c>
      <c r="T29" t="str">
        <f t="shared" si="7"/>
        <v/>
      </c>
      <c r="U29" t="str">
        <f t="shared" si="8"/>
        <v/>
      </c>
      <c r="V29" s="57">
        <f>MATCH(G29,options!$D$1:$D$20,0)</f>
        <v>6</v>
      </c>
    </row>
    <row r="30" spans="1:22" x14ac:dyDescent="0.15">
      <c r="B30" s="63"/>
      <c r="C30" s="49"/>
      <c r="D30" s="49"/>
      <c r="E30" s="50"/>
      <c r="F30" s="50"/>
      <c r="G30" s="51"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Belgier</v>
      </c>
      <c r="I30" s="52"/>
      <c r="J30" s="53"/>
      <c r="K30" s="50"/>
      <c r="L30" s="54"/>
      <c r="M30" s="55" t="str">
        <f t="shared" si="0"/>
        <v/>
      </c>
      <c r="N30" s="55" t="str">
        <f t="shared" si="1"/>
        <v/>
      </c>
      <c r="O30" s="56" t="str">
        <f t="shared" si="2"/>
        <v/>
      </c>
      <c r="P30" t="str">
        <f t="shared" si="3"/>
        <v/>
      </c>
      <c r="Q30" t="str">
        <f t="shared" si="4"/>
        <v/>
      </c>
      <c r="R30" t="str">
        <f t="shared" si="5"/>
        <v/>
      </c>
      <c r="S30" t="str">
        <f t="shared" si="6"/>
        <v/>
      </c>
      <c r="T30" t="str">
        <f t="shared" si="7"/>
        <v/>
      </c>
      <c r="U30" t="str">
        <f t="shared" si="8"/>
        <v/>
      </c>
      <c r="V30" s="57">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Monate Garantie nach dem Liefertermin. Im Falle einer Fehlfunktion der Tastatur wird ein neues Gerät oder ein Ersatzteil für die Tastatur des Produkts gesendet. Bei Sortierung des Bestands wird eine volle Rückerstattung gewährt.</v>
      </c>
      <c r="C31" s="49"/>
      <c r="D31" s="49"/>
      <c r="E31" s="50"/>
      <c r="F31" s="50"/>
      <c r="G31" s="51"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Bulgarisch</v>
      </c>
      <c r="I31" s="52"/>
      <c r="J31" s="53"/>
      <c r="K31" s="50"/>
      <c r="L31" s="54"/>
      <c r="M31" s="55" t="str">
        <f t="shared" si="0"/>
        <v/>
      </c>
      <c r="N31" s="55" t="str">
        <f t="shared" si="1"/>
        <v/>
      </c>
      <c r="O31" s="56" t="str">
        <f t="shared" si="2"/>
        <v/>
      </c>
      <c r="P31" t="str">
        <f t="shared" si="3"/>
        <v/>
      </c>
      <c r="Q31" t="str">
        <f t="shared" si="4"/>
        <v/>
      </c>
      <c r="R31" t="str">
        <f t="shared" si="5"/>
        <v/>
      </c>
      <c r="S31" t="str">
        <f t="shared" si="6"/>
        <v/>
      </c>
      <c r="T31" t="str">
        <f t="shared" si="7"/>
        <v/>
      </c>
      <c r="U31" t="str">
        <f t="shared" si="8"/>
        <v/>
      </c>
      <c r="V31" s="57">
        <f>MATCH(G31,options!$D$1:$D$20,0)</f>
        <v>8</v>
      </c>
    </row>
    <row r="32" spans="1:22" x14ac:dyDescent="0.15">
      <c r="C32" s="49"/>
      <c r="D32" s="49"/>
      <c r="E32" s="50"/>
      <c r="F32" s="50"/>
      <c r="G32" s="51"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Tschechisch</v>
      </c>
      <c r="I32" s="52"/>
      <c r="J32" s="53"/>
      <c r="K32" s="50"/>
      <c r="L32" s="54"/>
      <c r="M32" s="55" t="str">
        <f t="shared" si="0"/>
        <v/>
      </c>
      <c r="N32" s="55" t="str">
        <f t="shared" si="1"/>
        <v/>
      </c>
      <c r="O32" s="56" t="str">
        <f t="shared" si="2"/>
        <v/>
      </c>
      <c r="P32" t="str">
        <f t="shared" si="3"/>
        <v/>
      </c>
      <c r="Q32" t="str">
        <f t="shared" si="4"/>
        <v/>
      </c>
      <c r="R32" t="str">
        <f t="shared" si="5"/>
        <v/>
      </c>
      <c r="S32" t="str">
        <f t="shared" si="6"/>
        <v/>
      </c>
      <c r="T32" t="str">
        <f t="shared" si="7"/>
        <v/>
      </c>
      <c r="U32" t="str">
        <f t="shared" si="8"/>
        <v/>
      </c>
      <c r="V32" s="57">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xml:space="preserve">👉 LAYOUT - {flag} {language} Nicht Hintergrundbeleuchtung </v>
      </c>
      <c r="C33" s="49"/>
      <c r="D33" s="49"/>
      <c r="E33" s="50"/>
      <c r="F33" s="50"/>
      <c r="G33" s="51"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Dänisch</v>
      </c>
      <c r="I33" s="52"/>
      <c r="J33" s="53"/>
      <c r="K33" s="50"/>
      <c r="L33" s="54"/>
      <c r="M33" s="55" t="str">
        <f t="shared" si="0"/>
        <v/>
      </c>
      <c r="N33" s="55" t="str">
        <f t="shared" si="1"/>
        <v/>
      </c>
      <c r="O33" s="56" t="str">
        <f t="shared" si="2"/>
        <v/>
      </c>
      <c r="P33" t="str">
        <f t="shared" si="3"/>
        <v/>
      </c>
      <c r="Q33" t="str">
        <f t="shared" si="4"/>
        <v/>
      </c>
      <c r="R33" t="str">
        <f t="shared" si="5"/>
        <v/>
      </c>
      <c r="S33" t="str">
        <f t="shared" si="6"/>
        <v/>
      </c>
      <c r="T33" t="str">
        <f t="shared" si="7"/>
        <v/>
      </c>
      <c r="U33" t="str">
        <f t="shared" si="8"/>
        <v/>
      </c>
      <c r="V33" s="57">
        <f>MATCH(G33,options!$D$1:$D$20,0)</f>
        <v>9</v>
      </c>
    </row>
    <row r="34" spans="1:22" x14ac:dyDescent="0.15">
      <c r="C34" s="49"/>
      <c r="D34" s="49"/>
      <c r="E34" s="50"/>
      <c r="F34" s="50"/>
      <c r="G34" s="51"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Hungarisch</v>
      </c>
      <c r="I34" s="52"/>
      <c r="J34" s="53"/>
      <c r="K34" s="50"/>
      <c r="L34" s="54"/>
      <c r="M34" s="55" t="str">
        <f t="shared" si="0"/>
        <v/>
      </c>
      <c r="N34" s="55" t="str">
        <f t="shared" si="1"/>
        <v/>
      </c>
      <c r="O34" s="56" t="str">
        <f t="shared" si="2"/>
        <v/>
      </c>
      <c r="P34" t="str">
        <f t="shared" si="3"/>
        <v/>
      </c>
      <c r="Q34" t="str">
        <f t="shared" si="4"/>
        <v/>
      </c>
      <c r="R34" t="str">
        <f t="shared" si="5"/>
        <v/>
      </c>
      <c r="S34" t="str">
        <f t="shared" si="6"/>
        <v/>
      </c>
      <c r="T34" t="str">
        <f t="shared" si="7"/>
        <v/>
      </c>
      <c r="U34" t="str">
        <f t="shared" si="8"/>
        <v/>
      </c>
      <c r="V34" s="57">
        <f>MATCH(G34,options!$D$1:$D$20,0)</f>
        <v>19</v>
      </c>
    </row>
    <row r="35" spans="1:22" x14ac:dyDescent="0.15">
      <c r="C35" s="49"/>
      <c r="D35" s="49"/>
      <c r="E35" s="50"/>
      <c r="F35" s="50"/>
      <c r="G35" s="51"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Niederländisch</v>
      </c>
      <c r="I35" s="52"/>
      <c r="J35" s="53"/>
      <c r="L35" s="54"/>
      <c r="M35" s="55" t="str">
        <f t="shared" si="0"/>
        <v/>
      </c>
      <c r="N35" s="55" t="str">
        <f t="shared" si="1"/>
        <v/>
      </c>
      <c r="O35" s="56" t="str">
        <f t="shared" si="2"/>
        <v/>
      </c>
      <c r="P35" t="str">
        <f t="shared" si="3"/>
        <v/>
      </c>
      <c r="Q35" t="str">
        <f t="shared" si="4"/>
        <v/>
      </c>
      <c r="R35" t="str">
        <f t="shared" si="5"/>
        <v/>
      </c>
      <c r="S35" t="str">
        <f t="shared" si="6"/>
        <v/>
      </c>
      <c r="T35" t="str">
        <f t="shared" si="7"/>
        <v/>
      </c>
      <c r="U35" t="str">
        <f t="shared" si="8"/>
        <v/>
      </c>
      <c r="V35" s="57">
        <f>MATCH(G35,options!$D$1:$D$20,0)</f>
        <v>10</v>
      </c>
    </row>
    <row r="36" spans="1:22" ht="14" x14ac:dyDescent="0.15">
      <c r="A36" s="45" t="s">
        <v>411</v>
      </c>
      <c r="B36" s="62" t="s">
        <v>370</v>
      </c>
      <c r="C36" s="49"/>
      <c r="D36" s="49"/>
      <c r="E36" s="50"/>
      <c r="F36" s="50"/>
      <c r="G36" s="51"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norwegisch</v>
      </c>
      <c r="I36" s="52"/>
      <c r="J36" s="53"/>
      <c r="K36" s="50"/>
      <c r="L36" s="54"/>
      <c r="M36" s="55" t="str">
        <f t="shared" ref="M36:M67" si="9">IF(ISBLANK(K36),"",IF(L36, "https://raw.githubusercontent.com/PatrickVibild/TellusAmazonPictures/master/pictures/"&amp;K36&amp;"/1.jpg","https://download.lenovo.com/Images/Parts/"&amp;K36&amp;"/"&amp;K36&amp;"_A.jpg"))</f>
        <v/>
      </c>
      <c r="N36" s="55" t="str">
        <f t="shared" ref="N36:N67" si="10">IF(ISBLANK(K36),"",IF(L36, "https://raw.githubusercontent.com/PatrickVibild/TellusAmazonPictures/master/pictures/"&amp;K36&amp;"/2.jpg","https://download.lenovo.com/Images/Parts/"&amp;K36&amp;"/"&amp;K36&amp;"_B.jpg"))</f>
        <v/>
      </c>
      <c r="O36" s="56"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7">
        <f>MATCH(G36,options!$D$1:$D$20,0)</f>
        <v>11</v>
      </c>
    </row>
    <row r="37" spans="1:22" ht="14" x14ac:dyDescent="0.15">
      <c r="A37" t="s">
        <v>413</v>
      </c>
      <c r="B37" s="62" t="s">
        <v>416</v>
      </c>
      <c r="C37" s="49"/>
      <c r="D37" s="49"/>
      <c r="E37" s="50"/>
      <c r="F37" s="50"/>
      <c r="G37" s="51"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Polieren</v>
      </c>
      <c r="I37" s="52"/>
      <c r="J37" s="53"/>
      <c r="K37" s="50"/>
      <c r="L37" s="54"/>
      <c r="M37" s="55" t="str">
        <f t="shared" si="9"/>
        <v/>
      </c>
      <c r="N37" s="55" t="str">
        <f t="shared" si="10"/>
        <v/>
      </c>
      <c r="O37" s="56" t="str">
        <f t="shared" si="11"/>
        <v/>
      </c>
      <c r="P37" t="str">
        <f t="shared" si="12"/>
        <v/>
      </c>
      <c r="Q37" t="str">
        <f t="shared" si="13"/>
        <v/>
      </c>
      <c r="R37" t="str">
        <f t="shared" si="14"/>
        <v/>
      </c>
      <c r="S37" t="str">
        <f t="shared" si="15"/>
        <v/>
      </c>
      <c r="T37" t="str">
        <f t="shared" si="16"/>
        <v/>
      </c>
      <c r="U37" t="str">
        <f t="shared" si="17"/>
        <v/>
      </c>
      <c r="V37" s="57">
        <f>MATCH(G37,options!$D$1:$D$20,0)</f>
        <v>12</v>
      </c>
    </row>
    <row r="38" spans="1:22" x14ac:dyDescent="0.15">
      <c r="C38" s="49"/>
      <c r="D38" s="49"/>
      <c r="E38" s="50"/>
      <c r="F38" s="50"/>
      <c r="G38" s="51"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Portugiesisch</v>
      </c>
      <c r="I38" s="52"/>
      <c r="J38" s="53"/>
      <c r="K38" s="50"/>
      <c r="L38" s="54"/>
      <c r="M38" s="55" t="str">
        <f t="shared" si="9"/>
        <v/>
      </c>
      <c r="N38" s="55" t="str">
        <f t="shared" si="10"/>
        <v/>
      </c>
      <c r="O38" s="56" t="str">
        <f t="shared" si="11"/>
        <v/>
      </c>
      <c r="P38" t="str">
        <f t="shared" si="12"/>
        <v/>
      </c>
      <c r="Q38" t="str">
        <f t="shared" si="13"/>
        <v/>
      </c>
      <c r="R38" t="str">
        <f t="shared" si="14"/>
        <v/>
      </c>
      <c r="S38" t="str">
        <f t="shared" si="15"/>
        <v/>
      </c>
      <c r="T38" t="str">
        <f t="shared" si="16"/>
        <v/>
      </c>
      <c r="U38" t="str">
        <f t="shared" si="17"/>
        <v/>
      </c>
      <c r="V38" s="57">
        <f>MATCH(G38,options!$D$1:$D$20,0)</f>
        <v>13</v>
      </c>
    </row>
    <row r="39" spans="1:22" x14ac:dyDescent="0.15">
      <c r="C39" s="49"/>
      <c r="D39" s="49"/>
      <c r="E39" s="50"/>
      <c r="F39" s="50"/>
      <c r="G39" s="51"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Schwedisch -  finnisch</v>
      </c>
      <c r="I39" s="52"/>
      <c r="J39" s="53"/>
      <c r="K39" s="50"/>
      <c r="L39" s="54"/>
      <c r="M39" s="55" t="str">
        <f t="shared" si="9"/>
        <v/>
      </c>
      <c r="N39" s="55" t="str">
        <f t="shared" si="10"/>
        <v/>
      </c>
      <c r="O39" s="56" t="str">
        <f t="shared" si="11"/>
        <v/>
      </c>
      <c r="P39" t="str">
        <f t="shared" si="12"/>
        <v/>
      </c>
      <c r="Q39" t="str">
        <f t="shared" si="13"/>
        <v/>
      </c>
      <c r="R39" t="str">
        <f t="shared" si="14"/>
        <v/>
      </c>
      <c r="S39" t="str">
        <f t="shared" si="15"/>
        <v/>
      </c>
      <c r="T39" t="str">
        <f t="shared" si="16"/>
        <v/>
      </c>
      <c r="U39" t="str">
        <f t="shared" si="17"/>
        <v/>
      </c>
      <c r="V39" s="57">
        <f>MATCH(G39,options!$D$1:$D$20,0)</f>
        <v>14</v>
      </c>
    </row>
    <row r="40" spans="1:22" x14ac:dyDescent="0.15">
      <c r="C40" s="49"/>
      <c r="D40" s="49"/>
      <c r="E40" s="50"/>
      <c r="F40" s="50"/>
      <c r="G40" s="51"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Schweizerisch</v>
      </c>
      <c r="I40" s="52"/>
      <c r="J40" s="53"/>
      <c r="K40" s="50"/>
      <c r="L40" s="54"/>
      <c r="M40" s="55" t="str">
        <f t="shared" si="9"/>
        <v/>
      </c>
      <c r="N40" s="55" t="str">
        <f t="shared" si="10"/>
        <v/>
      </c>
      <c r="O40" s="56" t="str">
        <f t="shared" si="11"/>
        <v/>
      </c>
      <c r="P40" t="str">
        <f t="shared" si="12"/>
        <v/>
      </c>
      <c r="Q40" t="str">
        <f t="shared" si="13"/>
        <v/>
      </c>
      <c r="R40" t="str">
        <f t="shared" si="14"/>
        <v/>
      </c>
      <c r="S40" t="str">
        <f t="shared" si="15"/>
        <v/>
      </c>
      <c r="T40" t="str">
        <f t="shared" si="16"/>
        <v/>
      </c>
      <c r="U40" t="str">
        <f t="shared" si="17"/>
        <v/>
      </c>
      <c r="V40" s="57">
        <f>MATCH(G40,options!$D$1:$D$20,0)</f>
        <v>15</v>
      </c>
    </row>
    <row r="41" spans="1:22" x14ac:dyDescent="0.15">
      <c r="C41" s="49"/>
      <c r="D41" s="49"/>
      <c r="E41" s="50"/>
      <c r="F41" s="50"/>
      <c r="G41" s="51"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2"/>
      <c r="J41" s="53"/>
      <c r="K41" s="50"/>
      <c r="L41" s="54"/>
      <c r="M41" s="55" t="str">
        <f t="shared" si="9"/>
        <v/>
      </c>
      <c r="N41" s="55" t="str">
        <f t="shared" si="10"/>
        <v/>
      </c>
      <c r="O41" s="56" t="str">
        <f t="shared" si="11"/>
        <v/>
      </c>
      <c r="P41" t="str">
        <f t="shared" si="12"/>
        <v/>
      </c>
      <c r="Q41" t="str">
        <f t="shared" si="13"/>
        <v/>
      </c>
      <c r="R41" t="str">
        <f t="shared" si="14"/>
        <v/>
      </c>
      <c r="S41" t="str">
        <f t="shared" si="15"/>
        <v/>
      </c>
      <c r="T41" t="str">
        <f t="shared" si="16"/>
        <v/>
      </c>
      <c r="U41" t="str">
        <f t="shared" si="17"/>
        <v/>
      </c>
      <c r="V41" s="57">
        <f>MATCH(G41,options!$D$1:$D$20,0)</f>
        <v>16</v>
      </c>
    </row>
    <row r="42" spans="1:22" x14ac:dyDescent="0.15">
      <c r="C42" s="49"/>
      <c r="D42" s="49"/>
      <c r="E42" s="50"/>
      <c r="F42" s="50"/>
      <c r="G42" s="51"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Russisch</v>
      </c>
      <c r="I42" s="52"/>
      <c r="J42" s="53"/>
      <c r="K42" s="50"/>
      <c r="L42" s="54"/>
      <c r="M42" s="55" t="str">
        <f t="shared" si="9"/>
        <v/>
      </c>
      <c r="N42" s="55" t="str">
        <f t="shared" si="10"/>
        <v/>
      </c>
      <c r="O42" s="56" t="str">
        <f t="shared" si="11"/>
        <v/>
      </c>
      <c r="P42" t="str">
        <f t="shared" si="12"/>
        <v/>
      </c>
      <c r="Q42" t="str">
        <f t="shared" si="13"/>
        <v/>
      </c>
      <c r="R42" t="str">
        <f t="shared" si="14"/>
        <v/>
      </c>
      <c r="S42" t="str">
        <f t="shared" si="15"/>
        <v/>
      </c>
      <c r="T42" t="str">
        <f t="shared" si="16"/>
        <v/>
      </c>
      <c r="U42" t="str">
        <f t="shared" si="17"/>
        <v/>
      </c>
      <c r="V42" s="57">
        <f>MATCH(G42,options!$D$1:$D$20,0)</f>
        <v>17</v>
      </c>
    </row>
    <row r="43" spans="1:22" x14ac:dyDescent="0.15">
      <c r="C43" s="49"/>
      <c r="D43" s="49"/>
      <c r="E43" s="50"/>
      <c r="F43" s="50"/>
      <c r="G43" s="51"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 xml:space="preserve">US </v>
      </c>
      <c r="I43" s="52"/>
      <c r="J43" s="53"/>
      <c r="K43" s="50"/>
      <c r="L43" s="54"/>
      <c r="M43" s="55" t="str">
        <f t="shared" si="9"/>
        <v/>
      </c>
      <c r="N43" s="55" t="str">
        <f t="shared" si="10"/>
        <v/>
      </c>
      <c r="O43" s="56" t="str">
        <f t="shared" si="11"/>
        <v/>
      </c>
      <c r="P43" t="str">
        <f t="shared" si="12"/>
        <v/>
      </c>
      <c r="Q43" t="str">
        <f t="shared" si="13"/>
        <v/>
      </c>
      <c r="R43" t="str">
        <f t="shared" si="14"/>
        <v/>
      </c>
      <c r="S43" t="str">
        <f t="shared" si="15"/>
        <v/>
      </c>
      <c r="T43" t="str">
        <f t="shared" si="16"/>
        <v/>
      </c>
      <c r="U43" t="str">
        <f t="shared" si="17"/>
        <v/>
      </c>
      <c r="V43" s="57">
        <f>MATCH(G43,options!$D$1:$D$20,0)</f>
        <v>18</v>
      </c>
    </row>
    <row r="44" spans="1:22" x14ac:dyDescent="0.15">
      <c r="E44" s="64"/>
      <c r="F44" s="65"/>
      <c r="G44" s="65"/>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5"/>
      <c r="J44" s="65"/>
      <c r="K44" s="55"/>
      <c r="L44" s="66"/>
      <c r="M44" s="55" t="str">
        <f t="shared" si="9"/>
        <v/>
      </c>
      <c r="N44" s="55" t="str">
        <f t="shared" si="10"/>
        <v/>
      </c>
      <c r="O44" s="56" t="str">
        <f t="shared" si="11"/>
        <v/>
      </c>
      <c r="P44" t="str">
        <f t="shared" si="12"/>
        <v/>
      </c>
      <c r="Q44" t="str">
        <f t="shared" si="13"/>
        <v/>
      </c>
      <c r="R44" t="str">
        <f t="shared" si="14"/>
        <v/>
      </c>
      <c r="S44" t="str">
        <f t="shared" si="15"/>
        <v/>
      </c>
      <c r="T44" t="str">
        <f t="shared" si="16"/>
        <v/>
      </c>
      <c r="U44" t="str">
        <f t="shared" si="17"/>
        <v/>
      </c>
      <c r="V44" s="57" t="e">
        <f>MATCH(G44,options!$D$1:$D$20,0)</f>
        <v>#N/A</v>
      </c>
    </row>
    <row r="45" spans="1:22" x14ac:dyDescent="0.15">
      <c r="E45" s="64"/>
      <c r="F45" s="65"/>
      <c r="G45" s="65"/>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5"/>
      <c r="J45" s="65"/>
      <c r="K45" s="55"/>
      <c r="L45" s="66"/>
      <c r="M45" s="55" t="str">
        <f t="shared" si="9"/>
        <v/>
      </c>
      <c r="N45" s="55" t="str">
        <f t="shared" si="10"/>
        <v/>
      </c>
      <c r="O45" s="56" t="str">
        <f t="shared" si="11"/>
        <v/>
      </c>
      <c r="P45" t="str">
        <f t="shared" si="12"/>
        <v/>
      </c>
      <c r="Q45" t="str">
        <f t="shared" si="13"/>
        <v/>
      </c>
      <c r="R45" t="str">
        <f t="shared" si="14"/>
        <v/>
      </c>
      <c r="S45" t="str">
        <f t="shared" si="15"/>
        <v/>
      </c>
      <c r="T45" t="str">
        <f t="shared" si="16"/>
        <v/>
      </c>
      <c r="U45" t="str">
        <f t="shared" si="17"/>
        <v/>
      </c>
      <c r="V45" s="57" t="e">
        <f>MATCH(G45,options!$D$1:$D$20,0)</f>
        <v>#N/A</v>
      </c>
    </row>
    <row r="46" spans="1:22" x14ac:dyDescent="0.15">
      <c r="E46" s="64"/>
      <c r="F46" s="65"/>
      <c r="G46" s="65"/>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5"/>
      <c r="J46" s="65"/>
      <c r="K46" s="55"/>
      <c r="L46" s="66"/>
      <c r="M46" s="55" t="str">
        <f t="shared" si="9"/>
        <v/>
      </c>
      <c r="N46" s="55" t="str">
        <f t="shared" si="10"/>
        <v/>
      </c>
      <c r="O46" s="56" t="str">
        <f t="shared" si="11"/>
        <v/>
      </c>
      <c r="P46" t="str">
        <f t="shared" si="12"/>
        <v/>
      </c>
      <c r="Q46" t="str">
        <f t="shared" si="13"/>
        <v/>
      </c>
      <c r="R46" t="str">
        <f t="shared" si="14"/>
        <v/>
      </c>
      <c r="S46" t="str">
        <f t="shared" si="15"/>
        <v/>
      </c>
      <c r="T46" t="str">
        <f t="shared" si="16"/>
        <v/>
      </c>
      <c r="U46" t="str">
        <f t="shared" si="17"/>
        <v/>
      </c>
      <c r="V46" s="57" t="e">
        <f>MATCH(G46,options!$D$1:$D$20,0)</f>
        <v>#N/A</v>
      </c>
    </row>
    <row r="47" spans="1:22" x14ac:dyDescent="0.15">
      <c r="E47" s="64"/>
      <c r="F47" s="65"/>
      <c r="G47" s="65"/>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5"/>
      <c r="J47" s="65"/>
      <c r="K47" s="55"/>
      <c r="L47" s="66"/>
      <c r="M47" s="55" t="str">
        <f t="shared" si="9"/>
        <v/>
      </c>
      <c r="N47" s="55" t="str">
        <f t="shared" si="10"/>
        <v/>
      </c>
      <c r="O47" s="56" t="str">
        <f t="shared" si="11"/>
        <v/>
      </c>
      <c r="P47" t="str">
        <f t="shared" si="12"/>
        <v/>
      </c>
      <c r="Q47" t="str">
        <f t="shared" si="13"/>
        <v/>
      </c>
      <c r="R47" t="str">
        <f t="shared" si="14"/>
        <v/>
      </c>
      <c r="S47" t="str">
        <f t="shared" si="15"/>
        <v/>
      </c>
      <c r="T47" t="str">
        <f t="shared" si="16"/>
        <v/>
      </c>
      <c r="U47" t="str">
        <f t="shared" si="17"/>
        <v/>
      </c>
      <c r="V47" s="57" t="e">
        <f>MATCH(G47,options!$D$1:$D$20,0)</f>
        <v>#N/A</v>
      </c>
    </row>
    <row r="48" spans="1:22" x14ac:dyDescent="0.15">
      <c r="E48" s="64"/>
      <c r="F48" s="65"/>
      <c r="G48" s="65"/>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5"/>
      <c r="J48" s="65"/>
      <c r="K48" s="55"/>
      <c r="L48" s="66"/>
      <c r="M48" s="55" t="str">
        <f t="shared" si="9"/>
        <v/>
      </c>
      <c r="N48" s="55" t="str">
        <f t="shared" si="10"/>
        <v/>
      </c>
      <c r="O48" s="56" t="str">
        <f t="shared" si="11"/>
        <v/>
      </c>
      <c r="P48" t="str">
        <f t="shared" si="12"/>
        <v/>
      </c>
      <c r="Q48" t="str">
        <f t="shared" si="13"/>
        <v/>
      </c>
      <c r="R48" t="str">
        <f t="shared" si="14"/>
        <v/>
      </c>
      <c r="S48" t="str">
        <f t="shared" si="15"/>
        <v/>
      </c>
      <c r="T48" t="str">
        <f t="shared" si="16"/>
        <v/>
      </c>
      <c r="U48" t="str">
        <f t="shared" si="17"/>
        <v/>
      </c>
      <c r="V48" s="57" t="e">
        <f>MATCH(G48,options!$D$1:$D$20,0)</f>
        <v>#N/A</v>
      </c>
    </row>
    <row r="49" spans="5:22" x14ac:dyDescent="0.15">
      <c r="E49" s="64"/>
      <c r="F49" s="65"/>
      <c r="G49" s="65"/>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5"/>
      <c r="J49" s="65"/>
      <c r="K49" s="55"/>
      <c r="L49" s="66"/>
      <c r="M49" s="55" t="str">
        <f t="shared" si="9"/>
        <v/>
      </c>
      <c r="N49" s="55" t="str">
        <f t="shared" si="10"/>
        <v/>
      </c>
      <c r="O49" s="56" t="str">
        <f t="shared" si="11"/>
        <v/>
      </c>
      <c r="P49" t="str">
        <f t="shared" si="12"/>
        <v/>
      </c>
      <c r="Q49" t="str">
        <f t="shared" si="13"/>
        <v/>
      </c>
      <c r="R49" t="str">
        <f t="shared" si="14"/>
        <v/>
      </c>
      <c r="S49" t="str">
        <f t="shared" si="15"/>
        <v/>
      </c>
      <c r="T49" t="str">
        <f t="shared" si="16"/>
        <v/>
      </c>
      <c r="U49" t="str">
        <f t="shared" si="17"/>
        <v/>
      </c>
      <c r="V49" s="57" t="e">
        <f>MATCH(G49,options!$D$1:$D$20,0)</f>
        <v>#N/A</v>
      </c>
    </row>
    <row r="50" spans="5:22" x14ac:dyDescent="0.15">
      <c r="E50" s="64"/>
      <c r="F50" s="65"/>
      <c r="G50" s="65"/>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5"/>
      <c r="J50" s="65"/>
      <c r="K50" s="55"/>
      <c r="L50" s="66"/>
      <c r="M50" s="55" t="str">
        <f t="shared" si="9"/>
        <v/>
      </c>
      <c r="N50" s="55" t="str">
        <f t="shared" si="10"/>
        <v/>
      </c>
      <c r="O50" s="56" t="str">
        <f t="shared" si="11"/>
        <v/>
      </c>
      <c r="P50" t="str">
        <f t="shared" si="12"/>
        <v/>
      </c>
      <c r="Q50" t="str">
        <f t="shared" si="13"/>
        <v/>
      </c>
      <c r="R50" t="str">
        <f t="shared" si="14"/>
        <v/>
      </c>
      <c r="S50" t="str">
        <f t="shared" si="15"/>
        <v/>
      </c>
      <c r="T50" t="str">
        <f t="shared" si="16"/>
        <v/>
      </c>
      <c r="U50" t="str">
        <f t="shared" si="17"/>
        <v/>
      </c>
      <c r="V50" s="57" t="e">
        <f>MATCH(G50,options!$D$1:$D$20,0)</f>
        <v>#N/A</v>
      </c>
    </row>
    <row r="51" spans="5:22" x14ac:dyDescent="0.15">
      <c r="E51" s="64"/>
      <c r="F51" s="65"/>
      <c r="G51" s="65"/>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5"/>
      <c r="J51" s="65"/>
      <c r="K51" s="55"/>
      <c r="L51" s="66"/>
      <c r="M51" s="55" t="str">
        <f t="shared" si="9"/>
        <v/>
      </c>
      <c r="N51" s="55" t="str">
        <f t="shared" si="10"/>
        <v/>
      </c>
      <c r="O51" s="56" t="str">
        <f t="shared" si="11"/>
        <v/>
      </c>
      <c r="P51" t="str">
        <f t="shared" si="12"/>
        <v/>
      </c>
      <c r="Q51" t="str">
        <f t="shared" si="13"/>
        <v/>
      </c>
      <c r="R51" t="str">
        <f t="shared" si="14"/>
        <v/>
      </c>
      <c r="S51" t="str">
        <f t="shared" si="15"/>
        <v/>
      </c>
      <c r="T51" t="str">
        <f t="shared" si="16"/>
        <v/>
      </c>
      <c r="U51" t="str">
        <f t="shared" si="17"/>
        <v/>
      </c>
      <c r="V51" s="57" t="e">
        <f>MATCH(G51,options!$D$1:$D$20,0)</f>
        <v>#N/A</v>
      </c>
    </row>
    <row r="52" spans="5:22" x14ac:dyDescent="0.15">
      <c r="E52" s="64"/>
      <c r="F52" s="65"/>
      <c r="G52" s="65"/>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5"/>
      <c r="J52" s="65"/>
      <c r="K52" s="55"/>
      <c r="L52" s="66"/>
      <c r="M52" s="55" t="str">
        <f t="shared" si="9"/>
        <v/>
      </c>
      <c r="N52" s="55" t="str">
        <f t="shared" si="10"/>
        <v/>
      </c>
      <c r="O52" s="56" t="str">
        <f t="shared" si="11"/>
        <v/>
      </c>
      <c r="P52" t="str">
        <f t="shared" si="12"/>
        <v/>
      </c>
      <c r="Q52" t="str">
        <f t="shared" si="13"/>
        <v/>
      </c>
      <c r="R52" t="str">
        <f t="shared" si="14"/>
        <v/>
      </c>
      <c r="S52" t="str">
        <f t="shared" si="15"/>
        <v/>
      </c>
      <c r="T52" t="str">
        <f t="shared" si="16"/>
        <v/>
      </c>
      <c r="U52" t="str">
        <f t="shared" si="17"/>
        <v/>
      </c>
      <c r="V52" s="57" t="e">
        <f>MATCH(G52,options!$D$1:$D$20,0)</f>
        <v>#N/A</v>
      </c>
    </row>
    <row r="53" spans="5:22" x14ac:dyDescent="0.15">
      <c r="E53" s="64"/>
      <c r="F53" s="65"/>
      <c r="G53" s="65"/>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5"/>
      <c r="J53" s="65"/>
      <c r="K53" s="55"/>
      <c r="L53" s="66"/>
      <c r="M53" s="55" t="str">
        <f t="shared" si="9"/>
        <v/>
      </c>
      <c r="N53" s="55" t="str">
        <f t="shared" si="10"/>
        <v/>
      </c>
      <c r="O53" s="56" t="str">
        <f t="shared" si="11"/>
        <v/>
      </c>
      <c r="P53" t="str">
        <f t="shared" si="12"/>
        <v/>
      </c>
      <c r="Q53" t="str">
        <f t="shared" si="13"/>
        <v/>
      </c>
      <c r="R53" t="str">
        <f t="shared" si="14"/>
        <v/>
      </c>
      <c r="S53" t="str">
        <f t="shared" si="15"/>
        <v/>
      </c>
      <c r="T53" t="str">
        <f t="shared" si="16"/>
        <v/>
      </c>
      <c r="U53" t="str">
        <f t="shared" si="17"/>
        <v/>
      </c>
      <c r="V53" s="57" t="e">
        <f>MATCH(G53,options!$D$1:$D$20,0)</f>
        <v>#N/A</v>
      </c>
    </row>
    <row r="54" spans="5:22" x14ac:dyDescent="0.15">
      <c r="E54" s="64"/>
      <c r="F54" s="65"/>
      <c r="G54" s="65"/>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5"/>
      <c r="J54" s="65"/>
      <c r="K54" s="55"/>
      <c r="L54" s="66"/>
      <c r="M54" s="55" t="str">
        <f t="shared" si="9"/>
        <v/>
      </c>
      <c r="N54" s="55" t="str">
        <f t="shared" si="10"/>
        <v/>
      </c>
      <c r="O54" s="56" t="str">
        <f t="shared" si="11"/>
        <v/>
      </c>
      <c r="P54" t="str">
        <f t="shared" si="12"/>
        <v/>
      </c>
      <c r="Q54" t="str">
        <f t="shared" si="13"/>
        <v/>
      </c>
      <c r="R54" t="str">
        <f t="shared" si="14"/>
        <v/>
      </c>
      <c r="S54" t="str">
        <f t="shared" si="15"/>
        <v/>
      </c>
      <c r="T54" t="str">
        <f t="shared" si="16"/>
        <v/>
      </c>
      <c r="U54" t="str">
        <f t="shared" si="17"/>
        <v/>
      </c>
      <c r="V54" s="57" t="e">
        <f>MATCH(G54,options!$D$1:$D$20,0)</f>
        <v>#N/A</v>
      </c>
    </row>
    <row r="55" spans="5:22" x14ac:dyDescent="0.15">
      <c r="E55" s="64"/>
      <c r="F55" s="65"/>
      <c r="G55" s="65"/>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5"/>
      <c r="J55" s="65"/>
      <c r="K55" s="55"/>
      <c r="L55" s="66"/>
      <c r="M55" s="55" t="str">
        <f t="shared" si="9"/>
        <v/>
      </c>
      <c r="N55" s="55" t="str">
        <f t="shared" si="10"/>
        <v/>
      </c>
      <c r="O55" s="56" t="str">
        <f t="shared" si="11"/>
        <v/>
      </c>
      <c r="P55" t="str">
        <f t="shared" si="12"/>
        <v/>
      </c>
      <c r="Q55" t="str">
        <f t="shared" si="13"/>
        <v/>
      </c>
      <c r="R55" t="str">
        <f t="shared" si="14"/>
        <v/>
      </c>
      <c r="S55" t="str">
        <f t="shared" si="15"/>
        <v/>
      </c>
      <c r="T55" t="str">
        <f t="shared" si="16"/>
        <v/>
      </c>
      <c r="U55" t="str">
        <f t="shared" si="17"/>
        <v/>
      </c>
      <c r="V55" s="57" t="e">
        <f>MATCH(G55,options!$D$1:$D$20,0)</f>
        <v>#N/A</v>
      </c>
    </row>
    <row r="56" spans="5:22" x14ac:dyDescent="0.15">
      <c r="E56" s="64"/>
      <c r="F56" s="65"/>
      <c r="G56" s="65"/>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5"/>
      <c r="J56" s="65"/>
      <c r="K56" s="55"/>
      <c r="L56" s="66"/>
      <c r="M56" s="55" t="str">
        <f t="shared" si="9"/>
        <v/>
      </c>
      <c r="N56" s="55" t="str">
        <f t="shared" si="10"/>
        <v/>
      </c>
      <c r="O56" s="56" t="str">
        <f t="shared" si="11"/>
        <v/>
      </c>
      <c r="P56" t="str">
        <f t="shared" si="12"/>
        <v/>
      </c>
      <c r="Q56" t="str">
        <f t="shared" si="13"/>
        <v/>
      </c>
      <c r="R56" t="str">
        <f t="shared" si="14"/>
        <v/>
      </c>
      <c r="S56" t="str">
        <f t="shared" si="15"/>
        <v/>
      </c>
      <c r="T56" t="str">
        <f t="shared" si="16"/>
        <v/>
      </c>
      <c r="U56" t="str">
        <f t="shared" si="17"/>
        <v/>
      </c>
      <c r="V56" s="57" t="e">
        <f>MATCH(G56,options!$D$1:$D$20,0)</f>
        <v>#N/A</v>
      </c>
    </row>
    <row r="57" spans="5:22" x14ac:dyDescent="0.15">
      <c r="E57" s="64"/>
      <c r="F57" s="65"/>
      <c r="G57" s="65"/>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5"/>
      <c r="J57" s="65"/>
      <c r="K57" s="55"/>
      <c r="L57" s="66"/>
      <c r="M57" s="55" t="str">
        <f t="shared" si="9"/>
        <v/>
      </c>
      <c r="N57" s="55" t="str">
        <f t="shared" si="10"/>
        <v/>
      </c>
      <c r="O57" s="56" t="str">
        <f t="shared" si="11"/>
        <v/>
      </c>
      <c r="P57" t="str">
        <f t="shared" si="12"/>
        <v/>
      </c>
      <c r="Q57" t="str">
        <f t="shared" si="13"/>
        <v/>
      </c>
      <c r="R57" t="str">
        <f t="shared" si="14"/>
        <v/>
      </c>
      <c r="S57" t="str">
        <f t="shared" si="15"/>
        <v/>
      </c>
      <c r="T57" t="str">
        <f t="shared" si="16"/>
        <v/>
      </c>
      <c r="U57" t="str">
        <f t="shared" si="17"/>
        <v/>
      </c>
      <c r="V57" s="57" t="e">
        <f>MATCH(G57,options!$D$1:$D$20,0)</f>
        <v>#N/A</v>
      </c>
    </row>
    <row r="58" spans="5:22" x14ac:dyDescent="0.15">
      <c r="E58" s="64"/>
      <c r="F58" s="65"/>
      <c r="G58" s="65"/>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5"/>
      <c r="J58" s="65"/>
      <c r="K58" s="55"/>
      <c r="L58" s="66"/>
      <c r="M58" s="55" t="str">
        <f t="shared" si="9"/>
        <v/>
      </c>
      <c r="N58" s="55" t="str">
        <f t="shared" si="10"/>
        <v/>
      </c>
      <c r="O58" s="56" t="str">
        <f t="shared" si="11"/>
        <v/>
      </c>
      <c r="P58" t="str">
        <f t="shared" si="12"/>
        <v/>
      </c>
      <c r="Q58" t="str">
        <f t="shared" si="13"/>
        <v/>
      </c>
      <c r="R58" t="str">
        <f t="shared" si="14"/>
        <v/>
      </c>
      <c r="S58" t="str">
        <f t="shared" si="15"/>
        <v/>
      </c>
      <c r="T58" t="str">
        <f t="shared" si="16"/>
        <v/>
      </c>
      <c r="U58" t="str">
        <f t="shared" si="17"/>
        <v/>
      </c>
      <c r="V58" s="57" t="e">
        <f>MATCH(G58,options!$D$1:$D$20,0)</f>
        <v>#N/A</v>
      </c>
    </row>
    <row r="59" spans="5:22" x14ac:dyDescent="0.15">
      <c r="E59" s="64"/>
      <c r="F59" s="65"/>
      <c r="G59" s="65"/>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5"/>
      <c r="J59" s="65"/>
      <c r="K59" s="55"/>
      <c r="L59" s="66"/>
      <c r="M59" s="55" t="str">
        <f t="shared" si="9"/>
        <v/>
      </c>
      <c r="N59" s="55" t="str">
        <f t="shared" si="10"/>
        <v/>
      </c>
      <c r="O59" s="56" t="str">
        <f t="shared" si="11"/>
        <v/>
      </c>
      <c r="P59" t="str">
        <f t="shared" si="12"/>
        <v/>
      </c>
      <c r="Q59" t="str">
        <f t="shared" si="13"/>
        <v/>
      </c>
      <c r="R59" t="str">
        <f t="shared" si="14"/>
        <v/>
      </c>
      <c r="S59" t="str">
        <f t="shared" si="15"/>
        <v/>
      </c>
      <c r="T59" t="str">
        <f t="shared" si="16"/>
        <v/>
      </c>
      <c r="U59" t="str">
        <f t="shared" si="17"/>
        <v/>
      </c>
      <c r="V59" s="57" t="e">
        <f>MATCH(G59,options!$D$1:$D$20,0)</f>
        <v>#N/A</v>
      </c>
    </row>
    <row r="60" spans="5:22" x14ac:dyDescent="0.15">
      <c r="E60" s="64"/>
      <c r="F60" s="65"/>
      <c r="G60" s="65"/>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5"/>
      <c r="J60" s="65"/>
      <c r="K60" s="55"/>
      <c r="L60" s="66"/>
      <c r="M60" s="55" t="str">
        <f t="shared" si="9"/>
        <v/>
      </c>
      <c r="N60" s="55" t="str">
        <f t="shared" si="10"/>
        <v/>
      </c>
      <c r="O60" s="56" t="str">
        <f t="shared" si="11"/>
        <v/>
      </c>
      <c r="P60" t="str">
        <f t="shared" si="12"/>
        <v/>
      </c>
      <c r="Q60" t="str">
        <f t="shared" si="13"/>
        <v/>
      </c>
      <c r="R60" t="str">
        <f t="shared" si="14"/>
        <v/>
      </c>
      <c r="S60" t="str">
        <f t="shared" si="15"/>
        <v/>
      </c>
      <c r="T60" t="str">
        <f t="shared" si="16"/>
        <v/>
      </c>
      <c r="U60" t="str">
        <f t="shared" si="17"/>
        <v/>
      </c>
      <c r="V60" s="57" t="e">
        <f>MATCH(G60,options!$D$1:$D$20,0)</f>
        <v>#N/A</v>
      </c>
    </row>
    <row r="61" spans="5:22" x14ac:dyDescent="0.15">
      <c r="E61" s="64"/>
      <c r="F61" s="65"/>
      <c r="G61" s="65"/>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5"/>
      <c r="J61" s="65"/>
      <c r="K61" s="55"/>
      <c r="L61" s="66"/>
      <c r="M61" s="55" t="str">
        <f t="shared" si="9"/>
        <v/>
      </c>
      <c r="N61" s="55" t="str">
        <f t="shared" si="10"/>
        <v/>
      </c>
      <c r="O61" s="56" t="str">
        <f t="shared" si="11"/>
        <v/>
      </c>
      <c r="P61" t="str">
        <f t="shared" si="12"/>
        <v/>
      </c>
      <c r="Q61" t="str">
        <f t="shared" si="13"/>
        <v/>
      </c>
      <c r="R61" t="str">
        <f t="shared" si="14"/>
        <v/>
      </c>
      <c r="S61" t="str">
        <f t="shared" si="15"/>
        <v/>
      </c>
      <c r="T61" t="str">
        <f t="shared" si="16"/>
        <v/>
      </c>
      <c r="U61" t="str">
        <f t="shared" si="17"/>
        <v/>
      </c>
      <c r="V61" s="57" t="e">
        <f>MATCH(G61,options!$D$1:$D$20,0)</f>
        <v>#N/A</v>
      </c>
    </row>
    <row r="62" spans="5:22" x14ac:dyDescent="0.15">
      <c r="E62" s="64"/>
      <c r="F62" s="65"/>
      <c r="G62" s="65"/>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5"/>
      <c r="J62" s="65"/>
      <c r="K62" s="55"/>
      <c r="L62" s="66"/>
      <c r="M62" s="55" t="str">
        <f t="shared" si="9"/>
        <v/>
      </c>
      <c r="N62" s="55" t="str">
        <f t="shared" si="10"/>
        <v/>
      </c>
      <c r="O62" s="56" t="str">
        <f t="shared" si="11"/>
        <v/>
      </c>
      <c r="P62" t="str">
        <f t="shared" si="12"/>
        <v/>
      </c>
      <c r="Q62" t="str">
        <f t="shared" si="13"/>
        <v/>
      </c>
      <c r="R62" t="str">
        <f t="shared" si="14"/>
        <v/>
      </c>
      <c r="S62" t="str">
        <f t="shared" si="15"/>
        <v/>
      </c>
      <c r="T62" t="str">
        <f t="shared" si="16"/>
        <v/>
      </c>
      <c r="U62" t="str">
        <f t="shared" si="17"/>
        <v/>
      </c>
      <c r="V62" s="57" t="e">
        <f>MATCH(G62,options!$D$1:$D$20,0)</f>
        <v>#N/A</v>
      </c>
    </row>
    <row r="63" spans="5:22" x14ac:dyDescent="0.15">
      <c r="E63" s="64"/>
      <c r="F63" s="65"/>
      <c r="G63" s="65"/>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5"/>
      <c r="J63" s="65"/>
      <c r="K63" s="55"/>
      <c r="L63" s="66"/>
      <c r="M63" s="55" t="str">
        <f t="shared" si="9"/>
        <v/>
      </c>
      <c r="N63" s="55" t="str">
        <f t="shared" si="10"/>
        <v/>
      </c>
      <c r="O63" s="56" t="str">
        <f t="shared" si="11"/>
        <v/>
      </c>
      <c r="P63" t="str">
        <f t="shared" si="12"/>
        <v/>
      </c>
      <c r="Q63" t="str">
        <f t="shared" si="13"/>
        <v/>
      </c>
      <c r="R63" t="str">
        <f t="shared" si="14"/>
        <v/>
      </c>
      <c r="S63" t="str">
        <f t="shared" si="15"/>
        <v/>
      </c>
      <c r="T63" t="str">
        <f t="shared" si="16"/>
        <v/>
      </c>
      <c r="U63" t="str">
        <f t="shared" si="17"/>
        <v/>
      </c>
      <c r="V63" s="57" t="e">
        <f>MATCH(G63,options!$D$1:$D$20,0)</f>
        <v>#N/A</v>
      </c>
    </row>
    <row r="64" spans="5:22" x14ac:dyDescent="0.15">
      <c r="E64" s="64"/>
      <c r="F64" s="65"/>
      <c r="G64" s="65"/>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5"/>
      <c r="J64" s="65"/>
      <c r="K64" s="55"/>
      <c r="L64" s="66"/>
      <c r="M64" s="55" t="str">
        <f t="shared" si="9"/>
        <v/>
      </c>
      <c r="N64" s="55" t="str">
        <f t="shared" si="10"/>
        <v/>
      </c>
      <c r="O64" s="56" t="str">
        <f t="shared" si="11"/>
        <v/>
      </c>
      <c r="P64" t="str">
        <f t="shared" si="12"/>
        <v/>
      </c>
      <c r="Q64" t="str">
        <f t="shared" si="13"/>
        <v/>
      </c>
      <c r="R64" t="str">
        <f t="shared" si="14"/>
        <v/>
      </c>
      <c r="S64" t="str">
        <f t="shared" si="15"/>
        <v/>
      </c>
      <c r="T64" t="str">
        <f t="shared" si="16"/>
        <v/>
      </c>
      <c r="U64" t="str">
        <f t="shared" si="17"/>
        <v/>
      </c>
      <c r="V64" s="57" t="e">
        <f>MATCH(G64,options!$D$1:$D$20,0)</f>
        <v>#N/A</v>
      </c>
    </row>
    <row r="65" spans="5:22" x14ac:dyDescent="0.15">
      <c r="E65" s="64"/>
      <c r="F65" s="65"/>
      <c r="G65" s="65"/>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5"/>
      <c r="J65" s="65"/>
      <c r="K65" s="55"/>
      <c r="L65" s="66"/>
      <c r="M65" s="55" t="str">
        <f t="shared" si="9"/>
        <v/>
      </c>
      <c r="N65" s="55" t="str">
        <f t="shared" si="10"/>
        <v/>
      </c>
      <c r="O65" s="56" t="str">
        <f t="shared" si="11"/>
        <v/>
      </c>
      <c r="P65" t="str">
        <f t="shared" si="12"/>
        <v/>
      </c>
      <c r="Q65" t="str">
        <f t="shared" si="13"/>
        <v/>
      </c>
      <c r="R65" t="str">
        <f t="shared" si="14"/>
        <v/>
      </c>
      <c r="S65" t="str">
        <f t="shared" si="15"/>
        <v/>
      </c>
      <c r="T65" t="str">
        <f t="shared" si="16"/>
        <v/>
      </c>
      <c r="U65" t="str">
        <f t="shared" si="17"/>
        <v/>
      </c>
      <c r="V65" s="57" t="e">
        <f>MATCH(G65,options!$D$1:$D$20,0)</f>
        <v>#N/A</v>
      </c>
    </row>
    <row r="66" spans="5:22" x14ac:dyDescent="0.15">
      <c r="E66" s="64"/>
      <c r="F66" s="65"/>
      <c r="G66" s="65"/>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5"/>
      <c r="J66" s="65"/>
      <c r="K66" s="55"/>
      <c r="L66" s="66"/>
      <c r="M66" s="55" t="str">
        <f t="shared" si="9"/>
        <v/>
      </c>
      <c r="N66" s="55" t="str">
        <f t="shared" si="10"/>
        <v/>
      </c>
      <c r="O66" s="56" t="str">
        <f t="shared" si="11"/>
        <v/>
      </c>
      <c r="P66" t="str">
        <f t="shared" si="12"/>
        <v/>
      </c>
      <c r="Q66" t="str">
        <f t="shared" si="13"/>
        <v/>
      </c>
      <c r="R66" t="str">
        <f t="shared" si="14"/>
        <v/>
      </c>
      <c r="S66" t="str">
        <f t="shared" si="15"/>
        <v/>
      </c>
      <c r="T66" t="str">
        <f t="shared" si="16"/>
        <v/>
      </c>
      <c r="U66" t="str">
        <f t="shared" si="17"/>
        <v/>
      </c>
      <c r="V66" s="57" t="e">
        <f>MATCH(G66,options!$D$1:$D$20,0)</f>
        <v>#N/A</v>
      </c>
    </row>
    <row r="67" spans="5:22" x14ac:dyDescent="0.15">
      <c r="E67" s="64"/>
      <c r="F67" s="65"/>
      <c r="G67" s="65"/>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5"/>
      <c r="J67" s="65"/>
      <c r="K67" s="55"/>
      <c r="L67" s="66"/>
      <c r="M67" s="55" t="str">
        <f t="shared" si="9"/>
        <v/>
      </c>
      <c r="N67" s="55" t="str">
        <f t="shared" si="10"/>
        <v/>
      </c>
      <c r="O67" s="56" t="str">
        <f t="shared" si="11"/>
        <v/>
      </c>
      <c r="P67" t="str">
        <f t="shared" si="12"/>
        <v/>
      </c>
      <c r="Q67" t="str">
        <f t="shared" si="13"/>
        <v/>
      </c>
      <c r="R67" t="str">
        <f t="shared" si="14"/>
        <v/>
      </c>
      <c r="S67" t="str">
        <f t="shared" si="15"/>
        <v/>
      </c>
      <c r="T67" t="str">
        <f t="shared" si="16"/>
        <v/>
      </c>
      <c r="U67" t="str">
        <f t="shared" si="17"/>
        <v/>
      </c>
      <c r="V67" s="57" t="e">
        <f>MATCH(G67,options!$D$1:$D$20,0)</f>
        <v>#N/A</v>
      </c>
    </row>
    <row r="68" spans="5:22" x14ac:dyDescent="0.15">
      <c r="E68" s="64"/>
      <c r="F68" s="65"/>
      <c r="G68" s="65"/>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5"/>
      <c r="J68" s="65"/>
      <c r="K68" s="55"/>
      <c r="L68" s="66"/>
      <c r="M68" s="55" t="str">
        <f t="shared" ref="M68:M99" si="18">IF(ISBLANK(K68),"",IF(L68, "https://raw.githubusercontent.com/PatrickVibild/TellusAmazonPictures/master/pictures/"&amp;K68&amp;"/1.jpg","https://download.lenovo.com/Images/Parts/"&amp;K68&amp;"/"&amp;K68&amp;"_A.jpg"))</f>
        <v/>
      </c>
      <c r="N68" s="55" t="str">
        <f t="shared" ref="N68:N103" si="19">IF(ISBLANK(K68),"",IF(L68, "https://raw.githubusercontent.com/PatrickVibild/TellusAmazonPictures/master/pictures/"&amp;K68&amp;"/2.jpg","https://download.lenovo.com/Images/Parts/"&amp;K68&amp;"/"&amp;K68&amp;"_B.jpg"))</f>
        <v/>
      </c>
      <c r="O68" s="56"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7" t="e">
        <f>MATCH(G68,options!$D$1:$D$20,0)</f>
        <v>#N/A</v>
      </c>
    </row>
    <row r="69" spans="5:22" x14ac:dyDescent="0.15">
      <c r="E69" s="64"/>
      <c r="F69" s="65"/>
      <c r="G69" s="65"/>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5"/>
      <c r="J69" s="65"/>
      <c r="K69" s="55"/>
      <c r="L69" s="66"/>
      <c r="M69" s="55" t="str">
        <f t="shared" si="18"/>
        <v/>
      </c>
      <c r="N69" s="55" t="str">
        <f t="shared" si="19"/>
        <v/>
      </c>
      <c r="O69" s="56" t="str">
        <f t="shared" si="20"/>
        <v/>
      </c>
      <c r="P69" t="str">
        <f t="shared" si="21"/>
        <v/>
      </c>
      <c r="Q69" t="str">
        <f t="shared" si="22"/>
        <v/>
      </c>
      <c r="R69" t="str">
        <f t="shared" si="23"/>
        <v/>
      </c>
      <c r="S69" t="str">
        <f t="shared" si="24"/>
        <v/>
      </c>
      <c r="T69" t="str">
        <f t="shared" si="25"/>
        <v/>
      </c>
      <c r="U69" t="str">
        <f t="shared" si="26"/>
        <v/>
      </c>
      <c r="V69" s="57" t="e">
        <f>MATCH(G69,options!$D$1:$D$20,0)</f>
        <v>#N/A</v>
      </c>
    </row>
    <row r="70" spans="5:22" x14ac:dyDescent="0.15">
      <c r="E70" s="64"/>
      <c r="F70" s="65"/>
      <c r="G70" s="65"/>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5"/>
      <c r="J70" s="65"/>
      <c r="K70" s="55"/>
      <c r="L70" s="66"/>
      <c r="M70" s="55" t="str">
        <f t="shared" si="18"/>
        <v/>
      </c>
      <c r="N70" s="55" t="str">
        <f t="shared" si="19"/>
        <v/>
      </c>
      <c r="O70" s="56" t="str">
        <f t="shared" si="20"/>
        <v/>
      </c>
      <c r="P70" t="str">
        <f t="shared" si="21"/>
        <v/>
      </c>
      <c r="Q70" t="str">
        <f t="shared" si="22"/>
        <v/>
      </c>
      <c r="R70" t="str">
        <f t="shared" si="23"/>
        <v/>
      </c>
      <c r="S70" t="str">
        <f t="shared" si="24"/>
        <v/>
      </c>
      <c r="T70" t="str">
        <f t="shared" si="25"/>
        <v/>
      </c>
      <c r="U70" t="str">
        <f t="shared" si="26"/>
        <v/>
      </c>
      <c r="V70" s="57" t="e">
        <f>MATCH(G70,options!$D$1:$D$20,0)</f>
        <v>#N/A</v>
      </c>
    </row>
    <row r="71" spans="5:22" x14ac:dyDescent="0.15">
      <c r="E71" s="64"/>
      <c r="F71" s="65"/>
      <c r="G71" s="65"/>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5"/>
      <c r="J71" s="65"/>
      <c r="K71" s="55"/>
      <c r="L71" s="66"/>
      <c r="M71" s="55" t="str">
        <f t="shared" si="18"/>
        <v/>
      </c>
      <c r="N71" s="55" t="str">
        <f t="shared" si="19"/>
        <v/>
      </c>
      <c r="O71" s="56" t="str">
        <f t="shared" si="20"/>
        <v/>
      </c>
      <c r="P71" t="str">
        <f t="shared" si="21"/>
        <v/>
      </c>
      <c r="Q71" t="str">
        <f t="shared" si="22"/>
        <v/>
      </c>
      <c r="R71" t="str">
        <f t="shared" si="23"/>
        <v/>
      </c>
      <c r="S71" t="str">
        <f t="shared" si="24"/>
        <v/>
      </c>
      <c r="T71" t="str">
        <f t="shared" si="25"/>
        <v/>
      </c>
      <c r="U71" t="str">
        <f t="shared" si="26"/>
        <v/>
      </c>
      <c r="V71" s="57" t="e">
        <f>MATCH(G71,options!$D$1:$D$20,0)</f>
        <v>#N/A</v>
      </c>
    </row>
    <row r="72" spans="5:22" x14ac:dyDescent="0.15">
      <c r="E72" s="64"/>
      <c r="F72" s="65"/>
      <c r="G72" s="65"/>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5"/>
      <c r="J72" s="65"/>
      <c r="K72" s="55"/>
      <c r="L72" s="66"/>
      <c r="M72" s="55" t="str">
        <f t="shared" si="18"/>
        <v/>
      </c>
      <c r="N72" s="55" t="str">
        <f t="shared" si="19"/>
        <v/>
      </c>
      <c r="O72" s="56" t="str">
        <f t="shared" si="20"/>
        <v/>
      </c>
      <c r="P72" t="str">
        <f t="shared" si="21"/>
        <v/>
      </c>
      <c r="Q72" t="str">
        <f t="shared" si="22"/>
        <v/>
      </c>
      <c r="R72" t="str">
        <f t="shared" si="23"/>
        <v/>
      </c>
      <c r="S72" t="str">
        <f t="shared" si="24"/>
        <v/>
      </c>
      <c r="T72" t="str">
        <f t="shared" si="25"/>
        <v/>
      </c>
      <c r="U72" t="str">
        <f t="shared" si="26"/>
        <v/>
      </c>
      <c r="V72" s="57" t="e">
        <f>MATCH(G72,options!$D$1:$D$20,0)</f>
        <v>#N/A</v>
      </c>
    </row>
    <row r="73" spans="5:22" x14ac:dyDescent="0.15">
      <c r="E73" s="64"/>
      <c r="F73" s="65"/>
      <c r="G73" s="65"/>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5"/>
      <c r="J73" s="65"/>
      <c r="K73" s="55"/>
      <c r="L73" s="66"/>
      <c r="M73" s="55" t="str">
        <f t="shared" si="18"/>
        <v/>
      </c>
      <c r="N73" s="55" t="str">
        <f t="shared" si="19"/>
        <v/>
      </c>
      <c r="O73" s="56" t="str">
        <f t="shared" si="20"/>
        <v/>
      </c>
      <c r="P73" t="str">
        <f t="shared" si="21"/>
        <v/>
      </c>
      <c r="Q73" t="str">
        <f t="shared" si="22"/>
        <v/>
      </c>
      <c r="R73" t="str">
        <f t="shared" si="23"/>
        <v/>
      </c>
      <c r="S73" t="str">
        <f t="shared" si="24"/>
        <v/>
      </c>
      <c r="T73" t="str">
        <f t="shared" si="25"/>
        <v/>
      </c>
      <c r="U73" t="str">
        <f t="shared" si="26"/>
        <v/>
      </c>
      <c r="V73" s="57" t="e">
        <f>MATCH(G73,options!$D$1:$D$20,0)</f>
        <v>#N/A</v>
      </c>
    </row>
    <row r="74" spans="5:22" x14ac:dyDescent="0.15">
      <c r="E74" s="64"/>
      <c r="F74" s="65"/>
      <c r="G74" s="65"/>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5"/>
      <c r="J74" s="65"/>
      <c r="K74" s="55"/>
      <c r="L74" s="66"/>
      <c r="M74" s="55" t="str">
        <f t="shared" si="18"/>
        <v/>
      </c>
      <c r="N74" s="55" t="str">
        <f t="shared" si="19"/>
        <v/>
      </c>
      <c r="O74" s="56" t="str">
        <f t="shared" si="20"/>
        <v/>
      </c>
      <c r="P74" t="str">
        <f t="shared" si="21"/>
        <v/>
      </c>
      <c r="Q74" t="str">
        <f t="shared" si="22"/>
        <v/>
      </c>
      <c r="R74" t="str">
        <f t="shared" si="23"/>
        <v/>
      </c>
      <c r="S74" t="str">
        <f t="shared" si="24"/>
        <v/>
      </c>
      <c r="T74" t="str">
        <f t="shared" si="25"/>
        <v/>
      </c>
      <c r="U74" t="str">
        <f t="shared" si="26"/>
        <v/>
      </c>
      <c r="V74" s="57" t="e">
        <f>MATCH(G74,options!$D$1:$D$20,0)</f>
        <v>#N/A</v>
      </c>
    </row>
    <row r="75" spans="5:22" x14ac:dyDescent="0.15">
      <c r="E75" s="64"/>
      <c r="F75" s="65"/>
      <c r="G75" s="65"/>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5"/>
      <c r="J75" s="65"/>
      <c r="K75" s="55"/>
      <c r="L75" s="66"/>
      <c r="M75" s="55" t="str">
        <f t="shared" si="18"/>
        <v/>
      </c>
      <c r="N75" s="55" t="str">
        <f t="shared" si="19"/>
        <v/>
      </c>
      <c r="O75" s="56" t="str">
        <f t="shared" si="20"/>
        <v/>
      </c>
      <c r="P75" t="str">
        <f t="shared" si="21"/>
        <v/>
      </c>
      <c r="Q75" t="str">
        <f t="shared" si="22"/>
        <v/>
      </c>
      <c r="R75" t="str">
        <f t="shared" si="23"/>
        <v/>
      </c>
      <c r="S75" t="str">
        <f t="shared" si="24"/>
        <v/>
      </c>
      <c r="T75" t="str">
        <f t="shared" si="25"/>
        <v/>
      </c>
      <c r="U75" t="str">
        <f t="shared" si="26"/>
        <v/>
      </c>
      <c r="V75" s="57" t="e">
        <f>MATCH(G75,options!$D$1:$D$20,0)</f>
        <v>#N/A</v>
      </c>
    </row>
    <row r="76" spans="5:22" x14ac:dyDescent="0.15">
      <c r="E76" s="64"/>
      <c r="F76" s="65"/>
      <c r="G76" s="65"/>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5"/>
      <c r="J76" s="65"/>
      <c r="K76" s="55"/>
      <c r="L76" s="66"/>
      <c r="M76" s="55" t="str">
        <f t="shared" si="18"/>
        <v/>
      </c>
      <c r="N76" s="55" t="str">
        <f t="shared" si="19"/>
        <v/>
      </c>
      <c r="O76" s="56" t="str">
        <f t="shared" si="20"/>
        <v/>
      </c>
      <c r="P76" t="str">
        <f t="shared" si="21"/>
        <v/>
      </c>
      <c r="Q76" t="str">
        <f t="shared" si="22"/>
        <v/>
      </c>
      <c r="R76" t="str">
        <f t="shared" si="23"/>
        <v/>
      </c>
      <c r="S76" t="str">
        <f t="shared" si="24"/>
        <v/>
      </c>
      <c r="T76" t="str">
        <f t="shared" si="25"/>
        <v/>
      </c>
      <c r="U76" t="str">
        <f t="shared" si="26"/>
        <v/>
      </c>
      <c r="V76" s="57" t="e">
        <f>MATCH(G76,options!$D$1:$D$20,0)</f>
        <v>#N/A</v>
      </c>
    </row>
    <row r="77" spans="5:22" x14ac:dyDescent="0.15">
      <c r="E77" s="64"/>
      <c r="F77" s="65"/>
      <c r="G77" s="65"/>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5"/>
      <c r="J77" s="65"/>
      <c r="K77" s="55"/>
      <c r="L77" s="66"/>
      <c r="M77" s="55" t="str">
        <f t="shared" si="18"/>
        <v/>
      </c>
      <c r="N77" s="55" t="str">
        <f t="shared" si="19"/>
        <v/>
      </c>
      <c r="O77" s="56" t="str">
        <f t="shared" si="20"/>
        <v/>
      </c>
      <c r="P77" t="str">
        <f t="shared" si="21"/>
        <v/>
      </c>
      <c r="Q77" t="str">
        <f t="shared" si="22"/>
        <v/>
      </c>
      <c r="R77" t="str">
        <f t="shared" si="23"/>
        <v/>
      </c>
      <c r="S77" t="str">
        <f t="shared" si="24"/>
        <v/>
      </c>
      <c r="T77" t="str">
        <f t="shared" si="25"/>
        <v/>
      </c>
      <c r="U77" t="str">
        <f t="shared" si="26"/>
        <v/>
      </c>
      <c r="V77" s="57" t="e">
        <f>MATCH(G77,options!$D$1:$D$20,0)</f>
        <v>#N/A</v>
      </c>
    </row>
    <row r="78" spans="5:22" x14ac:dyDescent="0.15">
      <c r="E78" s="64"/>
      <c r="F78" s="65"/>
      <c r="G78" s="65"/>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5"/>
      <c r="J78" s="65"/>
      <c r="K78" s="55"/>
      <c r="L78" s="66"/>
      <c r="M78" s="55" t="str">
        <f t="shared" si="18"/>
        <v/>
      </c>
      <c r="N78" s="55" t="str">
        <f t="shared" si="19"/>
        <v/>
      </c>
      <c r="O78" s="56" t="str">
        <f t="shared" si="20"/>
        <v/>
      </c>
      <c r="P78" t="str">
        <f t="shared" si="21"/>
        <v/>
      </c>
      <c r="Q78" t="str">
        <f t="shared" si="22"/>
        <v/>
      </c>
      <c r="R78" t="str">
        <f t="shared" si="23"/>
        <v/>
      </c>
      <c r="S78" t="str">
        <f t="shared" si="24"/>
        <v/>
      </c>
      <c r="T78" t="str">
        <f t="shared" si="25"/>
        <v/>
      </c>
      <c r="U78" t="str">
        <f t="shared" si="26"/>
        <v/>
      </c>
      <c r="V78" s="57" t="e">
        <f>MATCH(G78,options!$D$1:$D$20,0)</f>
        <v>#N/A</v>
      </c>
    </row>
    <row r="79" spans="5:22" x14ac:dyDescent="0.15">
      <c r="E79" s="64"/>
      <c r="F79" s="65"/>
      <c r="G79" s="65"/>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5"/>
      <c r="J79" s="65"/>
      <c r="K79" s="55"/>
      <c r="L79" s="66"/>
      <c r="M79" s="55" t="str">
        <f t="shared" si="18"/>
        <v/>
      </c>
      <c r="N79" s="55" t="str">
        <f t="shared" si="19"/>
        <v/>
      </c>
      <c r="O79" s="56" t="str">
        <f t="shared" si="20"/>
        <v/>
      </c>
      <c r="P79" t="str">
        <f t="shared" si="21"/>
        <v/>
      </c>
      <c r="Q79" t="str">
        <f t="shared" si="22"/>
        <v/>
      </c>
      <c r="R79" t="str">
        <f t="shared" si="23"/>
        <v/>
      </c>
      <c r="S79" t="str">
        <f t="shared" si="24"/>
        <v/>
      </c>
      <c r="T79" t="str">
        <f t="shared" si="25"/>
        <v/>
      </c>
      <c r="U79" t="str">
        <f t="shared" si="26"/>
        <v/>
      </c>
      <c r="V79" s="57" t="e">
        <f>MATCH(G79,options!$D$1:$D$20,0)</f>
        <v>#N/A</v>
      </c>
    </row>
    <row r="80" spans="5:22" x14ac:dyDescent="0.15">
      <c r="E80" s="64"/>
      <c r="F80" s="65"/>
      <c r="G80" s="65"/>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5"/>
      <c r="J80" s="65"/>
      <c r="K80" s="55"/>
      <c r="L80" s="66"/>
      <c r="M80" s="55" t="str">
        <f t="shared" si="18"/>
        <v/>
      </c>
      <c r="N80" s="55" t="str">
        <f t="shared" si="19"/>
        <v/>
      </c>
      <c r="O80" s="56" t="str">
        <f t="shared" si="20"/>
        <v/>
      </c>
      <c r="P80" t="str">
        <f t="shared" si="21"/>
        <v/>
      </c>
      <c r="Q80" t="str">
        <f t="shared" si="22"/>
        <v/>
      </c>
      <c r="R80" t="str">
        <f t="shared" si="23"/>
        <v/>
      </c>
      <c r="S80" t="str">
        <f t="shared" si="24"/>
        <v/>
      </c>
      <c r="T80" t="str">
        <f t="shared" si="25"/>
        <v/>
      </c>
      <c r="U80" t="str">
        <f t="shared" si="26"/>
        <v/>
      </c>
      <c r="V80" s="57" t="e">
        <f>MATCH(G80,options!$D$1:$D$20,0)</f>
        <v>#N/A</v>
      </c>
    </row>
    <row r="81" spans="5:22" x14ac:dyDescent="0.15">
      <c r="E81" s="64"/>
      <c r="F81" s="65"/>
      <c r="G81" s="65"/>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5"/>
      <c r="J81" s="65"/>
      <c r="K81" s="55"/>
      <c r="L81" s="66"/>
      <c r="M81" s="55" t="str">
        <f t="shared" si="18"/>
        <v/>
      </c>
      <c r="N81" s="55" t="str">
        <f t="shared" si="19"/>
        <v/>
      </c>
      <c r="O81" s="56" t="str">
        <f t="shared" si="20"/>
        <v/>
      </c>
      <c r="P81" t="str">
        <f t="shared" si="21"/>
        <v/>
      </c>
      <c r="Q81" t="str">
        <f t="shared" si="22"/>
        <v/>
      </c>
      <c r="R81" t="str">
        <f t="shared" si="23"/>
        <v/>
      </c>
      <c r="S81" t="str">
        <f t="shared" si="24"/>
        <v/>
      </c>
      <c r="T81" t="str">
        <f t="shared" si="25"/>
        <v/>
      </c>
      <c r="U81" t="str">
        <f t="shared" si="26"/>
        <v/>
      </c>
      <c r="V81" s="57" t="e">
        <f>MATCH(G81,options!$D$1:$D$20,0)</f>
        <v>#N/A</v>
      </c>
    </row>
    <row r="82" spans="5:22" x14ac:dyDescent="0.15">
      <c r="E82" s="64"/>
      <c r="F82" s="65"/>
      <c r="G82" s="65"/>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5"/>
      <c r="J82" s="65"/>
      <c r="K82" s="55"/>
      <c r="L82" s="66"/>
      <c r="M82" s="55" t="str">
        <f t="shared" si="18"/>
        <v/>
      </c>
      <c r="N82" s="55" t="str">
        <f t="shared" si="19"/>
        <v/>
      </c>
      <c r="O82" s="56" t="str">
        <f t="shared" si="20"/>
        <v/>
      </c>
      <c r="P82" t="str">
        <f t="shared" si="21"/>
        <v/>
      </c>
      <c r="Q82" t="str">
        <f t="shared" si="22"/>
        <v/>
      </c>
      <c r="R82" t="str">
        <f t="shared" si="23"/>
        <v/>
      </c>
      <c r="S82" t="str">
        <f t="shared" si="24"/>
        <v/>
      </c>
      <c r="T82" t="str">
        <f t="shared" si="25"/>
        <v/>
      </c>
      <c r="U82" t="str">
        <f t="shared" si="26"/>
        <v/>
      </c>
      <c r="V82" s="57" t="e">
        <f>MATCH(G82,options!$D$1:$D$20,0)</f>
        <v>#N/A</v>
      </c>
    </row>
    <row r="83" spans="5:22" x14ac:dyDescent="0.15">
      <c r="E83" s="64"/>
      <c r="F83" s="65"/>
      <c r="G83" s="65"/>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5"/>
      <c r="J83" s="65"/>
      <c r="K83" s="55"/>
      <c r="L83" s="66"/>
      <c r="M83" s="55" t="str">
        <f t="shared" si="18"/>
        <v/>
      </c>
      <c r="N83" s="55" t="str">
        <f t="shared" si="19"/>
        <v/>
      </c>
      <c r="O83" s="56" t="str">
        <f t="shared" si="20"/>
        <v/>
      </c>
      <c r="P83" t="str">
        <f t="shared" si="21"/>
        <v/>
      </c>
      <c r="Q83" t="str">
        <f t="shared" si="22"/>
        <v/>
      </c>
      <c r="R83" t="str">
        <f t="shared" si="23"/>
        <v/>
      </c>
      <c r="S83" t="str">
        <f t="shared" si="24"/>
        <v/>
      </c>
      <c r="T83" t="str">
        <f t="shared" si="25"/>
        <v/>
      </c>
      <c r="U83" t="str">
        <f t="shared" si="26"/>
        <v/>
      </c>
      <c r="V83" s="57" t="e">
        <f>MATCH(G83,options!$D$1:$D$20,0)</f>
        <v>#N/A</v>
      </c>
    </row>
    <row r="84" spans="5:22" x14ac:dyDescent="0.15">
      <c r="E84" s="64"/>
      <c r="F84" s="65"/>
      <c r="G84" s="65"/>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5"/>
      <c r="J84" s="65"/>
      <c r="K84" s="55"/>
      <c r="L84" s="66"/>
      <c r="M84" s="55" t="str">
        <f t="shared" si="18"/>
        <v/>
      </c>
      <c r="N84" s="55" t="str">
        <f t="shared" si="19"/>
        <v/>
      </c>
      <c r="O84" s="56" t="str">
        <f t="shared" si="20"/>
        <v/>
      </c>
      <c r="P84" t="str">
        <f t="shared" si="21"/>
        <v/>
      </c>
      <c r="Q84" t="str">
        <f t="shared" si="22"/>
        <v/>
      </c>
      <c r="R84" t="str">
        <f t="shared" si="23"/>
        <v/>
      </c>
      <c r="S84" t="str">
        <f t="shared" si="24"/>
        <v/>
      </c>
      <c r="T84" t="str">
        <f t="shared" si="25"/>
        <v/>
      </c>
      <c r="U84" t="str">
        <f t="shared" si="26"/>
        <v/>
      </c>
      <c r="V84" s="57" t="e">
        <f>MATCH(G84,options!$D$1:$D$20,0)</f>
        <v>#N/A</v>
      </c>
    </row>
    <row r="85" spans="5:22" x14ac:dyDescent="0.15">
      <c r="E85" s="64"/>
      <c r="F85" s="65"/>
      <c r="G85" s="65"/>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5"/>
      <c r="J85" s="65"/>
      <c r="K85" s="55"/>
      <c r="L85" s="66"/>
      <c r="M85" s="55" t="str">
        <f t="shared" si="18"/>
        <v/>
      </c>
      <c r="N85" s="55" t="str">
        <f t="shared" si="19"/>
        <v/>
      </c>
      <c r="O85" s="56" t="str">
        <f t="shared" si="20"/>
        <v/>
      </c>
      <c r="P85" t="str">
        <f t="shared" si="21"/>
        <v/>
      </c>
      <c r="Q85" t="str">
        <f t="shared" si="22"/>
        <v/>
      </c>
      <c r="R85" t="str">
        <f t="shared" si="23"/>
        <v/>
      </c>
      <c r="S85" t="str">
        <f t="shared" si="24"/>
        <v/>
      </c>
      <c r="T85" t="str">
        <f t="shared" si="25"/>
        <v/>
      </c>
      <c r="U85" t="str">
        <f t="shared" si="26"/>
        <v/>
      </c>
      <c r="V85" s="57" t="e">
        <f>MATCH(G85,options!$D$1:$D$20,0)</f>
        <v>#N/A</v>
      </c>
    </row>
    <row r="86" spans="5:22" x14ac:dyDescent="0.15">
      <c r="E86" s="64"/>
      <c r="F86" s="65"/>
      <c r="G86" s="65"/>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5"/>
      <c r="J86" s="65"/>
      <c r="K86" s="55"/>
      <c r="L86" s="66"/>
      <c r="M86" s="55" t="str">
        <f t="shared" si="18"/>
        <v/>
      </c>
      <c r="N86" s="55" t="str">
        <f t="shared" si="19"/>
        <v/>
      </c>
      <c r="O86" s="56" t="str">
        <f t="shared" si="20"/>
        <v/>
      </c>
      <c r="P86" t="str">
        <f t="shared" si="21"/>
        <v/>
      </c>
      <c r="Q86" t="str">
        <f t="shared" si="22"/>
        <v/>
      </c>
      <c r="R86" t="str">
        <f t="shared" si="23"/>
        <v/>
      </c>
      <c r="S86" t="str">
        <f t="shared" si="24"/>
        <v/>
      </c>
      <c r="T86" t="str">
        <f t="shared" si="25"/>
        <v/>
      </c>
      <c r="U86" t="str">
        <f t="shared" si="26"/>
        <v/>
      </c>
      <c r="V86" s="57" t="e">
        <f>MATCH(G86,options!$D$1:$D$20,0)</f>
        <v>#N/A</v>
      </c>
    </row>
    <row r="87" spans="5:22" x14ac:dyDescent="0.15">
      <c r="E87" s="64"/>
      <c r="F87" s="65"/>
      <c r="G87" s="65"/>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5"/>
      <c r="J87" s="65"/>
      <c r="K87" s="55"/>
      <c r="L87" s="66"/>
      <c r="M87" s="55" t="str">
        <f t="shared" si="18"/>
        <v/>
      </c>
      <c r="N87" s="55" t="str">
        <f t="shared" si="19"/>
        <v/>
      </c>
      <c r="O87" s="56" t="str">
        <f t="shared" si="20"/>
        <v/>
      </c>
      <c r="P87" t="str">
        <f t="shared" si="21"/>
        <v/>
      </c>
      <c r="Q87" t="str">
        <f t="shared" si="22"/>
        <v/>
      </c>
      <c r="R87" t="str">
        <f t="shared" si="23"/>
        <v/>
      </c>
      <c r="S87" t="str">
        <f t="shared" si="24"/>
        <v/>
      </c>
      <c r="T87" t="str">
        <f t="shared" si="25"/>
        <v/>
      </c>
      <c r="U87" t="str">
        <f t="shared" si="26"/>
        <v/>
      </c>
      <c r="V87" s="57" t="e">
        <f>MATCH(G87,options!$D$1:$D$20,0)</f>
        <v>#N/A</v>
      </c>
    </row>
    <row r="88" spans="5:22" x14ac:dyDescent="0.15">
      <c r="E88" s="64"/>
      <c r="F88" s="65"/>
      <c r="G88" s="65"/>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5"/>
      <c r="J88" s="65"/>
      <c r="K88" s="55"/>
      <c r="L88" s="66"/>
      <c r="M88" s="55" t="str">
        <f t="shared" si="18"/>
        <v/>
      </c>
      <c r="N88" s="55" t="str">
        <f t="shared" si="19"/>
        <v/>
      </c>
      <c r="O88" s="56" t="str">
        <f t="shared" si="20"/>
        <v/>
      </c>
      <c r="P88" t="str">
        <f t="shared" si="21"/>
        <v/>
      </c>
      <c r="Q88" t="str">
        <f t="shared" si="22"/>
        <v/>
      </c>
      <c r="R88" t="str">
        <f t="shared" si="23"/>
        <v/>
      </c>
      <c r="S88" t="str">
        <f t="shared" si="24"/>
        <v/>
      </c>
      <c r="T88" t="str">
        <f t="shared" si="25"/>
        <v/>
      </c>
      <c r="U88" t="str">
        <f t="shared" si="26"/>
        <v/>
      </c>
      <c r="V88" s="57" t="e">
        <f>MATCH(G88,options!$D$1:$D$20,0)</f>
        <v>#N/A</v>
      </c>
    </row>
    <row r="89" spans="5:22" x14ac:dyDescent="0.15">
      <c r="E89" s="64"/>
      <c r="F89" s="65"/>
      <c r="G89" s="65"/>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5"/>
      <c r="J89" s="65"/>
      <c r="K89" s="55"/>
      <c r="L89" s="66"/>
      <c r="M89" s="55" t="str">
        <f t="shared" si="18"/>
        <v/>
      </c>
      <c r="N89" s="55" t="str">
        <f t="shared" si="19"/>
        <v/>
      </c>
      <c r="O89" s="56" t="str">
        <f t="shared" si="20"/>
        <v/>
      </c>
      <c r="P89" t="str">
        <f t="shared" si="21"/>
        <v/>
      </c>
      <c r="Q89" t="str">
        <f t="shared" si="22"/>
        <v/>
      </c>
      <c r="R89" t="str">
        <f t="shared" si="23"/>
        <v/>
      </c>
      <c r="S89" t="str">
        <f t="shared" si="24"/>
        <v/>
      </c>
      <c r="T89" t="str">
        <f t="shared" si="25"/>
        <v/>
      </c>
      <c r="U89" t="str">
        <f t="shared" si="26"/>
        <v/>
      </c>
      <c r="V89" s="57" t="e">
        <f>MATCH(G89,options!$D$1:$D$20,0)</f>
        <v>#N/A</v>
      </c>
    </row>
    <row r="90" spans="5:22" x14ac:dyDescent="0.15">
      <c r="E90" s="64"/>
      <c r="F90" s="65"/>
      <c r="G90" s="65"/>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5"/>
      <c r="J90" s="65"/>
      <c r="K90" s="55"/>
      <c r="L90" s="66"/>
      <c r="M90" s="55" t="str">
        <f t="shared" si="18"/>
        <v/>
      </c>
      <c r="N90" s="55" t="str">
        <f t="shared" si="19"/>
        <v/>
      </c>
      <c r="O90" s="56" t="str">
        <f t="shared" si="20"/>
        <v/>
      </c>
      <c r="P90" t="str">
        <f t="shared" si="21"/>
        <v/>
      </c>
      <c r="Q90" t="str">
        <f t="shared" si="22"/>
        <v/>
      </c>
      <c r="R90" t="str">
        <f t="shared" si="23"/>
        <v/>
      </c>
      <c r="S90" t="str">
        <f t="shared" si="24"/>
        <v/>
      </c>
      <c r="T90" t="str">
        <f t="shared" si="25"/>
        <v/>
      </c>
      <c r="U90" t="str">
        <f t="shared" si="26"/>
        <v/>
      </c>
      <c r="V90" s="57" t="e">
        <f>MATCH(G90,options!$D$1:$D$20,0)</f>
        <v>#N/A</v>
      </c>
    </row>
    <row r="91" spans="5:22" x14ac:dyDescent="0.15">
      <c r="E91" s="64"/>
      <c r="F91" s="65"/>
      <c r="G91" s="65"/>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5"/>
      <c r="J91" s="65"/>
      <c r="K91" s="55"/>
      <c r="L91" s="66"/>
      <c r="M91" s="55" t="str">
        <f t="shared" si="18"/>
        <v/>
      </c>
      <c r="N91" s="55" t="str">
        <f t="shared" si="19"/>
        <v/>
      </c>
      <c r="O91" s="56" t="str">
        <f t="shared" si="20"/>
        <v/>
      </c>
      <c r="P91" t="str">
        <f t="shared" si="21"/>
        <v/>
      </c>
      <c r="Q91" t="str">
        <f t="shared" si="22"/>
        <v/>
      </c>
      <c r="R91" t="str">
        <f t="shared" si="23"/>
        <v/>
      </c>
      <c r="S91" t="str">
        <f t="shared" si="24"/>
        <v/>
      </c>
      <c r="T91" t="str">
        <f t="shared" si="25"/>
        <v/>
      </c>
      <c r="U91" t="str">
        <f t="shared" si="26"/>
        <v/>
      </c>
      <c r="V91" s="57" t="e">
        <f>MATCH(G91,options!$D$1:$D$20,0)</f>
        <v>#N/A</v>
      </c>
    </row>
    <row r="92" spans="5:22" x14ac:dyDescent="0.15">
      <c r="E92" s="64"/>
      <c r="F92" s="65"/>
      <c r="G92" s="65"/>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5"/>
      <c r="J92" s="65"/>
      <c r="K92" s="55"/>
      <c r="L92" s="66"/>
      <c r="M92" s="55" t="str">
        <f t="shared" si="18"/>
        <v/>
      </c>
      <c r="N92" s="55" t="str">
        <f t="shared" si="19"/>
        <v/>
      </c>
      <c r="O92" s="56" t="str">
        <f t="shared" si="20"/>
        <v/>
      </c>
      <c r="P92" t="str">
        <f t="shared" si="21"/>
        <v/>
      </c>
      <c r="Q92" t="str">
        <f t="shared" si="22"/>
        <v/>
      </c>
      <c r="R92" t="str">
        <f t="shared" si="23"/>
        <v/>
      </c>
      <c r="S92" t="str">
        <f t="shared" si="24"/>
        <v/>
      </c>
      <c r="T92" t="str">
        <f t="shared" si="25"/>
        <v/>
      </c>
      <c r="U92" t="str">
        <f t="shared" si="26"/>
        <v/>
      </c>
      <c r="V92" s="57" t="e">
        <f>MATCH(G92,options!$D$1:$D$20,0)</f>
        <v>#N/A</v>
      </c>
    </row>
    <row r="93" spans="5:22" x14ac:dyDescent="0.15">
      <c r="E93" s="64"/>
      <c r="F93" s="65"/>
      <c r="G93" s="65"/>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5"/>
      <c r="J93" s="65"/>
      <c r="K93" s="55"/>
      <c r="L93" s="66"/>
      <c r="M93" s="55" t="str">
        <f t="shared" si="18"/>
        <v/>
      </c>
      <c r="N93" s="55" t="str">
        <f t="shared" si="19"/>
        <v/>
      </c>
      <c r="O93" s="56" t="str">
        <f t="shared" si="20"/>
        <v/>
      </c>
      <c r="P93" t="str">
        <f t="shared" si="21"/>
        <v/>
      </c>
      <c r="Q93" t="str">
        <f t="shared" si="22"/>
        <v/>
      </c>
      <c r="R93" t="str">
        <f t="shared" si="23"/>
        <v/>
      </c>
      <c r="S93" t="str">
        <f t="shared" si="24"/>
        <v/>
      </c>
      <c r="T93" t="str">
        <f t="shared" si="25"/>
        <v/>
      </c>
      <c r="U93" t="str">
        <f t="shared" si="26"/>
        <v/>
      </c>
      <c r="V93" s="57" t="e">
        <f>MATCH(G93,options!$D$1:$D$20,0)</f>
        <v>#N/A</v>
      </c>
    </row>
    <row r="94" spans="5:22" x14ac:dyDescent="0.15">
      <c r="E94" s="64"/>
      <c r="F94" s="65"/>
      <c r="G94" s="65"/>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5"/>
      <c r="J94" s="65"/>
      <c r="K94" s="55"/>
      <c r="L94" s="66"/>
      <c r="M94" s="55" t="str">
        <f t="shared" si="18"/>
        <v/>
      </c>
      <c r="N94" s="55" t="str">
        <f t="shared" si="19"/>
        <v/>
      </c>
      <c r="O94" s="56" t="str">
        <f t="shared" si="20"/>
        <v/>
      </c>
      <c r="P94" t="str">
        <f t="shared" si="21"/>
        <v/>
      </c>
      <c r="Q94" t="str">
        <f t="shared" si="22"/>
        <v/>
      </c>
      <c r="R94" t="str">
        <f t="shared" si="23"/>
        <v/>
      </c>
      <c r="S94" t="str">
        <f t="shared" si="24"/>
        <v/>
      </c>
      <c r="T94" t="str">
        <f t="shared" si="25"/>
        <v/>
      </c>
      <c r="U94" t="str">
        <f t="shared" si="26"/>
        <v/>
      </c>
      <c r="V94" s="57" t="e">
        <f>MATCH(G94,options!$D$1:$D$20,0)</f>
        <v>#N/A</v>
      </c>
    </row>
    <row r="95" spans="5:22" x14ac:dyDescent="0.15">
      <c r="E95" s="64"/>
      <c r="F95" s="65"/>
      <c r="G95" s="65"/>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5"/>
      <c r="J95" s="65"/>
      <c r="K95" s="55"/>
      <c r="L95" s="66"/>
      <c r="M95" s="55" t="str">
        <f t="shared" si="18"/>
        <v/>
      </c>
      <c r="N95" s="55" t="str">
        <f t="shared" si="19"/>
        <v/>
      </c>
      <c r="O95" s="56" t="str">
        <f t="shared" si="20"/>
        <v/>
      </c>
      <c r="P95" t="str">
        <f t="shared" si="21"/>
        <v/>
      </c>
      <c r="Q95" t="str">
        <f t="shared" si="22"/>
        <v/>
      </c>
      <c r="R95" t="str">
        <f t="shared" si="23"/>
        <v/>
      </c>
      <c r="S95" t="str">
        <f t="shared" si="24"/>
        <v/>
      </c>
      <c r="T95" t="str">
        <f t="shared" si="25"/>
        <v/>
      </c>
      <c r="U95" t="str">
        <f t="shared" si="26"/>
        <v/>
      </c>
      <c r="V95" s="57" t="e">
        <f>MATCH(G95,options!$D$1:$D$20,0)</f>
        <v>#N/A</v>
      </c>
    </row>
    <row r="96" spans="5:22" x14ac:dyDescent="0.15">
      <c r="E96" s="64"/>
      <c r="F96" s="65"/>
      <c r="G96" s="65"/>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5"/>
      <c r="J96" s="65"/>
      <c r="K96" s="55"/>
      <c r="L96" s="66"/>
      <c r="M96" s="55" t="str">
        <f t="shared" si="18"/>
        <v/>
      </c>
      <c r="N96" s="55" t="str">
        <f t="shared" si="19"/>
        <v/>
      </c>
      <c r="O96" s="56" t="str">
        <f t="shared" si="20"/>
        <v/>
      </c>
      <c r="P96" t="str">
        <f t="shared" si="21"/>
        <v/>
      </c>
      <c r="Q96" t="str">
        <f t="shared" si="22"/>
        <v/>
      </c>
      <c r="R96" t="str">
        <f t="shared" si="23"/>
        <v/>
      </c>
      <c r="S96" t="str">
        <f t="shared" si="24"/>
        <v/>
      </c>
      <c r="T96" t="str">
        <f t="shared" si="25"/>
        <v/>
      </c>
      <c r="U96" t="str">
        <f t="shared" si="26"/>
        <v/>
      </c>
      <c r="V96" s="57" t="e">
        <f>MATCH(G96,options!$D$1:$D$20,0)</f>
        <v>#N/A</v>
      </c>
    </row>
    <row r="97" spans="5:22" x14ac:dyDescent="0.15">
      <c r="E97" s="64"/>
      <c r="F97" s="65"/>
      <c r="G97" s="65"/>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5"/>
      <c r="J97" s="65"/>
      <c r="K97" s="55"/>
      <c r="L97" s="66"/>
      <c r="M97" s="55" t="str">
        <f t="shared" si="18"/>
        <v/>
      </c>
      <c r="N97" s="55" t="str">
        <f t="shared" si="19"/>
        <v/>
      </c>
      <c r="O97" s="56" t="str">
        <f t="shared" si="20"/>
        <v/>
      </c>
      <c r="P97" t="str">
        <f t="shared" si="21"/>
        <v/>
      </c>
      <c r="Q97" t="str">
        <f t="shared" si="22"/>
        <v/>
      </c>
      <c r="R97" t="str">
        <f t="shared" si="23"/>
        <v/>
      </c>
      <c r="S97" t="str">
        <f t="shared" si="24"/>
        <v/>
      </c>
      <c r="T97" t="str">
        <f t="shared" si="25"/>
        <v/>
      </c>
      <c r="U97" t="str">
        <f t="shared" si="26"/>
        <v/>
      </c>
      <c r="V97" s="57" t="e">
        <f>MATCH(G97,options!$D$1:$D$20,0)</f>
        <v>#N/A</v>
      </c>
    </row>
    <row r="98" spans="5:22" x14ac:dyDescent="0.15">
      <c r="E98" s="64"/>
      <c r="F98" s="65"/>
      <c r="G98" s="65"/>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5"/>
      <c r="J98" s="65"/>
      <c r="K98" s="55"/>
      <c r="L98" s="66"/>
      <c r="M98" s="55" t="str">
        <f t="shared" si="18"/>
        <v/>
      </c>
      <c r="N98" s="55" t="str">
        <f t="shared" si="19"/>
        <v/>
      </c>
      <c r="O98" s="56" t="str">
        <f t="shared" si="20"/>
        <v/>
      </c>
      <c r="P98" t="str">
        <f t="shared" si="21"/>
        <v/>
      </c>
      <c r="Q98" t="str">
        <f t="shared" si="22"/>
        <v/>
      </c>
      <c r="R98" t="str">
        <f t="shared" si="23"/>
        <v/>
      </c>
      <c r="S98" t="str">
        <f t="shared" si="24"/>
        <v/>
      </c>
      <c r="T98" t="str">
        <f t="shared" si="25"/>
        <v/>
      </c>
      <c r="U98" t="str">
        <f t="shared" si="26"/>
        <v/>
      </c>
      <c r="V98" s="57" t="e">
        <f>MATCH(G98,options!$D$1:$D$20,0)</f>
        <v>#N/A</v>
      </c>
    </row>
    <row r="99" spans="5:22" x14ac:dyDescent="0.15">
      <c r="E99" s="64"/>
      <c r="F99" s="65"/>
      <c r="G99" s="65"/>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5"/>
      <c r="J99" s="65"/>
      <c r="K99" s="55"/>
      <c r="L99" s="66"/>
      <c r="M99" s="55" t="str">
        <f t="shared" si="18"/>
        <v/>
      </c>
      <c r="N99" s="55" t="str">
        <f t="shared" si="19"/>
        <v/>
      </c>
      <c r="O99" s="56" t="str">
        <f t="shared" si="20"/>
        <v/>
      </c>
      <c r="P99" t="str">
        <f t="shared" si="21"/>
        <v/>
      </c>
      <c r="Q99" t="str">
        <f t="shared" si="22"/>
        <v/>
      </c>
      <c r="R99" t="str">
        <f t="shared" si="23"/>
        <v/>
      </c>
      <c r="S99" t="str">
        <f t="shared" si="24"/>
        <v/>
      </c>
      <c r="T99" t="str">
        <f t="shared" si="25"/>
        <v/>
      </c>
      <c r="U99" t="str">
        <f t="shared" si="26"/>
        <v/>
      </c>
      <c r="V99" s="57" t="e">
        <f>MATCH(G99,options!$D$1:$D$20,0)</f>
        <v>#N/A</v>
      </c>
    </row>
    <row r="100" spans="5:22" x14ac:dyDescent="0.15">
      <c r="E100" s="64"/>
      <c r="F100" s="65"/>
      <c r="G100" s="65"/>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5"/>
      <c r="J100" s="65"/>
      <c r="K100" s="55"/>
      <c r="L100" s="66"/>
      <c r="M100" s="55" t="str">
        <f t="shared" ref="M100:M103" si="27">IF(ISBLANK(K100),"",IF(L100, "https://raw.githubusercontent.com/PatrickVibild/TellusAmazonPictures/master/pictures/"&amp;K100&amp;"/1.jpg","https://download.lenovo.com/Images/Parts/"&amp;K100&amp;"/"&amp;K100&amp;"_A.jpg"))</f>
        <v/>
      </c>
      <c r="N100" s="55" t="str">
        <f t="shared" si="19"/>
        <v/>
      </c>
      <c r="O100" s="56" t="str">
        <f t="shared" si="20"/>
        <v/>
      </c>
      <c r="P100" t="str">
        <f t="shared" si="21"/>
        <v/>
      </c>
      <c r="Q100" t="str">
        <f t="shared" si="22"/>
        <v/>
      </c>
      <c r="R100" t="str">
        <f t="shared" si="23"/>
        <v/>
      </c>
      <c r="S100" t="str">
        <f t="shared" si="24"/>
        <v/>
      </c>
      <c r="T100" t="str">
        <f t="shared" si="25"/>
        <v/>
      </c>
      <c r="U100" t="str">
        <f t="shared" si="26"/>
        <v/>
      </c>
      <c r="V100" s="57" t="e">
        <f>MATCH(G100,options!$D$1:$D$20,0)</f>
        <v>#N/A</v>
      </c>
    </row>
    <row r="101" spans="5:22" x14ac:dyDescent="0.15">
      <c r="E101" s="64"/>
      <c r="F101" s="65"/>
      <c r="G101" s="65"/>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5"/>
      <c r="J101" s="65"/>
      <c r="K101" s="55"/>
      <c r="L101" s="66"/>
      <c r="M101" s="55" t="str">
        <f t="shared" si="27"/>
        <v/>
      </c>
      <c r="N101" s="55" t="str">
        <f t="shared" si="19"/>
        <v/>
      </c>
      <c r="O101" s="56" t="str">
        <f t="shared" si="20"/>
        <v/>
      </c>
      <c r="P101" t="str">
        <f t="shared" si="21"/>
        <v/>
      </c>
      <c r="Q101" t="str">
        <f t="shared" si="22"/>
        <v/>
      </c>
      <c r="R101" t="str">
        <f t="shared" si="23"/>
        <v/>
      </c>
      <c r="S101" t="str">
        <f t="shared" si="24"/>
        <v/>
      </c>
      <c r="T101" t="str">
        <f t="shared" si="25"/>
        <v/>
      </c>
      <c r="U101" t="str">
        <f t="shared" si="26"/>
        <v/>
      </c>
      <c r="V101" s="57" t="e">
        <f>MATCH(G101,options!$D$1:$D$20,0)</f>
        <v>#N/A</v>
      </c>
    </row>
    <row r="102" spans="5:22" x14ac:dyDescent="0.15">
      <c r="E102" s="64"/>
      <c r="F102" s="65"/>
      <c r="G102" s="65"/>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5"/>
      <c r="J102" s="65"/>
      <c r="K102" s="55"/>
      <c r="L102" s="66"/>
      <c r="M102" s="55" t="str">
        <f t="shared" si="27"/>
        <v/>
      </c>
      <c r="N102" s="55" t="str">
        <f t="shared" si="19"/>
        <v/>
      </c>
      <c r="O102" s="56" t="str">
        <f t="shared" si="20"/>
        <v/>
      </c>
      <c r="P102" t="str">
        <f t="shared" si="21"/>
        <v/>
      </c>
      <c r="Q102" t="str">
        <f t="shared" si="22"/>
        <v/>
      </c>
      <c r="R102" t="str">
        <f t="shared" si="23"/>
        <v/>
      </c>
      <c r="S102" t="str">
        <f t="shared" si="24"/>
        <v/>
      </c>
      <c r="T102" t="str">
        <f t="shared" si="25"/>
        <v/>
      </c>
      <c r="U102" t="str">
        <f t="shared" si="26"/>
        <v/>
      </c>
      <c r="V102" s="57" t="e">
        <f>MATCH(G102,options!$D$1:$D$20,0)</f>
        <v>#N/A</v>
      </c>
    </row>
    <row r="103" spans="5:22" x14ac:dyDescent="0.15">
      <c r="E103" s="64"/>
      <c r="F103" s="65"/>
      <c r="G103" s="65"/>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5"/>
      <c r="J103" s="65"/>
      <c r="K103" s="55"/>
      <c r="L103" s="66"/>
      <c r="M103" s="55" t="str">
        <f t="shared" si="27"/>
        <v/>
      </c>
      <c r="N103" s="55" t="str">
        <f t="shared" si="19"/>
        <v/>
      </c>
      <c r="O103" s="56" t="str">
        <f t="shared" si="20"/>
        <v/>
      </c>
      <c r="P103" t="str">
        <f t="shared" si="21"/>
        <v/>
      </c>
      <c r="Q103" t="str">
        <f t="shared" si="22"/>
        <v/>
      </c>
      <c r="R103" t="str">
        <f t="shared" si="23"/>
        <v/>
      </c>
      <c r="S103" t="str">
        <f t="shared" si="24"/>
        <v/>
      </c>
      <c r="T103" t="str">
        <f t="shared" si="25"/>
        <v/>
      </c>
      <c r="U103" t="str">
        <f t="shared" si="26"/>
        <v/>
      </c>
      <c r="V103" s="57" t="e">
        <f>MATCH(G103,options!$D$1:$D$20,0)</f>
        <v>#N/A</v>
      </c>
    </row>
    <row r="104" spans="5:22" x14ac:dyDescent="0.15">
      <c r="E104" s="64"/>
      <c r="F104" s="65"/>
      <c r="G104" s="65"/>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5"/>
      <c r="J104" s="65"/>
      <c r="K104" s="55"/>
      <c r="L104" s="66"/>
      <c r="M104" s="55" t="str">
        <f>IF(ISBLANK(K104),"","https://download.lenovo.com/Images/Parts/"&amp;K104&amp;"/"&amp;K104&amp;"_A.jpg")</f>
        <v/>
      </c>
      <c r="N104" s="55" t="str">
        <f>IF(ISBLANK(K104),"","https://download.lenovo.com/Images/Parts/"&amp;K104&amp;"/"&amp;K104&amp;"_B.jpg")</f>
        <v/>
      </c>
      <c r="O104" s="56" t="str">
        <f>IF(ISBLANK(K104),"","https://download.lenovo.com/Images/Parts/"&amp;K104&amp;"/"&amp;K104&amp;"_details.jpg")</f>
        <v/>
      </c>
      <c r="V104" s="57"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I4:J104 L24:L104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9" t="b">
        <f>TRUE()</f>
        <v>1</v>
      </c>
      <c r="C1" t="s">
        <v>414</v>
      </c>
      <c r="D1" s="51" t="s">
        <v>370</v>
      </c>
      <c r="E1" t="s">
        <v>415</v>
      </c>
      <c r="F1" t="s">
        <v>412</v>
      </c>
      <c r="G1" t="s">
        <v>416</v>
      </c>
    </row>
    <row r="2" spans="1:7" x14ac:dyDescent="0.15">
      <c r="A2" t="s">
        <v>417</v>
      </c>
      <c r="B2" s="49" t="b">
        <f>FALSE()</f>
        <v>0</v>
      </c>
      <c r="C2" t="s">
        <v>374</v>
      </c>
      <c r="D2" s="51" t="s">
        <v>372</v>
      </c>
      <c r="E2" t="s">
        <v>418</v>
      </c>
      <c r="F2" t="s">
        <v>372</v>
      </c>
      <c r="G2" t="s">
        <v>404</v>
      </c>
    </row>
    <row r="3" spans="1:7" x14ac:dyDescent="0.15">
      <c r="A3" t="s">
        <v>419</v>
      </c>
      <c r="D3" s="51" t="s">
        <v>375</v>
      </c>
      <c r="E3" t="s">
        <v>420</v>
      </c>
      <c r="F3" t="s">
        <v>370</v>
      </c>
    </row>
    <row r="4" spans="1:7" x14ac:dyDescent="0.15">
      <c r="D4" s="51" t="s">
        <v>377</v>
      </c>
      <c r="E4" t="s">
        <v>421</v>
      </c>
      <c r="F4" t="s">
        <v>375</v>
      </c>
    </row>
    <row r="5" spans="1:7" x14ac:dyDescent="0.15">
      <c r="D5" s="51" t="s">
        <v>379</v>
      </c>
      <c r="E5" t="s">
        <v>422</v>
      </c>
      <c r="F5" t="s">
        <v>377</v>
      </c>
    </row>
    <row r="6" spans="1:7" x14ac:dyDescent="0.15">
      <c r="D6" s="51" t="s">
        <v>381</v>
      </c>
      <c r="E6" t="s">
        <v>423</v>
      </c>
      <c r="F6" t="s">
        <v>391</v>
      </c>
    </row>
    <row r="7" spans="1:7" x14ac:dyDescent="0.15">
      <c r="D7" s="51" t="s">
        <v>383</v>
      </c>
      <c r="E7" t="s">
        <v>424</v>
      </c>
      <c r="F7" t="s">
        <v>394</v>
      </c>
    </row>
    <row r="8" spans="1:7" x14ac:dyDescent="0.15">
      <c r="D8" s="51" t="s">
        <v>385</v>
      </c>
      <c r="E8" t="s">
        <v>425</v>
      </c>
      <c r="F8" t="s">
        <v>590</v>
      </c>
    </row>
    <row r="9" spans="1:7" x14ac:dyDescent="0.15">
      <c r="D9" s="51" t="s">
        <v>388</v>
      </c>
      <c r="E9" t="s">
        <v>426</v>
      </c>
      <c r="F9" t="s">
        <v>591</v>
      </c>
    </row>
    <row r="10" spans="1:7" x14ac:dyDescent="0.15">
      <c r="D10" s="51" t="s">
        <v>391</v>
      </c>
      <c r="E10" t="s">
        <v>427</v>
      </c>
    </row>
    <row r="11" spans="1:7" x14ac:dyDescent="0.15">
      <c r="D11" s="51" t="s">
        <v>393</v>
      </c>
      <c r="E11" t="s">
        <v>428</v>
      </c>
    </row>
    <row r="12" spans="1:7" x14ac:dyDescent="0.15">
      <c r="D12" s="51" t="s">
        <v>394</v>
      </c>
      <c r="E12" t="s">
        <v>429</v>
      </c>
    </row>
    <row r="13" spans="1:7" x14ac:dyDescent="0.15">
      <c r="D13" s="51" t="s">
        <v>396</v>
      </c>
      <c r="E13" t="s">
        <v>430</v>
      </c>
    </row>
    <row r="14" spans="1:7" x14ac:dyDescent="0.15">
      <c r="D14" s="51" t="s">
        <v>397</v>
      </c>
      <c r="E14" t="s">
        <v>431</v>
      </c>
    </row>
    <row r="15" spans="1:7" x14ac:dyDescent="0.15">
      <c r="D15" s="51" t="s">
        <v>400</v>
      </c>
      <c r="E15" t="s">
        <v>432</v>
      </c>
    </row>
    <row r="16" spans="1:7" x14ac:dyDescent="0.15">
      <c r="D16" s="51" t="s">
        <v>401</v>
      </c>
      <c r="E16" s="67" t="s">
        <v>433</v>
      </c>
    </row>
    <row r="17" spans="4:5" x14ac:dyDescent="0.15">
      <c r="D17" s="51" t="s">
        <v>402</v>
      </c>
      <c r="E17" t="s">
        <v>434</v>
      </c>
    </row>
    <row r="18" spans="4:5" x14ac:dyDescent="0.15">
      <c r="D18" s="51" t="s">
        <v>404</v>
      </c>
      <c r="E18" t="s">
        <v>435</v>
      </c>
    </row>
    <row r="19" spans="4:5" x14ac:dyDescent="0.15">
      <c r="D19" s="51" t="s">
        <v>390</v>
      </c>
      <c r="E19" t="s">
        <v>436</v>
      </c>
    </row>
    <row r="20" spans="4:5" x14ac:dyDescent="0.15">
      <c r="D20" s="51" t="s">
        <v>386</v>
      </c>
      <c r="E20" t="s">
        <v>437</v>
      </c>
    </row>
    <row r="50" spans="2:2" ht="16" x14ac:dyDescent="0.2">
      <c r="B50" s="68"/>
    </row>
    <row r="51" spans="2:2" ht="16" x14ac:dyDescent="0.2">
      <c r="B51" s="6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438</v>
      </c>
    </row>
    <row r="4" spans="1:2" x14ac:dyDescent="0.15">
      <c r="B4" s="48" t="s">
        <v>439</v>
      </c>
    </row>
    <row r="5" spans="1:2" x14ac:dyDescent="0.15">
      <c r="B5" s="48" t="s">
        <v>440</v>
      </c>
    </row>
    <row r="6" spans="1:2" x14ac:dyDescent="0.15">
      <c r="A6" t="s">
        <v>441</v>
      </c>
      <c r="B6" s="48" t="s">
        <v>442</v>
      </c>
    </row>
    <row r="7" spans="1:2" x14ac:dyDescent="0.15">
      <c r="B7" s="48" t="s">
        <v>443</v>
      </c>
    </row>
    <row r="8" spans="1:2" x14ac:dyDescent="0.15">
      <c r="A8" t="s">
        <v>40</v>
      </c>
      <c r="B8" s="48" t="s">
        <v>444</v>
      </c>
    </row>
    <row r="9" spans="1:2" x14ac:dyDescent="0.15">
      <c r="A9" t="s">
        <v>445</v>
      </c>
      <c r="B9" s="48" t="s">
        <v>446</v>
      </c>
    </row>
    <row r="10" spans="1:2" x14ac:dyDescent="0.15">
      <c r="B10" t="s">
        <v>447</v>
      </c>
    </row>
    <row r="11" spans="1:2" x14ac:dyDescent="0.15">
      <c r="B11" t="s">
        <v>448</v>
      </c>
    </row>
    <row r="14" spans="1:2" x14ac:dyDescent="0.15">
      <c r="B14" s="48" t="s">
        <v>449</v>
      </c>
    </row>
    <row r="20" spans="2:2" x14ac:dyDescent="0.15">
      <c r="B20" s="51" t="s">
        <v>370</v>
      </c>
    </row>
    <row r="21" spans="2:2" x14ac:dyDescent="0.15">
      <c r="B21" s="51" t="s">
        <v>372</v>
      </c>
    </row>
    <row r="22" spans="2:2" x14ac:dyDescent="0.15">
      <c r="B22" s="51" t="s">
        <v>375</v>
      </c>
    </row>
    <row r="23" spans="2:2" x14ac:dyDescent="0.15">
      <c r="B23" s="51" t="s">
        <v>377</v>
      </c>
    </row>
    <row r="24" spans="2:2" x14ac:dyDescent="0.15">
      <c r="B24" s="51" t="s">
        <v>379</v>
      </c>
    </row>
    <row r="25" spans="2:2" x14ac:dyDescent="0.15">
      <c r="B25" s="51" t="s">
        <v>381</v>
      </c>
    </row>
    <row r="26" spans="2:2" x14ac:dyDescent="0.15">
      <c r="B26" s="51" t="s">
        <v>383</v>
      </c>
    </row>
    <row r="27" spans="2:2" x14ac:dyDescent="0.15">
      <c r="B27" s="51" t="s">
        <v>385</v>
      </c>
    </row>
    <row r="28" spans="2:2" x14ac:dyDescent="0.15">
      <c r="B28" s="51" t="s">
        <v>388</v>
      </c>
    </row>
    <row r="29" spans="2:2" x14ac:dyDescent="0.15">
      <c r="B29" s="51" t="s">
        <v>391</v>
      </c>
    </row>
    <row r="30" spans="2:2" x14ac:dyDescent="0.15">
      <c r="B30" s="51" t="s">
        <v>393</v>
      </c>
    </row>
    <row r="31" spans="2:2" x14ac:dyDescent="0.15">
      <c r="B31" s="51" t="s">
        <v>394</v>
      </c>
    </row>
    <row r="32" spans="2:2" x14ac:dyDescent="0.15">
      <c r="B32" s="51" t="s">
        <v>396</v>
      </c>
    </row>
    <row r="33" spans="2:4" x14ac:dyDescent="0.15">
      <c r="B33" s="51" t="s">
        <v>397</v>
      </c>
    </row>
    <row r="34" spans="2:4" x14ac:dyDescent="0.15">
      <c r="B34" s="51" t="s">
        <v>400</v>
      </c>
      <c r="D34" s="48"/>
    </row>
    <row r="35" spans="2:4" x14ac:dyDescent="0.15">
      <c r="B35" s="51" t="s">
        <v>401</v>
      </c>
      <c r="D35" s="48"/>
    </row>
    <row r="36" spans="2:4" x14ac:dyDescent="0.15">
      <c r="B36" s="51" t="s">
        <v>402</v>
      </c>
      <c r="D36" s="48"/>
    </row>
    <row r="37" spans="2:4" x14ac:dyDescent="0.15">
      <c r="B37" s="51" t="s">
        <v>404</v>
      </c>
      <c r="D37" s="48"/>
    </row>
    <row r="38" spans="2:4" x14ac:dyDescent="0.15">
      <c r="B38" s="51" t="s">
        <v>390</v>
      </c>
      <c r="D38" s="48"/>
    </row>
    <row r="39" spans="2:4" x14ac:dyDescent="0.15">
      <c r="B39" s="51"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8" t="s">
        <v>450</v>
      </c>
    </row>
    <row r="4" spans="1:2" ht="16" x14ac:dyDescent="0.2">
      <c r="B4" s="68" t="s">
        <v>451</v>
      </c>
    </row>
    <row r="5" spans="1:2" ht="16" x14ac:dyDescent="0.2">
      <c r="B5" s="68" t="s">
        <v>452</v>
      </c>
    </row>
    <row r="6" spans="1:2" ht="16" x14ac:dyDescent="0.2">
      <c r="B6" s="68" t="s">
        <v>453</v>
      </c>
    </row>
    <row r="7" spans="1:2" ht="16" x14ac:dyDescent="0.2">
      <c r="B7" s="68"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480</v>
      </c>
    </row>
    <row r="4" spans="1:2" x14ac:dyDescent="0.15">
      <c r="B4" s="48" t="s">
        <v>481</v>
      </c>
    </row>
    <row r="5" spans="1:2" x14ac:dyDescent="0.15">
      <c r="B5" s="48" t="s">
        <v>482</v>
      </c>
    </row>
    <row r="6" spans="1:2" x14ac:dyDescent="0.15">
      <c r="B6" s="48" t="s">
        <v>483</v>
      </c>
    </row>
    <row r="7" spans="1:2" x14ac:dyDescent="0.15">
      <c r="B7" s="48" t="s">
        <v>484</v>
      </c>
    </row>
    <row r="8" spans="1:2" x14ac:dyDescent="0.15">
      <c r="A8" t="s">
        <v>455</v>
      </c>
      <c r="B8" s="48" t="s">
        <v>485</v>
      </c>
    </row>
    <row r="9" spans="1:2" x14ac:dyDescent="0.15">
      <c r="A9" t="s">
        <v>457</v>
      </c>
      <c r="B9" s="48" t="s">
        <v>486</v>
      </c>
    </row>
    <row r="10" spans="1:2" x14ac:dyDescent="0.15">
      <c r="B10" s="48" t="s">
        <v>487</v>
      </c>
    </row>
    <row r="11" spans="1:2" x14ac:dyDescent="0.15">
      <c r="B11" s="48" t="s">
        <v>488</v>
      </c>
    </row>
    <row r="12" spans="1:2" x14ac:dyDescent="0.15">
      <c r="B12" s="48"/>
    </row>
    <row r="13" spans="1:2" x14ac:dyDescent="0.15">
      <c r="B13" s="48"/>
    </row>
    <row r="14" spans="1:2" x14ac:dyDescent="0.15">
      <c r="B14" s="48" t="s">
        <v>489</v>
      </c>
    </row>
    <row r="15" spans="1:2" x14ac:dyDescent="0.15">
      <c r="B15" s="48"/>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68" t="s">
        <v>514</v>
      </c>
    </row>
    <row r="9" spans="2:2" x14ac:dyDescent="0.15">
      <c r="B9" t="s">
        <v>515</v>
      </c>
    </row>
    <row r="10" spans="2:2" x14ac:dyDescent="0.15">
      <c r="B10" s="48" t="s">
        <v>516</v>
      </c>
    </row>
    <row r="11" spans="2:2" x14ac:dyDescent="0.15">
      <c r="B11" s="48"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68" t="s">
        <v>537</v>
      </c>
    </row>
    <row r="4" spans="2:2" ht="16" x14ac:dyDescent="0.2">
      <c r="B4" s="68" t="s">
        <v>538</v>
      </c>
    </row>
    <row r="5" spans="2:2" x14ac:dyDescent="0.15">
      <c r="B5" t="s">
        <v>539</v>
      </c>
    </row>
    <row r="6" spans="2:2" ht="16" x14ac:dyDescent="0.2">
      <c r="B6" s="68" t="s">
        <v>540</v>
      </c>
    </row>
    <row r="7" spans="2:2" ht="16" x14ac:dyDescent="0.2">
      <c r="B7" s="68" t="s">
        <v>541</v>
      </c>
    </row>
    <row r="8" spans="2:2" x14ac:dyDescent="0.15">
      <c r="B8" t="s">
        <v>542</v>
      </c>
    </row>
    <row r="9" spans="2:2" x14ac:dyDescent="0.15">
      <c r="B9" s="69" t="s">
        <v>543</v>
      </c>
    </row>
    <row r="10" spans="2:2" x14ac:dyDescent="0.15">
      <c r="B10" t="s">
        <v>544</v>
      </c>
    </row>
    <row r="11" spans="2:2" x14ac:dyDescent="0.15">
      <c r="B11" t="s">
        <v>545</v>
      </c>
    </row>
    <row r="14" spans="2:2" ht="16" x14ac:dyDescent="0.2">
      <c r="B14" s="68"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592</v>
      </c>
    </row>
    <row r="4" spans="1:2" x14ac:dyDescent="0.15">
      <c r="B4" s="48" t="s">
        <v>593</v>
      </c>
    </row>
    <row r="5" spans="1:2" x14ac:dyDescent="0.15">
      <c r="B5" s="48" t="s">
        <v>594</v>
      </c>
    </row>
    <row r="6" spans="1:2" x14ac:dyDescent="0.15">
      <c r="A6" t="s">
        <v>441</v>
      </c>
      <c r="B6" s="48" t="s">
        <v>595</v>
      </c>
    </row>
    <row r="7" spans="1:2" x14ac:dyDescent="0.15">
      <c r="B7" s="48" t="s">
        <v>596</v>
      </c>
    </row>
    <row r="8" spans="1:2" x14ac:dyDescent="0.15">
      <c r="A8" t="s">
        <v>40</v>
      </c>
      <c r="B8" s="48" t="s">
        <v>597</v>
      </c>
    </row>
    <row r="9" spans="1:2" x14ac:dyDescent="0.15">
      <c r="A9" t="s">
        <v>445</v>
      </c>
      <c r="B9" s="48" t="s">
        <v>598</v>
      </c>
    </row>
    <row r="10" spans="1:2" x14ac:dyDescent="0.15">
      <c r="B10" t="s">
        <v>599</v>
      </c>
    </row>
    <row r="11" spans="1:2" x14ac:dyDescent="0.15">
      <c r="B11" t="s">
        <v>600</v>
      </c>
    </row>
    <row r="14" spans="1:2" x14ac:dyDescent="0.15">
      <c r="B14" s="48" t="s">
        <v>601</v>
      </c>
    </row>
    <row r="20" spans="2:2" x14ac:dyDescent="0.15">
      <c r="B20" s="57" t="s">
        <v>602</v>
      </c>
    </row>
    <row r="21" spans="2:2" x14ac:dyDescent="0.15">
      <c r="B21" s="57" t="s">
        <v>603</v>
      </c>
    </row>
    <row r="22" spans="2:2" x14ac:dyDescent="0.15">
      <c r="B22" s="57" t="s">
        <v>604</v>
      </c>
    </row>
    <row r="23" spans="2:2" x14ac:dyDescent="0.15">
      <c r="B23" s="57" t="s">
        <v>609</v>
      </c>
    </row>
    <row r="24" spans="2:2" x14ac:dyDescent="0.15">
      <c r="B24" s="57" t="s">
        <v>605</v>
      </c>
    </row>
    <row r="25" spans="2:2" x14ac:dyDescent="0.15">
      <c r="B25" s="57" t="s">
        <v>610</v>
      </c>
    </row>
    <row r="26" spans="2:2" x14ac:dyDescent="0.15">
      <c r="B26" s="57" t="s">
        <v>611</v>
      </c>
    </row>
    <row r="27" spans="2:2" x14ac:dyDescent="0.15">
      <c r="B27" s="57" t="s">
        <v>612</v>
      </c>
    </row>
    <row r="28" spans="2:2" x14ac:dyDescent="0.15">
      <c r="B28" s="57" t="s">
        <v>613</v>
      </c>
    </row>
    <row r="29" spans="2:2" x14ac:dyDescent="0.15">
      <c r="B29" s="57" t="s">
        <v>606</v>
      </c>
    </row>
    <row r="30" spans="2:2" x14ac:dyDescent="0.15">
      <c r="B30" s="57" t="s">
        <v>614</v>
      </c>
    </row>
    <row r="31" spans="2:2" x14ac:dyDescent="0.15">
      <c r="B31" s="57" t="s">
        <v>607</v>
      </c>
    </row>
    <row r="32" spans="2:2" x14ac:dyDescent="0.15">
      <c r="B32" s="57" t="s">
        <v>615</v>
      </c>
    </row>
    <row r="33" spans="2:4" x14ac:dyDescent="0.15">
      <c r="B33" s="57" t="s">
        <v>616</v>
      </c>
    </row>
    <row r="34" spans="2:4" x14ac:dyDescent="0.15">
      <c r="B34" s="57" t="s">
        <v>617</v>
      </c>
      <c r="D34" s="48"/>
    </row>
    <row r="35" spans="2:4" x14ac:dyDescent="0.15">
      <c r="B35" s="57" t="s">
        <v>533</v>
      </c>
      <c r="D35" s="48"/>
    </row>
    <row r="36" spans="2:4" x14ac:dyDescent="0.15">
      <c r="B36" s="57" t="s">
        <v>608</v>
      </c>
      <c r="D36" s="48"/>
    </row>
    <row r="37" spans="2:4" x14ac:dyDescent="0.15">
      <c r="B37" s="57" t="s">
        <v>404</v>
      </c>
      <c r="D37" s="48"/>
    </row>
    <row r="38" spans="2:4" x14ac:dyDescent="0.15">
      <c r="B38" s="57" t="s">
        <v>618</v>
      </c>
      <c r="D38" s="48"/>
    </row>
    <row r="39" spans="2:4" x14ac:dyDescent="0.15">
      <c r="B39" s="57"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8" t="s">
        <v>638</v>
      </c>
    </row>
    <row r="4" spans="1:2" x14ac:dyDescent="0.15">
      <c r="B4" s="48" t="s">
        <v>639</v>
      </c>
    </row>
    <row r="5" spans="1:2" x14ac:dyDescent="0.15">
      <c r="B5" s="48" t="s">
        <v>640</v>
      </c>
    </row>
    <row r="6" spans="1:2" x14ac:dyDescent="0.15">
      <c r="A6" t="s">
        <v>441</v>
      </c>
      <c r="B6" s="48" t="s">
        <v>641</v>
      </c>
    </row>
    <row r="7" spans="1:2" x14ac:dyDescent="0.15">
      <c r="B7" s="48" t="s">
        <v>642</v>
      </c>
    </row>
    <row r="8" spans="1:2" x14ac:dyDescent="0.15">
      <c r="A8" t="s">
        <v>40</v>
      </c>
      <c r="B8" s="48" t="s">
        <v>643</v>
      </c>
    </row>
    <row r="9" spans="1:2" x14ac:dyDescent="0.15">
      <c r="A9" t="s">
        <v>445</v>
      </c>
      <c r="B9" s="48" t="s">
        <v>644</v>
      </c>
    </row>
    <row r="10" spans="1:2" x14ac:dyDescent="0.15">
      <c r="B10" t="s">
        <v>645</v>
      </c>
    </row>
    <row r="11" spans="1:2" x14ac:dyDescent="0.15">
      <c r="B11" t="s">
        <v>646</v>
      </c>
    </row>
    <row r="14" spans="1:2" x14ac:dyDescent="0.15">
      <c r="B14" s="48" t="s">
        <v>647</v>
      </c>
    </row>
    <row r="20" spans="2:2" x14ac:dyDescent="0.15">
      <c r="B20" s="71" t="s">
        <v>623</v>
      </c>
    </row>
    <row r="21" spans="2:2" x14ac:dyDescent="0.15">
      <c r="B21" s="71" t="s">
        <v>624</v>
      </c>
    </row>
    <row r="22" spans="2:2" x14ac:dyDescent="0.15">
      <c r="B22" s="71" t="s">
        <v>625</v>
      </c>
    </row>
    <row r="23" spans="2:2" x14ac:dyDescent="0.15">
      <c r="B23" s="71" t="s">
        <v>626</v>
      </c>
    </row>
    <row r="24" spans="2:2" x14ac:dyDescent="0.15">
      <c r="B24" s="71" t="s">
        <v>619</v>
      </c>
    </row>
    <row r="25" spans="2:2" x14ac:dyDescent="0.15">
      <c r="B25" s="71" t="s">
        <v>620</v>
      </c>
    </row>
    <row r="26" spans="2:2" x14ac:dyDescent="0.15">
      <c r="B26" s="71" t="s">
        <v>627</v>
      </c>
    </row>
    <row r="27" spans="2:2" x14ac:dyDescent="0.15">
      <c r="B27" s="71" t="s">
        <v>628</v>
      </c>
    </row>
    <row r="28" spans="2:2" x14ac:dyDescent="0.15">
      <c r="B28" s="71" t="s">
        <v>629</v>
      </c>
    </row>
    <row r="29" spans="2:2" x14ac:dyDescent="0.15">
      <c r="B29" s="71" t="s">
        <v>630</v>
      </c>
    </row>
    <row r="30" spans="2:2" x14ac:dyDescent="0.15">
      <c r="B30" s="71" t="s">
        <v>631</v>
      </c>
    </row>
    <row r="31" spans="2:2" x14ac:dyDescent="0.15">
      <c r="B31" s="71" t="s">
        <v>632</v>
      </c>
    </row>
    <row r="32" spans="2:2" x14ac:dyDescent="0.15">
      <c r="B32" s="71" t="s">
        <v>633</v>
      </c>
    </row>
    <row r="33" spans="2:4" x14ac:dyDescent="0.15">
      <c r="B33" s="71" t="s">
        <v>621</v>
      </c>
    </row>
    <row r="34" spans="2:4" x14ac:dyDescent="0.15">
      <c r="B34" s="71" t="s">
        <v>634</v>
      </c>
      <c r="D34" s="48"/>
    </row>
    <row r="35" spans="2:4" x14ac:dyDescent="0.15">
      <c r="B35" s="71" t="s">
        <v>401</v>
      </c>
      <c r="D35" s="48"/>
    </row>
    <row r="36" spans="2:4" x14ac:dyDescent="0.15">
      <c r="B36" s="71" t="s">
        <v>635</v>
      </c>
      <c r="D36" s="48"/>
    </row>
    <row r="37" spans="2:4" x14ac:dyDescent="0.15">
      <c r="B37" s="71" t="s">
        <v>622</v>
      </c>
      <c r="D37" s="48"/>
    </row>
    <row r="38" spans="2:4" x14ac:dyDescent="0.15">
      <c r="B38" s="71" t="s">
        <v>636</v>
      </c>
      <c r="D38" s="48"/>
    </row>
    <row r="39" spans="2:4" x14ac:dyDescent="0.15">
      <c r="B39" s="71" t="s">
        <v>637</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8" t="s">
        <v>666</v>
      </c>
    </row>
    <row r="4" spans="1:2" x14ac:dyDescent="0.15">
      <c r="B4" s="48" t="s">
        <v>667</v>
      </c>
    </row>
    <row r="5" spans="1:2" x14ac:dyDescent="0.15">
      <c r="B5" s="48" t="s">
        <v>668</v>
      </c>
    </row>
    <row r="6" spans="1:2" x14ac:dyDescent="0.15">
      <c r="A6" t="s">
        <v>441</v>
      </c>
      <c r="B6" s="48" t="s">
        <v>669</v>
      </c>
    </row>
    <row r="7" spans="1:2" x14ac:dyDescent="0.15">
      <c r="B7" s="48" t="s">
        <v>670</v>
      </c>
    </row>
    <row r="8" spans="1:2" x14ac:dyDescent="0.15">
      <c r="A8" t="s">
        <v>40</v>
      </c>
      <c r="B8" s="48" t="s">
        <v>671</v>
      </c>
    </row>
    <row r="9" spans="1:2" x14ac:dyDescent="0.15">
      <c r="A9" t="s">
        <v>445</v>
      </c>
      <c r="B9" s="48" t="s">
        <v>672</v>
      </c>
    </row>
    <row r="10" spans="1:2" x14ac:dyDescent="0.15">
      <c r="B10" t="s">
        <v>673</v>
      </c>
    </row>
    <row r="11" spans="1:2" x14ac:dyDescent="0.15">
      <c r="B11" t="s">
        <v>674</v>
      </c>
    </row>
    <row r="14" spans="1:2" x14ac:dyDescent="0.15">
      <c r="B14" s="48" t="s">
        <v>675</v>
      </c>
    </row>
    <row r="20" spans="2:2" x14ac:dyDescent="0.15">
      <c r="B20" s="57" t="s">
        <v>648</v>
      </c>
    </row>
    <row r="21" spans="2:2" x14ac:dyDescent="0.15">
      <c r="B21" s="57" t="s">
        <v>649</v>
      </c>
    </row>
    <row r="22" spans="2:2" x14ac:dyDescent="0.15">
      <c r="B22" s="57" t="s">
        <v>650</v>
      </c>
    </row>
    <row r="23" spans="2:2" x14ac:dyDescent="0.15">
      <c r="B23" s="57" t="s">
        <v>651</v>
      </c>
    </row>
    <row r="24" spans="2:2" x14ac:dyDescent="0.15">
      <c r="B24" s="57" t="s">
        <v>652</v>
      </c>
    </row>
    <row r="25" spans="2:2" x14ac:dyDescent="0.15">
      <c r="B25" s="57" t="s">
        <v>653</v>
      </c>
    </row>
    <row r="26" spans="2:2" x14ac:dyDescent="0.15">
      <c r="B26" s="57" t="s">
        <v>654</v>
      </c>
    </row>
    <row r="27" spans="2:2" x14ac:dyDescent="0.15">
      <c r="B27" s="57" t="s">
        <v>655</v>
      </c>
    </row>
    <row r="28" spans="2:2" x14ac:dyDescent="0.15">
      <c r="B28" s="57" t="s">
        <v>656</v>
      </c>
    </row>
    <row r="29" spans="2:2" x14ac:dyDescent="0.15">
      <c r="B29" s="57" t="s">
        <v>657</v>
      </c>
    </row>
    <row r="30" spans="2:2" x14ac:dyDescent="0.15">
      <c r="B30" s="57" t="s">
        <v>658</v>
      </c>
    </row>
    <row r="31" spans="2:2" x14ac:dyDescent="0.15">
      <c r="B31" s="57" t="s">
        <v>659</v>
      </c>
    </row>
    <row r="32" spans="2:2" x14ac:dyDescent="0.15">
      <c r="B32" s="57" t="s">
        <v>660</v>
      </c>
    </row>
    <row r="33" spans="2:4" x14ac:dyDescent="0.15">
      <c r="B33" s="57" t="s">
        <v>661</v>
      </c>
    </row>
    <row r="34" spans="2:4" x14ac:dyDescent="0.15">
      <c r="B34" s="57" t="s">
        <v>662</v>
      </c>
      <c r="D34" s="48"/>
    </row>
    <row r="35" spans="2:4" x14ac:dyDescent="0.15">
      <c r="B35" s="57" t="s">
        <v>533</v>
      </c>
      <c r="D35" s="48"/>
    </row>
    <row r="36" spans="2:4" x14ac:dyDescent="0.15">
      <c r="B36" s="57" t="s">
        <v>663</v>
      </c>
      <c r="D36" s="48"/>
    </row>
    <row r="37" spans="2:4" x14ac:dyDescent="0.15">
      <c r="B37" s="57" t="s">
        <v>404</v>
      </c>
      <c r="D37" s="48"/>
    </row>
    <row r="38" spans="2:4" x14ac:dyDescent="0.15">
      <c r="B38" s="57" t="s">
        <v>664</v>
      </c>
      <c r="D38" s="48"/>
    </row>
    <row r="39" spans="2:4" x14ac:dyDescent="0.15">
      <c r="B39" s="57" t="s">
        <v>665</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2022-08-09T23:15:44Z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