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old-flat-files/"/>
    </mc:Choice>
  </mc:AlternateContent>
  <xr:revisionPtr revIDLastSave="0" documentId="8_{08822321-BA17-4448-A354-05B16D36C3C3}"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Q13" i="2"/>
  <c r="P13" i="2"/>
  <c r="P14" i="1" s="1"/>
  <c r="O13" i="2"/>
  <c r="O14" i="1" s="1"/>
  <c r="J13" i="2"/>
  <c r="I13" i="2"/>
  <c r="D13" i="2"/>
  <c r="C13" i="2"/>
  <c r="V12" i="2"/>
  <c r="U12" i="2"/>
  <c r="U13" i="1" s="1"/>
  <c r="J12" i="2"/>
  <c r="I12" i="2"/>
  <c r="D12" i="2"/>
  <c r="C12" i="2"/>
  <c r="V11" i="2"/>
  <c r="U11" i="2"/>
  <c r="T11" i="2"/>
  <c r="S11" i="2"/>
  <c r="R11" i="2"/>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<sst xmlns="http://schemas.openxmlformats.org/spreadsheetml/2006/main" count="846" uniqueCount="677">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</sst>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f>Values!B13</f>
        <v>0</v>
      </c>
      <c r="C4" s="30" t="s">
        <v>345</v>
      </c>
      <c r="D4" s="31">
        <f>Values!B14</f>
        <v>0</v>
      </c>
      <c r="E4" s="32" t="s">
        <v>346</v>
      </c>
      <c r="F4" s="29" t="str">
        <f>SUBSTITUTE(Values!B1, "{language}", "") &amp; " " &amp; Values!B3</f>
        <v>Teclado de respuesto  retroiluminado  para Lenovo Thinkpad E470 E470c E475</v>
      </c>
      <c r="G4" s="30" t="s">
        <v>345</v>
      </c>
      <c r="H4" s="28" t="str">
        <f>Values!B16</f>
        <v>computer-keyboards</v>
      </c>
      <c r="I4" s="28" t="str">
        <f>IF(ISBLANK(Values!E3),"","4730574031")</f>
        <v>4730574031</v>
      </c>
      <c r="J4" s="33">
        <f>Values!B13</f>
        <v>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
      </c>
      <c r="B5" s="39" t="str">
        <f>IF(ISBLANK(Values!E4),"",Values!F4)</f>
        <v/>
      </c>
      <c r="C5" s="33" t="str">
        <f>IF(ISBLANK(Values!E4),"","TellusRem")</f>
        <v/>
      </c>
      <c r="D5" s="31" t="str">
        <f>IF(ISBLANK(Values!E4),"",Values!E4)</f>
        <v/>
      </c>
      <c r="E5" s="32" t="str">
        <f>IF(ISBLANK(Values!E4),"","EAN")</f>
        <v/>
      </c>
      <c r="F5" s="29" t="str">
        <f>IF(ISBLANK(Values!E4),"",IF(Values!J4, SUBSTITUTE(Values!$B$1, "{language}", Values!H4) &amp; " " &amp;Values!$B$3, SUBSTITUTE(Values!$B$2, "{language}", Values!$H4) &amp; " " &amp;Values!$B$3))</f>
        <v/>
      </c>
      <c r="G5" s="33" t="str">
        <f>IF(ISBLANK(Values!E4),"","TellusRem")</f>
        <v/>
      </c>
      <c r="H5" s="28" t="str">
        <f>IF(ISBLANK(Values!E4),"",Values!$B$16)</f>
        <v/>
      </c>
      <c r="I5" s="28" t="str">
        <f>IF(ISBLANK(Values!E4),"","4730574031")</f>
        <v/>
      </c>
      <c r="J5" s="40" t="str">
        <f>IF(ISBLANK(Values!E4),"",Values!F4 )</f>
        <v/>
      </c>
      <c r="K5" s="29" t="str">
        <f>IF(ISBLANK(Values!E4),"",IF(Values!J4, Values!$B$4, Values!$B$5))</f>
        <v/>
      </c>
      <c r="L5" s="41" t="str">
        <f>IF(ISBLANK(Values!E4),"",IF($CO5="DEFAULT", Values!$B$18, ""))</f>
        <v/>
      </c>
      <c r="M5" s="29" t="str">
        <f>IF(ISBLANK(Values!E4),"",Values!$M4)</f>
        <v/>
      </c>
      <c r="N5" s="29" t="str">
        <f>IF(ISBLANK(Values!$F4),"",Values!N4)</f>
        <v/>
      </c>
      <c r="O5" s="29" t="str">
        <f>IF(ISBLANK(Values!$F4),"",Values!O4)</f>
        <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
      </c>
      <c r="X5" s="33" t="str">
        <f>IF(ISBLANK(Values!E4),"",Values!$B$13)</f>
        <v/>
      </c>
      <c r="Y5" s="40" t="str">
        <f>IF(ISBLANK(Values!E4),"","Size-Color")</f>
        <v/>
      </c>
      <c r="Z5" s="33" t="str">
        <f>IF(ISBLANK(Values!E4),"","variation")</f>
        <v/>
      </c>
      <c r="AA5" s="37" t="str">
        <f>IF(ISBLANK(Values!E4),"",Values!$B$20)</f>
        <v/>
      </c>
      <c r="AB5" s="2" t="str">
        <f>IF(ISBLANK(Values!E4),"",Values!$B$29)</f>
        <v/>
      </c>
      <c r="AI5" s="42" t="str">
        <f>IF(ISBLANK(Values!E4),"",IF(Values!I4,Values!$B$23,Values!$B$33))</f>
        <v/>
      </c>
      <c r="AJ5" s="43" t="str">
        <f>IF(ISBLANK(Values!E4),"",Values!$B$24 &amp;" "&amp;Values!$B$3)</f>
        <v/>
      </c>
      <c r="AK5" s="2" t="str">
        <f>IF(ISBLANK(Values!E4),"",Values!$B$25)</f>
        <v/>
      </c>
      <c r="AL5" s="2" t="str">
        <f>IF(ISBLANK(Values!E4),"",SUBSTITUTE(SUBSTITUTE(IF(Values!$J4, Values!$B$26, Values!$B$33), "{language}", Values!$H4), "{flag}", INDEX(options!$E$1:$E$20, Values!$V4)))</f>
        <v/>
      </c>
      <c r="AM5" s="2" t="str">
        <f>SUBSTITUTE(IF(ISBLANK(Values!E4),"",Values!$B$27), "{model}", Values!$B$3)</f>
        <v/>
      </c>
      <c r="AT5" s="29" t="str">
        <f>IF(ISBLANK(Values!E4),"",Values!H4)</f>
        <v/>
      </c>
      <c r="AV5" s="2" t="str">
        <f>IF(ISBLANK(Values!E4),"",IF(Values!J4,"Backlit", "Non-Backlit"))</f>
        <v/>
      </c>
      <c r="AW5"/>
      <c r="BE5" s="28" t="str">
        <f>IF(ISBLANK(Values!E4),"","Professional Audience")</f>
        <v/>
      </c>
      <c r="BF5" s="28" t="str">
        <f>IF(ISBLANK(Values!E4),"","Consumer Audience")</f>
        <v/>
      </c>
      <c r="BG5" s="28" t="str">
        <f>IF(ISBLANK(Values!E4),"","Adults")</f>
        <v/>
      </c>
      <c r="BH5" s="28" t="str">
        <f>IF(ISBLANK(Values!E4),"","People")</f>
        <v/>
      </c>
      <c r="CG5" s="2" t="str">
        <f>IF(ISBLANK(Values!E4),"",Values!$B$11)</f>
        <v/>
      </c>
      <c r="CH5" s="2" t="str">
        <f>IF(ISBLANK(Values!E4),"","GR")</f>
        <v/>
      </c>
      <c r="CI5" s="2" t="str">
        <f>IF(ISBLANK(Values!E4),"",Values!$B$7)</f>
        <v/>
      </c>
      <c r="CJ5" s="2" t="str">
        <f>IF(ISBLANK(Values!E4),"",Values!$B$8)</f>
        <v/>
      </c>
      <c r="CK5" s="2" t="str">
        <f>IF(ISBLANK(Values!E4),"",Values!$B$9)</f>
        <v/>
      </c>
      <c r="CL5" s="2" t="str">
        <f>IF(ISBLANK(Values!E4),"","CM")</f>
        <v/>
      </c>
      <c r="CO5" s="2" t="str">
        <f>IF(ISBLANK(Values!E4), "", IF(AND(Values!$B$37=options!$G$2, Values!$C4), "AMAZON_NA", IF(AND(Values!$B$37=options!$G$1, Values!$D4), "AMAZON_EU", "DEFAULT")))</f>
        <v/>
      </c>
      <c r="CP5" s="2" t="str">
        <f>IF(ISBLANK(Values!E4),"",Values!$B$7)</f>
        <v/>
      </c>
      <c r="CQ5" s="2" t="str">
        <f>IF(ISBLANK(Values!E4),"",Values!$B$8)</f>
        <v/>
      </c>
      <c r="CR5" s="2" t="str">
        <f>IF(ISBLANK(Values!E4),"",Values!$B$9)</f>
        <v/>
      </c>
      <c r="CS5" s="2" t="str">
        <f>IF(ISBLANK(Values!E4),"",Values!$B$11)</f>
        <v/>
      </c>
      <c r="CT5" s="2" t="str">
        <f>IF(ISBLANK(Values!E4),"","GR")</f>
        <v/>
      </c>
      <c r="CU5" s="2" t="str">
        <f>IF(ISBLANK(Values!E4),"","CM")</f>
        <v/>
      </c>
      <c r="CV5" s="2" t="str">
        <f>IF(ISBLANK(Values!E4),"",IF(Values!$B$36=options!$F$1,"Denmark", IF(Values!$B$36=options!$F$2, "Danemark",IF(Values!$B$36=options!$F$3, "Dänemark",IF(Values!$B$36=options!$F$4, "Danimarca",IF(Values!$B$36=options!$F$5, "Dinamarca",IF(Values!$B$36=options!$F$6, "Denemarken","" ) ) ) ) )))</f>
        <v/>
      </c>
      <c r="CZ5" s="2" t="str">
        <f>IF(ISBLANK(Values!E4),"","No")</f>
        <v/>
      </c>
      <c r="DA5" s="2" t="str">
        <f>IF(ISBLANK(Values!E4),"","No")</f>
        <v/>
      </c>
      <c r="DO5" s="28" t="str">
        <f>IF(ISBLANK(Values!E4),"","Parts")</f>
        <v/>
      </c>
      <c r="DP5" s="28" t="str">
        <f>IF(ISBLANK(Values!E4),"",Values!$B$31)</f>
        <v/>
      </c>
      <c r="DS5" s="32"/>
      <c r="DY5" t="str">
        <f>IF(ISBLANK(Values!$E4), "", "not_applicable")</f>
        <v/>
      </c>
      <c r="DZ5" s="32"/>
      <c r="EA5" s="32"/>
      <c r="EB5" s="32"/>
      <c r="EC5" s="32"/>
      <c r="EI5" s="2" t="str">
        <f>IF(ISBLANK(Values!E4),"",Values!$B$31)</f>
        <v/>
      </c>
      <c r="ES5" s="2" t="str">
        <f>IF(ISBLANK(Values!E4),"","Amazon Tellus UPS")</f>
        <v/>
      </c>
      <c r="EV5" s="32" t="str">
        <f>IF(ISBLANK(Values!E4),"","New")</f>
        <v/>
      </c>
      <c r="FE5" s="2" t="str">
        <f>IF(ISBLANK(Values!E4),"",IF(CO5&lt;&gt;"DEFAULT", "", 3))</f>
        <v/>
      </c>
      <c r="FH5" s="2" t="str">
        <f>IF(ISBLANK(Values!E4),"","FALSE")</f>
        <v/>
      </c>
      <c r="FI5" s="2" t="str">
        <f>IF(ISBLANK(Values!E4),"","FALSE")</f>
        <v/>
      </c>
      <c r="FJ5" s="2" t="str">
        <f>IF(ISBLANK(Values!E4),"","FALSE")</f>
        <v/>
      </c>
      <c r="FM5" s="2" t="str">
        <f>IF(ISBLANK(Values!E4),"","1")</f>
        <v/>
      </c>
      <c r="FO5" s="29" t="str">
        <f>IF(ISBLANK(Values!E4),"",IF(Values!J4, Values!$B$4, Values!$B$5))</f>
        <v/>
      </c>
      <c r="FP5" s="2" t="str">
        <f>IF(ISBLANK(Values!E4),"","Percent")</f>
        <v/>
      </c>
      <c r="FQ5" s="2" t="str">
        <f>IF(ISBLANK(Values!E4),"","2")</f>
        <v/>
      </c>
      <c r="FR5" s="2" t="str">
        <f>IF(ISBLANK(Values!E4),"","3")</f>
        <v/>
      </c>
      <c r="FS5" s="2" t="str">
        <f>IF(ISBLANK(Values!E4),"","5")</f>
        <v/>
      </c>
      <c r="FT5" s="2" t="str">
        <f>IF(ISBLANK(Values!E4),"","6")</f>
        <v/>
      </c>
      <c r="FU5" s="2" t="str">
        <f>IF(ISBLANK(Values!E4),"","10")</f>
        <v/>
      </c>
      <c r="FV5" s="2" t="str">
        <f>IF(ISBLANK(Values!E4),"","10")</f>
        <v/>
      </c>
    </row>
    <row r="6" spans="1:192" ht="48" x14ac:dyDescent="0.2">
      <c r="A6" s="28" t="str">
        <f>IF(ISBLANK(Values!E5),"",IF(Values!$B$37="EU","computercomponent","computer"))</f>
        <v/>
      </c>
      <c r="B6" s="39" t="str">
        <f>IF(ISBLANK(Values!E5),"",Values!F5)</f>
        <v/>
      </c>
      <c r="C6" s="33" t="str">
        <f>IF(ISBLANK(Values!E5),"","TellusRem")</f>
        <v/>
      </c>
      <c r="D6" s="31" t="str">
        <f>IF(ISBLANK(Values!E5),"",Values!E5)</f>
        <v/>
      </c>
      <c r="E6" s="32" t="str">
        <f>IF(ISBLANK(Values!E5),"","EAN")</f>
        <v/>
      </c>
      <c r="F6" s="29" t="str">
        <f>IF(ISBLANK(Values!E5),"",IF(Values!J5, SUBSTITUTE(Values!$B$1, "{language}", Values!H5) &amp; " " &amp;Values!$B$3, SUBSTITUTE(Values!$B$2, "{language}", Values!$H5) &amp; " " &amp;Values!$B$3))</f>
        <v/>
      </c>
      <c r="G6" s="33" t="str">
        <f>IF(ISBLANK(Values!E5),"","TellusRem")</f>
        <v/>
      </c>
      <c r="H6" s="28" t="str">
        <f>IF(ISBLANK(Values!E5),"",Values!$B$16)</f>
        <v/>
      </c>
      <c r="I6" s="28" t="str">
        <f>IF(ISBLANK(Values!E5),"","4730574031")</f>
        <v/>
      </c>
      <c r="J6" s="40" t="str">
        <f>IF(ISBLANK(Values!E5),"",Values!F5 )</f>
        <v/>
      </c>
      <c r="K6" s="29" t="str">
        <f>IF(ISBLANK(Values!E5),"",IF(Values!J5, Values!$B$4, Values!$B$5))</f>
        <v/>
      </c>
      <c r="L6" s="41" t="str">
        <f>IF(ISBLANK(Values!E5),"",IF($CO6="DEFAULT", Values!$B$18, ""))</f>
        <v/>
      </c>
      <c r="M6" s="29" t="str">
        <f>IF(ISBLANK(Values!E5),"",Values!$M5)</f>
        <v/>
      </c>
      <c r="N6" s="29" t="str">
        <f>IF(ISBLANK(Values!$F5),"",Values!N5)</f>
        <v/>
      </c>
      <c r="O6" s="29" t="str">
        <f>IF(ISBLANK(Values!$F5),"",Values!O5)</f>
        <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
      </c>
      <c r="X6" s="33" t="str">
        <f>IF(ISBLANK(Values!E5),"",Values!$B$13)</f>
        <v/>
      </c>
      <c r="Y6" s="40" t="str">
        <f>IF(ISBLANK(Values!E5),"","Size-Color")</f>
        <v/>
      </c>
      <c r="Z6" s="33" t="str">
        <f>IF(ISBLANK(Values!E5),"","variation")</f>
        <v/>
      </c>
      <c r="AA6" s="37" t="str">
        <f>IF(ISBLANK(Values!E5),"",Values!$B$20)</f>
        <v/>
      </c>
      <c r="AB6" s="2" t="str">
        <f>IF(ISBLANK(Values!E5),"",Values!$B$29)</f>
        <v/>
      </c>
      <c r="AI6" s="42" t="str">
        <f>IF(ISBLANK(Values!E5),"",IF(Values!I5,Values!$B$23,Values!$B$33))</f>
        <v/>
      </c>
      <c r="AJ6" s="43" t="str">
        <f>IF(ISBLANK(Values!E5),"",Values!$B$24 &amp;" "&amp;Values!$B$3)</f>
        <v/>
      </c>
      <c r="AK6" s="2" t="str">
        <f>IF(ISBLANK(Values!E5),"",Values!$B$25)</f>
        <v/>
      </c>
      <c r="AL6" s="2" t="str">
        <f>IF(ISBLANK(Values!E5),"",SUBSTITUTE(SUBSTITUTE(IF(Values!$J5, Values!$B$26, Values!$B$33), "{language}", Values!$H5), "{flag}", INDEX(options!$E$1:$E$20, Values!$V5)))</f>
        <v/>
      </c>
      <c r="AM6" s="2" t="str">
        <f>SUBSTITUTE(IF(ISBLANK(Values!E5),"",Values!$B$27), "{model}", Values!$B$3)</f>
        <v/>
      </c>
      <c r="AT6" s="29" t="str">
        <f>IF(ISBLANK(Values!E5),"",Values!H5)</f>
        <v/>
      </c>
      <c r="AV6" s="2" t="str">
        <f>IF(ISBLANK(Values!E5),"",IF(Values!J5,"Backlit", "Non-Backlit"))</f>
        <v/>
      </c>
      <c r="AW6"/>
      <c r="BE6" s="28" t="str">
        <f>IF(ISBLANK(Values!E5),"","Professional Audience")</f>
        <v/>
      </c>
      <c r="BF6" s="28" t="str">
        <f>IF(ISBLANK(Values!E5),"","Consumer Audience")</f>
        <v/>
      </c>
      <c r="BG6" s="28" t="str">
        <f>IF(ISBLANK(Values!E5),"","Adults")</f>
        <v/>
      </c>
      <c r="BH6" s="28" t="str">
        <f>IF(ISBLANK(Values!E5),"","People")</f>
        <v/>
      </c>
      <c r="CG6" s="2" t="str">
        <f>IF(ISBLANK(Values!E5),"",Values!$B$11)</f>
        <v/>
      </c>
      <c r="CH6" s="2" t="str">
        <f>IF(ISBLANK(Values!E5),"","GR")</f>
        <v/>
      </c>
      <c r="CI6" s="2" t="str">
        <f>IF(ISBLANK(Values!E5),"",Values!$B$7)</f>
        <v/>
      </c>
      <c r="CJ6" s="2" t="str">
        <f>IF(ISBLANK(Values!E5),"",Values!$B$8)</f>
        <v/>
      </c>
      <c r="CK6" s="2" t="str">
        <f>IF(ISBLANK(Values!E5),"",Values!$B$9)</f>
        <v/>
      </c>
      <c r="CL6" s="2" t="str">
        <f>IF(ISBLANK(Values!E5),"","CM")</f>
        <v/>
      </c>
      <c r="CO6" s="2" t="str">
        <f>IF(ISBLANK(Values!E5), "", IF(AND(Values!$B$37=options!$G$2, Values!$C5), "AMAZON_NA", IF(AND(Values!$B$37=options!$G$1, Values!$D5), "AMAZON_EU", "DEFAULT")))</f>
        <v/>
      </c>
      <c r="CP6" s="2" t="str">
        <f>IF(ISBLANK(Values!E5),"",Values!$B$7)</f>
        <v/>
      </c>
      <c r="CQ6" s="2" t="str">
        <f>IF(ISBLANK(Values!E5),"",Values!$B$8)</f>
        <v/>
      </c>
      <c r="CR6" s="2" t="str">
        <f>IF(ISBLANK(Values!E5),"",Values!$B$9)</f>
        <v/>
      </c>
      <c r="CS6" s="2" t="str">
        <f>IF(ISBLANK(Values!E5),"",Values!$B$11)</f>
        <v/>
      </c>
      <c r="CT6" s="2" t="str">
        <f>IF(ISBLANK(Values!E5),"","GR")</f>
        <v/>
      </c>
      <c r="CU6" s="2" t="str">
        <f>IF(ISBLANK(Values!E5),"","CM")</f>
        <v/>
      </c>
      <c r="CV6" s="2" t="str">
        <f>IF(ISBLANK(Values!E5),"",IF(Values!$B$36=options!$F$1,"Denmark", IF(Values!$B$36=options!$F$2, "Danemark",IF(Values!$B$36=options!$F$3, "Dänemark",IF(Values!$B$36=options!$F$4, "Danimarca",IF(Values!$B$36=options!$F$5, "Dinamarca",IF(Values!$B$36=options!$F$6, "Denemarken","" ) ) ) ) )))</f>
        <v/>
      </c>
      <c r="CZ6" s="2" t="str">
        <f>IF(ISBLANK(Values!E5),"","No")</f>
        <v/>
      </c>
      <c r="DA6" s="2" t="str">
        <f>IF(ISBLANK(Values!E5),"","No")</f>
        <v/>
      </c>
      <c r="DO6" s="28" t="str">
        <f>IF(ISBLANK(Values!E5),"","Parts")</f>
        <v/>
      </c>
      <c r="DP6" s="28" t="str">
        <f>IF(ISBLANK(Values!E5),"",Values!$B$31)</f>
        <v/>
      </c>
      <c r="DS6" s="32"/>
      <c r="DY6" t="str">
        <f>IF(ISBLANK(Values!$E5), "", "not_applicable")</f>
        <v/>
      </c>
      <c r="DZ6" s="32"/>
      <c r="EA6" s="32"/>
      <c r="EB6" s="32"/>
      <c r="EC6" s="32"/>
      <c r="EI6" s="2" t="str">
        <f>IF(ISBLANK(Values!E5),"",Values!$B$31)</f>
        <v/>
      </c>
      <c r="ES6" s="2" t="str">
        <f>IF(ISBLANK(Values!E5),"","Amazon Tellus UPS")</f>
        <v/>
      </c>
      <c r="EV6" s="32" t="str">
        <f>IF(ISBLANK(Values!E5),"","New")</f>
        <v/>
      </c>
      <c r="FE6" s="2" t="str">
        <f>IF(ISBLANK(Values!E5),"",IF(CO6&lt;&gt;"DEFAULT", "", 3))</f>
        <v/>
      </c>
      <c r="FH6" s="2" t="str">
        <f>IF(ISBLANK(Values!E5),"","FALSE")</f>
        <v/>
      </c>
      <c r="FI6" s="2" t="str">
        <f>IF(ISBLANK(Values!E5),"","FALSE")</f>
        <v/>
      </c>
      <c r="FJ6" s="2" t="str">
        <f>IF(ISBLANK(Values!E5),"","FALSE")</f>
        <v/>
      </c>
      <c r="FM6" s="2" t="str">
        <f>IF(ISBLANK(Values!E5),"","1")</f>
        <v/>
      </c>
      <c r="FO6" s="29" t="str">
        <f>IF(ISBLANK(Values!E5),"",IF(Values!J5, Values!$B$4, Values!$B$5))</f>
        <v/>
      </c>
      <c r="FP6" s="2" t="str">
        <f>IF(ISBLANK(Values!E5),"","Percent")</f>
        <v/>
      </c>
      <c r="FQ6" s="2" t="str">
        <f>IF(ISBLANK(Values!E5),"","2")</f>
        <v/>
      </c>
      <c r="FR6" s="2" t="str">
        <f>IF(ISBLANK(Values!E5),"","3")</f>
        <v/>
      </c>
      <c r="FS6" s="2" t="str">
        <f>IF(ISBLANK(Values!E5),"","5")</f>
        <v/>
      </c>
      <c r="FT6" s="2" t="str">
        <f>IF(ISBLANK(Values!E5),"","6")</f>
        <v/>
      </c>
      <c r="FU6" s="2" t="str">
        <f>IF(ISBLANK(Values!E5),"","10")</f>
        <v/>
      </c>
      <c r="FV6" s="2" t="str">
        <f>IF(ISBLANK(Values!E5),"","10")</f>
        <v/>
      </c>
    </row>
    <row r="7" spans="1:192" ht="48" x14ac:dyDescent="0.2">
      <c r="A7" s="28" t="str">
        <f>IF(ISBLANK(Values!E6),"",IF(Values!$B$37="EU","computercomponent","computer"))</f>
        <v/>
      </c>
      <c r="B7" s="39" t="str">
        <f>IF(ISBLANK(Values!E6),"",Values!F6)</f>
        <v/>
      </c>
      <c r="C7" s="33" t="str">
        <f>IF(ISBLANK(Values!E6),"","TellusRem")</f>
        <v/>
      </c>
      <c r="D7" s="31" t="str">
        <f>IF(ISBLANK(Values!E6),"",Values!E6)</f>
        <v/>
      </c>
      <c r="E7" s="32" t="str">
        <f>IF(ISBLANK(Values!E6),"","EAN")</f>
        <v/>
      </c>
      <c r="F7" s="29" t="str">
        <f>IF(ISBLANK(Values!E6),"",IF(Values!J6, SUBSTITUTE(Values!$B$1, "{language}", Values!H6) &amp; " " &amp;Values!$B$3, SUBSTITUTE(Values!$B$2, "{language}", Values!$H6) &amp; " " &amp;Values!$B$3))</f>
        <v/>
      </c>
      <c r="G7" s="33" t="str">
        <f>IF(ISBLANK(Values!E6),"","TellusRem")</f>
        <v/>
      </c>
      <c r="H7" s="28" t="str">
        <f>IF(ISBLANK(Values!E6),"",Values!$B$16)</f>
        <v/>
      </c>
      <c r="I7" s="28" t="str">
        <f>IF(ISBLANK(Values!E6),"","4730574031")</f>
        <v/>
      </c>
      <c r="J7" s="40" t="str">
        <f>IF(ISBLANK(Values!E6),"",Values!F6 )</f>
        <v/>
      </c>
      <c r="K7" s="29" t="str">
        <f>IF(ISBLANK(Values!E6),"",IF(Values!J6, Values!$B$4, Values!$B$5))</f>
        <v/>
      </c>
      <c r="L7" s="41" t="str">
        <f>IF(ISBLANK(Values!E6),"",IF($CO7="DEFAULT", Values!$B$18, ""))</f>
        <v/>
      </c>
      <c r="M7" s="29" t="str">
        <f>IF(ISBLANK(Values!E6),"",Values!$M6)</f>
        <v/>
      </c>
      <c r="N7" s="29" t="str">
        <f>IF(ISBLANK(Values!$F6),"",Values!N6)</f>
        <v/>
      </c>
      <c r="O7" s="29" t="str">
        <f>IF(ISBLANK(Values!$F6),"",Values!O6)</f>
        <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
      </c>
      <c r="X7" s="33" t="str">
        <f>IF(ISBLANK(Values!E6),"",Values!$B$13)</f>
        <v/>
      </c>
      <c r="Y7" s="40" t="str">
        <f>IF(ISBLANK(Values!E6),"","Size-Color")</f>
        <v/>
      </c>
      <c r="Z7" s="33" t="str">
        <f>IF(ISBLANK(Values!E6),"","variation")</f>
        <v/>
      </c>
      <c r="AA7" s="37" t="str">
        <f>IF(ISBLANK(Values!E6),"",Values!$B$20)</f>
        <v/>
      </c>
      <c r="AB7" s="2" t="str">
        <f>IF(ISBLANK(Values!E6),"",Values!$B$29)</f>
        <v/>
      </c>
      <c r="AI7" s="42" t="str">
        <f>IF(ISBLANK(Values!E6),"",IF(Values!I6,Values!$B$23,Values!$B$33))</f>
        <v/>
      </c>
      <c r="AJ7" s="43" t="str">
        <f>IF(ISBLANK(Values!E6),"",Values!$B$24 &amp;" "&amp;Values!$B$3)</f>
        <v/>
      </c>
      <c r="AK7" s="2" t="str">
        <f>IF(ISBLANK(Values!E6),"",Values!$B$25)</f>
        <v/>
      </c>
      <c r="AL7" s="2" t="str">
        <f>IF(ISBLANK(Values!E6),"",SUBSTITUTE(SUBSTITUTE(IF(Values!$J6, Values!$B$26, Values!$B$33), "{language}", Values!$H6), "{flag}", INDEX(options!$E$1:$E$20, Values!$V6)))</f>
        <v/>
      </c>
      <c r="AM7" s="2" t="str">
        <f>SUBSTITUTE(IF(ISBLANK(Values!E6),"",Values!$B$27), "{model}", Values!$B$3)</f>
        <v/>
      </c>
      <c r="AT7" s="29" t="str">
        <f>IF(ISBLANK(Values!E6),"",Values!H6)</f>
        <v/>
      </c>
      <c r="AV7" s="2" t="str">
        <f>IF(ISBLANK(Values!E6),"",IF(Values!J6,"Backlit", "Non-Backlit"))</f>
        <v/>
      </c>
      <c r="AW7"/>
      <c r="BE7" s="28" t="str">
        <f>IF(ISBLANK(Values!E6),"","Professional Audience")</f>
        <v/>
      </c>
      <c r="BF7" s="28" t="str">
        <f>IF(ISBLANK(Values!E6),"","Consumer Audience")</f>
        <v/>
      </c>
      <c r="BG7" s="28" t="str">
        <f>IF(ISBLANK(Values!E6),"","Adults")</f>
        <v/>
      </c>
      <c r="BH7" s="28" t="str">
        <f>IF(ISBLANK(Values!E6),"","People")</f>
        <v/>
      </c>
      <c r="CG7" s="2" t="str">
        <f>IF(ISBLANK(Values!E6),"",Values!$B$11)</f>
        <v/>
      </c>
      <c r="CH7" s="2" t="str">
        <f>IF(ISBLANK(Values!E6),"","GR")</f>
        <v/>
      </c>
      <c r="CI7" s="2" t="str">
        <f>IF(ISBLANK(Values!E6),"",Values!$B$7)</f>
        <v/>
      </c>
      <c r="CJ7" s="2" t="str">
        <f>IF(ISBLANK(Values!E6),"",Values!$B$8)</f>
        <v/>
      </c>
      <c r="CK7" s="2" t="str">
        <f>IF(ISBLANK(Values!E6),"",Values!$B$9)</f>
        <v/>
      </c>
      <c r="CL7" s="2" t="str">
        <f>IF(ISBLANK(Values!E6),"","CM")</f>
        <v/>
      </c>
      <c r="CO7" s="2" t="str">
        <f>IF(ISBLANK(Values!E6), "", IF(AND(Values!$B$37=options!$G$2, Values!$C6), "AMAZON_NA", IF(AND(Values!$B$37=options!$G$1, Values!$D6), "AMAZON_EU", "DEFAULT")))</f>
        <v/>
      </c>
      <c r="CP7" s="2" t="str">
        <f>IF(ISBLANK(Values!E6),"",Values!$B$7)</f>
        <v/>
      </c>
      <c r="CQ7" s="2" t="str">
        <f>IF(ISBLANK(Values!E6),"",Values!$B$8)</f>
        <v/>
      </c>
      <c r="CR7" s="2" t="str">
        <f>IF(ISBLANK(Values!E6),"",Values!$B$9)</f>
        <v/>
      </c>
      <c r="CS7" s="2" t="str">
        <f>IF(ISBLANK(Values!E6),"",Values!$B$11)</f>
        <v/>
      </c>
      <c r="CT7" s="2" t="str">
        <f>IF(ISBLANK(Values!E6),"","GR")</f>
        <v/>
      </c>
      <c r="CU7" s="2" t="str">
        <f>IF(ISBLANK(Values!E6),"","CM")</f>
        <v/>
      </c>
      <c r="CV7" s="2" t="str">
        <f>IF(ISBLANK(Values!E6),"",IF(Values!$B$36=options!$F$1,"Denmark", IF(Values!$B$36=options!$F$2, "Danemark",IF(Values!$B$36=options!$F$3, "Dänemark",IF(Values!$B$36=options!$F$4, "Danimarca",IF(Values!$B$36=options!$F$5, "Dinamarca",IF(Values!$B$36=options!$F$6, "Denemarken","" ) ) ) ) )))</f>
        <v/>
      </c>
      <c r="CZ7" s="2" t="str">
        <f>IF(ISBLANK(Values!E6),"","No")</f>
        <v/>
      </c>
      <c r="DA7" s="2" t="str">
        <f>IF(ISBLANK(Values!E6),"","No")</f>
        <v/>
      </c>
      <c r="DO7" s="28" t="str">
        <f>IF(ISBLANK(Values!E6),"","Parts")</f>
        <v/>
      </c>
      <c r="DP7" s="28" t="str">
        <f>IF(ISBLANK(Values!E6),"",Values!$B$31)</f>
        <v/>
      </c>
      <c r="DS7" s="32"/>
      <c r="DY7" t="str">
        <f>IF(ISBLANK(Values!$E6), "", "not_applicable")</f>
        <v/>
      </c>
      <c r="DZ7" s="32"/>
      <c r="EA7" s="32"/>
      <c r="EB7" s="32"/>
      <c r="EC7" s="32"/>
      <c r="EI7" s="2" t="str">
        <f>IF(ISBLANK(Values!E6),"",Values!$B$31)</f>
        <v/>
      </c>
      <c r="ES7" s="2" t="str">
        <f>IF(ISBLANK(Values!E6),"","Amazon Tellus UPS")</f>
        <v/>
      </c>
      <c r="EV7" s="32" t="str">
        <f>IF(ISBLANK(Values!E6),"","New")</f>
        <v/>
      </c>
      <c r="FE7" s="2" t="str">
        <f>IF(ISBLANK(Values!E6),"",IF(CO7&lt;&gt;"DEFAULT", "", 3))</f>
        <v/>
      </c>
      <c r="FH7" s="2" t="str">
        <f>IF(ISBLANK(Values!E6),"","FALSE")</f>
        <v/>
      </c>
      <c r="FI7" s="2" t="str">
        <f>IF(ISBLANK(Values!E6),"","FALSE")</f>
        <v/>
      </c>
      <c r="FJ7" s="2" t="str">
        <f>IF(ISBLANK(Values!E6),"","FALSE")</f>
        <v/>
      </c>
      <c r="FM7" s="2" t="str">
        <f>IF(ISBLANK(Values!E6),"","1")</f>
        <v/>
      </c>
      <c r="FO7" s="29" t="str">
        <f>IF(ISBLANK(Values!E6),"",IF(Values!J6, Values!$B$4, Values!$B$5))</f>
        <v/>
      </c>
      <c r="FP7" s="2" t="str">
        <f>IF(ISBLANK(Values!E6),"","Percent")</f>
        <v/>
      </c>
      <c r="FQ7" s="2" t="str">
        <f>IF(ISBLANK(Values!E6),"","2")</f>
        <v/>
      </c>
      <c r="FR7" s="2" t="str">
        <f>IF(ISBLANK(Values!E6),"","3")</f>
        <v/>
      </c>
      <c r="FS7" s="2" t="str">
        <f>IF(ISBLANK(Values!E6),"","5")</f>
        <v/>
      </c>
      <c r="FT7" s="2" t="str">
        <f>IF(ISBLANK(Values!E6),"","6")</f>
        <v/>
      </c>
      <c r="FU7" s="2" t="str">
        <f>IF(ISBLANK(Values!E6),"","10")</f>
        <v/>
      </c>
      <c r="FV7" s="2" t="str">
        <f>IF(ISBLANK(Values!E6),"","10")</f>
        <v/>
      </c>
    </row>
    <row r="8" spans="1:192" ht="48" x14ac:dyDescent="0.2">
      <c r="A8" s="28" t="str">
        <f>IF(ISBLANK(Values!E7),"",IF(Values!$B$37="EU","computercomponent","computer"))</f>
        <v/>
      </c>
      <c r="B8" s="39" t="str">
        <f>IF(ISBLANK(Values!E7),"",Values!F7)</f>
        <v/>
      </c>
      <c r="C8" s="33" t="str">
        <f>IF(ISBLANK(Values!E7),"","TellusRem")</f>
        <v/>
      </c>
      <c r="D8" s="31" t="str">
        <f>IF(ISBLANK(Values!E7),"",Values!E7)</f>
        <v/>
      </c>
      <c r="E8" s="32" t="str">
        <f>IF(ISBLANK(Values!E7),"","EAN")</f>
        <v/>
      </c>
      <c r="F8" s="29" t="str">
        <f>IF(ISBLANK(Values!E7),"",IF(Values!J7, SUBSTITUTE(Values!$B$1, "{language}", Values!H7) &amp; " " &amp;Values!$B$3, SUBSTITUTE(Values!$B$2, "{language}", Values!$H7) &amp; " " &amp;Values!$B$3))</f>
        <v/>
      </c>
      <c r="G8" s="33" t="str">
        <f>IF(ISBLANK(Values!E7),"","TellusRem")</f>
        <v/>
      </c>
      <c r="H8" s="28" t="str">
        <f>IF(ISBLANK(Values!E7),"",Values!$B$16)</f>
        <v/>
      </c>
      <c r="I8" s="28" t="str">
        <f>IF(ISBLANK(Values!E7),"","4730574031")</f>
        <v/>
      </c>
      <c r="J8" s="40" t="str">
        <f>IF(ISBLANK(Values!E7),"",Values!F7 )</f>
        <v/>
      </c>
      <c r="K8" s="29" t="str">
        <f>IF(ISBLANK(Values!E7),"",IF(Values!J7, Values!$B$4, Values!$B$5))</f>
        <v/>
      </c>
      <c r="L8" s="41" t="str">
        <f>IF(ISBLANK(Values!E7),"",IF($CO8="DEFAULT", Values!$B$18, ""))</f>
        <v/>
      </c>
      <c r="M8" s="29" t="str">
        <f>IF(ISBLANK(Values!E7),"",Values!$M7)</f>
        <v/>
      </c>
      <c r="N8" s="29" t="str">
        <f>IF(ISBLANK(Values!$F7),"",Values!N7)</f>
        <v/>
      </c>
      <c r="O8" s="29" t="str">
        <f>IF(ISBLANK(Values!$F7),"",Values!O7)</f>
        <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
      </c>
      <c r="X8" s="33" t="str">
        <f>IF(ISBLANK(Values!E7),"",Values!$B$13)</f>
        <v/>
      </c>
      <c r="Y8" s="40" t="str">
        <f>IF(ISBLANK(Values!E7),"","Size-Color")</f>
        <v/>
      </c>
      <c r="Z8" s="33" t="str">
        <f>IF(ISBLANK(Values!E7),"","variation")</f>
        <v/>
      </c>
      <c r="AA8" s="37" t="str">
        <f>IF(ISBLANK(Values!E7),"",Values!$B$20)</f>
        <v/>
      </c>
      <c r="AB8" s="2" t="str">
        <f>IF(ISBLANK(Values!E7),"",Values!$B$29)</f>
        <v/>
      </c>
      <c r="AI8" s="42" t="str">
        <f>IF(ISBLANK(Values!E7),"",IF(Values!I7,Values!$B$23,Values!$B$33))</f>
        <v/>
      </c>
      <c r="AJ8" s="43" t="str">
        <f>IF(ISBLANK(Values!E7),"",Values!$B$24 &amp;" "&amp;Values!$B$3)</f>
        <v/>
      </c>
      <c r="AK8" s="2" t="str">
        <f>IF(ISBLANK(Values!E7),"",Values!$B$25)</f>
        <v/>
      </c>
      <c r="AL8" s="2" t="str">
        <f>IF(ISBLANK(Values!E7),"",SUBSTITUTE(SUBSTITUTE(IF(Values!$J7, Values!$B$26, Values!$B$33), "{language}", Values!$H7), "{flag}", INDEX(options!$E$1:$E$20, Values!$V7)))</f>
        <v/>
      </c>
      <c r="AM8" s="2" t="str">
        <f>SUBSTITUTE(IF(ISBLANK(Values!E7),"",Values!$B$27), "{model}", Values!$B$3)</f>
        <v/>
      </c>
      <c r="AT8" s="29" t="str">
        <f>IF(ISBLANK(Values!E7),"",Values!H7)</f>
        <v/>
      </c>
      <c r="AV8" s="2" t="str">
        <f>IF(ISBLANK(Values!E7),"",IF(Values!J7,"Backlit", "Non-Backlit"))</f>
        <v/>
      </c>
      <c r="AW8"/>
      <c r="BE8" s="28" t="str">
        <f>IF(ISBLANK(Values!E7),"","Professional Audience")</f>
        <v/>
      </c>
      <c r="BF8" s="28" t="str">
        <f>IF(ISBLANK(Values!E7),"","Consumer Audience")</f>
        <v/>
      </c>
      <c r="BG8" s="28" t="str">
        <f>IF(ISBLANK(Values!E7),"","Adults")</f>
        <v/>
      </c>
      <c r="BH8" s="28" t="str">
        <f>IF(ISBLANK(Values!E7),"","People")</f>
        <v/>
      </c>
      <c r="CG8" s="2" t="str">
        <f>IF(ISBLANK(Values!E7),"",Values!$B$11)</f>
        <v/>
      </c>
      <c r="CH8" s="2" t="str">
        <f>IF(ISBLANK(Values!E7),"","GR")</f>
        <v/>
      </c>
      <c r="CI8" s="2" t="str">
        <f>IF(ISBLANK(Values!E7),"",Values!$B$7)</f>
        <v/>
      </c>
      <c r="CJ8" s="2" t="str">
        <f>IF(ISBLANK(Values!E7),"",Values!$B$8)</f>
        <v/>
      </c>
      <c r="CK8" s="2" t="str">
        <f>IF(ISBLANK(Values!E7),"",Values!$B$9)</f>
        <v/>
      </c>
      <c r="CL8" s="2" t="str">
        <f>IF(ISBLANK(Values!E7),"","CM")</f>
        <v/>
      </c>
      <c r="CO8" s="2" t="str">
        <f>IF(ISBLANK(Values!E7), "", IF(AND(Values!$B$37=options!$G$2, Values!$C7), "AMAZON_NA", IF(AND(Values!$B$37=options!$G$1, Values!$D7), "AMAZON_EU", "DEFAULT")))</f>
        <v/>
      </c>
      <c r="CP8" s="2" t="str">
        <f>IF(ISBLANK(Values!E7),"",Values!$B$7)</f>
        <v/>
      </c>
      <c r="CQ8" s="2" t="str">
        <f>IF(ISBLANK(Values!E7),"",Values!$B$8)</f>
        <v/>
      </c>
      <c r="CR8" s="2" t="str">
        <f>IF(ISBLANK(Values!E7),"",Values!$B$9)</f>
        <v/>
      </c>
      <c r="CS8" s="2" t="str">
        <f>IF(ISBLANK(Values!E7),"",Values!$B$11)</f>
        <v/>
      </c>
      <c r="CT8" s="2" t="str">
        <f>IF(ISBLANK(Values!E7),"","GR")</f>
        <v/>
      </c>
      <c r="CU8" s="2" t="str">
        <f>IF(ISBLANK(Values!E7),"","CM")</f>
        <v/>
      </c>
      <c r="CV8" s="2" t="str">
        <f>IF(ISBLANK(Values!E7),"",IF(Values!$B$36=options!$F$1,"Denmark", IF(Values!$B$36=options!$F$2, "Danemark",IF(Values!$B$36=options!$F$3, "Dänemark",IF(Values!$B$36=options!$F$4, "Danimarca",IF(Values!$B$36=options!$F$5, "Dinamarca",IF(Values!$B$36=options!$F$6, "Denemarken","" ) ) ) ) )))</f>
        <v/>
      </c>
      <c r="CZ8" s="2" t="str">
        <f>IF(ISBLANK(Values!E7),"","No")</f>
        <v/>
      </c>
      <c r="DA8" s="2" t="str">
        <f>IF(ISBLANK(Values!E7),"","No")</f>
        <v/>
      </c>
      <c r="DO8" s="28" t="str">
        <f>IF(ISBLANK(Values!E7),"","Parts")</f>
        <v/>
      </c>
      <c r="DP8" s="28" t="str">
        <f>IF(ISBLANK(Values!E7),"",Values!$B$31)</f>
        <v/>
      </c>
      <c r="DS8" s="32"/>
      <c r="DY8" t="str">
        <f>IF(ISBLANK(Values!$E7), "", "not_applicable")</f>
        <v/>
      </c>
      <c r="DZ8" s="32"/>
      <c r="EA8" s="32"/>
      <c r="EB8" s="32"/>
      <c r="EC8" s="32"/>
      <c r="EI8" s="2" t="str">
        <f>IF(ISBLANK(Values!E7),"",Values!$B$31)</f>
        <v/>
      </c>
      <c r="ES8" s="2" t="str">
        <f>IF(ISBLANK(Values!E7),"","Amazon Tellus UPS")</f>
        <v/>
      </c>
      <c r="EV8" s="32" t="str">
        <f>IF(ISBLANK(Values!E7),"","New")</f>
        <v/>
      </c>
      <c r="FE8" s="2" t="str">
        <f>IF(ISBLANK(Values!E7),"",IF(CO8&lt;&gt;"DEFAULT", "", 3))</f>
        <v/>
      </c>
      <c r="FH8" s="2" t="str">
        <f>IF(ISBLANK(Values!E7),"","FALSE")</f>
        <v/>
      </c>
      <c r="FI8" s="2" t="str">
        <f>IF(ISBLANK(Values!E7),"","FALSE")</f>
        <v/>
      </c>
      <c r="FJ8" s="2" t="str">
        <f>IF(ISBLANK(Values!E7),"","FALSE")</f>
        <v/>
      </c>
      <c r="FM8" s="2" t="str">
        <f>IF(ISBLANK(Values!E7),"","1")</f>
        <v/>
      </c>
      <c r="FO8" s="29" t="str">
        <f>IF(ISBLANK(Values!E7),"",IF(Values!J7, Values!$B$4, Values!$B$5))</f>
        <v/>
      </c>
      <c r="FP8" s="2" t="str">
        <f>IF(ISBLANK(Values!E7),"","Percent")</f>
        <v/>
      </c>
      <c r="FQ8" s="2" t="str">
        <f>IF(ISBLANK(Values!E7),"","2")</f>
        <v/>
      </c>
      <c r="FR8" s="2" t="str">
        <f>IF(ISBLANK(Values!E7),"","3")</f>
        <v/>
      </c>
      <c r="FS8" s="2" t="str">
        <f>IF(ISBLANK(Values!E7),"","5")</f>
        <v/>
      </c>
      <c r="FT8" s="2" t="str">
        <f>IF(ISBLANK(Values!E7),"","6")</f>
        <v/>
      </c>
      <c r="FU8" s="2" t="str">
        <f>IF(ISBLANK(Values!E7),"","10")</f>
        <v/>
      </c>
      <c r="FV8" s="2" t="str">
        <f>IF(ISBLANK(Values!E7),"","10")</f>
        <v/>
      </c>
    </row>
    <row r="9" spans="1:192" ht="48" x14ac:dyDescent="0.2">
      <c r="A9" s="28" t="str">
        <f>IF(ISBLANK(Values!E8),"",IF(Values!$B$37="EU","computercomponent","computer"))</f>
        <v/>
      </c>
      <c r="B9" s="39" t="str">
        <f>IF(ISBLANK(Values!E8),"",Values!F8)</f>
        <v/>
      </c>
      <c r="C9" s="33" t="str">
        <f>IF(ISBLANK(Values!E8),"","TellusRem")</f>
        <v/>
      </c>
      <c r="D9" s="31" t="str">
        <f>IF(ISBLANK(Values!E8),"",Values!E8)</f>
        <v/>
      </c>
      <c r="E9" s="32" t="str">
        <f>IF(ISBLANK(Values!E8),"","EAN")</f>
        <v/>
      </c>
      <c r="F9" s="29" t="str">
        <f>IF(ISBLANK(Values!E8),"",IF(Values!J8, SUBSTITUTE(Values!$B$1, "{language}", Values!H8) &amp; " " &amp;Values!$B$3, SUBSTITUTE(Values!$B$2, "{language}", Values!$H8) &amp; " " &amp;Values!$B$3))</f>
        <v/>
      </c>
      <c r="G9" s="33" t="str">
        <f>IF(ISBLANK(Values!E8),"","TellusRem")</f>
        <v/>
      </c>
      <c r="H9" s="28" t="str">
        <f>IF(ISBLANK(Values!E8),"",Values!$B$16)</f>
        <v/>
      </c>
      <c r="I9" s="28" t="str">
        <f>IF(ISBLANK(Values!E8),"","4730574031")</f>
        <v/>
      </c>
      <c r="J9" s="40" t="str">
        <f>IF(ISBLANK(Values!E8),"",Values!F8 )</f>
        <v/>
      </c>
      <c r="K9" s="29" t="str">
        <f>IF(ISBLANK(Values!E8),"",IF(Values!J8, Values!$B$4, Values!$B$5))</f>
        <v/>
      </c>
      <c r="L9" s="41" t="str">
        <f>IF(ISBLANK(Values!E8),"",IF($CO9="DEFAULT", Values!$B$18, ""))</f>
        <v/>
      </c>
      <c r="M9" s="29" t="str">
        <f>IF(ISBLANK(Values!E8),"",Values!$M8)</f>
        <v/>
      </c>
      <c r="N9" s="29" t="str">
        <f>IF(ISBLANK(Values!$F8),"",Values!N8)</f>
        <v/>
      </c>
      <c r="O9" s="29" t="str">
        <f>IF(ISBLANK(Values!$F8),"",Values!O8)</f>
        <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
      </c>
      <c r="X9" s="33" t="str">
        <f>IF(ISBLANK(Values!E8),"",Values!$B$13)</f>
        <v/>
      </c>
      <c r="Y9" s="40" t="str">
        <f>IF(ISBLANK(Values!E8),"","Size-Color")</f>
        <v/>
      </c>
      <c r="Z9" s="33" t="str">
        <f>IF(ISBLANK(Values!E8),"","variation")</f>
        <v/>
      </c>
      <c r="AA9" s="37" t="str">
        <f>IF(ISBLANK(Values!E8),"",Values!$B$20)</f>
        <v/>
      </c>
      <c r="AB9" s="2" t="str">
        <f>IF(ISBLANK(Values!E8),"",Values!$B$29)</f>
        <v/>
      </c>
      <c r="AI9" s="42" t="str">
        <f>IF(ISBLANK(Values!E8),"",IF(Values!I8,Values!$B$23,Values!$B$33))</f>
        <v/>
      </c>
      <c r="AJ9" s="43" t="str">
        <f>IF(ISBLANK(Values!E8),"",Values!$B$24 &amp;" "&amp;Values!$B$3)</f>
        <v/>
      </c>
      <c r="AK9" s="2" t="str">
        <f>IF(ISBLANK(Values!E8),"",Values!$B$25)</f>
        <v/>
      </c>
      <c r="AL9" s="2" t="str">
        <f>IF(ISBLANK(Values!E8),"",SUBSTITUTE(SUBSTITUTE(IF(Values!$J8, Values!$B$26, Values!$B$33), "{language}", Values!$H8), "{flag}", INDEX(options!$E$1:$E$20, Values!$V8)))</f>
        <v/>
      </c>
      <c r="AM9" s="2" t="str">
        <f>SUBSTITUTE(IF(ISBLANK(Values!E8),"",Values!$B$27), "{model}", Values!$B$3)</f>
        <v/>
      </c>
      <c r="AT9" s="29" t="str">
        <f>IF(ISBLANK(Values!E8),"",Values!H8)</f>
        <v/>
      </c>
      <c r="AV9" s="2" t="str">
        <f>IF(ISBLANK(Values!E8),"",IF(Values!J8,"Backlit", "Non-Backlit"))</f>
        <v/>
      </c>
      <c r="AW9"/>
      <c r="BE9" s="28" t="str">
        <f>IF(ISBLANK(Values!E8),"","Professional Audience")</f>
        <v/>
      </c>
      <c r="BF9" s="28" t="str">
        <f>IF(ISBLANK(Values!E8),"","Consumer Audience")</f>
        <v/>
      </c>
      <c r="BG9" s="28" t="str">
        <f>IF(ISBLANK(Values!E8),"","Adults")</f>
        <v/>
      </c>
      <c r="BH9" s="28" t="str">
        <f>IF(ISBLANK(Values!E8),"","People")</f>
        <v/>
      </c>
      <c r="CG9" s="2" t="str">
        <f>IF(ISBLANK(Values!E8),"",Values!$B$11)</f>
        <v/>
      </c>
      <c r="CH9" s="2" t="str">
        <f>IF(ISBLANK(Values!E8),"","GR")</f>
        <v/>
      </c>
      <c r="CI9" s="2" t="str">
        <f>IF(ISBLANK(Values!E8),"",Values!$B$7)</f>
        <v/>
      </c>
      <c r="CJ9" s="2" t="str">
        <f>IF(ISBLANK(Values!E8),"",Values!$B$8)</f>
        <v/>
      </c>
      <c r="CK9" s="2" t="str">
        <f>IF(ISBLANK(Values!E8),"",Values!$B$9)</f>
        <v/>
      </c>
      <c r="CL9" s="2" t="str">
        <f>IF(ISBLANK(Values!E8),"","CM")</f>
        <v/>
      </c>
      <c r="CO9" s="2" t="str">
        <f>IF(ISBLANK(Values!E8), "", IF(AND(Values!$B$37=options!$G$2, Values!$C8), "AMAZON_NA", IF(AND(Values!$B$37=options!$G$1, Values!$D8), "AMAZON_EU", "DEFAULT")))</f>
        <v/>
      </c>
      <c r="CP9" s="2" t="str">
        <f>IF(ISBLANK(Values!E8),"",Values!$B$7)</f>
        <v/>
      </c>
      <c r="CQ9" s="2" t="str">
        <f>IF(ISBLANK(Values!E8),"",Values!$B$8)</f>
        <v/>
      </c>
      <c r="CR9" s="2" t="str">
        <f>IF(ISBLANK(Values!E8),"",Values!$B$9)</f>
        <v/>
      </c>
      <c r="CS9" s="2" t="str">
        <f>IF(ISBLANK(Values!E8),"",Values!$B$11)</f>
        <v/>
      </c>
      <c r="CT9" s="2" t="str">
        <f>IF(ISBLANK(Values!E8),"","GR")</f>
        <v/>
      </c>
      <c r="CU9" s="2" t="str">
        <f>IF(ISBLANK(Values!E8),"","CM")</f>
        <v/>
      </c>
      <c r="CV9" s="2" t="str">
        <f>IF(ISBLANK(Values!E8),"",IF(Values!$B$36=options!$F$1,"Denmark", IF(Values!$B$36=options!$F$2, "Danemark",IF(Values!$B$36=options!$F$3, "Dänemark",IF(Values!$B$36=options!$F$4, "Danimarca",IF(Values!$B$36=options!$F$5, "Dinamarca",IF(Values!$B$36=options!$F$6, "Denemarken","" ) ) ) ) )))</f>
        <v/>
      </c>
      <c r="CZ9" s="2" t="str">
        <f>IF(ISBLANK(Values!E8),"","No")</f>
        <v/>
      </c>
      <c r="DA9" s="2" t="str">
        <f>IF(ISBLANK(Values!E8),"","No")</f>
        <v/>
      </c>
      <c r="DO9" s="28" t="str">
        <f>IF(ISBLANK(Values!E8),"","Parts")</f>
        <v/>
      </c>
      <c r="DP9" s="28" t="str">
        <f>IF(ISBLANK(Values!E8),"",Values!$B$31)</f>
        <v/>
      </c>
      <c r="DS9" s="32"/>
      <c r="DY9" t="str">
        <f>IF(ISBLANK(Values!$E8), "", "not_applicable")</f>
        <v/>
      </c>
      <c r="DZ9" s="32"/>
      <c r="EA9" s="32"/>
      <c r="EB9" s="32"/>
      <c r="EC9" s="32"/>
      <c r="EI9" s="2" t="str">
        <f>IF(ISBLANK(Values!E8),"",Values!$B$31)</f>
        <v/>
      </c>
      <c r="ES9" s="2" t="str">
        <f>IF(ISBLANK(Values!E8),"","Amazon Tellus UPS")</f>
        <v/>
      </c>
      <c r="EV9" s="32" t="str">
        <f>IF(ISBLANK(Values!E8),"","New")</f>
        <v/>
      </c>
      <c r="FE9" s="2" t="str">
        <f>IF(ISBLANK(Values!E8),"",IF(CO9&lt;&gt;"DEFAULT", "", 3))</f>
        <v/>
      </c>
      <c r="FH9" s="2" t="str">
        <f>IF(ISBLANK(Values!E8),"","FALSE")</f>
        <v/>
      </c>
      <c r="FI9" s="2" t="str">
        <f>IF(ISBLANK(Values!E8),"","FALSE")</f>
        <v/>
      </c>
      <c r="FJ9" s="2" t="str">
        <f>IF(ISBLANK(Values!E8),"","FALSE")</f>
        <v/>
      </c>
      <c r="FM9" s="2" t="str">
        <f>IF(ISBLANK(Values!E8),"","1")</f>
        <v/>
      </c>
      <c r="FO9" s="29" t="str">
        <f>IF(ISBLANK(Values!E8),"",IF(Values!J8, Values!$B$4, Values!$B$5))</f>
        <v/>
      </c>
      <c r="FP9" s="2" t="str">
        <f>IF(ISBLANK(Values!E8),"","Percent")</f>
        <v/>
      </c>
      <c r="FQ9" s="2" t="str">
        <f>IF(ISBLANK(Values!E8),"","2")</f>
        <v/>
      </c>
      <c r="FR9" s="2" t="str">
        <f>IF(ISBLANK(Values!E8),"","3")</f>
        <v/>
      </c>
      <c r="FS9" s="2" t="str">
        <f>IF(ISBLANK(Values!E8),"","5")</f>
        <v/>
      </c>
      <c r="FT9" s="2" t="str">
        <f>IF(ISBLANK(Values!E8),"","6")</f>
        <v/>
      </c>
      <c r="FU9" s="2" t="str">
        <f>IF(ISBLANK(Values!E8),"","10")</f>
        <v/>
      </c>
      <c r="FV9" s="2" t="str">
        <f>IF(ISBLANK(Values!E8),"","10")</f>
        <v/>
      </c>
    </row>
    <row r="10" spans="1:192" ht="48" x14ac:dyDescent="0.2">
      <c r="A10" s="28" t="str">
        <f>IF(ISBLANK(Values!E9),"",IF(Values!$B$37="EU","computercomponent","computer"))</f>
        <v/>
      </c>
      <c r="B10" s="39" t="str">
        <f>IF(ISBLANK(Values!E9),"",Values!F9)</f>
        <v/>
      </c>
      <c r="C10" s="33" t="str">
        <f>IF(ISBLANK(Values!E9),"","TellusRem")</f>
        <v/>
      </c>
      <c r="D10" s="31" t="str">
        <f>IF(ISBLANK(Values!E9),"",Values!E9)</f>
        <v/>
      </c>
      <c r="E10" s="32" t="str">
        <f>IF(ISBLANK(Values!E9),"","EAN")</f>
        <v/>
      </c>
      <c r="F10" s="29" t="str">
        <f>IF(ISBLANK(Values!E9),"",IF(Values!J9, SUBSTITUTE(Values!$B$1, "{language}", Values!H9) &amp; " " &amp;Values!$B$3, SUBSTITUTE(Values!$B$2, "{language}", Values!$H9) &amp; " " &amp;Values!$B$3))</f>
        <v/>
      </c>
      <c r="G10" s="33" t="str">
        <f>IF(ISBLANK(Values!E9),"","TellusRem")</f>
        <v/>
      </c>
      <c r="H10" s="28" t="str">
        <f>IF(ISBLANK(Values!E9),"",Values!$B$16)</f>
        <v/>
      </c>
      <c r="I10" s="28" t="str">
        <f>IF(ISBLANK(Values!E9),"","4730574031")</f>
        <v/>
      </c>
      <c r="J10" s="40" t="str">
        <f>IF(ISBLANK(Values!E9),"",Values!F9 )</f>
        <v/>
      </c>
      <c r="K10" s="29" t="str">
        <f>IF(ISBLANK(Values!E9),"",IF(Values!J9, Values!$B$4, Values!$B$5))</f>
        <v/>
      </c>
      <c r="L10" s="41" t="str">
        <f>IF(ISBLANK(Values!E9),"",IF($CO10="DEFAULT", Values!$B$18, ""))</f>
        <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
      </c>
      <c r="X10" s="33" t="str">
        <f>IF(ISBLANK(Values!E9),"",Values!$B$13)</f>
        <v/>
      </c>
      <c r="Y10" s="40" t="str">
        <f>IF(ISBLANK(Values!E9),"","Size-Color")</f>
        <v/>
      </c>
      <c r="Z10" s="33" t="str">
        <f>IF(ISBLANK(Values!E9),"","variation")</f>
        <v/>
      </c>
      <c r="AA10" s="37" t="str">
        <f>IF(ISBLANK(Values!E9),"",Values!$B$20)</f>
        <v/>
      </c>
      <c r="AB10" s="2" t="str">
        <f>IF(ISBLANK(Values!E9),"",Values!$B$29)</f>
        <v/>
      </c>
      <c r="AI10" s="42" t="str">
        <f>IF(ISBLANK(Values!E9),"",IF(Values!I9,Values!$B$23,Values!$B$33))</f>
        <v/>
      </c>
      <c r="AJ10" s="4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9" t="str">
        <f>IF(ISBLANK(Values!E9),"",Values!H9)</f>
        <v/>
      </c>
      <c r="AV10" s="2" t="str">
        <f>IF(ISBLANK(Values!E9),"",IF(Values!J9,"Backlit", "Non-Backlit"))</f>
        <v/>
      </c>
      <c r="AW10"/>
      <c r="BE10" s="28" t="str">
        <f>IF(ISBLANK(Values!E9),"","Professional Audience")</f>
        <v/>
      </c>
      <c r="BF10" s="28" t="str">
        <f>IF(ISBLANK(Values!E9),"","Consumer Audience")</f>
        <v/>
      </c>
      <c r="BG10" s="28" t="str">
        <f>IF(ISBLANK(Values!E9),"","Adults")</f>
        <v/>
      </c>
      <c r="BH10" s="28"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8" t="str">
        <f>IF(ISBLANK(Values!E9),"","Parts")</f>
        <v/>
      </c>
      <c r="DP10" s="28" t="str">
        <f>IF(ISBLANK(Values!E9),"",Values!$B$31)</f>
        <v/>
      </c>
      <c r="DS10" s="32"/>
      <c r="DY10" t="str">
        <f>IF(ISBLANK(Values!$E9), "", "not_applicable")</f>
        <v/>
      </c>
      <c r="DZ10" s="32"/>
      <c r="EA10" s="32"/>
      <c r="EB10" s="32"/>
      <c r="EC10" s="32"/>
      <c r="EI10" s="2" t="str">
        <f>IF(ISBLANK(Values!E9),"",Values!$B$31)</f>
        <v/>
      </c>
      <c r="ES10" s="2" t="str">
        <f>IF(ISBLANK(Values!E9),"","Amazon Tellus UPS")</f>
        <v/>
      </c>
      <c r="EV10" s="32" t="str">
        <f>IF(ISBLANK(Values!E9),"","New")</f>
        <v/>
      </c>
      <c r="FE10" s="2" t="str">
        <f>IF(ISBLANK(Values!E9),"",IF(CO10&lt;&gt;"DEFAULT", "", 3))</f>
        <v/>
      </c>
      <c r="FH10" s="2" t="str">
        <f>IF(ISBLANK(Values!E9),"","FALSE")</f>
        <v/>
      </c>
      <c r="FI10" s="2" t="str">
        <f>IF(ISBLANK(Values!E9),"","FALSE")</f>
        <v/>
      </c>
      <c r="FJ10" s="2" t="str">
        <f>IF(ISBLANK(Values!E9),"","FALSE")</f>
        <v/>
      </c>
      <c r="FM10" s="2" t="str">
        <f>IF(ISBLANK(Values!E9),"","1")</f>
        <v/>
      </c>
      <c r="FO10" s="29"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48" x14ac:dyDescent="0.2">
      <c r="A11" s="28" t="str">
        <f>IF(ISBLANK(Values!E10),"",IF(Values!$B$37="EU","computercomponent","computer"))</f>
        <v/>
      </c>
      <c r="B11" s="39" t="str">
        <f>IF(ISBLANK(Values!E10),"",Values!F10)</f>
        <v/>
      </c>
      <c r="C11" s="33" t="str">
        <f>IF(ISBLANK(Values!E10),"","TellusRem")</f>
        <v/>
      </c>
      <c r="D11" s="31" t="str">
        <f>IF(ISBLANK(Values!E10),"",Values!E10)</f>
        <v/>
      </c>
      <c r="E11" s="32" t="str">
        <f>IF(ISBLANK(Values!E10),"","EAN")</f>
        <v/>
      </c>
      <c r="F11" s="29" t="str">
        <f>IF(ISBLANK(Values!E10),"",IF(Values!J10, SUBSTITUTE(Values!$B$1, "{language}", Values!H10) &amp; " " &amp;Values!$B$3, SUBSTITUTE(Values!$B$2, "{language}", Values!$H10) &amp; " " &amp;Values!$B$3))</f>
        <v/>
      </c>
      <c r="G11" s="33" t="str">
        <f>IF(ISBLANK(Values!E10),"","TellusRem")</f>
        <v/>
      </c>
      <c r="H11" s="28" t="str">
        <f>IF(ISBLANK(Values!E10),"",Values!$B$16)</f>
        <v/>
      </c>
      <c r="I11" s="28" t="str">
        <f>IF(ISBLANK(Values!E10),"","4730574031")</f>
        <v/>
      </c>
      <c r="J11" s="40" t="str">
        <f>IF(ISBLANK(Values!E10),"",Values!F10 )</f>
        <v/>
      </c>
      <c r="K11" s="29" t="str">
        <f>IF(ISBLANK(Values!E10),"",IF(Values!J10, Values!$B$4, Values!$B$5))</f>
        <v/>
      </c>
      <c r="L11" s="41"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
      </c>
      <c r="X11" s="33" t="str">
        <f>IF(ISBLANK(Values!E10),"",Values!$B$13)</f>
        <v/>
      </c>
      <c r="Y11" s="40" t="str">
        <f>IF(ISBLANK(Values!E10),"","Size-Color")</f>
        <v/>
      </c>
      <c r="Z11" s="33" t="str">
        <f>IF(ISBLANK(Values!E10),"","variation")</f>
        <v/>
      </c>
      <c r="AA11" s="37" t="str">
        <f>IF(ISBLANK(Values!E10),"",Values!$B$20)</f>
        <v/>
      </c>
      <c r="AB11" s="2" t="str">
        <f>IF(ISBLANK(Values!E10),"",Values!$B$29)</f>
        <v/>
      </c>
      <c r="AI11" s="42" t="str">
        <f>IF(ISBLANK(Values!E10),"",IF(Values!I10,Values!$B$23,Values!$B$33))</f>
        <v/>
      </c>
      <c r="AJ11" s="4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9" t="str">
        <f>IF(ISBLANK(Values!E10),"",Values!H10)</f>
        <v/>
      </c>
      <c r="AV11" s="2" t="str">
        <f>IF(ISBLANK(Values!E10),"",IF(Values!J10,"Backlit", "Non-Backlit"))</f>
        <v/>
      </c>
      <c r="AW11"/>
      <c r="BE11" s="28" t="str">
        <f>IF(ISBLANK(Values!E10),"","Professional Audience")</f>
        <v/>
      </c>
      <c r="BF11" s="28" t="str">
        <f>IF(ISBLANK(Values!E10),"","Consumer Audience")</f>
        <v/>
      </c>
      <c r="BG11" s="28" t="str">
        <f>IF(ISBLANK(Values!E10),"","Adults")</f>
        <v/>
      </c>
      <c r="BH11" s="28"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8" t="str">
        <f>IF(ISBLANK(Values!E10),"","Parts")</f>
        <v/>
      </c>
      <c r="DP11" s="28" t="str">
        <f>IF(ISBLANK(Values!E10),"",Values!$B$31)</f>
        <v/>
      </c>
      <c r="DS11" s="32"/>
      <c r="DY11" t="str">
        <f>IF(ISBLANK(Values!$E10), "", "not_applicable")</f>
        <v/>
      </c>
      <c r="DZ11" s="32"/>
      <c r="EA11" s="32"/>
      <c r="EB11" s="32"/>
      <c r="EC11" s="32"/>
      <c r="EI11" s="2" t="str">
        <f>IF(ISBLANK(Values!E10),"",Values!$B$31)</f>
        <v/>
      </c>
      <c r="ES11" s="2" t="str">
        <f>IF(ISBLANK(Values!E10),"","Amazon Tellus UPS")</f>
        <v/>
      </c>
      <c r="EV11" s="32" t="str">
        <f>IF(ISBLANK(Values!E10),"","New")</f>
        <v/>
      </c>
      <c r="FE11" s="2" t="str">
        <f>IF(ISBLANK(Values!E10),"",IF(CO11&lt;&gt;"DEFAULT", "", 3))</f>
        <v/>
      </c>
      <c r="FH11" s="2" t="str">
        <f>IF(ISBLANK(Values!E10),"","FALSE")</f>
        <v/>
      </c>
      <c r="FI11" s="2" t="str">
        <f>IF(ISBLANK(Values!E10),"","FALSE")</f>
        <v/>
      </c>
      <c r="FJ11" s="2" t="str">
        <f>IF(ISBLANK(Values!E10),"","FALSE")</f>
        <v/>
      </c>
      <c r="FM11" s="2" t="str">
        <f>IF(ISBLANK(Values!E10),"","1")</f>
        <v/>
      </c>
      <c r="FO11" s="29"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48" x14ac:dyDescent="0.2">
      <c r="A12" s="28" t="str">
        <f>IF(ISBLANK(Values!E11),"",IF(Values!$B$37="EU","computercomponent","computer"))</f>
        <v/>
      </c>
      <c r="B12" s="39" t="str">
        <f>IF(ISBLANK(Values!E11),"",Values!F11)</f>
        <v/>
      </c>
      <c r="C12" s="33" t="str">
        <f>IF(ISBLANK(Values!E11),"","TellusRem")</f>
        <v/>
      </c>
      <c r="D12" s="31" t="str">
        <f>IF(ISBLANK(Values!E11),"",Values!E11)</f>
        <v/>
      </c>
      <c r="E12" s="32" t="str">
        <f>IF(ISBLANK(Values!E11),"","EAN")</f>
        <v/>
      </c>
      <c r="F12" s="29" t="str">
        <f>IF(ISBLANK(Values!E11),"",IF(Values!J11, SUBSTITUTE(Values!$B$1, "{language}", Values!H11) &amp; " " &amp;Values!$B$3, SUBSTITUTE(Values!$B$2, "{language}", Values!$H11) &amp; " " &amp;Values!$B$3))</f>
        <v/>
      </c>
      <c r="G12" s="33" t="str">
        <f>IF(ISBLANK(Values!E11),"","TellusRem")</f>
        <v/>
      </c>
      <c r="H12" s="28" t="str">
        <f>IF(ISBLANK(Values!E11),"",Values!$B$16)</f>
        <v/>
      </c>
      <c r="I12" s="28" t="str">
        <f>IF(ISBLANK(Values!E11),"","4730574031")</f>
        <v/>
      </c>
      <c r="J12" s="40" t="str">
        <f>IF(ISBLANK(Values!E11),"",Values!F11 )</f>
        <v/>
      </c>
      <c r="K12" s="29" t="str">
        <f>IF(ISBLANK(Values!E11),"",IF(Values!J11, Values!$B$4, Values!$B$5))</f>
        <v/>
      </c>
      <c r="L12" s="41"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
      </c>
      <c r="X12" s="33" t="str">
        <f>IF(ISBLANK(Values!E11),"",Values!$B$13)</f>
        <v/>
      </c>
      <c r="Y12" s="40" t="str">
        <f>IF(ISBLANK(Values!E11),"","Size-Color")</f>
        <v/>
      </c>
      <c r="Z12" s="33" t="str">
        <f>IF(ISBLANK(Values!E11),"","variation")</f>
        <v/>
      </c>
      <c r="AA12" s="37" t="str">
        <f>IF(ISBLANK(Values!E11),"",Values!$B$20)</f>
        <v/>
      </c>
      <c r="AB12" s="2" t="str">
        <f>IF(ISBLANK(Values!E11),"",Values!$B$29)</f>
        <v/>
      </c>
      <c r="AI12" s="42" t="str">
        <f>IF(ISBLANK(Values!E11),"",IF(Values!I11,Values!$B$23,Values!$B$33))</f>
        <v/>
      </c>
      <c r="AJ12" s="4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9" t="str">
        <f>IF(ISBLANK(Values!E11),"",Values!H11)</f>
        <v/>
      </c>
      <c r="AV12" s="2" t="str">
        <f>IF(ISBLANK(Values!E11),"",IF(Values!J11,"Backlit", "Non-Backlit"))</f>
        <v/>
      </c>
      <c r="AW12"/>
      <c r="BE12" s="28" t="str">
        <f>IF(ISBLANK(Values!E11),"","Professional Audience")</f>
        <v/>
      </c>
      <c r="BF12" s="28" t="str">
        <f>IF(ISBLANK(Values!E11),"","Consumer Audience")</f>
        <v/>
      </c>
      <c r="BG12" s="28" t="str">
        <f>IF(ISBLANK(Values!E11),"","Adults")</f>
        <v/>
      </c>
      <c r="BH12" s="28"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8" t="str">
        <f>IF(ISBLANK(Values!E11),"","Parts")</f>
        <v/>
      </c>
      <c r="DP12" s="28" t="str">
        <f>IF(ISBLANK(Values!E11),"",Values!$B$31)</f>
        <v/>
      </c>
      <c r="DS12" s="32"/>
      <c r="DY12" t="str">
        <f>IF(ISBLANK(Values!$E11), "", "not_applicable")</f>
        <v/>
      </c>
      <c r="DZ12" s="32"/>
      <c r="EA12" s="32"/>
      <c r="EB12" s="32"/>
      <c r="EC12" s="32"/>
      <c r="EI12" s="2" t="str">
        <f>IF(ISBLANK(Values!E11),"",Values!$B$31)</f>
        <v/>
      </c>
      <c r="ES12" s="2" t="str">
        <f>IF(ISBLANK(Values!E11),"","Amazon Tellus UPS")</f>
        <v/>
      </c>
      <c r="EV12" s="3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9"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48"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2"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2" t="str">
        <f>IF(ISBLANK(Values!E12),"",IF(Values!J12,"Backlit", "Non-Backlit"))</f>
        <v/>
      </c>
      <c r="AW13"/>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48"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2"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2" t="str">
        <f>IF(ISBLANK(Values!E13),"",IF(Values!J13,"Backlit", "Non-Backlit"))</f>
        <v/>
      </c>
      <c r="AW14"/>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9" t="s">
        <v>593</v>
      </c>
    </row>
    <row r="4" spans="1:2" x14ac:dyDescent="0.15">
      <c r="B4" s="49" t="s">
        <v>594</v>
      </c>
    </row>
    <row r="5" spans="1:2" x14ac:dyDescent="0.15">
      <c r="B5" s="49" t="s">
        <v>595</v>
      </c>
    </row>
    <row r="6" spans="1:2" x14ac:dyDescent="0.15">
      <c r="A6" t="s">
        <v>442</v>
      </c>
      <c r="B6" s="49" t="s">
        <v>596</v>
      </c>
    </row>
    <row r="7" spans="1:2" x14ac:dyDescent="0.15">
      <c r="B7" s="49" t="s">
        <v>597</v>
      </c>
    </row>
    <row r="8" spans="1:2" x14ac:dyDescent="0.15">
      <c r="A8" t="s">
        <v>40</v>
      </c>
      <c r="B8" s="49" t="s">
        <v>598</v>
      </c>
    </row>
    <row r="9" spans="1:2" x14ac:dyDescent="0.15">
      <c r="A9" t="s">
        <v>446</v>
      </c>
      <c r="B9" s="49" t="s">
        <v>599</v>
      </c>
    </row>
    <row r="10" spans="1:2" x14ac:dyDescent="0.15">
      <c r="B10" t="s">
        <v>600</v>
      </c>
    </row>
    <row r="11" spans="1:2" x14ac:dyDescent="0.15">
      <c r="B11" t="s">
        <v>601</v>
      </c>
    </row>
    <row r="14" spans="1:2" x14ac:dyDescent="0.15">
      <c r="B14" s="49" t="s">
        <v>602</v>
      </c>
    </row>
    <row r="20" spans="2:2" x14ac:dyDescent="0.15">
      <c r="B20" s="59" t="s">
        <v>603</v>
      </c>
    </row>
    <row r="21" spans="2:2" x14ac:dyDescent="0.15">
      <c r="B21" s="59" t="s">
        <v>604</v>
      </c>
    </row>
    <row r="22" spans="2:2" x14ac:dyDescent="0.15">
      <c r="B22" s="59" t="s">
        <v>605</v>
      </c>
    </row>
    <row r="23" spans="2:2" x14ac:dyDescent="0.15">
      <c r="B23" s="59" t="s">
        <v>610</v>
      </c>
    </row>
    <row r="24" spans="2:2" x14ac:dyDescent="0.15">
      <c r="B24" s="59" t="s">
        <v>606</v>
      </c>
    </row>
    <row r="25" spans="2:2" x14ac:dyDescent="0.15">
      <c r="B25" s="59" t="s">
        <v>611</v>
      </c>
    </row>
    <row r="26" spans="2:2" x14ac:dyDescent="0.15">
      <c r="B26" s="59" t="s">
        <v>612</v>
      </c>
    </row>
    <row r="27" spans="2:2" x14ac:dyDescent="0.15">
      <c r="B27" s="59" t="s">
        <v>613</v>
      </c>
    </row>
    <row r="28" spans="2:2" x14ac:dyDescent="0.15">
      <c r="B28" s="59" t="s">
        <v>614</v>
      </c>
    </row>
    <row r="29" spans="2:2" x14ac:dyDescent="0.15">
      <c r="B29" s="59" t="s">
        <v>607</v>
      </c>
    </row>
    <row r="30" spans="2:2" x14ac:dyDescent="0.15">
      <c r="B30" s="59" t="s">
        <v>615</v>
      </c>
    </row>
    <row r="31" spans="2:2" x14ac:dyDescent="0.15">
      <c r="B31" s="59" t="s">
        <v>608</v>
      </c>
    </row>
    <row r="32" spans="2:2" x14ac:dyDescent="0.15">
      <c r="B32" s="59" t="s">
        <v>616</v>
      </c>
    </row>
    <row r="33" spans="2:4" x14ac:dyDescent="0.15">
      <c r="B33" s="59" t="s">
        <v>617</v>
      </c>
    </row>
    <row r="34" spans="2:4" x14ac:dyDescent="0.15">
      <c r="B34" s="59" t="s">
        <v>618</v>
      </c>
      <c r="D34" s="49"/>
    </row>
    <row r="35" spans="2:4" x14ac:dyDescent="0.15">
      <c r="B35" s="59" t="s">
        <v>534</v>
      </c>
      <c r="D35" s="49"/>
    </row>
    <row r="36" spans="2:4" x14ac:dyDescent="0.15">
      <c r="B36" s="59" t="s">
        <v>609</v>
      </c>
      <c r="D36" s="49"/>
    </row>
    <row r="37" spans="2:4" x14ac:dyDescent="0.15">
      <c r="B37" s="59" t="s">
        <v>405</v>
      </c>
      <c r="D37" s="49"/>
    </row>
    <row r="38" spans="2:4" x14ac:dyDescent="0.15">
      <c r="B38" s="59" t="s">
        <v>619</v>
      </c>
      <c r="D38" s="49"/>
    </row>
    <row r="39" spans="2:4" x14ac:dyDescent="0.15">
      <c r="B39" s="59" t="s">
        <v>387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639</v>
      </c>
    </row>
    <row r="4" spans="1:2" x14ac:dyDescent="0.15">
      <c r="B4" s="49" t="s">
        <v>640</v>
      </c>
    </row>
    <row r="5" spans="1:2" x14ac:dyDescent="0.15">
      <c r="B5" s="49" t="s">
        <v>641</v>
      </c>
    </row>
    <row r="6" spans="1:2" x14ac:dyDescent="0.15">
      <c r="A6" t="s">
        <v>442</v>
      </c>
      <c r="B6" s="49" t="s">
        <v>642</v>
      </c>
    </row>
    <row r="7" spans="1:2" x14ac:dyDescent="0.15">
      <c r="B7" s="49" t="s">
        <v>643</v>
      </c>
    </row>
    <row r="8" spans="1:2" x14ac:dyDescent="0.15">
      <c r="A8" t="s">
        <v>40</v>
      </c>
      <c r="B8" s="49" t="s">
        <v>644</v>
      </c>
    </row>
    <row r="9" spans="1:2" x14ac:dyDescent="0.15">
      <c r="A9" t="s">
        <v>446</v>
      </c>
      <c r="B9" s="49" t="s">
        <v>645</v>
      </c>
    </row>
    <row r="10" spans="1:2" x14ac:dyDescent="0.15">
      <c r="B10" t="s">
        <v>646</v>
      </c>
    </row>
    <row r="11" spans="1:2" x14ac:dyDescent="0.15">
      <c r="B11" t="s">
        <v>647</v>
      </c>
    </row>
    <row r="14" spans="1:2" x14ac:dyDescent="0.15">
      <c r="B14" s="49" t="s">
        <v>648</v>
      </c>
    </row>
    <row r="20" spans="2:2" x14ac:dyDescent="0.15">
      <c r="B20" s="73" t="s">
        <v>624</v>
      </c>
    </row>
    <row r="21" spans="2:2" x14ac:dyDescent="0.15">
      <c r="B21" s="73" t="s">
        <v>625</v>
      </c>
    </row>
    <row r="22" spans="2:2" x14ac:dyDescent="0.15">
      <c r="B22" s="73" t="s">
        <v>626</v>
      </c>
    </row>
    <row r="23" spans="2:2" x14ac:dyDescent="0.15">
      <c r="B23" s="73" t="s">
        <v>627</v>
      </c>
    </row>
    <row r="24" spans="2:2" x14ac:dyDescent="0.15">
      <c r="B24" s="73" t="s">
        <v>620</v>
      </c>
    </row>
    <row r="25" spans="2:2" x14ac:dyDescent="0.15">
      <c r="B25" s="73" t="s">
        <v>621</v>
      </c>
    </row>
    <row r="26" spans="2:2" x14ac:dyDescent="0.15">
      <c r="B26" s="73" t="s">
        <v>628</v>
      </c>
    </row>
    <row r="27" spans="2:2" x14ac:dyDescent="0.15">
      <c r="B27" s="73" t="s">
        <v>629</v>
      </c>
    </row>
    <row r="28" spans="2:2" x14ac:dyDescent="0.15">
      <c r="B28" s="73" t="s">
        <v>630</v>
      </c>
    </row>
    <row r="29" spans="2:2" x14ac:dyDescent="0.15">
      <c r="B29" s="73" t="s">
        <v>631</v>
      </c>
    </row>
    <row r="30" spans="2:2" x14ac:dyDescent="0.15">
      <c r="B30" s="73" t="s">
        <v>632</v>
      </c>
    </row>
    <row r="31" spans="2:2" x14ac:dyDescent="0.15">
      <c r="B31" s="73" t="s">
        <v>633</v>
      </c>
    </row>
    <row r="32" spans="2:2" x14ac:dyDescent="0.15">
      <c r="B32" s="73" t="s">
        <v>634</v>
      </c>
    </row>
    <row r="33" spans="2:4" x14ac:dyDescent="0.15">
      <c r="B33" s="73" t="s">
        <v>622</v>
      </c>
    </row>
    <row r="34" spans="2:4" x14ac:dyDescent="0.15">
      <c r="B34" s="73" t="s">
        <v>635</v>
      </c>
      <c r="D34" s="49"/>
    </row>
    <row r="35" spans="2:4" x14ac:dyDescent="0.15">
      <c r="B35" s="73" t="s">
        <v>402</v>
      </c>
      <c r="D35" s="49"/>
    </row>
    <row r="36" spans="2:4" x14ac:dyDescent="0.15">
      <c r="B36" s="73" t="s">
        <v>636</v>
      </c>
      <c r="D36" s="49"/>
    </row>
    <row r="37" spans="2:4" x14ac:dyDescent="0.15">
      <c r="B37" s="73" t="s">
        <v>623</v>
      </c>
      <c r="D37" s="49"/>
    </row>
    <row r="38" spans="2:4" x14ac:dyDescent="0.15">
      <c r="B38" s="73" t="s">
        <v>637</v>
      </c>
      <c r="D38" s="49"/>
    </row>
    <row r="39" spans="2:4" x14ac:dyDescent="0.15">
      <c r="B39" s="73" t="s">
        <v>638</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9" t="s">
        <v>667</v>
      </c>
    </row>
    <row r="4" spans="1:2" x14ac:dyDescent="0.15">
      <c r="B4" s="49" t="s">
        <v>668</v>
      </c>
    </row>
    <row r="5" spans="1:2" x14ac:dyDescent="0.15">
      <c r="B5" s="49" t="s">
        <v>669</v>
      </c>
    </row>
    <row r="6" spans="1:2" x14ac:dyDescent="0.15">
      <c r="A6" t="s">
        <v>442</v>
      </c>
      <c r="B6" s="49" t="s">
        <v>670</v>
      </c>
    </row>
    <row r="7" spans="1:2" x14ac:dyDescent="0.15">
      <c r="B7" s="49" t="s">
        <v>671</v>
      </c>
    </row>
    <row r="8" spans="1:2" x14ac:dyDescent="0.15">
      <c r="A8" t="s">
        <v>40</v>
      </c>
      <c r="B8" s="49" t="s">
        <v>672</v>
      </c>
    </row>
    <row r="9" spans="1:2" x14ac:dyDescent="0.15">
      <c r="A9" t="s">
        <v>446</v>
      </c>
      <c r="B9" s="49" t="s">
        <v>673</v>
      </c>
    </row>
    <row r="10" spans="1:2" x14ac:dyDescent="0.15">
      <c r="B10" t="s">
        <v>674</v>
      </c>
    </row>
    <row r="11" spans="1:2" x14ac:dyDescent="0.15">
      <c r="B11" t="s">
        <v>675</v>
      </c>
    </row>
    <row r="14" spans="1:2" x14ac:dyDescent="0.15">
      <c r="B14" s="49" t="s">
        <v>676</v>
      </c>
    </row>
    <row r="20" spans="2:2" x14ac:dyDescent="0.15">
      <c r="B20" s="59" t="s">
        <v>649</v>
      </c>
    </row>
    <row r="21" spans="2:2" x14ac:dyDescent="0.15">
      <c r="B21" s="59" t="s">
        <v>650</v>
      </c>
    </row>
    <row r="22" spans="2:2" x14ac:dyDescent="0.15">
      <c r="B22" s="59" t="s">
        <v>651</v>
      </c>
    </row>
    <row r="23" spans="2:2" x14ac:dyDescent="0.15">
      <c r="B23" s="59" t="s">
        <v>652</v>
      </c>
    </row>
    <row r="24" spans="2:2" x14ac:dyDescent="0.15">
      <c r="B24" s="59" t="s">
        <v>653</v>
      </c>
    </row>
    <row r="25" spans="2:2" x14ac:dyDescent="0.15">
      <c r="B25" s="59" t="s">
        <v>654</v>
      </c>
    </row>
    <row r="26" spans="2:2" x14ac:dyDescent="0.15">
      <c r="B26" s="59" t="s">
        <v>655</v>
      </c>
    </row>
    <row r="27" spans="2:2" x14ac:dyDescent="0.15">
      <c r="B27" s="59" t="s">
        <v>656</v>
      </c>
    </row>
    <row r="28" spans="2:2" x14ac:dyDescent="0.15">
      <c r="B28" s="59" t="s">
        <v>657</v>
      </c>
    </row>
    <row r="29" spans="2:2" x14ac:dyDescent="0.15">
      <c r="B29" s="59" t="s">
        <v>658</v>
      </c>
    </row>
    <row r="30" spans="2:2" x14ac:dyDescent="0.15">
      <c r="B30" s="59" t="s">
        <v>659</v>
      </c>
    </row>
    <row r="31" spans="2:2" x14ac:dyDescent="0.15">
      <c r="B31" s="59" t="s">
        <v>660</v>
      </c>
    </row>
    <row r="32" spans="2:2" x14ac:dyDescent="0.15">
      <c r="B32" s="59" t="s">
        <v>661</v>
      </c>
    </row>
    <row r="33" spans="2:4" x14ac:dyDescent="0.15">
      <c r="B33" s="59" t="s">
        <v>662</v>
      </c>
    </row>
    <row r="34" spans="2:4" x14ac:dyDescent="0.15">
      <c r="B34" s="59" t="s">
        <v>663</v>
      </c>
      <c r="D34" s="49"/>
    </row>
    <row r="35" spans="2:4" x14ac:dyDescent="0.15">
      <c r="B35" s="59" t="s">
        <v>534</v>
      </c>
      <c r="D35" s="49"/>
    </row>
    <row r="36" spans="2:4" x14ac:dyDescent="0.15">
      <c r="B36" s="59" t="s">
        <v>664</v>
      </c>
      <c r="D36" s="49"/>
    </row>
    <row r="37" spans="2:4" x14ac:dyDescent="0.15">
      <c r="B37" s="59" t="s">
        <v>405</v>
      </c>
      <c r="D37" s="49"/>
    </row>
    <row r="38" spans="2:4" x14ac:dyDescent="0.15">
      <c r="B38" s="59" t="s">
        <v>665</v>
      </c>
      <c r="D38" s="49"/>
    </row>
    <row r="39" spans="2:4" x14ac:dyDescent="0.15">
      <c r="B39" s="59" t="s">
        <v>666</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4" sqref="B14"/>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x14ac:dyDescent="0.15">
      <c r="A4" s="46" t="s">
        <v>370</v>
      </c>
      <c r="B4" s="50">
        <v>36.799999999999997</v>
      </c>
      <c r="C4" s="51" t="b">
        <f>FALSE()</f>
        <v>0</v>
      </c>
      <c r="D4" s="51" t="b">
        <f>TRUE()</f>
        <v>1</v>
      </c>
      <c r="E4" s="52"/>
      <c r="F4" s="52"/>
      <c r="G4" s="53"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4" t="b">
        <f>TRUE()</f>
        <v>1</v>
      </c>
      <c r="J4" s="55" t="b">
        <f>FALSE()</f>
        <v>0</v>
      </c>
      <c r="K4" s="52"/>
      <c r="L4" s="56"/>
      <c r="M4" s="57" t="str">
        <f t="shared" ref="M4:M35" si="0">IF(ISBLANK(K4),"",IF(L4, "https://raw.githubusercontent.com/PatrickVibild/TellusAmazonPictures/master/pictures/"&amp;K4&amp;"/1.jpg","https://download.lenovo.com/Images/Parts/"&amp;K4&amp;"/"&amp;K4&amp;"_A.jpg"))</f>
        <v/>
      </c>
      <c r="N4" s="57" t="str">
        <f t="shared" ref="N4:N35" si="1">IF(ISBLANK(K4),"",IF(L4, "https://raw.githubusercontent.com/PatrickVibild/TellusAmazonPictures/master/pictures/"&amp;K4&amp;"/2.jpg","https://download.lenovo.com/Images/Parts/"&amp;K4&amp;"/"&amp;K4&amp;"_B.jpg"))</f>
        <v/>
      </c>
      <c r="O4" s="58"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x14ac:dyDescent="0.15">
      <c r="A5" s="46" t="s">
        <v>372</v>
      </c>
      <c r="B5" s="50">
        <v>34.99</v>
      </c>
      <c r="C5" s="51" t="b">
        <f>FALSE()</f>
        <v>0</v>
      </c>
      <c r="D5" s="51" t="b">
        <f>TRUE()</f>
        <v>1</v>
      </c>
      <c r="E5" s="52"/>
      <c r="F5" s="52"/>
      <c r="G5" s="53"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4" t="b">
        <f>TRUE()</f>
        <v>1</v>
      </c>
      <c r="J5" s="55" t="b">
        <f>FALSE()</f>
        <v>0</v>
      </c>
      <c r="K5" s="52"/>
      <c r="L5" s="56"/>
      <c r="M5" s="57" t="str">
        <f t="shared" si="0"/>
        <v/>
      </c>
      <c r="N5" s="57" t="str">
        <f t="shared" si="1"/>
        <v/>
      </c>
      <c r="O5" s="58" t="str">
        <f t="shared" si="2"/>
        <v/>
      </c>
      <c r="P5" t="str">
        <f t="shared" si="3"/>
        <v/>
      </c>
      <c r="Q5" t="str">
        <f t="shared" si="4"/>
        <v/>
      </c>
      <c r="R5" t="str">
        <f t="shared" si="5"/>
        <v/>
      </c>
      <c r="S5" t="str">
        <f t="shared" si="6"/>
        <v/>
      </c>
      <c r="T5" t="str">
        <f t="shared" si="7"/>
        <v/>
      </c>
      <c r="U5" t="str">
        <f t="shared" si="8"/>
        <v/>
      </c>
      <c r="V5" s="59">
        <f>MATCH(G5,options!$D$1:$D$20,0)</f>
        <v>2</v>
      </c>
    </row>
    <row r="6" spans="1:22" ht="14" x14ac:dyDescent="0.15">
      <c r="A6" s="46" t="s">
        <v>374</v>
      </c>
      <c r="B6" s="60" t="s">
        <v>415</v>
      </c>
      <c r="C6" s="51" t="b">
        <f>FALSE()</f>
        <v>0</v>
      </c>
      <c r="D6" s="51" t="b">
        <f>TRUE()</f>
        <v>1</v>
      </c>
      <c r="E6" s="52"/>
      <c r="F6" s="52"/>
      <c r="G6" s="53"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4" t="b">
        <f>TRUE()</f>
        <v>1</v>
      </c>
      <c r="J6" s="55" t="b">
        <f>FALSE()</f>
        <v>0</v>
      </c>
      <c r="K6" s="52"/>
      <c r="L6" s="56"/>
      <c r="M6" s="57" t="str">
        <f t="shared" si="0"/>
        <v/>
      </c>
      <c r="N6" s="57" t="str">
        <f t="shared" si="1"/>
        <v/>
      </c>
      <c r="O6" s="58" t="str">
        <f t="shared" si="2"/>
        <v/>
      </c>
      <c r="P6" t="str">
        <f t="shared" si="3"/>
        <v/>
      </c>
      <c r="Q6" t="str">
        <f t="shared" si="4"/>
        <v/>
      </c>
      <c r="R6" t="str">
        <f t="shared" si="5"/>
        <v/>
      </c>
      <c r="S6" t="str">
        <f t="shared" si="6"/>
        <v/>
      </c>
      <c r="T6" t="str">
        <f t="shared" si="7"/>
        <v/>
      </c>
      <c r="U6" t="str">
        <f t="shared" si="8"/>
        <v/>
      </c>
      <c r="V6" s="59">
        <f>MATCH(G6,options!$D$1:$D$20,0)</f>
        <v>3</v>
      </c>
    </row>
    <row r="7" spans="1:22" ht="14" x14ac:dyDescent="0.15">
      <c r="A7" s="46" t="s">
        <v>377</v>
      </c>
      <c r="B7" s="61" t="str">
        <f>IF(B6=options!C1,"32","41")</f>
        <v>32</v>
      </c>
      <c r="C7" s="51" t="b">
        <f>FALSE()</f>
        <v>0</v>
      </c>
      <c r="D7" s="51" t="b">
        <f>TRUE()</f>
        <v>1</v>
      </c>
      <c r="E7" s="52"/>
      <c r="F7" s="52"/>
      <c r="G7" s="53"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4" t="b">
        <f>TRUE()</f>
        <v>1</v>
      </c>
      <c r="J7" s="55" t="b">
        <f>FALSE()</f>
        <v>0</v>
      </c>
      <c r="K7" s="52"/>
      <c r="L7" s="56"/>
      <c r="M7" s="57" t="str">
        <f t="shared" si="0"/>
        <v/>
      </c>
      <c r="N7" s="57" t="str">
        <f t="shared" si="1"/>
        <v/>
      </c>
      <c r="O7" s="58" t="str">
        <f t="shared" si="2"/>
        <v/>
      </c>
      <c r="P7" t="str">
        <f t="shared" si="3"/>
        <v/>
      </c>
      <c r="Q7" t="str">
        <f t="shared" si="4"/>
        <v/>
      </c>
      <c r="R7" t="str">
        <f t="shared" si="5"/>
        <v/>
      </c>
      <c r="S7" t="str">
        <f t="shared" si="6"/>
        <v/>
      </c>
      <c r="T7" t="str">
        <f t="shared" si="7"/>
        <v/>
      </c>
      <c r="U7" t="str">
        <f t="shared" si="8"/>
        <v/>
      </c>
      <c r="V7" s="59">
        <f>MATCH(G7,options!$D$1:$D$20,0)</f>
        <v>4</v>
      </c>
    </row>
    <row r="8" spans="1:22" ht="14" x14ac:dyDescent="0.15">
      <c r="A8" s="46" t="s">
        <v>379</v>
      </c>
      <c r="B8" s="61" t="str">
        <f>IF(B6=options!C1,"18","17")</f>
        <v>18</v>
      </c>
      <c r="C8" s="51" t="b">
        <f>FALSE()</f>
        <v>0</v>
      </c>
      <c r="D8" s="51" t="b">
        <f>TRUE()</f>
        <v>1</v>
      </c>
      <c r="E8" s="52"/>
      <c r="F8" s="52"/>
      <c r="G8" s="53"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4" t="b">
        <f>TRUE()</f>
        <v>1</v>
      </c>
      <c r="J8" s="55" t="b">
        <f>FALSE()</f>
        <v>0</v>
      </c>
      <c r="K8" s="52"/>
      <c r="L8" s="56"/>
      <c r="M8" s="57" t="str">
        <f t="shared" si="0"/>
        <v/>
      </c>
      <c r="N8" s="57" t="str">
        <f t="shared" si="1"/>
        <v/>
      </c>
      <c r="O8" s="58" t="str">
        <f t="shared" si="2"/>
        <v/>
      </c>
      <c r="P8" t="str">
        <f t="shared" si="3"/>
        <v/>
      </c>
      <c r="Q8" t="str">
        <f t="shared" si="4"/>
        <v/>
      </c>
      <c r="R8" t="str">
        <f t="shared" si="5"/>
        <v/>
      </c>
      <c r="S8" t="str">
        <f t="shared" si="6"/>
        <v/>
      </c>
      <c r="T8" t="str">
        <f t="shared" si="7"/>
        <v/>
      </c>
      <c r="U8" t="str">
        <f t="shared" si="8"/>
        <v/>
      </c>
      <c r="V8" s="59">
        <f>MATCH(G8,options!$D$1:$D$20,0)</f>
        <v>5</v>
      </c>
    </row>
    <row r="9" spans="1:22" ht="14" x14ac:dyDescent="0.15">
      <c r="A9" s="46" t="s">
        <v>381</v>
      </c>
      <c r="B9" s="61" t="str">
        <f>IF(B6=options!C1,"2","5")</f>
        <v>2</v>
      </c>
      <c r="C9" s="51" t="b">
        <f>FALSE()</f>
        <v>0</v>
      </c>
      <c r="D9" s="51" t="b">
        <f>TRUE()</f>
        <v>1</v>
      </c>
      <c r="E9" s="52"/>
      <c r="F9" s="52"/>
      <c r="G9" s="53"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4" t="b">
        <f>TRUE()</f>
        <v>1</v>
      </c>
      <c r="J9" s="55" t="b">
        <f>FALSE()</f>
        <v>0</v>
      </c>
      <c r="K9" s="52"/>
      <c r="L9" s="56"/>
      <c r="M9" s="57" t="str">
        <f t="shared" si="0"/>
        <v/>
      </c>
      <c r="N9" s="57" t="str">
        <f t="shared" si="1"/>
        <v/>
      </c>
      <c r="O9" s="58" t="str">
        <f t="shared" si="2"/>
        <v/>
      </c>
      <c r="P9" t="str">
        <f t="shared" si="3"/>
        <v/>
      </c>
      <c r="Q9" t="str">
        <f t="shared" si="4"/>
        <v/>
      </c>
      <c r="R9" t="str">
        <f t="shared" si="5"/>
        <v/>
      </c>
      <c r="S9" t="str">
        <f t="shared" si="6"/>
        <v/>
      </c>
      <c r="T9" t="str">
        <f t="shared" si="7"/>
        <v/>
      </c>
      <c r="U9" t="str">
        <f t="shared" si="8"/>
        <v/>
      </c>
      <c r="V9" s="59">
        <f>MATCH(G9,options!$D$1:$D$20,0)</f>
        <v>6</v>
      </c>
    </row>
    <row r="10" spans="1:22" x14ac:dyDescent="0.15">
      <c r="A10" t="s">
        <v>383</v>
      </c>
      <c r="B10" s="62"/>
      <c r="C10" s="51" t="b">
        <f>FALSE()</f>
        <v>0</v>
      </c>
      <c r="D10" s="51" t="b">
        <f>FALSE()</f>
        <v>0</v>
      </c>
      <c r="E10" s="52"/>
      <c r="F10" s="52"/>
      <c r="G10" s="53"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4" t="b">
        <f>TRUE()</f>
        <v>1</v>
      </c>
      <c r="J10" s="55" t="b">
        <f>FALSE()</f>
        <v>0</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x14ac:dyDescent="0.15">
      <c r="A11" s="46" t="s">
        <v>385</v>
      </c>
      <c r="B11" s="63">
        <v>150</v>
      </c>
      <c r="C11" s="51" t="b">
        <f>FALSE()</f>
        <v>0</v>
      </c>
      <c r="D11" s="51" t="b">
        <f>FALSE()</f>
        <v>0</v>
      </c>
      <c r="E11" s="52"/>
      <c r="F11" s="52"/>
      <c r="G11" s="53"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4" t="b">
        <f>TRUE()</f>
        <v>1</v>
      </c>
      <c r="J11" s="55" t="b">
        <f>FALSE()</f>
        <v>0</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x14ac:dyDescent="0.15">
      <c r="B12" s="62"/>
      <c r="C12" s="51" t="b">
        <f>FALSE()</f>
        <v>0</v>
      </c>
      <c r="D12" s="51" t="b">
        <f>FALSE()</f>
        <v>0</v>
      </c>
      <c r="E12" s="52"/>
      <c r="F12" s="52"/>
      <c r="G12" s="53"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4" t="b">
        <f>TRUE()</f>
        <v>1</v>
      </c>
      <c r="J12" s="55" t="b">
        <f>FALSE()</f>
        <v>0</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20</v>
      </c>
    </row>
    <row r="13" spans="1:22" x14ac:dyDescent="0.15">
      <c r="A13" s="46" t="s">
        <v>388</v>
      </c>
      <c r="B13" s="52"/>
      <c r="C13" s="51" t="b">
        <f>FALSE()</f>
        <v>0</v>
      </c>
      <c r="D13" s="51" t="b">
        <f>FALSE()</f>
        <v>0</v>
      </c>
      <c r="E13" s="52"/>
      <c r="F13" s="52"/>
      <c r="G13" s="53"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4" t="b">
        <f>TRUE()</f>
        <v>1</v>
      </c>
      <c r="J13" s="55" t="b">
        <f>FALSE()</f>
        <v>0</v>
      </c>
      <c r="K13" s="52"/>
      <c r="L13" s="56"/>
      <c r="M13" s="57" t="str">
        <f t="shared" si="0"/>
        <v/>
      </c>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9</v>
      </c>
    </row>
    <row r="14" spans="1:22" x14ac:dyDescent="0.15">
      <c r="A14" s="46" t="s">
        <v>390</v>
      </c>
      <c r="B14" s="52"/>
      <c r="C14" s="51" t="b">
        <f>FALSE()</f>
        <v>0</v>
      </c>
      <c r="D14" s="51" t="b">
        <f>FALSE()</f>
        <v>0</v>
      </c>
      <c r="E14" s="52"/>
      <c r="F14" s="52"/>
      <c r="G14" s="53"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393</v>
      </c>
      <c r="B16" s="72" t="s">
        <v>590</v>
      </c>
      <c r="C16" s="51" t="b">
        <f>FALSE()</f>
        <v>0</v>
      </c>
      <c r="D16" s="51" t="b">
        <f>FALSE()</f>
        <v>0</v>
      </c>
      <c r="E16" s="52"/>
      <c r="F16" s="52"/>
      <c r="G16" s="53"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396</v>
      </c>
      <c r="B18" s="63">
        <v>5</v>
      </c>
      <c r="C18" s="51" t="b">
        <f>FALSE()</f>
        <v>0</v>
      </c>
      <c r="D18" s="51" t="b">
        <f>FALSE()</f>
        <v>0</v>
      </c>
      <c r="E18" s="52"/>
      <c r="F18" s="52"/>
      <c r="G18" s="53"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399</v>
      </c>
      <c r="B20" s="64" t="s">
        <v>400</v>
      </c>
      <c r="C20" s="51" t="b">
        <f>FALSE()</f>
        <v>0</v>
      </c>
      <c r="D20" s="51" t="b">
        <f>FALSE()</f>
        <v>0</v>
      </c>
      <c r="E20" s="52"/>
      <c r="F20" s="52"/>
      <c r="G20" s="53"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404</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1" t="b">
        <f>TRUE()</f>
        <v>1</v>
      </c>
      <c r="D23" s="51" t="b">
        <f>FALSE()</f>
        <v>0</v>
      </c>
      <c r="E23" s="52"/>
      <c r="F23" s="52"/>
      <c r="G23" s="53"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406</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c r="D24" s="51"/>
      <c r="E24" s="52"/>
      <c r="F24" s="52"/>
      <c r="G24" s="53"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407</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1"/>
      <c r="D25" s="51"/>
      <c r="E25" s="52"/>
      <c r="F25" s="52"/>
      <c r="G25" s="53"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408</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1"/>
      <c r="D26" s="51"/>
      <c r="E26" s="52"/>
      <c r="F26" s="52"/>
      <c r="G26" s="53"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407</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1"/>
      <c r="D27" s="51"/>
      <c r="E27" s="52"/>
      <c r="F27" s="52"/>
      <c r="G27" s="53"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409</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c r="D29" s="51"/>
      <c r="E29" s="52"/>
      <c r="F29" s="52"/>
      <c r="G29" s="53"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410</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1"/>
      <c r="D31" s="51"/>
      <c r="E31" s="52"/>
      <c r="F31" s="52"/>
      <c r="G31" s="53"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411</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1"/>
      <c r="D33" s="51"/>
      <c r="E33" s="52"/>
      <c r="F33" s="52"/>
      <c r="G33" s="53"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412</v>
      </c>
      <c r="B36" s="64" t="s">
        <v>378</v>
      </c>
      <c r="C36" s="51"/>
      <c r="D36" s="51"/>
      <c r="E36" s="52"/>
      <c r="F36" s="52"/>
      <c r="G36" s="53"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414</v>
      </c>
      <c r="B37" s="64" t="s">
        <v>417</v>
      </c>
      <c r="C37" s="51"/>
      <c r="D37" s="51"/>
      <c r="E37" s="52"/>
      <c r="F37" s="52"/>
      <c r="G37" s="53"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51" t="b">
        <f>TRUE()</f>
        <v>1</v>
      </c>
      <c r="C1" t="s">
        <v>415</v>
      </c>
      <c r="D1" s="53" t="s">
        <v>371</v>
      </c>
      <c r="E1" t="s">
        <v>416</v>
      </c>
      <c r="F1" t="s">
        <v>413</v>
      </c>
      <c r="G1" t="s">
        <v>417</v>
      </c>
    </row>
    <row r="2" spans="1:7" x14ac:dyDescent="0.15">
      <c r="A2" t="s">
        <v>418</v>
      </c>
      <c r="B2" s="51" t="b">
        <f>FALSE()</f>
        <v>0</v>
      </c>
      <c r="C2" t="s">
        <v>375</v>
      </c>
      <c r="D2" s="53" t="s">
        <v>373</v>
      </c>
      <c r="E2" t="s">
        <v>419</v>
      </c>
      <c r="F2" t="s">
        <v>373</v>
      </c>
      <c r="G2" t="s">
        <v>405</v>
      </c>
    </row>
    <row r="3" spans="1:7" x14ac:dyDescent="0.15">
      <c r="A3" t="s">
        <v>420</v>
      </c>
      <c r="D3" s="53" t="s">
        <v>376</v>
      </c>
      <c r="E3" t="s">
        <v>421</v>
      </c>
      <c r="F3" t="s">
        <v>371</v>
      </c>
    </row>
    <row r="4" spans="1:7" x14ac:dyDescent="0.15">
      <c r="D4" s="53" t="s">
        <v>378</v>
      </c>
      <c r="E4" t="s">
        <v>422</v>
      </c>
      <c r="F4" t="s">
        <v>376</v>
      </c>
    </row>
    <row r="5" spans="1:7" x14ac:dyDescent="0.15">
      <c r="D5" s="53" t="s">
        <v>380</v>
      </c>
      <c r="E5" t="s">
        <v>423</v>
      </c>
      <c r="F5" t="s">
        <v>378</v>
      </c>
    </row>
    <row r="6" spans="1:7" x14ac:dyDescent="0.15">
      <c r="D6" s="53" t="s">
        <v>382</v>
      </c>
      <c r="E6" t="s">
        <v>424</v>
      </c>
      <c r="F6" t="s">
        <v>392</v>
      </c>
    </row>
    <row r="7" spans="1:7" x14ac:dyDescent="0.15">
      <c r="D7" s="53" t="s">
        <v>384</v>
      </c>
      <c r="E7" t="s">
        <v>425</v>
      </c>
      <c r="F7" t="s">
        <v>395</v>
      </c>
    </row>
    <row r="8" spans="1:7" x14ac:dyDescent="0.15">
      <c r="D8" s="53" t="s">
        <v>386</v>
      </c>
      <c r="E8" t="s">
        <v>426</v>
      </c>
      <c r="F8" t="s">
        <v>591</v>
      </c>
    </row>
    <row r="9" spans="1:7" x14ac:dyDescent="0.15">
      <c r="D9" s="53" t="s">
        <v>389</v>
      </c>
      <c r="E9" t="s">
        <v>427</v>
      </c>
      <c r="F9" t="s">
        <v>592</v>
      </c>
    </row>
    <row r="10" spans="1:7" x14ac:dyDescent="0.15">
      <c r="D10" s="53" t="s">
        <v>392</v>
      </c>
      <c r="E10" t="s">
        <v>428</v>
      </c>
    </row>
    <row r="11" spans="1:7" x14ac:dyDescent="0.15">
      <c r="D11" s="53" t="s">
        <v>394</v>
      </c>
      <c r="E11" t="s">
        <v>429</v>
      </c>
    </row>
    <row r="12" spans="1:7" x14ac:dyDescent="0.15">
      <c r="D12" s="53" t="s">
        <v>395</v>
      </c>
      <c r="E12" t="s">
        <v>430</v>
      </c>
    </row>
    <row r="13" spans="1:7" x14ac:dyDescent="0.15">
      <c r="D13" s="53" t="s">
        <v>397</v>
      </c>
      <c r="E13" t="s">
        <v>431</v>
      </c>
    </row>
    <row r="14" spans="1:7" x14ac:dyDescent="0.15">
      <c r="D14" s="53" t="s">
        <v>398</v>
      </c>
      <c r="E14" t="s">
        <v>432</v>
      </c>
    </row>
    <row r="15" spans="1:7" x14ac:dyDescent="0.15">
      <c r="D15" s="53" t="s">
        <v>401</v>
      </c>
      <c r="E15" t="s">
        <v>433</v>
      </c>
    </row>
    <row r="16" spans="1:7" x14ac:dyDescent="0.15">
      <c r="D16" s="53" t="s">
        <v>402</v>
      </c>
      <c r="E16" s="69" t="s">
        <v>434</v>
      </c>
    </row>
    <row r="17" spans="4:5" x14ac:dyDescent="0.15">
      <c r="D17" s="53" t="s">
        <v>403</v>
      </c>
      <c r="E17" t="s">
        <v>435</v>
      </c>
    </row>
    <row r="18" spans="4:5" x14ac:dyDescent="0.15">
      <c r="D18" s="53" t="s">
        <v>405</v>
      </c>
      <c r="E18" t="s">
        <v>436</v>
      </c>
    </row>
    <row r="19" spans="4:5" x14ac:dyDescent="0.15">
      <c r="D19" s="53" t="s">
        <v>391</v>
      </c>
      <c r="E19" t="s">
        <v>437</v>
      </c>
    </row>
    <row r="20" spans="4:5" x14ac:dyDescent="0.15">
      <c r="D20" s="53" t="s">
        <v>387</v>
      </c>
      <c r="E20" t="s">
        <v>438</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9" t="s">
        <v>439</v>
      </c>
    </row>
    <row r="4" spans="1:2" x14ac:dyDescent="0.15">
      <c r="B4" s="49" t="s">
        <v>440</v>
      </c>
    </row>
    <row r="5" spans="1:2" x14ac:dyDescent="0.15">
      <c r="B5" s="49" t="s">
        <v>441</v>
      </c>
    </row>
    <row r="6" spans="1:2" x14ac:dyDescent="0.15">
      <c r="A6" t="s">
        <v>442</v>
      </c>
      <c r="B6" s="49" t="s">
        <v>443</v>
      </c>
    </row>
    <row r="7" spans="1:2" x14ac:dyDescent="0.15">
      <c r="B7" s="49" t="s">
        <v>444</v>
      </c>
    </row>
    <row r="8" spans="1:2" x14ac:dyDescent="0.15">
      <c r="A8" t="s">
        <v>40</v>
      </c>
      <c r="B8" s="49" t="s">
        <v>445</v>
      </c>
    </row>
    <row r="9" spans="1:2" x14ac:dyDescent="0.15">
      <c r="A9" t="s">
        <v>446</v>
      </c>
      <c r="B9" s="49" t="s">
        <v>447</v>
      </c>
    </row>
    <row r="10" spans="1:2" x14ac:dyDescent="0.15">
      <c r="B10" t="s">
        <v>448</v>
      </c>
    </row>
    <row r="11" spans="1:2" x14ac:dyDescent="0.15">
      <c r="B11" t="s">
        <v>449</v>
      </c>
    </row>
    <row r="14" spans="1:2" x14ac:dyDescent="0.15">
      <c r="B14" s="49" t="s">
        <v>450</v>
      </c>
    </row>
    <row r="20" spans="2:2" x14ac:dyDescent="0.15">
      <c r="B20" s="53" t="s">
        <v>371</v>
      </c>
    </row>
    <row r="21" spans="2:2" x14ac:dyDescent="0.15">
      <c r="B21" s="53" t="s">
        <v>373</v>
      </c>
    </row>
    <row r="22" spans="2:2" x14ac:dyDescent="0.15">
      <c r="B22" s="53" t="s">
        <v>376</v>
      </c>
    </row>
    <row r="23" spans="2:2" x14ac:dyDescent="0.15">
      <c r="B23" s="53" t="s">
        <v>378</v>
      </c>
    </row>
    <row r="24" spans="2:2" x14ac:dyDescent="0.15">
      <c r="B24" s="53" t="s">
        <v>380</v>
      </c>
    </row>
    <row r="25" spans="2:2" x14ac:dyDescent="0.15">
      <c r="B25" s="53" t="s">
        <v>382</v>
      </c>
    </row>
    <row r="26" spans="2:2" x14ac:dyDescent="0.15">
      <c r="B26" s="53" t="s">
        <v>384</v>
      </c>
    </row>
    <row r="27" spans="2:2" x14ac:dyDescent="0.15">
      <c r="B27" s="53" t="s">
        <v>386</v>
      </c>
    </row>
    <row r="28" spans="2:2" x14ac:dyDescent="0.15">
      <c r="B28" s="53" t="s">
        <v>389</v>
      </c>
    </row>
    <row r="29" spans="2:2" x14ac:dyDescent="0.15">
      <c r="B29" s="53" t="s">
        <v>392</v>
      </c>
    </row>
    <row r="30" spans="2:2" x14ac:dyDescent="0.15">
      <c r="B30" s="53" t="s">
        <v>394</v>
      </c>
    </row>
    <row r="31" spans="2:2" x14ac:dyDescent="0.15">
      <c r="B31" s="53" t="s">
        <v>395</v>
      </c>
    </row>
    <row r="32" spans="2:2" x14ac:dyDescent="0.15">
      <c r="B32" s="53" t="s">
        <v>397</v>
      </c>
    </row>
    <row r="33" spans="2:4" x14ac:dyDescent="0.15">
      <c r="B33" s="53" t="s">
        <v>398</v>
      </c>
    </row>
    <row r="34" spans="2:4" x14ac:dyDescent="0.15">
      <c r="B34" s="53" t="s">
        <v>401</v>
      </c>
      <c r="D34" s="49"/>
    </row>
    <row r="35" spans="2:4" x14ac:dyDescent="0.15">
      <c r="B35" s="53" t="s">
        <v>402</v>
      </c>
      <c r="D35" s="49"/>
    </row>
    <row r="36" spans="2:4" x14ac:dyDescent="0.15">
      <c r="B36" s="53" t="s">
        <v>403</v>
      </c>
      <c r="D36" s="49"/>
    </row>
    <row r="37" spans="2:4" x14ac:dyDescent="0.15">
      <c r="B37" s="53" t="s">
        <v>405</v>
      </c>
      <c r="D37" s="49"/>
    </row>
    <row r="38" spans="2:4" x14ac:dyDescent="0.15">
      <c r="B38" s="53" t="s">
        <v>391</v>
      </c>
      <c r="D38" s="49"/>
    </row>
    <row r="39" spans="2:4" x14ac:dyDescent="0.15">
      <c r="B39" s="53" t="s">
        <v>387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378</v>
      </c>
    </row>
    <row r="3" spans="1:2" x14ac:dyDescent="0.15">
      <c r="B3" s="49" t="s">
        <v>481</v>
      </c>
    </row>
    <row r="4" spans="1:2" x14ac:dyDescent="0.15">
      <c r="B4" s="49" t="s">
        <v>482</v>
      </c>
    </row>
    <row r="5" spans="1:2" x14ac:dyDescent="0.15">
      <c r="B5" s="49" t="s">
        <v>483</v>
      </c>
    </row>
    <row r="6" spans="1:2" x14ac:dyDescent="0.15">
      <c r="B6" s="49" t="s">
        <v>484</v>
      </c>
    </row>
    <row r="7" spans="1:2" x14ac:dyDescent="0.15">
      <c r="B7" s="49" t="s">
        <v>485</v>
      </c>
    </row>
    <row r="8" spans="1:2" x14ac:dyDescent="0.15">
      <c r="A8" t="s">
        <v>456</v>
      </c>
      <c r="B8" s="49" t="s">
        <v>486</v>
      </c>
    </row>
    <row r="9" spans="1:2" x14ac:dyDescent="0.15">
      <c r="A9" t="s">
        <v>458</v>
      </c>
      <c r="B9" s="49" t="s">
        <v>487</v>
      </c>
    </row>
    <row r="10" spans="1:2" x14ac:dyDescent="0.15">
      <c r="B10" s="49" t="s">
        <v>488</v>
      </c>
    </row>
    <row r="11" spans="1:2" x14ac:dyDescent="0.15">
      <c r="B11" s="49" t="s">
        <v>489</v>
      </c>
    </row>
    <row r="12" spans="1:2" x14ac:dyDescent="0.15">
      <c r="B12" s="49"/>
    </row>
    <row r="13" spans="1:2" x14ac:dyDescent="0.15">
      <c r="B13" s="49"/>
    </row>
    <row r="14" spans="1:2" x14ac:dyDescent="0.15">
      <c r="B14" s="49" t="s">
        <v>490</v>
      </c>
    </row>
    <row r="15" spans="1:2" x14ac:dyDescent="0.15">
      <c r="B15" s="49"/>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70" t="s">
        <v>515</v>
      </c>
    </row>
    <row r="9" spans="2:2" x14ac:dyDescent="0.15">
      <c r="B9" t="s">
        <v>516</v>
      </c>
    </row>
    <row r="10" spans="2:2" x14ac:dyDescent="0.15">
      <c r="B10" s="49" t="s">
        <v>517</v>
      </c>
    </row>
    <row r="11" spans="2:2" x14ac:dyDescent="0.15">
      <c r="B11" s="49"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70" t="s">
        <v>538</v>
      </c>
    </row>
    <row r="4" spans="2:2" ht="16" x14ac:dyDescent="0.2">
      <c r="B4" s="70" t="s">
        <v>539</v>
      </c>
    </row>
    <row r="5" spans="2:2" x14ac:dyDescent="0.15">
      <c r="B5" t="s">
        <v>540</v>
      </c>
    </row>
    <row r="6" spans="2:2" ht="16" x14ac:dyDescent="0.2">
      <c r="B6" s="70" t="s">
        <v>541</v>
      </c>
    </row>
    <row r="7" spans="2:2" ht="16" x14ac:dyDescent="0.2">
      <c r="B7" s="70" t="s">
        <v>542</v>
      </c>
    </row>
    <row r="8" spans="2:2" x14ac:dyDescent="0.15">
      <c r="B8" t="s">
        <v>543</v>
      </c>
    </row>
    <row r="9" spans="2:2" x14ac:dyDescent="0.15">
      <c r="B9" s="71" t="s">
        <v>544</v>
      </c>
    </row>
    <row r="10" spans="2:2" x14ac:dyDescent="0.15">
      <c r="B10" t="s">
        <v>545</v>
      </c>
    </row>
    <row r="11" spans="2:2" x14ac:dyDescent="0.15">
      <c r="B11" t="s">
        <v>546</v>
      </c>
    </row>
    <row r="14" spans="2:2" ht="16" x14ac:dyDescent="0.2">
      <c r="B14" s="70"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2022-07-31T19:21:09Z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