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uliana\Documents\Columbia\Climate and Society\Quant\Final Project\Data\"/>
    </mc:Choice>
  </mc:AlternateContent>
  <xr:revisionPtr revIDLastSave="0" documentId="13_ncr:1_{25192F7B-82F6-4853-9BB6-0A42FD0FB7C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EM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1" i="2" l="1"/>
  <c r="F62" i="2"/>
  <c r="F60" i="2"/>
  <c r="C62" i="2"/>
  <c r="D62" i="2" s="1"/>
  <c r="C61" i="2"/>
  <c r="D61" i="2" s="1"/>
  <c r="C60" i="2"/>
  <c r="D60" i="2" s="1"/>
  <c r="D55" i="2" l="1"/>
  <c r="E55" i="2"/>
  <c r="D56" i="2"/>
  <c r="E56" i="2"/>
  <c r="D57" i="2"/>
  <c r="E57" i="2"/>
  <c r="C56" i="2"/>
  <c r="C57" i="2"/>
  <c r="C55" i="2"/>
  <c r="B57" i="2"/>
  <c r="B56" i="2"/>
  <c r="B55" i="2"/>
  <c r="B62" i="2"/>
  <c r="B61" i="2"/>
  <c r="B60" i="2"/>
  <c r="B51" i="2"/>
  <c r="B50" i="2"/>
  <c r="B49" i="2"/>
  <c r="B44" i="2" l="1"/>
  <c r="B43" i="2"/>
  <c r="B42" i="2"/>
  <c r="B38" i="2"/>
  <c r="B37" i="2"/>
  <c r="B36" i="2"/>
  <c r="B28" i="2"/>
  <c r="B27" i="2"/>
  <c r="B26" i="2"/>
  <c r="B23" i="2"/>
  <c r="B22" i="2"/>
  <c r="B21" i="2"/>
  <c r="D17" i="2"/>
  <c r="E17" i="2" s="1"/>
  <c r="E23" i="2" s="1"/>
  <c r="B17" i="2"/>
  <c r="D16" i="2"/>
  <c r="E16" i="2" s="1"/>
  <c r="E22" i="2" s="1"/>
  <c r="B16" i="2"/>
  <c r="D15" i="2"/>
  <c r="E15" i="2" s="1"/>
  <c r="E21" i="2" s="1"/>
  <c r="B15" i="2"/>
  <c r="D12" i="2"/>
  <c r="E12" i="2" s="1"/>
  <c r="D23" i="2" s="1"/>
  <c r="B12" i="2"/>
  <c r="D11" i="2"/>
  <c r="E11" i="2" s="1"/>
  <c r="D22" i="2" s="1"/>
  <c r="B11" i="2"/>
  <c r="D10" i="2"/>
  <c r="E10" i="2" s="1"/>
  <c r="D21" i="2" s="1"/>
  <c r="B10" i="2"/>
  <c r="E7" i="2"/>
  <c r="C23" i="2" s="1"/>
  <c r="B7" i="2"/>
  <c r="E6" i="2"/>
  <c r="C22" i="2" s="1"/>
  <c r="B6" i="2"/>
  <c r="H5" i="2"/>
  <c r="E5" i="2"/>
  <c r="C21" i="2" s="1"/>
  <c r="B5" i="2"/>
  <c r="H4" i="2"/>
  <c r="H3" i="2"/>
  <c r="D37" i="2" l="1"/>
  <c r="D43" i="2" s="1"/>
  <c r="D38" i="2"/>
  <c r="D44" i="2" s="1"/>
  <c r="C36" i="2"/>
  <c r="C42" i="2" s="1"/>
  <c r="C27" i="2"/>
  <c r="E36" i="2"/>
  <c r="E42" i="2" s="1"/>
  <c r="E37" i="2"/>
  <c r="E43" i="2" s="1"/>
  <c r="D36" i="2"/>
  <c r="D42" i="2" s="1"/>
  <c r="E38" i="2"/>
  <c r="E44" i="2" s="1"/>
  <c r="C28" i="2"/>
  <c r="C37" i="2"/>
  <c r="C43" i="2" s="1"/>
  <c r="C38" i="2"/>
  <c r="C44" i="2" s="1"/>
  <c r="C26" i="2"/>
  <c r="F42" i="2" l="1"/>
  <c r="F43" i="2"/>
  <c r="F44" i="2" s="1"/>
</calcChain>
</file>

<file path=xl/sharedStrings.xml><?xml version="1.0" encoding="utf-8"?>
<sst xmlns="http://schemas.openxmlformats.org/spreadsheetml/2006/main" count="229" uniqueCount="82">
  <si>
    <t>LINEAR REGRESSION - SKIERS~MAXTEMP+ENSO</t>
  </si>
  <si>
    <t>Station 1: CHECKED</t>
  </si>
  <si>
    <t>Resort</t>
  </si>
  <si>
    <t>Season pass cost</t>
  </si>
  <si>
    <t>Station 2: CHECKED</t>
  </si>
  <si>
    <t>Station 3: CHECKED</t>
  </si>
  <si>
    <t>Actual costs</t>
  </si>
  <si>
    <t>State</t>
  </si>
  <si>
    <t>Climatology</t>
  </si>
  <si>
    <t>New York</t>
  </si>
  <si>
    <t>Pennsylvania</t>
  </si>
  <si>
    <t>Massachusetts</t>
  </si>
  <si>
    <t>Bellyeare Mountain</t>
  </si>
  <si>
    <t>Elk Mountain</t>
  </si>
  <si>
    <t>Temperature</t>
  </si>
  <si>
    <t>Projected Visitors</t>
  </si>
  <si>
    <t xml:space="preserve">Jiminy Peak </t>
  </si>
  <si>
    <t>Capacity</t>
  </si>
  <si>
    <t>10980 skiers, per hour</t>
  </si>
  <si>
    <t xml:space="preserve">5400 skiers per hour </t>
  </si>
  <si>
    <t>Base Elevation</t>
  </si>
  <si>
    <t>2024 ft</t>
  </si>
  <si>
    <t>1742 ft</t>
  </si>
  <si>
    <t>1245 ft</t>
  </si>
  <si>
    <t>Station</t>
  </si>
  <si>
    <t>Emmons NY</t>
  </si>
  <si>
    <t>Pleasant Mountain PA</t>
  </si>
  <si>
    <t>Albany NY</t>
  </si>
  <si>
    <t>Mean tendencies</t>
  </si>
  <si>
    <t>People</t>
  </si>
  <si>
    <t>Max Temp</t>
  </si>
  <si>
    <t>Min Temp</t>
  </si>
  <si>
    <t>Skiers</t>
  </si>
  <si>
    <t>Snow</t>
  </si>
  <si>
    <t>percentage of season passes</t>
  </si>
  <si>
    <t>Snow correlations</t>
  </si>
  <si>
    <t>Skiers (millions)</t>
  </si>
  <si>
    <t>2050 - 1.5° warming</t>
  </si>
  <si>
    <t>ENSO Index</t>
  </si>
  <si>
    <t>Probability</t>
  </si>
  <si>
    <t>MaxTemp correlations</t>
  </si>
  <si>
    <t>Trend</t>
  </si>
  <si>
    <t>Skiers (million)</t>
  </si>
  <si>
    <t>Regression: Snow~MaxTemp</t>
  </si>
  <si>
    <t>1.5 Degrees</t>
  </si>
  <si>
    <t xml:space="preserve">Coefficient </t>
  </si>
  <si>
    <t>SE Coefficient</t>
  </si>
  <si>
    <t>SE Coeffcient</t>
  </si>
  <si>
    <t>Intercept</t>
  </si>
  <si>
    <t>2 Degrees</t>
  </si>
  <si>
    <t xml:space="preserve">Multiple R2 </t>
  </si>
  <si>
    <t>Adjusted R2</t>
  </si>
  <si>
    <t>P-value</t>
  </si>
  <si>
    <t>2050 - 2° warming</t>
  </si>
  <si>
    <t>Regression: Skiers~MaxTemp</t>
  </si>
  <si>
    <t xml:space="preserve"> M Regression: Snow~MaxTemp+ENSO index</t>
  </si>
  <si>
    <t>Coefficient MaxTemp</t>
  </si>
  <si>
    <t>SE MaxTemp</t>
  </si>
  <si>
    <t>Uncertain states of nature</t>
  </si>
  <si>
    <t>Coefficient ENSO</t>
  </si>
  <si>
    <t>SE ENSO index</t>
  </si>
  <si>
    <t>1.5 Degrees Warming</t>
  </si>
  <si>
    <t>2 Degrees Warming</t>
  </si>
  <si>
    <t>Elements for decision making</t>
  </si>
  <si>
    <t xml:space="preserve">Decision: </t>
  </si>
  <si>
    <t>Signing a 30 year deal with a ski resort to seal season passes</t>
  </si>
  <si>
    <t>Alternative actions</t>
  </si>
  <si>
    <t>Which of the resorts depending of the temperature scenario</t>
  </si>
  <si>
    <t>Decision Maker</t>
  </si>
  <si>
    <t>Where Bill works (Get out and trek)</t>
  </si>
  <si>
    <t>Rule out making snow</t>
  </si>
  <si>
    <t>Current trend, 1.5°C  increase, 2°C increase</t>
  </si>
  <si>
    <t>Shift temperature in 2050</t>
  </si>
  <si>
    <t xml:space="preserve">Ski pass value: </t>
  </si>
  <si>
    <t>Current</t>
  </si>
  <si>
    <t>EMV</t>
  </si>
  <si>
    <t>Value</t>
  </si>
  <si>
    <t>Number of skiers per state</t>
  </si>
  <si>
    <t>Find this and do the relationship with snow-depth</t>
  </si>
  <si>
    <t>- Utility function</t>
  </si>
  <si>
    <t>- Calling for the season pass percentage</t>
  </si>
  <si>
    <t xml:space="preserve">- Percentage of snow decrease according to our regression with Snow ~Temperature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</si>
</sst>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Barlow"/>
      <family val="3"/>
    </font>
    <font>
      <b/>
      <sz val="11"/>
      <color theme="1"/>
      <name val="Barlow"/>
      <family val="3"/>
    </font>
    <font>
      <sz val="11"/>
      <name val="Barlow"/>
      <family val="3"/>
    </font>
    <font>
      <sz val="11"/>
      <color theme="1"/>
      <name val="Barlow"/>
      <family val="3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0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/>
    <xf numFmtId="4" fontId="3" fillId="0" borderId="0" xfId="0" applyNumberFormat="1" applyFont="1" applyAlignment="1">
      <alignment horizontal="center"/>
    </xf>
    <xf numFmtId="0" fontId="3" fillId="0" borderId="21" xfId="0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5" xfId="0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9" fontId="3" fillId="0" borderId="2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9" fontId="3" fillId="0" borderId="14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8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4" fontId="3" fillId="0" borderId="29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15" xfId="0" applyFont="1" applyBorder="1" applyAlignment="1"/>
    <xf numFmtId="164" fontId="3" fillId="0" borderId="14" xfId="0" applyNumberFormat="1" applyFont="1" applyBorder="1" applyAlignment="1">
      <alignment horizontal="center"/>
    </xf>
    <xf numFmtId="0" fontId="1" fillId="0" borderId="20" xfId="0" applyFont="1" applyBorder="1" applyAlignment="1"/>
    <xf numFmtId="164" fontId="3" fillId="0" borderId="28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1" fillId="0" borderId="0" xfId="0" applyFont="1" applyAlignment="1"/>
    <xf numFmtId="164" fontId="3" fillId="0" borderId="23" xfId="0" applyNumberFormat="1" applyFont="1" applyBorder="1" applyAlignment="1">
      <alignment horizontal="center"/>
    </xf>
    <xf numFmtId="0" fontId="4" fillId="4" borderId="0" xfId="0" applyFont="1" applyFill="1" applyAlignment="1">
      <alignment horizontal="left"/>
    </xf>
    <xf numFmtId="164" fontId="3" fillId="2" borderId="23" xfId="0" applyNumberFormat="1" applyFont="1" applyFill="1" applyBorder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Font="1" applyBorder="1" applyAlignment="1"/>
    <xf numFmtId="1" fontId="3" fillId="0" borderId="0" xfId="0" applyNumberFormat="1" applyFont="1" applyBorder="1" applyAlignment="1">
      <alignment horizontal="center"/>
    </xf>
    <xf numFmtId="43" fontId="0" fillId="0" borderId="0" xfId="0" applyNumberFormat="1" applyFont="1" applyAlignment="1"/>
    <xf numFmtId="43" fontId="5" fillId="0" borderId="0" xfId="0" applyNumberFormat="1" applyFont="1" applyAlignment="1"/>
    <xf numFmtId="2" fontId="3" fillId="0" borderId="12" xfId="1" applyNumberFormat="1" applyFont="1" applyBorder="1" applyAlignment="1">
      <alignment horizontal="center"/>
    </xf>
    <xf numFmtId="2" fontId="3" fillId="0" borderId="27" xfId="1" applyNumberFormat="1" applyFont="1" applyBorder="1" applyAlignment="1">
      <alignment horizontal="center"/>
    </xf>
    <xf numFmtId="2" fontId="3" fillId="0" borderId="17" xfId="1" applyNumberFormat="1" applyFont="1" applyBorder="1" applyAlignment="1">
      <alignment horizontal="center"/>
    </xf>
    <xf numFmtId="2" fontId="3" fillId="0" borderId="14" xfId="1" applyNumberFormat="1" applyFont="1" applyBorder="1" applyAlignment="1">
      <alignment horizontal="center"/>
    </xf>
    <xf numFmtId="2" fontId="3" fillId="0" borderId="28" xfId="1" applyNumberFormat="1" applyFont="1" applyBorder="1" applyAlignment="1">
      <alignment horizontal="center"/>
    </xf>
    <xf numFmtId="2" fontId="3" fillId="0" borderId="23" xfId="1" applyNumberFormat="1" applyFont="1" applyBorder="1" applyAlignment="1">
      <alignment horizontal="center"/>
    </xf>
    <xf numFmtId="0" fontId="6" fillId="0" borderId="0" xfId="0" applyFont="1" applyAlignment="1"/>
    <xf numFmtId="0" fontId="7" fillId="0" borderId="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" fontId="9" fillId="0" borderId="17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1" fontId="9" fillId="0" borderId="28" xfId="0" applyNumberFormat="1" applyFont="1" applyBorder="1" applyAlignment="1">
      <alignment horizontal="center"/>
    </xf>
    <xf numFmtId="1" fontId="9" fillId="0" borderId="23" xfId="0" applyNumberFormat="1" applyFont="1" applyBorder="1" applyAlignment="1">
      <alignment horizontal="center"/>
    </xf>
    <xf numFmtId="9" fontId="3" fillId="0" borderId="17" xfId="3" applyFont="1" applyBorder="1" applyAlignment="1">
      <alignment horizontal="center"/>
    </xf>
    <xf numFmtId="9" fontId="3" fillId="0" borderId="0" xfId="3" applyFont="1" applyAlignment="1">
      <alignment horizontal="center"/>
    </xf>
    <xf numFmtId="9" fontId="3" fillId="0" borderId="14" xfId="3" applyFont="1" applyBorder="1" applyAlignment="1">
      <alignment horizontal="center"/>
    </xf>
    <xf numFmtId="9" fontId="3" fillId="0" borderId="28" xfId="3" applyFont="1" applyBorder="1" applyAlignment="1">
      <alignment horizontal="center"/>
    </xf>
    <xf numFmtId="9" fontId="3" fillId="0" borderId="29" xfId="3" applyFont="1" applyBorder="1" applyAlignment="1">
      <alignment horizontal="center"/>
    </xf>
    <xf numFmtId="9" fontId="3" fillId="0" borderId="23" xfId="3" applyFont="1" applyBorder="1" applyAlignment="1">
      <alignment horizontal="center"/>
    </xf>
    <xf numFmtId="165" fontId="9" fillId="0" borderId="17" xfId="2" applyNumberFormat="1" applyFont="1" applyBorder="1" applyAlignment="1">
      <alignment horizontal="center"/>
    </xf>
    <xf numFmtId="165" fontId="9" fillId="0" borderId="14" xfId="2" applyNumberFormat="1" applyFont="1" applyBorder="1" applyAlignment="1">
      <alignment horizontal="center"/>
    </xf>
    <xf numFmtId="165" fontId="9" fillId="0" borderId="28" xfId="2" applyNumberFormat="1" applyFont="1" applyBorder="1" applyAlignment="1">
      <alignment horizontal="center"/>
    </xf>
    <xf numFmtId="165" fontId="9" fillId="0" borderId="23" xfId="2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0" xfId="0" applyFont="1" applyBorder="1"/>
    <xf numFmtId="0" fontId="3" fillId="0" borderId="15" xfId="0" applyFont="1" applyBorder="1" applyAlignment="1"/>
    <xf numFmtId="0" fontId="0" fillId="0" borderId="0" xfId="0" applyFont="1" applyAlignment="1"/>
    <xf numFmtId="0" fontId="2" fillId="0" borderId="30" xfId="0" applyFont="1" applyBorder="1"/>
    <xf numFmtId="0" fontId="3" fillId="0" borderId="20" xfId="0" applyFont="1" applyBorder="1" applyAlignment="1">
      <alignment horizontal="left"/>
    </xf>
    <xf numFmtId="0" fontId="2" fillId="0" borderId="31" xfId="0" applyFont="1" applyBorder="1"/>
    <xf numFmtId="0" fontId="2" fillId="0" borderId="32" xfId="0" applyFont="1" applyBorder="1"/>
    <xf numFmtId="0" fontId="1" fillId="0" borderId="2" xfId="0" applyFont="1" applyBorder="1" applyAlignment="1">
      <alignment horizontal="center"/>
    </xf>
    <xf numFmtId="0" fontId="2" fillId="0" borderId="5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3" xfId="0" applyFont="1" applyBorder="1"/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9" fontId="0" fillId="0" borderId="0" xfId="3" applyFont="1" applyAlignment="1"/>
    <xf numFmtId="9" fontId="0" fillId="0" borderId="0" xfId="0" applyNumberFormat="1" applyFont="1" applyAlignme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9"/>
  <sheetViews>
    <sheetView workbookViewId="0"/>
  </sheetViews>
  <sheetFormatPr baseColWidth="10" defaultColWidth="14.42578125" defaultRowHeight="15.75" customHeight="1" x14ac:dyDescent="0.2"/>
  <cols>
    <col min="1" max="1" width="7.28515625" customWidth="1"/>
    <col min="2" max="3" width="21.5703125" customWidth="1"/>
    <col min="4" max="4" width="7.28515625" customWidth="1"/>
    <col min="5" max="6" width="21.5703125" customWidth="1"/>
    <col min="7" max="7" width="7.28515625" customWidth="1"/>
    <col min="8" max="9" width="21.5703125" customWidth="1"/>
    <col min="10" max="10" width="7.28515625" customWidth="1"/>
    <col min="11" max="11" width="27.42578125" customWidth="1"/>
    <col min="12" max="12" width="43.7109375" customWidth="1"/>
  </cols>
  <sheetData>
    <row r="2" spans="2:9" ht="12.75" x14ac:dyDescent="0.2">
      <c r="B2" s="91" t="s">
        <v>1</v>
      </c>
      <c r="C2" s="90"/>
      <c r="D2" s="2"/>
      <c r="E2" s="91" t="s">
        <v>4</v>
      </c>
      <c r="F2" s="90"/>
      <c r="G2" s="2"/>
      <c r="H2" s="91" t="s">
        <v>5</v>
      </c>
      <c r="I2" s="90"/>
    </row>
    <row r="3" spans="2:9" ht="12.75" x14ac:dyDescent="0.2">
      <c r="B3" s="5" t="s">
        <v>7</v>
      </c>
      <c r="C3" s="7" t="s">
        <v>9</v>
      </c>
      <c r="E3" s="5" t="s">
        <v>7</v>
      </c>
      <c r="F3" s="10" t="s">
        <v>10</v>
      </c>
      <c r="H3" s="5" t="s">
        <v>7</v>
      </c>
      <c r="I3" s="10" t="s">
        <v>11</v>
      </c>
    </row>
    <row r="4" spans="2:9" ht="12.75" x14ac:dyDescent="0.2">
      <c r="B4" s="12" t="s">
        <v>2</v>
      </c>
      <c r="C4" s="14" t="s">
        <v>12</v>
      </c>
      <c r="E4" s="12" t="s">
        <v>2</v>
      </c>
      <c r="F4" s="17" t="s">
        <v>13</v>
      </c>
      <c r="H4" s="12" t="s">
        <v>2</v>
      </c>
      <c r="I4" s="17" t="s">
        <v>16</v>
      </c>
    </row>
    <row r="5" spans="2:9" ht="12.75" x14ac:dyDescent="0.2">
      <c r="B5" s="12" t="s">
        <v>17</v>
      </c>
      <c r="C5" s="14" t="s">
        <v>18</v>
      </c>
      <c r="E5" s="12" t="s">
        <v>17</v>
      </c>
      <c r="F5" s="17" t="s">
        <v>19</v>
      </c>
      <c r="H5" s="12" t="s">
        <v>17</v>
      </c>
      <c r="I5" s="17"/>
    </row>
    <row r="6" spans="2:9" ht="12.75" x14ac:dyDescent="0.2">
      <c r="B6" s="12" t="s">
        <v>20</v>
      </c>
      <c r="C6" s="14" t="s">
        <v>21</v>
      </c>
      <c r="E6" s="12" t="s">
        <v>20</v>
      </c>
      <c r="F6" s="17" t="s">
        <v>22</v>
      </c>
      <c r="H6" s="12" t="s">
        <v>20</v>
      </c>
      <c r="I6" s="17" t="s">
        <v>23</v>
      </c>
    </row>
    <row r="7" spans="2:9" ht="12.75" x14ac:dyDescent="0.2">
      <c r="B7" s="20" t="s">
        <v>24</v>
      </c>
      <c r="C7" s="21" t="s">
        <v>25</v>
      </c>
      <c r="E7" s="20" t="s">
        <v>24</v>
      </c>
      <c r="F7" s="23" t="s">
        <v>26</v>
      </c>
      <c r="H7" s="20" t="s">
        <v>24</v>
      </c>
      <c r="I7" s="23" t="s">
        <v>27</v>
      </c>
    </row>
    <row r="8" spans="2:9" ht="12.75" hidden="1" x14ac:dyDescent="0.2"/>
    <row r="9" spans="2:9" ht="12.75" hidden="1" x14ac:dyDescent="0.2">
      <c r="B9" s="89" t="s">
        <v>28</v>
      </c>
      <c r="C9" s="90"/>
      <c r="D9" s="26"/>
      <c r="E9" s="89" t="s">
        <v>28</v>
      </c>
      <c r="F9" s="90"/>
      <c r="G9" s="26"/>
      <c r="H9" s="89" t="s">
        <v>28</v>
      </c>
      <c r="I9" s="90"/>
    </row>
    <row r="10" spans="2:9" ht="12.75" hidden="1" x14ac:dyDescent="0.2">
      <c r="B10" s="5" t="s">
        <v>30</v>
      </c>
      <c r="C10" s="10"/>
      <c r="D10" s="29"/>
      <c r="E10" s="5" t="s">
        <v>30</v>
      </c>
      <c r="F10" s="10"/>
      <c r="G10" s="29"/>
      <c r="H10" s="5" t="s">
        <v>30</v>
      </c>
      <c r="I10" s="10"/>
    </row>
    <row r="11" spans="2:9" ht="12.75" hidden="1" x14ac:dyDescent="0.2">
      <c r="B11" s="12" t="s">
        <v>31</v>
      </c>
      <c r="C11" s="17"/>
      <c r="D11" s="29"/>
      <c r="E11" s="12" t="s">
        <v>31</v>
      </c>
      <c r="F11" s="17"/>
      <c r="G11" s="29"/>
      <c r="H11" s="12" t="s">
        <v>31</v>
      </c>
      <c r="I11" s="17"/>
    </row>
    <row r="12" spans="2:9" ht="12.75" hidden="1" x14ac:dyDescent="0.2">
      <c r="B12" s="12" t="s">
        <v>32</v>
      </c>
      <c r="C12" s="17"/>
      <c r="D12" s="29"/>
      <c r="E12" s="12" t="s">
        <v>32</v>
      </c>
      <c r="F12" s="17"/>
      <c r="G12" s="29"/>
      <c r="H12" s="12" t="s">
        <v>32</v>
      </c>
      <c r="I12" s="17"/>
    </row>
    <row r="13" spans="2:9" ht="12.75" hidden="1" x14ac:dyDescent="0.2">
      <c r="B13" s="20" t="s">
        <v>33</v>
      </c>
      <c r="C13" s="23"/>
      <c r="D13" s="29"/>
      <c r="E13" s="20" t="s">
        <v>33</v>
      </c>
      <c r="F13" s="23"/>
      <c r="G13" s="29"/>
      <c r="H13" s="20" t="s">
        <v>33</v>
      </c>
      <c r="I13" s="23"/>
    </row>
    <row r="14" spans="2:9" ht="12.75" x14ac:dyDescent="0.2">
      <c r="B14" s="31"/>
      <c r="C14" s="31"/>
      <c r="D14" s="29"/>
      <c r="E14" s="31"/>
      <c r="F14" s="31"/>
      <c r="G14" s="29"/>
      <c r="H14" s="31"/>
      <c r="I14" s="31"/>
    </row>
    <row r="15" spans="2:9" ht="12.75" x14ac:dyDescent="0.2">
      <c r="B15" s="89" t="s">
        <v>35</v>
      </c>
      <c r="C15" s="90"/>
      <c r="D15" s="26"/>
      <c r="E15" s="89" t="s">
        <v>35</v>
      </c>
      <c r="F15" s="90"/>
      <c r="G15" s="26"/>
      <c r="H15" s="89" t="s">
        <v>35</v>
      </c>
      <c r="I15" s="90"/>
    </row>
    <row r="16" spans="2:9" ht="12.75" x14ac:dyDescent="0.2">
      <c r="B16" s="5" t="s">
        <v>30</v>
      </c>
      <c r="C16" s="10">
        <v>-0.70299999999999996</v>
      </c>
      <c r="E16" s="5" t="s">
        <v>30</v>
      </c>
      <c r="F16" s="10">
        <v>-0.61</v>
      </c>
      <c r="H16" s="5" t="s">
        <v>30</v>
      </c>
      <c r="I16" s="10">
        <v>-0.79400000000000004</v>
      </c>
    </row>
    <row r="17" spans="2:9" ht="12.75" x14ac:dyDescent="0.2">
      <c r="B17" s="12" t="s">
        <v>31</v>
      </c>
      <c r="C17" s="17">
        <v>-0.61099999999999999</v>
      </c>
      <c r="E17" s="12" t="s">
        <v>31</v>
      </c>
      <c r="F17" s="17">
        <v>-0.57999999999999996</v>
      </c>
      <c r="H17" s="12" t="s">
        <v>31</v>
      </c>
      <c r="I17" s="17">
        <v>-0.69699999999999995</v>
      </c>
    </row>
    <row r="18" spans="2:9" ht="12.75" x14ac:dyDescent="0.2">
      <c r="B18" s="12" t="s">
        <v>36</v>
      </c>
      <c r="C18" s="17">
        <v>0.57499999999999996</v>
      </c>
      <c r="E18" s="12" t="s">
        <v>36</v>
      </c>
      <c r="F18" s="17">
        <v>0.49299999999999999</v>
      </c>
      <c r="H18" s="12" t="s">
        <v>36</v>
      </c>
      <c r="I18" s="17">
        <v>0.72399999999999998</v>
      </c>
    </row>
    <row r="19" spans="2:9" ht="12.75" x14ac:dyDescent="0.2">
      <c r="B19" s="20" t="s">
        <v>38</v>
      </c>
      <c r="C19" s="23">
        <v>-0.2</v>
      </c>
      <c r="E19" s="20" t="s">
        <v>38</v>
      </c>
      <c r="F19" s="23">
        <v>-0.16500000000000001</v>
      </c>
      <c r="H19" s="20" t="s">
        <v>38</v>
      </c>
      <c r="I19" s="23">
        <v>-0.189</v>
      </c>
    </row>
    <row r="21" spans="2:9" ht="12.75" x14ac:dyDescent="0.2">
      <c r="B21" s="89" t="s">
        <v>40</v>
      </c>
      <c r="C21" s="90"/>
      <c r="D21" s="2"/>
      <c r="E21" s="89" t="s">
        <v>40</v>
      </c>
      <c r="F21" s="90"/>
      <c r="G21" s="2"/>
      <c r="H21" s="89" t="s">
        <v>40</v>
      </c>
      <c r="I21" s="90"/>
    </row>
    <row r="22" spans="2:9" ht="12.75" x14ac:dyDescent="0.2">
      <c r="B22" s="12" t="s">
        <v>38</v>
      </c>
      <c r="C22" s="17">
        <v>0.17499999999999999</v>
      </c>
      <c r="D22" s="2"/>
      <c r="E22" s="12" t="s">
        <v>38</v>
      </c>
      <c r="F22" s="17">
        <v>0.17899999999999999</v>
      </c>
      <c r="G22" s="2"/>
      <c r="H22" s="12" t="s">
        <v>38</v>
      </c>
      <c r="I22" s="17">
        <v>0.22</v>
      </c>
    </row>
    <row r="23" spans="2:9" ht="12.75" x14ac:dyDescent="0.2">
      <c r="B23" s="20" t="s">
        <v>42</v>
      </c>
      <c r="C23" s="23">
        <v>-0.64700000000000002</v>
      </c>
      <c r="D23" s="2"/>
      <c r="E23" s="20" t="s">
        <v>42</v>
      </c>
      <c r="F23" s="23">
        <v>-0.67700000000000005</v>
      </c>
      <c r="G23" s="2"/>
      <c r="H23" s="20" t="s">
        <v>42</v>
      </c>
      <c r="I23" s="23">
        <v>-0.72</v>
      </c>
    </row>
    <row r="24" spans="2:9" ht="12.75" x14ac:dyDescent="0.2">
      <c r="B24" s="35"/>
      <c r="C24" s="35"/>
      <c r="D24" s="2"/>
      <c r="E24" s="35"/>
      <c r="F24" s="35"/>
      <c r="G24" s="2"/>
      <c r="H24" s="35"/>
      <c r="I24" s="35"/>
    </row>
    <row r="25" spans="2:9" ht="12.75" x14ac:dyDescent="0.2">
      <c r="B25" s="89" t="s">
        <v>43</v>
      </c>
      <c r="C25" s="90"/>
      <c r="D25" s="2"/>
      <c r="E25" s="89" t="s">
        <v>43</v>
      </c>
      <c r="F25" s="90"/>
      <c r="G25" s="2"/>
      <c r="H25" s="89" t="s">
        <v>43</v>
      </c>
      <c r="I25" s="90"/>
    </row>
    <row r="26" spans="2:9" ht="12.75" x14ac:dyDescent="0.2">
      <c r="B26" s="5" t="s">
        <v>45</v>
      </c>
      <c r="C26" s="10">
        <v>-5.0645999999999997E-2</v>
      </c>
      <c r="E26" s="5" t="s">
        <v>45</v>
      </c>
      <c r="F26" s="10">
        <v>-4.5850000000000002E-2</v>
      </c>
      <c r="H26" s="5" t="s">
        <v>45</v>
      </c>
      <c r="I26" s="10">
        <v>-4.65E-2</v>
      </c>
    </row>
    <row r="27" spans="2:9" ht="12.75" x14ac:dyDescent="0.2">
      <c r="B27" s="12" t="s">
        <v>46</v>
      </c>
      <c r="C27" s="17">
        <v>8.7849999999999994E-3</v>
      </c>
      <c r="E27" s="12" t="s">
        <v>46</v>
      </c>
      <c r="F27" s="17">
        <v>1.018E-2</v>
      </c>
      <c r="H27" s="12" t="s">
        <v>47</v>
      </c>
      <c r="I27" s="17">
        <v>6.1000000000000004E-3</v>
      </c>
    </row>
    <row r="28" spans="2:9" ht="12.75" x14ac:dyDescent="0.2">
      <c r="B28" s="12" t="s">
        <v>48</v>
      </c>
      <c r="C28" s="17">
        <v>2.3543090000000002</v>
      </c>
      <c r="E28" s="12" t="s">
        <v>48</v>
      </c>
      <c r="F28" s="17">
        <v>2.0645799999999999</v>
      </c>
      <c r="H28" s="12" t="s">
        <v>48</v>
      </c>
      <c r="I28" s="17">
        <v>2.1699000000000002</v>
      </c>
    </row>
    <row r="29" spans="2:9" ht="12.75" x14ac:dyDescent="0.2">
      <c r="B29" s="12" t="s">
        <v>50</v>
      </c>
      <c r="C29" s="17">
        <v>0.49430000000000002</v>
      </c>
      <c r="E29" s="12" t="s">
        <v>50</v>
      </c>
      <c r="F29" s="17">
        <v>0.37380000000000002</v>
      </c>
      <c r="H29" s="12" t="s">
        <v>50</v>
      </c>
      <c r="I29" s="17">
        <v>0.63090000000000002</v>
      </c>
    </row>
    <row r="30" spans="2:9" ht="12.75" x14ac:dyDescent="0.2">
      <c r="B30" s="20" t="s">
        <v>51</v>
      </c>
      <c r="C30" s="23">
        <v>0.47939999999999999</v>
      </c>
      <c r="E30" s="20" t="s">
        <v>51</v>
      </c>
      <c r="F30" s="23">
        <v>0.3553</v>
      </c>
      <c r="H30" s="20" t="s">
        <v>51</v>
      </c>
      <c r="I30" s="23">
        <v>0.62009999999999998</v>
      </c>
    </row>
    <row r="31" spans="2:9" ht="12.75" x14ac:dyDescent="0.2">
      <c r="B31" s="39" t="s">
        <v>52</v>
      </c>
      <c r="C31" s="40">
        <v>1.7409999999999999E-6</v>
      </c>
      <c r="E31" s="39" t="s">
        <v>52</v>
      </c>
      <c r="F31" s="40">
        <v>7.4629999999999995E-5</v>
      </c>
      <c r="H31" s="39" t="s">
        <v>52</v>
      </c>
      <c r="I31" s="40">
        <v>7.3650000000000001E-9</v>
      </c>
    </row>
    <row r="33" spans="2:9" ht="12.75" x14ac:dyDescent="0.2">
      <c r="B33" s="91" t="s">
        <v>54</v>
      </c>
      <c r="C33" s="90"/>
      <c r="D33" s="2"/>
      <c r="E33" s="91" t="s">
        <v>54</v>
      </c>
      <c r="F33" s="90"/>
      <c r="G33" s="2"/>
      <c r="H33" s="91" t="s">
        <v>54</v>
      </c>
      <c r="I33" s="90"/>
    </row>
    <row r="34" spans="2:9" ht="12.75" x14ac:dyDescent="0.2">
      <c r="B34" s="5" t="s">
        <v>45</v>
      </c>
      <c r="C34" s="10">
        <v>-7.2510000000000005E-2</v>
      </c>
      <c r="E34" s="5" t="s">
        <v>45</v>
      </c>
      <c r="F34" s="10">
        <v>-4.6181E-2</v>
      </c>
      <c r="H34" s="5" t="s">
        <v>45</v>
      </c>
      <c r="I34" s="10">
        <v>-2.0802999999999999E-2</v>
      </c>
    </row>
    <row r="35" spans="2:9" ht="12.75" x14ac:dyDescent="0.2">
      <c r="B35" s="12" t="s">
        <v>46</v>
      </c>
      <c r="C35" s="17">
        <v>1.465E-2</v>
      </c>
      <c r="E35" s="12" t="s">
        <v>46</v>
      </c>
      <c r="F35" s="17">
        <v>8.6110000000000006E-3</v>
      </c>
      <c r="H35" s="12" t="s">
        <v>47</v>
      </c>
      <c r="I35" s="17">
        <v>3.437E-3</v>
      </c>
    </row>
    <row r="36" spans="2:9" ht="12.75" x14ac:dyDescent="0.2">
      <c r="B36" s="12" t="s">
        <v>48</v>
      </c>
      <c r="C36" s="17">
        <v>6.3450800000000003</v>
      </c>
      <c r="E36" s="12" t="s">
        <v>48</v>
      </c>
      <c r="F36" s="17">
        <v>3.5606529999999998</v>
      </c>
      <c r="H36" s="12" t="s">
        <v>48</v>
      </c>
      <c r="I36" s="17">
        <v>1.752953</v>
      </c>
    </row>
    <row r="37" spans="2:9" ht="12.75" x14ac:dyDescent="0.2">
      <c r="B37" s="12" t="s">
        <v>50</v>
      </c>
      <c r="C37" s="17">
        <v>0.41899999999999998</v>
      </c>
      <c r="E37" s="12" t="s">
        <v>50</v>
      </c>
      <c r="F37" s="17">
        <v>0.45829999999999999</v>
      </c>
      <c r="H37" s="12" t="s">
        <v>50</v>
      </c>
      <c r="I37" s="17">
        <v>0.51859999999999995</v>
      </c>
    </row>
    <row r="38" spans="2:9" ht="12.75" x14ac:dyDescent="0.2">
      <c r="B38" s="20" t="s">
        <v>51</v>
      </c>
      <c r="C38" s="23">
        <v>0.40189999999999998</v>
      </c>
      <c r="E38" s="20" t="s">
        <v>51</v>
      </c>
      <c r="F38" s="23">
        <v>0.44230000000000003</v>
      </c>
      <c r="H38" s="20" t="s">
        <v>51</v>
      </c>
      <c r="I38" s="23">
        <v>0.50439999999999996</v>
      </c>
    </row>
    <row r="39" spans="2:9" ht="12.75" x14ac:dyDescent="0.2">
      <c r="B39" s="39" t="s">
        <v>52</v>
      </c>
      <c r="C39" s="40">
        <v>1.986E-5</v>
      </c>
      <c r="E39" s="39" t="s">
        <v>52</v>
      </c>
      <c r="F39" s="40">
        <v>5.801E-6</v>
      </c>
      <c r="H39" s="39" t="s">
        <v>52</v>
      </c>
      <c r="I39" s="40">
        <v>7.3779999999999995E-7</v>
      </c>
    </row>
    <row r="40" spans="2:9" ht="12.75" x14ac:dyDescent="0.2">
      <c r="B40" s="35"/>
      <c r="C40" s="35"/>
      <c r="D40" s="2"/>
      <c r="E40" s="35"/>
      <c r="F40" s="35"/>
      <c r="G40" s="2"/>
      <c r="H40" s="35"/>
      <c r="I40" s="35"/>
    </row>
    <row r="41" spans="2:9" ht="12.75" x14ac:dyDescent="0.2">
      <c r="B41" s="89" t="s">
        <v>55</v>
      </c>
      <c r="C41" s="90"/>
      <c r="D41" s="2"/>
      <c r="E41" s="89" t="s">
        <v>55</v>
      </c>
      <c r="F41" s="90"/>
      <c r="G41" s="2"/>
      <c r="H41" s="89" t="s">
        <v>55</v>
      </c>
      <c r="I41" s="90"/>
    </row>
    <row r="42" spans="2:9" ht="12.75" x14ac:dyDescent="0.2">
      <c r="B42" s="5" t="s">
        <v>56</v>
      </c>
      <c r="C42" s="10">
        <v>0.90344999999999998</v>
      </c>
      <c r="E42" s="5" t="s">
        <v>56</v>
      </c>
      <c r="F42" s="10">
        <v>-4.5089999999999998E-2</v>
      </c>
      <c r="H42" s="5" t="s">
        <v>56</v>
      </c>
      <c r="I42" s="10">
        <v>-4.6168000000000001E-2</v>
      </c>
    </row>
    <row r="43" spans="2:9" ht="12.75" x14ac:dyDescent="0.2">
      <c r="B43" s="12" t="s">
        <v>57</v>
      </c>
      <c r="C43" s="17">
        <v>4.0399999999999998E-2</v>
      </c>
      <c r="E43" s="12" t="s">
        <v>57</v>
      </c>
      <c r="F43" s="17">
        <v>1.048E-2</v>
      </c>
      <c r="H43" s="12" t="s">
        <v>57</v>
      </c>
      <c r="I43" s="17">
        <v>6.3150000000000003E-3</v>
      </c>
    </row>
    <row r="44" spans="2:9" ht="12.75" x14ac:dyDescent="0.2">
      <c r="B44" s="12" t="s">
        <v>59</v>
      </c>
      <c r="C44" s="17">
        <v>4.6120000000000001E-2</v>
      </c>
      <c r="E44" s="12" t="s">
        <v>59</v>
      </c>
      <c r="F44" s="17">
        <v>-1.209E-2</v>
      </c>
      <c r="H44" s="12" t="s">
        <v>59</v>
      </c>
      <c r="I44" s="17">
        <v>-2.8679999999999999E-3</v>
      </c>
    </row>
    <row r="45" spans="2:9" ht="12.75" x14ac:dyDescent="0.2">
      <c r="B45" s="12" t="s">
        <v>60</v>
      </c>
      <c r="C45" s="17">
        <v>0.14018</v>
      </c>
      <c r="E45" s="12" t="s">
        <v>60</v>
      </c>
      <c r="F45" s="17">
        <v>2.9510000000000002E-2</v>
      </c>
      <c r="H45" s="12" t="s">
        <v>60</v>
      </c>
      <c r="I45" s="17">
        <v>2.0469999999999999E-2</v>
      </c>
    </row>
    <row r="46" spans="2:9" ht="12.75" x14ac:dyDescent="0.2">
      <c r="B46" s="12" t="s">
        <v>48</v>
      </c>
      <c r="C46" s="17">
        <v>11.11332</v>
      </c>
      <c r="E46" s="12" t="s">
        <v>48</v>
      </c>
      <c r="F46" s="17">
        <v>2.0382600000000002</v>
      </c>
      <c r="H46" s="12" t="s">
        <v>48</v>
      </c>
      <c r="I46" s="17">
        <v>2.1559970000000002</v>
      </c>
    </row>
    <row r="47" spans="2:9" ht="12.75" x14ac:dyDescent="0.2">
      <c r="B47" s="12" t="s">
        <v>50</v>
      </c>
      <c r="C47" s="17">
        <v>0.94010000000000005</v>
      </c>
      <c r="E47" s="12" t="s">
        <v>50</v>
      </c>
      <c r="F47" s="17">
        <v>0.37690000000000001</v>
      </c>
      <c r="H47" s="12" t="s">
        <v>50</v>
      </c>
      <c r="I47" s="17">
        <v>0.63200000000000001</v>
      </c>
    </row>
    <row r="48" spans="2:9" ht="12.75" x14ac:dyDescent="0.2">
      <c r="B48" s="20" t="s">
        <v>51</v>
      </c>
      <c r="C48" s="23">
        <v>0.93640000000000001</v>
      </c>
      <c r="E48" s="20" t="s">
        <v>51</v>
      </c>
      <c r="F48" s="23">
        <v>0.3392</v>
      </c>
      <c r="H48" s="20" t="s">
        <v>51</v>
      </c>
      <c r="I48" s="23">
        <v>0.60970000000000002</v>
      </c>
    </row>
    <row r="49" spans="2:10" ht="12.75" x14ac:dyDescent="0.2">
      <c r="B49" s="39" t="s">
        <v>52</v>
      </c>
      <c r="C49" s="40">
        <v>2.2E-16</v>
      </c>
      <c r="E49" s="39" t="s">
        <v>52</v>
      </c>
      <c r="F49" s="40">
        <v>4.0719999999999998E-4</v>
      </c>
      <c r="H49" s="39" t="s">
        <v>52</v>
      </c>
      <c r="I49" s="40">
        <v>6.8579999999999996E-8</v>
      </c>
    </row>
    <row r="51" spans="2:10" ht="12.75" x14ac:dyDescent="0.2">
      <c r="B51" s="92" t="s">
        <v>63</v>
      </c>
      <c r="C51" s="93"/>
      <c r="D51" s="93"/>
      <c r="E51" s="93"/>
      <c r="F51" s="93"/>
      <c r="G51" s="93"/>
      <c r="H51" s="93"/>
      <c r="I51" s="90"/>
    </row>
    <row r="52" spans="2:10" ht="12.75" x14ac:dyDescent="0.2">
      <c r="B52" s="48" t="s">
        <v>64</v>
      </c>
      <c r="C52" s="94" t="s">
        <v>65</v>
      </c>
      <c r="D52" s="95"/>
      <c r="E52" s="95"/>
      <c r="F52" s="95"/>
      <c r="G52" s="95"/>
      <c r="H52" s="95"/>
      <c r="I52" s="96"/>
    </row>
    <row r="53" spans="2:10" ht="12.75" x14ac:dyDescent="0.2">
      <c r="B53" s="48" t="s">
        <v>66</v>
      </c>
      <c r="C53" s="94" t="s">
        <v>67</v>
      </c>
      <c r="D53" s="95"/>
      <c r="E53" s="95"/>
      <c r="F53" s="95"/>
      <c r="G53" s="95"/>
      <c r="H53" s="95"/>
      <c r="I53" s="96"/>
    </row>
    <row r="54" spans="2:10" ht="12.75" x14ac:dyDescent="0.2">
      <c r="B54" s="48" t="s">
        <v>68</v>
      </c>
      <c r="C54" s="94" t="s">
        <v>69</v>
      </c>
      <c r="D54" s="95"/>
      <c r="E54" s="95"/>
      <c r="F54" s="95"/>
      <c r="G54" s="95"/>
      <c r="H54" s="95"/>
      <c r="I54" s="96"/>
      <c r="J54" s="25" t="s">
        <v>70</v>
      </c>
    </row>
    <row r="55" spans="2:10" ht="12.75" x14ac:dyDescent="0.2">
      <c r="B55" s="50" t="s">
        <v>58</v>
      </c>
      <c r="C55" s="97" t="s">
        <v>71</v>
      </c>
      <c r="D55" s="98"/>
      <c r="E55" s="98"/>
      <c r="F55" s="98"/>
      <c r="G55" s="98"/>
      <c r="H55" s="98"/>
      <c r="I55" s="99"/>
      <c r="J55" s="25" t="s">
        <v>72</v>
      </c>
    </row>
    <row r="57" spans="2:10" ht="12.75" x14ac:dyDescent="0.2">
      <c r="B57" s="53" t="s">
        <v>73</v>
      </c>
      <c r="C57" s="55" t="s">
        <v>74</v>
      </c>
    </row>
    <row r="58" spans="2:10" ht="12.75" x14ac:dyDescent="0.2">
      <c r="B58" s="53" t="s">
        <v>77</v>
      </c>
      <c r="C58" s="25" t="s">
        <v>78</v>
      </c>
    </row>
    <row r="59" spans="2:10" ht="12.75" x14ac:dyDescent="0.2">
      <c r="B59" s="53"/>
    </row>
  </sheetData>
  <mergeCells count="26">
    <mergeCell ref="B21:C21"/>
    <mergeCell ref="E21:F21"/>
    <mergeCell ref="H21:I21"/>
    <mergeCell ref="B25:C25"/>
    <mergeCell ref="E25:F25"/>
    <mergeCell ref="H25:I25"/>
    <mergeCell ref="B51:I51"/>
    <mergeCell ref="C52:I52"/>
    <mergeCell ref="C53:I53"/>
    <mergeCell ref="C54:I54"/>
    <mergeCell ref="C55:I55"/>
    <mergeCell ref="E33:F33"/>
    <mergeCell ref="H33:I33"/>
    <mergeCell ref="B41:C41"/>
    <mergeCell ref="E41:F41"/>
    <mergeCell ref="H41:I41"/>
    <mergeCell ref="B33:C33"/>
    <mergeCell ref="E15:F15"/>
    <mergeCell ref="H15:I15"/>
    <mergeCell ref="B2:C2"/>
    <mergeCell ref="E2:F2"/>
    <mergeCell ref="H2:I2"/>
    <mergeCell ref="B9:C9"/>
    <mergeCell ref="E9:F9"/>
    <mergeCell ref="H9:I9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62"/>
  <sheetViews>
    <sheetView tabSelected="1" topLeftCell="A30" workbookViewId="0">
      <selection activeCell="H49" sqref="H49"/>
    </sheetView>
  </sheetViews>
  <sheetFormatPr baseColWidth="10" defaultColWidth="14.42578125" defaultRowHeight="15.75" customHeight="1" x14ac:dyDescent="0.2"/>
  <cols>
    <col min="1" max="1" width="7.28515625" customWidth="1"/>
    <col min="2" max="5" width="20.7109375" customWidth="1"/>
    <col min="6" max="6" width="8.85546875" customWidth="1"/>
    <col min="7" max="7" width="7.28515625" customWidth="1"/>
    <col min="8" max="8" width="22.85546875" customWidth="1"/>
    <col min="9" max="9" width="21.5703125" customWidth="1"/>
    <col min="10" max="10" width="7.28515625" customWidth="1"/>
    <col min="11" max="11" width="20.7109375" customWidth="1"/>
  </cols>
  <sheetData>
    <row r="2" spans="2:11" ht="12.75" x14ac:dyDescent="0.2">
      <c r="B2" s="100" t="s">
        <v>0</v>
      </c>
      <c r="C2" s="104"/>
      <c r="D2" s="104"/>
      <c r="E2" s="101"/>
      <c r="H2" s="1" t="s">
        <v>2</v>
      </c>
      <c r="I2" s="3" t="s">
        <v>3</v>
      </c>
      <c r="K2" s="4" t="s">
        <v>6</v>
      </c>
    </row>
    <row r="3" spans="2:11" ht="12.75" x14ac:dyDescent="0.2">
      <c r="B3" s="102" t="s">
        <v>8</v>
      </c>
      <c r="C3" s="93"/>
      <c r="D3" s="93"/>
      <c r="E3" s="103"/>
      <c r="H3" s="8" t="str">
        <f>Data!$C$4</f>
        <v>Bellyeare Mountain</v>
      </c>
      <c r="I3" s="9">
        <v>700</v>
      </c>
      <c r="J3" s="11"/>
      <c r="K3" s="13">
        <v>739</v>
      </c>
    </row>
    <row r="4" spans="2:11" ht="12.75" x14ac:dyDescent="0.2">
      <c r="B4" s="6" t="s">
        <v>2</v>
      </c>
      <c r="C4" s="15" t="s">
        <v>7</v>
      </c>
      <c r="D4" s="16" t="s">
        <v>14</v>
      </c>
      <c r="E4" s="18" t="s">
        <v>15</v>
      </c>
      <c r="H4" s="19" t="str">
        <f>Data!$F$4</f>
        <v>Elk Mountain</v>
      </c>
      <c r="I4" s="9">
        <v>700</v>
      </c>
      <c r="J4" s="11"/>
      <c r="K4" s="13">
        <v>855</v>
      </c>
    </row>
    <row r="5" spans="2:11" ht="12.75" x14ac:dyDescent="0.2">
      <c r="B5" s="8" t="str">
        <f>Data!$C$4</f>
        <v>Bellyeare Mountain</v>
      </c>
      <c r="C5" s="17" t="s">
        <v>9</v>
      </c>
      <c r="D5" s="22">
        <v>35.125570000000003</v>
      </c>
      <c r="E5" s="24">
        <f>(((D5*Data!$C$34)+Data!$C$36)/51)*1000000</f>
        <v>74473.037633333326</v>
      </c>
      <c r="F5" s="25" t="s">
        <v>29</v>
      </c>
      <c r="H5" s="27" t="str">
        <f>Data!$I$4</f>
        <v xml:space="preserve">Jiminy Peak </v>
      </c>
      <c r="I5" s="28">
        <v>700</v>
      </c>
      <c r="J5" s="11"/>
      <c r="K5" s="30">
        <v>931</v>
      </c>
    </row>
    <row r="6" spans="2:11" ht="12.75" x14ac:dyDescent="0.2">
      <c r="B6" s="19" t="str">
        <f>Data!$F$4</f>
        <v>Elk Mountain</v>
      </c>
      <c r="C6" s="17" t="s">
        <v>10</v>
      </c>
      <c r="D6" s="22">
        <v>33.483420000000002</v>
      </c>
      <c r="E6" s="24">
        <f>(((D6*Data!$F$34)+Data!$F$36)/27)*1000000</f>
        <v>74605.747443703702</v>
      </c>
      <c r="F6" s="25" t="s">
        <v>29</v>
      </c>
      <c r="H6" s="25" t="s">
        <v>34</v>
      </c>
      <c r="I6" s="11">
        <v>0.3</v>
      </c>
    </row>
    <row r="7" spans="2:11" ht="12.75" x14ac:dyDescent="0.2">
      <c r="B7" s="32" t="str">
        <f>Data!$I$4</f>
        <v xml:space="preserve">Jiminy Peak </v>
      </c>
      <c r="C7" s="23" t="s">
        <v>11</v>
      </c>
      <c r="D7" s="22">
        <v>37.075279999999999</v>
      </c>
      <c r="E7" s="33">
        <f>(((D7*Data!$I$34)+Data!$I$36)/13)*1000000</f>
        <v>75513.534627692308</v>
      </c>
      <c r="F7" s="25" t="s">
        <v>29</v>
      </c>
    </row>
    <row r="8" spans="2:11" ht="12.75" x14ac:dyDescent="0.2">
      <c r="B8" s="102" t="s">
        <v>37</v>
      </c>
      <c r="C8" s="93"/>
      <c r="D8" s="93"/>
      <c r="E8" s="103"/>
      <c r="H8" s="100" t="s">
        <v>39</v>
      </c>
      <c r="I8" s="101"/>
    </row>
    <row r="9" spans="2:11" ht="12.75" x14ac:dyDescent="0.2">
      <c r="B9" s="6" t="s">
        <v>2</v>
      </c>
      <c r="C9" s="15" t="s">
        <v>7</v>
      </c>
      <c r="D9" s="16" t="s">
        <v>14</v>
      </c>
      <c r="E9" s="18" t="s">
        <v>15</v>
      </c>
      <c r="H9" s="8" t="s">
        <v>41</v>
      </c>
      <c r="I9" s="34">
        <v>0.05</v>
      </c>
    </row>
    <row r="10" spans="2:11" ht="12.75" x14ac:dyDescent="0.2">
      <c r="B10" s="8" t="str">
        <f>Data!$C$4</f>
        <v>Bellyeare Mountain</v>
      </c>
      <c r="C10" s="17" t="s">
        <v>9</v>
      </c>
      <c r="D10" s="22">
        <f t="shared" ref="D10:D12" si="0">(D5+2.7)</f>
        <v>37.825570000000006</v>
      </c>
      <c r="E10" s="24">
        <f>(((D10*Data!$C$34)+Data!$C$36)/51)*1000000</f>
        <v>70634.272927450977</v>
      </c>
      <c r="F10" s="25" t="s">
        <v>29</v>
      </c>
      <c r="H10" s="8" t="s">
        <v>44</v>
      </c>
      <c r="I10" s="36">
        <v>0.35</v>
      </c>
    </row>
    <row r="11" spans="2:11" ht="12.75" x14ac:dyDescent="0.2">
      <c r="B11" s="19" t="str">
        <f>Data!$F$4</f>
        <v>Elk Mountain</v>
      </c>
      <c r="C11" s="17" t="s">
        <v>10</v>
      </c>
      <c r="D11" s="22">
        <f t="shared" si="0"/>
        <v>36.183420000000005</v>
      </c>
      <c r="E11" s="24">
        <f>(((D11*Data!$F$34)+Data!$F$36)/27)*1000000</f>
        <v>69987.647443703681</v>
      </c>
      <c r="F11" s="25" t="s">
        <v>29</v>
      </c>
      <c r="H11" s="37" t="s">
        <v>49</v>
      </c>
      <c r="I11" s="38">
        <v>0.6</v>
      </c>
    </row>
    <row r="12" spans="2:11" ht="12.75" x14ac:dyDescent="0.2">
      <c r="B12" s="32" t="str">
        <f>Data!$I$4</f>
        <v xml:space="preserve">Jiminy Peak </v>
      </c>
      <c r="C12" s="23" t="s">
        <v>11</v>
      </c>
      <c r="D12" s="22">
        <f t="shared" si="0"/>
        <v>39.775280000000002</v>
      </c>
      <c r="E12" s="33">
        <f>(((D12*Data!$I$34)+Data!$I$36)/13)*1000000</f>
        <v>71192.911550769233</v>
      </c>
      <c r="F12" s="25" t="s">
        <v>29</v>
      </c>
    </row>
    <row r="13" spans="2:11" ht="12.75" x14ac:dyDescent="0.2">
      <c r="B13" s="102" t="s">
        <v>53</v>
      </c>
      <c r="C13" s="93"/>
      <c r="D13" s="93"/>
      <c r="E13" s="103"/>
    </row>
    <row r="14" spans="2:11" ht="12.75" x14ac:dyDescent="0.2">
      <c r="B14" s="6" t="s">
        <v>2</v>
      </c>
      <c r="C14" s="15" t="s">
        <v>7</v>
      </c>
      <c r="D14" s="16" t="s">
        <v>14</v>
      </c>
      <c r="E14" s="18" t="s">
        <v>15</v>
      </c>
    </row>
    <row r="15" spans="2:11" ht="12.75" x14ac:dyDescent="0.2">
      <c r="B15" s="8" t="str">
        <f>Data!$C$4</f>
        <v>Bellyeare Mountain</v>
      </c>
      <c r="C15" s="17" t="s">
        <v>9</v>
      </c>
      <c r="D15" s="22">
        <f t="shared" ref="D15:D17" si="1">D5+3.6</f>
        <v>38.725570000000005</v>
      </c>
      <c r="E15" s="24">
        <f>(((D15*Data!$C$34)+Data!$C$36)/51)*1000000</f>
        <v>69354.684692156865</v>
      </c>
      <c r="F15" s="25" t="s">
        <v>29</v>
      </c>
    </row>
    <row r="16" spans="2:11" ht="12.75" x14ac:dyDescent="0.2">
      <c r="B16" s="19" t="str">
        <f>Data!$F$4</f>
        <v>Elk Mountain</v>
      </c>
      <c r="C16" s="17" t="s">
        <v>10</v>
      </c>
      <c r="D16" s="22">
        <f t="shared" si="1"/>
        <v>37.083420000000004</v>
      </c>
      <c r="E16" s="24">
        <f>(((D16*Data!$F$34)+Data!$F$36)/27)*1000000</f>
        <v>68448.280777037027</v>
      </c>
      <c r="F16" s="25" t="s">
        <v>29</v>
      </c>
    </row>
    <row r="17" spans="2:6" ht="12.75" x14ac:dyDescent="0.2">
      <c r="B17" s="27" t="str">
        <f>Data!$I$4</f>
        <v xml:space="preserve">Jiminy Peak </v>
      </c>
      <c r="C17" s="41" t="s">
        <v>11</v>
      </c>
      <c r="D17" s="42">
        <f t="shared" si="1"/>
        <v>40.675280000000001</v>
      </c>
      <c r="E17" s="43">
        <f>(((D17*Data!$I$34)+Data!$I$36)/13)*1000000</f>
        <v>69752.703858461537</v>
      </c>
      <c r="F17" s="25" t="s">
        <v>29</v>
      </c>
    </row>
    <row r="19" spans="2:6" ht="12.75" x14ac:dyDescent="0.2">
      <c r="C19" s="100" t="s">
        <v>58</v>
      </c>
      <c r="D19" s="104"/>
      <c r="E19" s="101"/>
    </row>
    <row r="20" spans="2:6" ht="12.75" x14ac:dyDescent="0.2">
      <c r="B20" s="1" t="s">
        <v>2</v>
      </c>
      <c r="C20" s="44" t="s">
        <v>8</v>
      </c>
      <c r="D20" s="44" t="s">
        <v>61</v>
      </c>
      <c r="E20" s="45" t="s">
        <v>62</v>
      </c>
    </row>
    <row r="21" spans="2:6" ht="12.75" x14ac:dyDescent="0.2">
      <c r="B21" s="8" t="str">
        <f>Data!$C$4</f>
        <v>Bellyeare Mountain</v>
      </c>
      <c r="C21" s="46">
        <f>E5*$I$3*$I$6</f>
        <v>15639337.902999997</v>
      </c>
      <c r="D21" s="47">
        <f>(E10*I3)*I6</f>
        <v>14833197.314764705</v>
      </c>
      <c r="E21" s="49">
        <f>(E15*I3)*I6</f>
        <v>14564483.785352942</v>
      </c>
    </row>
    <row r="22" spans="2:6" ht="12.75" x14ac:dyDescent="0.2">
      <c r="B22" s="19" t="str">
        <f>Data!$F$4</f>
        <v>Elk Mountain</v>
      </c>
      <c r="C22" s="46">
        <f>(E6*$I$4*$I$6)</f>
        <v>15667206.963177776</v>
      </c>
      <c r="D22" s="47">
        <f>(E11*$I$4*$I$6)</f>
        <v>14697405.963177772</v>
      </c>
      <c r="E22" s="49">
        <f>(E16*$I$4*$I$6)</f>
        <v>14374138.963177776</v>
      </c>
    </row>
    <row r="23" spans="2:6" ht="12.75" x14ac:dyDescent="0.2">
      <c r="B23" s="27" t="str">
        <f>Data!$I$4</f>
        <v xml:space="preserve">Jiminy Peak </v>
      </c>
      <c r="C23" s="51">
        <f>(E7*I5*I6)</f>
        <v>15857842.271815384</v>
      </c>
      <c r="D23" s="52">
        <f>(E12*I5*I6)</f>
        <v>14950511.425661538</v>
      </c>
      <c r="E23" s="54">
        <f>(E17*I5*I6)</f>
        <v>14648067.810276924</v>
      </c>
    </row>
    <row r="25" spans="2:6" ht="12.75" x14ac:dyDescent="0.2">
      <c r="B25" s="1" t="s">
        <v>75</v>
      </c>
      <c r="C25" s="3" t="s">
        <v>76</v>
      </c>
    </row>
    <row r="26" spans="2:6" ht="12.75" x14ac:dyDescent="0.2">
      <c r="B26" s="8" t="str">
        <f>Data!$C$4</f>
        <v>Bellyeare Mountain</v>
      </c>
      <c r="C26" s="49">
        <f t="shared" ref="C26:C28" si="2">(C21*$I$9)+(D21*$I$10)+(E21*$I$11)</f>
        <v>14712276.22652941</v>
      </c>
    </row>
    <row r="27" spans="2:6" ht="12.75" x14ac:dyDescent="0.2">
      <c r="B27" s="19" t="str">
        <f>Data!$F$4</f>
        <v>Elk Mountain</v>
      </c>
      <c r="C27" s="49">
        <f t="shared" si="2"/>
        <v>14551935.813177774</v>
      </c>
    </row>
    <row r="28" spans="2:6" ht="12.75" x14ac:dyDescent="0.2">
      <c r="B28" s="27" t="str">
        <f>Data!$I$4</f>
        <v xml:space="preserve">Jiminy Peak </v>
      </c>
      <c r="C28" s="56">
        <f t="shared" si="2"/>
        <v>14814411.798738461</v>
      </c>
    </row>
    <row r="30" spans="2:6" ht="12.75" x14ac:dyDescent="0.2">
      <c r="B30" s="25" t="s">
        <v>79</v>
      </c>
    </row>
    <row r="31" spans="2:6" ht="12.75" x14ac:dyDescent="0.2">
      <c r="B31" s="25" t="s">
        <v>80</v>
      </c>
    </row>
    <row r="32" spans="2:6" ht="12.75" x14ac:dyDescent="0.2">
      <c r="B32" s="25" t="s">
        <v>81</v>
      </c>
    </row>
    <row r="33" spans="2:6" ht="15.75" customHeight="1" thickBot="1" x14ac:dyDescent="0.25"/>
    <row r="34" spans="2:6" ht="15.75" customHeight="1" thickBot="1" x14ac:dyDescent="0.3">
      <c r="B34" s="69"/>
      <c r="C34" s="105" t="s">
        <v>58</v>
      </c>
      <c r="D34" s="106"/>
      <c r="E34" s="107"/>
    </row>
    <row r="35" spans="2:6" ht="15.75" customHeight="1" x14ac:dyDescent="0.25">
      <c r="B35" s="70" t="s">
        <v>2</v>
      </c>
      <c r="C35" s="71" t="s">
        <v>8</v>
      </c>
      <c r="D35" s="71" t="s">
        <v>61</v>
      </c>
      <c r="E35" s="72" t="s">
        <v>62</v>
      </c>
    </row>
    <row r="36" spans="2:6" ht="15.75" customHeight="1" x14ac:dyDescent="0.25">
      <c r="B36" s="73" t="str">
        <f>Data!$C$4</f>
        <v>Bellyeare Mountain</v>
      </c>
      <c r="C36" s="74">
        <f>(SQRT((C21-$E$22)/($C$23-$E$22)))*100</f>
        <v>92.343403454337832</v>
      </c>
      <c r="D36" s="74">
        <f t="shared" ref="D36:E36" si="3">(SQRT((D21-$E$22)/($C$23-$E$22)))*100</f>
        <v>55.623769134691116</v>
      </c>
      <c r="E36" s="75">
        <f t="shared" si="3"/>
        <v>35.81764281033896</v>
      </c>
    </row>
    <row r="37" spans="2:6" ht="15.75" customHeight="1" x14ac:dyDescent="0.25">
      <c r="B37" s="73" t="str">
        <f>Data!$F$4</f>
        <v>Elk Mountain</v>
      </c>
      <c r="C37" s="74">
        <f t="shared" ref="C37:E37" si="4">(SQRT((C22-$E$22)/($C$23-$E$22)))*100</f>
        <v>93.354906759840148</v>
      </c>
      <c r="D37" s="74">
        <f t="shared" si="4"/>
        <v>46.677453379919811</v>
      </c>
      <c r="E37" s="75">
        <f t="shared" si="4"/>
        <v>0</v>
      </c>
    </row>
    <row r="38" spans="2:6" ht="15.75" customHeight="1" thickBot="1" x14ac:dyDescent="0.3">
      <c r="B38" s="76" t="str">
        <f>Data!$I$4</f>
        <v xml:space="preserve">Jiminy Peak </v>
      </c>
      <c r="C38" s="77">
        <f t="shared" ref="C38:E38" si="5">(SQRT((C23-$E$22)/($C$23-$E$22)))*100</f>
        <v>100</v>
      </c>
      <c r="D38" s="77">
        <f t="shared" si="5"/>
        <v>62.327266308618256</v>
      </c>
      <c r="E38" s="78">
        <f t="shared" si="5"/>
        <v>42.968021062264846</v>
      </c>
    </row>
    <row r="39" spans="2:6" ht="15.75" customHeight="1" thickBot="1" x14ac:dyDescent="0.25">
      <c r="B39" s="59"/>
      <c r="C39" s="60"/>
      <c r="D39" s="60"/>
      <c r="E39" s="60"/>
      <c r="F39" s="59"/>
    </row>
    <row r="40" spans="2:6" ht="15.75" customHeight="1" thickBot="1" x14ac:dyDescent="0.25">
      <c r="C40" s="100" t="s">
        <v>58</v>
      </c>
      <c r="D40" s="104"/>
      <c r="E40" s="101"/>
    </row>
    <row r="41" spans="2:6" ht="15.75" customHeight="1" x14ac:dyDescent="0.2">
      <c r="B41" s="1" t="s">
        <v>2</v>
      </c>
      <c r="C41" s="44" t="s">
        <v>8</v>
      </c>
      <c r="D41" s="44" t="s">
        <v>61</v>
      </c>
      <c r="E41" s="45" t="s">
        <v>62</v>
      </c>
    </row>
    <row r="42" spans="2:6" ht="15.75" customHeight="1" x14ac:dyDescent="0.2">
      <c r="B42" s="19" t="str">
        <f>Data!$C$4</f>
        <v>Bellyeare Mountain</v>
      </c>
      <c r="C42" s="63">
        <f>C36*$I$9</f>
        <v>4.6171701727168921</v>
      </c>
      <c r="D42" s="63">
        <f>D36*$I$10</f>
        <v>19.468319197141888</v>
      </c>
      <c r="E42" s="64">
        <f>E36*$I$11</f>
        <v>21.490585686203374</v>
      </c>
      <c r="F42" s="61">
        <f>SUM(C42:E42)</f>
        <v>45.576075056062152</v>
      </c>
    </row>
    <row r="43" spans="2:6" ht="15.75" customHeight="1" x14ac:dyDescent="0.2">
      <c r="B43" s="19" t="str">
        <f>Data!$F$4</f>
        <v>Elk Mountain</v>
      </c>
      <c r="C43" s="65">
        <f t="shared" ref="C43:C44" si="6">C37*$I$9</f>
        <v>4.6677453379920077</v>
      </c>
      <c r="D43" s="65">
        <f t="shared" ref="D43:D44" si="7">D37*$I$10</f>
        <v>16.337108682971934</v>
      </c>
      <c r="E43" s="66">
        <f t="shared" ref="E43:E44" si="8">E37*$I$11</f>
        <v>0</v>
      </c>
      <c r="F43" s="61">
        <f>SUM(C43:E43)</f>
        <v>21.00485402096394</v>
      </c>
    </row>
    <row r="44" spans="2:6" ht="15.75" customHeight="1" thickBot="1" x14ac:dyDescent="0.25">
      <c r="B44" s="37" t="str">
        <f>Data!$I$4</f>
        <v xml:space="preserve">Jiminy Peak </v>
      </c>
      <c r="C44" s="67">
        <f t="shared" si="6"/>
        <v>5</v>
      </c>
      <c r="D44" s="67">
        <f t="shared" si="7"/>
        <v>21.814543208016389</v>
      </c>
      <c r="E44" s="68">
        <f t="shared" si="8"/>
        <v>25.780812637358906</v>
      </c>
      <c r="F44" s="62">
        <f>SUM(F42:F43)</f>
        <v>66.580929077026099</v>
      </c>
    </row>
    <row r="46" spans="2:6" ht="15.75" customHeight="1" thickBot="1" x14ac:dyDescent="0.25"/>
    <row r="47" spans="2:6" ht="15.75" customHeight="1" thickBot="1" x14ac:dyDescent="0.25">
      <c r="B47" s="57"/>
      <c r="C47" s="100" t="s">
        <v>58</v>
      </c>
      <c r="D47" s="104"/>
      <c r="E47" s="101"/>
    </row>
    <row r="48" spans="2:6" ht="15.75" customHeight="1" x14ac:dyDescent="0.2">
      <c r="B48" s="58" t="s">
        <v>2</v>
      </c>
      <c r="C48" s="44" t="s">
        <v>8</v>
      </c>
      <c r="D48" s="44" t="s">
        <v>61</v>
      </c>
      <c r="E48" s="45" t="s">
        <v>62</v>
      </c>
    </row>
    <row r="49" spans="2:6" ht="15.75" customHeight="1" x14ac:dyDescent="0.2">
      <c r="B49" s="19" t="str">
        <f>Data!$C$4</f>
        <v>Bellyeare Mountain</v>
      </c>
      <c r="C49" s="79">
        <v>0.97</v>
      </c>
      <c r="D49" s="80">
        <v>0.85</v>
      </c>
      <c r="E49" s="81">
        <v>0.77</v>
      </c>
    </row>
    <row r="50" spans="2:6" ht="15.75" customHeight="1" x14ac:dyDescent="0.2">
      <c r="B50" s="19" t="str">
        <f>Data!$F$4</f>
        <v>Elk Mountain</v>
      </c>
      <c r="C50" s="79">
        <v>1</v>
      </c>
      <c r="D50" s="80">
        <v>0.97</v>
      </c>
      <c r="E50" s="81">
        <v>0.93</v>
      </c>
    </row>
    <row r="51" spans="2:6" ht="15.75" customHeight="1" thickBot="1" x14ac:dyDescent="0.25">
      <c r="B51" s="37" t="str">
        <f>Data!$I$4</f>
        <v xml:space="preserve">Jiminy Peak </v>
      </c>
      <c r="C51" s="82">
        <v>0.9</v>
      </c>
      <c r="D51" s="83">
        <v>0.66</v>
      </c>
      <c r="E51" s="84">
        <v>0.54</v>
      </c>
    </row>
    <row r="52" spans="2:6" ht="15.75" customHeight="1" thickBot="1" x14ac:dyDescent="0.25">
      <c r="B52" s="57"/>
      <c r="C52" s="57"/>
      <c r="D52" s="57"/>
      <c r="E52" s="57"/>
    </row>
    <row r="53" spans="2:6" s="57" customFormat="1" ht="15.75" customHeight="1" thickBot="1" x14ac:dyDescent="0.3">
      <c r="B53" s="69"/>
      <c r="C53" s="105" t="s">
        <v>58</v>
      </c>
      <c r="D53" s="106"/>
      <c r="E53" s="107"/>
    </row>
    <row r="54" spans="2:6" s="57" customFormat="1" ht="15.75" customHeight="1" x14ac:dyDescent="0.25">
      <c r="B54" s="70" t="s">
        <v>2</v>
      </c>
      <c r="C54" s="71" t="s">
        <v>8</v>
      </c>
      <c r="D54" s="71" t="s">
        <v>61</v>
      </c>
      <c r="E54" s="72" t="s">
        <v>62</v>
      </c>
    </row>
    <row r="55" spans="2:6" s="57" customFormat="1" ht="15.75" customHeight="1" x14ac:dyDescent="0.25">
      <c r="B55" s="73" t="str">
        <f>Data!$C$4</f>
        <v>Bellyeare Mountain</v>
      </c>
      <c r="C55" s="85">
        <f>C21*C49</f>
        <v>15170157.765909996</v>
      </c>
      <c r="D55" s="85">
        <f t="shared" ref="D55:E55" si="9">D21*D49</f>
        <v>12608217.717549998</v>
      </c>
      <c r="E55" s="86">
        <f t="shared" si="9"/>
        <v>11214652.514721766</v>
      </c>
    </row>
    <row r="56" spans="2:6" s="57" customFormat="1" ht="15.75" customHeight="1" x14ac:dyDescent="0.25">
      <c r="B56" s="73" t="str">
        <f>Data!$F$4</f>
        <v>Elk Mountain</v>
      </c>
      <c r="C56" s="85">
        <f t="shared" ref="C56:E57" si="10">C22*C50</f>
        <v>15667206.963177776</v>
      </c>
      <c r="D56" s="85">
        <f t="shared" si="10"/>
        <v>14256483.784282438</v>
      </c>
      <c r="E56" s="86">
        <f t="shared" si="10"/>
        <v>13367949.235755332</v>
      </c>
    </row>
    <row r="57" spans="2:6" s="57" customFormat="1" ht="15.75" customHeight="1" thickBot="1" x14ac:dyDescent="0.3">
      <c r="B57" s="76" t="str">
        <f>Data!$I$4</f>
        <v xml:space="preserve">Jiminy Peak </v>
      </c>
      <c r="C57" s="87">
        <f t="shared" si="10"/>
        <v>14272058.044633845</v>
      </c>
      <c r="D57" s="87">
        <f t="shared" si="10"/>
        <v>9867337.5409366153</v>
      </c>
      <c r="E57" s="88">
        <f t="shared" si="10"/>
        <v>7909956.6175495395</v>
      </c>
    </row>
    <row r="58" spans="2:6" s="57" customFormat="1" ht="15.75" customHeight="1" thickBot="1" x14ac:dyDescent="0.25"/>
    <row r="59" spans="2:6" ht="15.75" customHeight="1" x14ac:dyDescent="0.2">
      <c r="B59" s="58" t="s">
        <v>75</v>
      </c>
      <c r="C59" s="3" t="s">
        <v>76</v>
      </c>
      <c r="D59" s="57"/>
      <c r="E59" s="57"/>
    </row>
    <row r="60" spans="2:6" ht="15.75" customHeight="1" x14ac:dyDescent="0.2">
      <c r="B60" s="19" t="str">
        <f>Data!$C$4</f>
        <v>Bellyeare Mountain</v>
      </c>
      <c r="C60" s="49">
        <f t="shared" ref="C60:E62" si="11">(C55*$I$9)+(D55*$I$10)+(E55*$I$11)</f>
        <v>11900175.598271057</v>
      </c>
      <c r="D60" s="108">
        <f>C60/C26</f>
        <v>0.8088602616645052</v>
      </c>
      <c r="E60" s="49">
        <v>11900175.598271057</v>
      </c>
      <c r="F60" s="109">
        <f>1-D60</f>
        <v>0.1911397383354948</v>
      </c>
    </row>
    <row r="61" spans="2:6" ht="15.75" customHeight="1" x14ac:dyDescent="0.2">
      <c r="B61" s="19" t="str">
        <f>Data!$F$4</f>
        <v>Elk Mountain</v>
      </c>
      <c r="C61" s="49">
        <f t="shared" si="11"/>
        <v>13793899.214110941</v>
      </c>
      <c r="D61" s="108">
        <f t="shared" ref="D61:D62" si="12">C61/C27</f>
        <v>0.94790819525328174</v>
      </c>
      <c r="E61" s="49">
        <v>13793899.214110941</v>
      </c>
      <c r="F61" s="109">
        <f t="shared" ref="F61:F62" si="13">1-D61</f>
        <v>5.2091804746718262E-2</v>
      </c>
    </row>
    <row r="62" spans="2:6" ht="15.75" customHeight="1" thickBot="1" x14ac:dyDescent="0.25">
      <c r="B62" s="37" t="str">
        <f>Data!$I$4</f>
        <v xml:space="preserve">Jiminy Peak </v>
      </c>
      <c r="C62" s="56">
        <f t="shared" si="11"/>
        <v>8913145.012089232</v>
      </c>
      <c r="D62" s="108">
        <f t="shared" si="12"/>
        <v>0.6016536554524724</v>
      </c>
      <c r="E62" s="56">
        <v>8913145.012089232</v>
      </c>
      <c r="F62" s="109">
        <f t="shared" si="13"/>
        <v>0.3983463445475276</v>
      </c>
    </row>
  </sheetData>
  <mergeCells count="10">
    <mergeCell ref="B2:E2"/>
    <mergeCell ref="B3:E3"/>
    <mergeCell ref="B8:E8"/>
    <mergeCell ref="H8:I8"/>
    <mergeCell ref="B13:E13"/>
    <mergeCell ref="C47:E47"/>
    <mergeCell ref="C53:E53"/>
    <mergeCell ref="C19:E19"/>
    <mergeCell ref="C34:E34"/>
    <mergeCell ref="C40:E40"/>
  </mergeCells>
  <conditionalFormatting sqref="C36:E38">
    <cfRule type="colorScale" priority="2">
      <colorScale>
        <cfvo type="min"/>
        <cfvo type="percentile" val="50"/>
        <cfvo type="max"/>
        <color rgb="FFF8696B"/>
        <color theme="6" tint="0.79998168889431442"/>
        <color theme="7" tint="0.79998168889431442"/>
      </colorScale>
    </cfRule>
  </conditionalFormatting>
  <conditionalFormatting sqref="C55:E57">
    <cfRule type="colorScale" priority="1">
      <colorScale>
        <cfvo type="min"/>
        <cfvo type="percentile" val="50"/>
        <cfvo type="max"/>
        <color rgb="FFF8696B"/>
        <color theme="6" tint="0.79998168889431442"/>
        <color theme="7" tint="0.79998168889431442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Vélez Duque</cp:lastModifiedBy>
  <dcterms:modified xsi:type="dcterms:W3CDTF">2019-12-02T06:00:15Z</dcterms:modified>
</cp:coreProperties>
</file>