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jar\Documents\JARDA\Finance\AKCIE\"/>
    </mc:Choice>
  </mc:AlternateContent>
  <xr:revisionPtr revIDLastSave="0" documentId="13_ncr:1_{2F0C814E-D7BB-4DD9-901E-5325CF86A4D4}" xr6:coauthVersionLast="47" xr6:coauthVersionMax="47" xr10:uidLastSave="{00000000-0000-0000-0000-000000000000}"/>
  <bookViews>
    <workbookView xWindow="-108" yWindow="-108" windowWidth="23256" windowHeight="12456" tabRatio="978" xr2:uid="{505029EA-1E41-4290-8D10-0D4D53A91278}"/>
  </bookViews>
  <sheets>
    <sheet name="Bilance" sheetId="19" r:id="rId1"/>
    <sheet name="ČEZ" sheetId="1" r:id="rId2"/>
    <sheet name="KB" sheetId="5" r:id="rId3"/>
    <sheet name="DSPW" sheetId="29" r:id="rId4"/>
    <sheet name="OE" sheetId="25" r:id="rId5"/>
    <sheet name="RWE" sheetId="3" r:id="rId6"/>
    <sheet name="FNMA" sheetId="4" r:id="rId7"/>
    <sheet name="BP" sheetId="21" r:id="rId8"/>
    <sheet name="PBA" sheetId="24" r:id="rId9"/>
    <sheet name="NLY" sheetId="22" r:id="rId10"/>
    <sheet name="PFE" sheetId="26" r:id="rId11"/>
    <sheet name="NVDA" sheetId="27" r:id="rId12"/>
    <sheet name="ERSTE + 57 748 Kč" sheetId="7" r:id="rId13"/>
    <sheet name="MMB + 10 674 Kč" sheetId="18" r:id="rId14"/>
    <sheet name="FIX - 26 867 Kč" sheetId="15" r:id="rId15"/>
    <sheet name="VNTR -2 455,93 USD" sheetId="2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3" l="1"/>
  <c r="G14" i="25"/>
  <c r="E26" i="19"/>
  <c r="G8" i="22"/>
  <c r="G7" i="22"/>
  <c r="N12" i="22"/>
  <c r="G4" i="27"/>
  <c r="F20" i="29"/>
  <c r="Q5" i="27"/>
  <c r="N5" i="27"/>
  <c r="Q9" i="24"/>
  <c r="N9" i="24"/>
  <c r="Q12" i="21"/>
  <c r="N12" i="21"/>
  <c r="N17" i="1"/>
  <c r="O17" i="1" s="1"/>
  <c r="N6" i="26"/>
  <c r="Q6" i="26" s="1"/>
  <c r="S6" i="26" s="1"/>
  <c r="G6" i="19"/>
  <c r="E6" i="19"/>
  <c r="F19" i="29"/>
  <c r="E19" i="29"/>
  <c r="C19" i="29"/>
  <c r="H20" i="29"/>
  <c r="G4" i="29"/>
  <c r="G3" i="29"/>
  <c r="G2" i="29"/>
  <c r="N11" i="22"/>
  <c r="O11" i="22" s="1"/>
  <c r="G6" i="22"/>
  <c r="N8" i="24"/>
  <c r="Q8" i="24" s="1"/>
  <c r="Q4" i="27"/>
  <c r="N4" i="27"/>
  <c r="N11" i="21"/>
  <c r="Q11" i="21" s="1"/>
  <c r="S5" i="26"/>
  <c r="Q5" i="26"/>
  <c r="N5" i="26"/>
  <c r="Q10" i="22"/>
  <c r="N10" i="22"/>
  <c r="N3" i="27"/>
  <c r="Q3" i="27" s="1"/>
  <c r="N7" i="24"/>
  <c r="Q7" i="24" s="1"/>
  <c r="N10" i="21"/>
  <c r="Q10" i="21" s="1"/>
  <c r="N4" i="26"/>
  <c r="Q4" i="26" s="1"/>
  <c r="S4" i="26" s="1"/>
  <c r="F19" i="15"/>
  <c r="D19" i="15"/>
  <c r="N11" i="3"/>
  <c r="G5" i="27"/>
  <c r="P16" i="1"/>
  <c r="Q9" i="22"/>
  <c r="N9" i="22"/>
  <c r="Q6" i="24"/>
  <c r="N9" i="21"/>
  <c r="Q9" i="21" s="1"/>
  <c r="Q11" i="22" l="1"/>
  <c r="O12" i="22"/>
  <c r="Q12" i="22" s="1"/>
  <c r="Q17" i="1"/>
  <c r="B6" i="19"/>
  <c r="D6" i="19" s="1"/>
  <c r="F6" i="19" s="1"/>
  <c r="G19" i="29"/>
  <c r="G20" i="29" s="1"/>
  <c r="Q11" i="3"/>
  <c r="S11" i="3" s="1"/>
  <c r="N3" i="26"/>
  <c r="Q3" i="26" s="1"/>
  <c r="S3" i="26" s="1"/>
  <c r="D33" i="19"/>
  <c r="D36" i="19" s="1"/>
  <c r="E8" i="19"/>
  <c r="G7" i="15"/>
  <c r="G3" i="27"/>
  <c r="E28" i="19" s="1"/>
  <c r="G6" i="15"/>
  <c r="G5" i="15"/>
  <c r="G4" i="15"/>
  <c r="F9" i="27"/>
  <c r="H10" i="27"/>
  <c r="E9" i="27"/>
  <c r="F10" i="27" s="1"/>
  <c r="C9" i="27"/>
  <c r="N2" i="27"/>
  <c r="Q2" i="27" s="1"/>
  <c r="G2" i="27"/>
  <c r="N8" i="22"/>
  <c r="Q8" i="22" s="1"/>
  <c r="N10" i="3"/>
  <c r="O10" i="3" s="1"/>
  <c r="G12" i="5"/>
  <c r="G13" i="5"/>
  <c r="G14" i="5"/>
  <c r="G15" i="5"/>
  <c r="G12" i="7"/>
  <c r="G11" i="7"/>
  <c r="G5" i="22"/>
  <c r="Q5" i="24"/>
  <c r="M5" i="24"/>
  <c r="N8" i="21"/>
  <c r="Q8" i="21" s="1"/>
  <c r="G33" i="1"/>
  <c r="G4" i="22"/>
  <c r="N16" i="1"/>
  <c r="G32" i="1"/>
  <c r="G5" i="18"/>
  <c r="E7" i="19"/>
  <c r="N7" i="5"/>
  <c r="N6" i="5"/>
  <c r="O6" i="5" s="1"/>
  <c r="N7" i="22"/>
  <c r="O7" i="22"/>
  <c r="N4" i="18"/>
  <c r="O4" i="18" s="1"/>
  <c r="F10" i="26"/>
  <c r="H11" i="26"/>
  <c r="E10" i="26"/>
  <c r="B27" i="19" s="1"/>
  <c r="D27" i="19" s="1"/>
  <c r="H27" i="19" s="1"/>
  <c r="C10" i="26"/>
  <c r="N2" i="26"/>
  <c r="Q2" i="26" s="1"/>
  <c r="G2" i="26"/>
  <c r="F9" i="20"/>
  <c r="E23" i="19"/>
  <c r="Q4" i="24"/>
  <c r="N7" i="21"/>
  <c r="Q7" i="21" s="1"/>
  <c r="I6" i="25"/>
  <c r="O6" i="22"/>
  <c r="N6" i="22"/>
  <c r="G8" i="20"/>
  <c r="Q3" i="24"/>
  <c r="N6" i="21"/>
  <c r="Q6" i="21" s="1"/>
  <c r="G22" i="15"/>
  <c r="F22" i="15"/>
  <c r="P2" i="15"/>
  <c r="O9" i="25"/>
  <c r="O5" i="22"/>
  <c r="N5" i="22"/>
  <c r="N4" i="7"/>
  <c r="H31" i="1"/>
  <c r="G31" i="1"/>
  <c r="O8" i="25"/>
  <c r="I5" i="25"/>
  <c r="R7" i="25"/>
  <c r="O7" i="25"/>
  <c r="P7" i="25" s="1"/>
  <c r="R6" i="25"/>
  <c r="O6" i="25"/>
  <c r="P6" i="25" s="1"/>
  <c r="H2" i="25"/>
  <c r="E9" i="19" s="1"/>
  <c r="I4" i="25"/>
  <c r="I3" i="25"/>
  <c r="I2" i="25"/>
  <c r="P5" i="25"/>
  <c r="O5" i="25"/>
  <c r="R5" i="25" s="1"/>
  <c r="O4" i="25"/>
  <c r="P4" i="25" s="1"/>
  <c r="R4" i="25" s="1"/>
  <c r="O3" i="25"/>
  <c r="C14" i="25"/>
  <c r="O2" i="25"/>
  <c r="N5" i="21"/>
  <c r="Q5" i="21" s="1"/>
  <c r="S5" i="21" s="1"/>
  <c r="F12" i="24"/>
  <c r="H13" i="24"/>
  <c r="E12" i="24"/>
  <c r="C12" i="24"/>
  <c r="N2" i="24"/>
  <c r="Q2" i="24" s="1"/>
  <c r="G2" i="24"/>
  <c r="E25" i="19" s="1"/>
  <c r="N2" i="15"/>
  <c r="D18" i="15"/>
  <c r="F18" i="15" s="1"/>
  <c r="E22" i="19"/>
  <c r="E11" i="20"/>
  <c r="G7" i="20"/>
  <c r="G6" i="20"/>
  <c r="N9" i="3"/>
  <c r="O4" i="22"/>
  <c r="N4" i="22"/>
  <c r="S15" i="1"/>
  <c r="N15" i="1"/>
  <c r="O15" i="1" s="1"/>
  <c r="P3" i="22"/>
  <c r="N5" i="5"/>
  <c r="N4" i="21"/>
  <c r="Q4" i="21" s="1"/>
  <c r="S4" i="21" s="1"/>
  <c r="N3" i="18"/>
  <c r="E4" i="19" l="1"/>
  <c r="F11" i="26"/>
  <c r="O16" i="1"/>
  <c r="Q16" i="1" s="1"/>
  <c r="O9" i="3"/>
  <c r="Q9" i="3" s="1"/>
  <c r="S9" i="3" s="1"/>
  <c r="G9" i="27"/>
  <c r="G10" i="27" s="1"/>
  <c r="B28" i="19"/>
  <c r="D28" i="19" s="1"/>
  <c r="H28" i="19" s="1"/>
  <c r="Q10" i="27"/>
  <c r="S2" i="27"/>
  <c r="Q10" i="3"/>
  <c r="S10" i="3" s="1"/>
  <c r="Q13" i="24"/>
  <c r="G25" i="19" s="1"/>
  <c r="Q7" i="22"/>
  <c r="Q5" i="22"/>
  <c r="Q6" i="22"/>
  <c r="O7" i="5"/>
  <c r="P7" i="5" s="1"/>
  <c r="P6" i="5"/>
  <c r="Q6" i="5" s="1"/>
  <c r="Q4" i="18"/>
  <c r="G10" i="26"/>
  <c r="G11" i="26" s="1"/>
  <c r="E27" i="19"/>
  <c r="F27" i="19" s="1"/>
  <c r="Q11" i="26"/>
  <c r="G27" i="19" s="1"/>
  <c r="S2" i="26"/>
  <c r="Q4" i="22"/>
  <c r="P8" i="25"/>
  <c r="R8" i="25" s="1"/>
  <c r="P9" i="25"/>
  <c r="R9" i="25" s="1"/>
  <c r="O4" i="7"/>
  <c r="P3" i="25"/>
  <c r="R3" i="25" s="1"/>
  <c r="P2" i="25"/>
  <c r="R2" i="25" s="1"/>
  <c r="B9" i="19"/>
  <c r="D9" i="19" s="1"/>
  <c r="F9" i="19" s="1"/>
  <c r="H14" i="25"/>
  <c r="H15" i="25" s="1"/>
  <c r="G12" i="24"/>
  <c r="G13" i="24" s="1"/>
  <c r="B25" i="19"/>
  <c r="D25" i="19" s="1"/>
  <c r="F13" i="24"/>
  <c r="S2" i="24"/>
  <c r="S13" i="24" s="1"/>
  <c r="O2" i="15"/>
  <c r="Q2" i="15" s="1"/>
  <c r="Q11" i="15" s="1"/>
  <c r="Q15" i="1"/>
  <c r="O5" i="5"/>
  <c r="P5" i="5" s="1"/>
  <c r="O3" i="18"/>
  <c r="Q3" i="18" s="1"/>
  <c r="G11" i="5"/>
  <c r="N3" i="22"/>
  <c r="Q3" i="22" s="1"/>
  <c r="G5" i="20"/>
  <c r="N3" i="7"/>
  <c r="S14" i="1"/>
  <c r="S8" i="1"/>
  <c r="S7" i="1"/>
  <c r="S6" i="1"/>
  <c r="S5" i="1"/>
  <c r="S4" i="1"/>
  <c r="S3" i="1"/>
  <c r="N4" i="5"/>
  <c r="G4" i="20"/>
  <c r="N3" i="21"/>
  <c r="Q3" i="21" s="1"/>
  <c r="G3" i="22"/>
  <c r="N2" i="22"/>
  <c r="Q2" i="22" s="1"/>
  <c r="S2" i="22" s="1"/>
  <c r="F16" i="22"/>
  <c r="N2" i="21"/>
  <c r="Q2" i="21" s="1"/>
  <c r="S2" i="21" s="1"/>
  <c r="H17" i="22"/>
  <c r="E16" i="22"/>
  <c r="F17" i="22" s="1"/>
  <c r="C16" i="22"/>
  <c r="G2" i="22"/>
  <c r="G30" i="1"/>
  <c r="F17" i="15"/>
  <c r="D17" i="15"/>
  <c r="F15" i="21"/>
  <c r="H16" i="21"/>
  <c r="E15" i="21"/>
  <c r="C15" i="21"/>
  <c r="G2" i="21"/>
  <c r="E24" i="19" s="1"/>
  <c r="G6" i="4"/>
  <c r="G10" i="7"/>
  <c r="G3" i="20"/>
  <c r="G5" i="4"/>
  <c r="F10" i="4"/>
  <c r="F11" i="20"/>
  <c r="H12" i="20"/>
  <c r="B23" i="19"/>
  <c r="D23" i="19" s="1"/>
  <c r="C11" i="20"/>
  <c r="G2" i="20"/>
  <c r="G29" i="1"/>
  <c r="L26" i="7"/>
  <c r="G4" i="18"/>
  <c r="C10" i="4"/>
  <c r="C13" i="3"/>
  <c r="C10" i="15"/>
  <c r="C13" i="18"/>
  <c r="C19" i="5"/>
  <c r="C15" i="7"/>
  <c r="C37" i="1"/>
  <c r="F13" i="3"/>
  <c r="F10" i="15"/>
  <c r="F13" i="18"/>
  <c r="F19" i="5"/>
  <c r="F15" i="7"/>
  <c r="F37" i="1"/>
  <c r="Q20" i="29" l="1"/>
  <c r="I20" i="29" s="1"/>
  <c r="F25" i="19"/>
  <c r="H25" i="19"/>
  <c r="F28" i="19"/>
  <c r="I13" i="24"/>
  <c r="I10" i="27"/>
  <c r="G28" i="19"/>
  <c r="Q7" i="5"/>
  <c r="I11" i="26"/>
  <c r="P4" i="7"/>
  <c r="Q4" i="7" s="1"/>
  <c r="S4" i="7" s="1"/>
  <c r="R15" i="25"/>
  <c r="G9" i="19" s="1"/>
  <c r="G8" i="19"/>
  <c r="Q5" i="5"/>
  <c r="O3" i="7"/>
  <c r="P3" i="7" s="1"/>
  <c r="O4" i="5"/>
  <c r="S3" i="21"/>
  <c r="S16" i="21" s="1"/>
  <c r="Q16" i="21"/>
  <c r="G24" i="19" s="1"/>
  <c r="G16" i="22"/>
  <c r="G17" i="22" s="1"/>
  <c r="Q17" i="22"/>
  <c r="G26" i="19" s="1"/>
  <c r="G15" i="21"/>
  <c r="G16" i="21" s="1"/>
  <c r="B26" i="19"/>
  <c r="D26" i="19" s="1"/>
  <c r="B24" i="19"/>
  <c r="D24" i="19" s="1"/>
  <c r="F16" i="21"/>
  <c r="G11" i="20"/>
  <c r="G12" i="20" s="1"/>
  <c r="I12" i="20" s="1"/>
  <c r="F26" i="19" l="1"/>
  <c r="H26" i="19"/>
  <c r="F24" i="19"/>
  <c r="H24" i="19"/>
  <c r="G30" i="19"/>
  <c r="G31" i="19" s="1"/>
  <c r="F23" i="19"/>
  <c r="E30" i="19"/>
  <c r="E31" i="19" s="1"/>
  <c r="J15" i="25"/>
  <c r="I17" i="22"/>
  <c r="I16" i="21"/>
  <c r="P4" i="5"/>
  <c r="Q4" i="5" s="1"/>
  <c r="Q3" i="7"/>
  <c r="S3" i="7" s="1"/>
  <c r="N8" i="3"/>
  <c r="Q8" i="3" s="1"/>
  <c r="S8" i="3" s="1"/>
  <c r="G10" i="5"/>
  <c r="G3" i="18"/>
  <c r="G9" i="7"/>
  <c r="H14" i="18"/>
  <c r="E13" i="18"/>
  <c r="F14" i="18" s="1"/>
  <c r="N2" i="18"/>
  <c r="O2" i="18" s="1"/>
  <c r="Q2" i="18" s="1"/>
  <c r="G2" i="18"/>
  <c r="G8" i="7"/>
  <c r="G7" i="7"/>
  <c r="N2" i="7"/>
  <c r="G6" i="7"/>
  <c r="H9" i="5"/>
  <c r="G5" i="7"/>
  <c r="G4" i="7"/>
  <c r="G28" i="1"/>
  <c r="G9" i="5"/>
  <c r="N3" i="5"/>
  <c r="G8" i="5"/>
  <c r="G7" i="5"/>
  <c r="G6" i="5"/>
  <c r="N14" i="1"/>
  <c r="H14" i="3"/>
  <c r="G27" i="1"/>
  <c r="H5" i="5"/>
  <c r="N2" i="5"/>
  <c r="G3" i="15"/>
  <c r="H11" i="15"/>
  <c r="E10" i="15"/>
  <c r="G2" i="15"/>
  <c r="G5" i="5"/>
  <c r="G26" i="1"/>
  <c r="H26" i="1" s="1"/>
  <c r="G4" i="5"/>
  <c r="G25" i="1"/>
  <c r="G4" i="4"/>
  <c r="G24" i="1"/>
  <c r="S13" i="1"/>
  <c r="N7" i="3"/>
  <c r="Q7" i="3" s="1"/>
  <c r="S7" i="3" s="1"/>
  <c r="N6" i="3"/>
  <c r="Q6" i="3" s="1"/>
  <c r="S6" i="3" s="1"/>
  <c r="O2" i="7" l="1"/>
  <c r="P2" i="7"/>
  <c r="G32" i="19"/>
  <c r="O14" i="1"/>
  <c r="Q14" i="1" s="1"/>
  <c r="O2" i="5"/>
  <c r="P2" i="5" s="1"/>
  <c r="Q2" i="5" s="1"/>
  <c r="G10" i="15"/>
  <c r="G11" i="15" s="1"/>
  <c r="I11" i="15" s="1"/>
  <c r="B8" i="19"/>
  <c r="D8" i="19" s="1"/>
  <c r="F8" i="19" s="1"/>
  <c r="F11" i="15"/>
  <c r="G13" i="18"/>
  <c r="G14" i="18" s="1"/>
  <c r="B7" i="19"/>
  <c r="D7" i="19" s="1"/>
  <c r="Q14" i="18"/>
  <c r="G7" i="19" s="1"/>
  <c r="Q2" i="7"/>
  <c r="O3" i="5"/>
  <c r="R14" i="1" l="1"/>
  <c r="P3" i="5"/>
  <c r="Q3" i="5" s="1"/>
  <c r="F7" i="19"/>
  <c r="I14" i="18"/>
  <c r="Q16" i="7"/>
  <c r="S2" i="7"/>
  <c r="S16" i="7" s="1"/>
  <c r="G4" i="19" s="1"/>
  <c r="N13" i="1" l="1"/>
  <c r="O13" i="1" s="1"/>
  <c r="G23" i="1"/>
  <c r="G3" i="5"/>
  <c r="Q13" i="1" l="1"/>
  <c r="N2" i="3"/>
  <c r="Q2" i="3" s="1"/>
  <c r="S2" i="3" s="1"/>
  <c r="N5" i="3"/>
  <c r="Q5" i="3" s="1"/>
  <c r="S5" i="3" s="1"/>
  <c r="N4" i="3"/>
  <c r="Q4" i="3" s="1"/>
  <c r="S4" i="3" s="1"/>
  <c r="E15" i="7"/>
  <c r="H16" i="7"/>
  <c r="G3" i="7"/>
  <c r="G2" i="7"/>
  <c r="F16" i="7" l="1"/>
  <c r="B4" i="19"/>
  <c r="D4" i="19" s="1"/>
  <c r="F4" i="19" s="1"/>
  <c r="G15" i="7"/>
  <c r="G16" i="7" s="1"/>
  <c r="I16" i="7" s="1"/>
  <c r="S38" i="1"/>
  <c r="N12" i="1"/>
  <c r="O12" i="1" s="1"/>
  <c r="G22" i="1"/>
  <c r="Q20" i="5"/>
  <c r="G5" i="19" s="1"/>
  <c r="E19" i="5"/>
  <c r="F20" i="5" s="1"/>
  <c r="H20" i="5"/>
  <c r="G2" i="5"/>
  <c r="E5" i="19" s="1"/>
  <c r="N11" i="1"/>
  <c r="O11" i="1" s="1"/>
  <c r="Q11" i="1" s="1"/>
  <c r="N10" i="1"/>
  <c r="O10" i="1" s="1"/>
  <c r="Q10" i="1" s="1"/>
  <c r="N9" i="1"/>
  <c r="N8" i="1"/>
  <c r="N7" i="1"/>
  <c r="O7" i="1" s="1"/>
  <c r="Q7" i="1" s="1"/>
  <c r="N6" i="1"/>
  <c r="O6" i="1" s="1"/>
  <c r="Q6" i="1" s="1"/>
  <c r="N5" i="1"/>
  <c r="N4" i="1"/>
  <c r="N3" i="1"/>
  <c r="O3" i="1" s="1"/>
  <c r="Q3" i="1" s="1"/>
  <c r="N2" i="1"/>
  <c r="O2" i="1" s="1"/>
  <c r="Q2" i="1" s="1"/>
  <c r="N3" i="3"/>
  <c r="Q3" i="3" s="1"/>
  <c r="H21" i="1"/>
  <c r="H38" i="1" s="1"/>
  <c r="E37" i="1"/>
  <c r="E13" i="3"/>
  <c r="G3" i="3"/>
  <c r="H11" i="4"/>
  <c r="E10" i="4"/>
  <c r="G3" i="4"/>
  <c r="G2" i="4"/>
  <c r="G2" i="3"/>
  <c r="E15" i="19" s="1"/>
  <c r="E17" i="19" s="1"/>
  <c r="E18" i="19" s="1"/>
  <c r="G19" i="1"/>
  <c r="Q14" i="3" l="1"/>
  <c r="G15" i="19" s="1"/>
  <c r="G17" i="19" s="1"/>
  <c r="S3" i="3"/>
  <c r="S14" i="3" s="1"/>
  <c r="B22" i="19"/>
  <c r="D22" i="19" s="1"/>
  <c r="H22" i="19" s="1"/>
  <c r="F11" i="4"/>
  <c r="G10" i="4"/>
  <c r="G11" i="4" s="1"/>
  <c r="I11" i="4" s="1"/>
  <c r="I12" i="4" s="1"/>
  <c r="G13" i="3"/>
  <c r="G14" i="3" s="1"/>
  <c r="F14" i="3"/>
  <c r="B15" i="19"/>
  <c r="D15" i="19" s="1"/>
  <c r="D17" i="19" s="1"/>
  <c r="G37" i="1"/>
  <c r="B3" i="19"/>
  <c r="D3" i="19" s="1"/>
  <c r="G19" i="5"/>
  <c r="G20" i="5" s="1"/>
  <c r="I20" i="5" s="1"/>
  <c r="B5" i="19"/>
  <c r="D5" i="19" s="1"/>
  <c r="O4" i="1"/>
  <c r="Q4" i="1" s="1"/>
  <c r="O8" i="1"/>
  <c r="Q8" i="1" s="1"/>
  <c r="O5" i="1"/>
  <c r="Q5" i="1" s="1"/>
  <c r="O9" i="1"/>
  <c r="Q9" i="1" s="1"/>
  <c r="Q12" i="1"/>
  <c r="G21" i="1"/>
  <c r="G19" i="19" l="1"/>
  <c r="G18" i="19"/>
  <c r="F17" i="19"/>
  <c r="F18" i="19" s="1"/>
  <c r="D18" i="19"/>
  <c r="I14" i="3"/>
  <c r="F22" i="19"/>
  <c r="F30" i="19" s="1"/>
  <c r="F31" i="19" s="1"/>
  <c r="D30" i="19"/>
  <c r="F38" i="1"/>
  <c r="Q38" i="1"/>
  <c r="G3" i="19" s="1"/>
  <c r="G11" i="19" s="1"/>
  <c r="F5" i="19"/>
  <c r="D11" i="19"/>
  <c r="F19" i="19" l="1"/>
  <c r="H17" i="19"/>
  <c r="H19" i="19" s="1"/>
  <c r="D31" i="19"/>
  <c r="D37" i="19" s="1"/>
  <c r="H30" i="19"/>
  <c r="H32" i="19" s="1"/>
  <c r="F32" i="19"/>
  <c r="G18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" i="19" s="1"/>
  <c r="G38" i="1" l="1"/>
  <c r="I38" i="1" s="1"/>
  <c r="E11" i="19" l="1"/>
  <c r="G12" i="19" s="1"/>
  <c r="F3" i="19"/>
  <c r="F11" i="19" s="1"/>
  <c r="F15" i="19"/>
  <c r="F12" i="19" l="1"/>
  <c r="H11" i="19"/>
  <c r="H12" i="19" s="1"/>
</calcChain>
</file>

<file path=xl/sharedStrings.xml><?xml version="1.0" encoding="utf-8"?>
<sst xmlns="http://schemas.openxmlformats.org/spreadsheetml/2006/main" count="581" uniqueCount="99">
  <si>
    <t>Datum</t>
  </si>
  <si>
    <t>Cenný papír</t>
  </si>
  <si>
    <t>Množství</t>
  </si>
  <si>
    <t>Kurz</t>
  </si>
  <si>
    <t>Objem v Kč</t>
  </si>
  <si>
    <t>Poplatek</t>
  </si>
  <si>
    <t>Datum dividendy</t>
  </si>
  <si>
    <t>Rok</t>
  </si>
  <si>
    <t>Dividenda</t>
  </si>
  <si>
    <t>Nákup</t>
  </si>
  <si>
    <t>ČEZ</t>
  </si>
  <si>
    <t>ISIN</t>
  </si>
  <si>
    <t>CZ0005112300</t>
  </si>
  <si>
    <t>obchod</t>
  </si>
  <si>
    <t>Prodej</t>
  </si>
  <si>
    <t>Převod</t>
  </si>
  <si>
    <t>ze SAXO do FIO</t>
  </si>
  <si>
    <t>Daň z prodeje</t>
  </si>
  <si>
    <t xml:space="preserve"> </t>
  </si>
  <si>
    <t>Převod 40 ks</t>
  </si>
  <si>
    <t>RWE</t>
  </si>
  <si>
    <t>DE0007037129</t>
  </si>
  <si>
    <t>Převod 60 ks</t>
  </si>
  <si>
    <t>Objem v EUR</t>
  </si>
  <si>
    <t>FNMA</t>
  </si>
  <si>
    <t>US3135861090</t>
  </si>
  <si>
    <t>Převod 100 ks</t>
  </si>
  <si>
    <t>Aktuální hodnota</t>
  </si>
  <si>
    <t>Daň</t>
  </si>
  <si>
    <t>Vyplaceno</t>
  </si>
  <si>
    <t>Tonča - 60 ks</t>
  </si>
  <si>
    <t>KB</t>
  </si>
  <si>
    <t>CZ0008019106</t>
  </si>
  <si>
    <t>Objem v USD</t>
  </si>
  <si>
    <t>ERSTE</t>
  </si>
  <si>
    <t>AT0000652011</t>
  </si>
  <si>
    <t>Popl.</t>
  </si>
  <si>
    <t>FIX</t>
  </si>
  <si>
    <t>CZ0009011086</t>
  </si>
  <si>
    <t>Výplata v Kč</t>
  </si>
  <si>
    <t>MMB</t>
  </si>
  <si>
    <t>CZ0008040318</t>
  </si>
  <si>
    <t>Průměr</t>
  </si>
  <si>
    <t>ks</t>
  </si>
  <si>
    <t>cena</t>
  </si>
  <si>
    <t>Hodnota</t>
  </si>
  <si>
    <t>Zisk / Ztráta</t>
  </si>
  <si>
    <t>Daň - 26,37 %</t>
  </si>
  <si>
    <t>Patrik</t>
  </si>
  <si>
    <t>Daň - 27,5 %</t>
  </si>
  <si>
    <t>VENATOR</t>
  </si>
  <si>
    <t>VNTR</t>
  </si>
  <si>
    <t>GB00BF3ZNS54</t>
  </si>
  <si>
    <t>kurz</t>
  </si>
  <si>
    <t>BP</t>
  </si>
  <si>
    <t>Zisk 2021</t>
  </si>
  <si>
    <t>č. zisk</t>
  </si>
  <si>
    <t>počet akcií</t>
  </si>
  <si>
    <t>na 1 akcii</t>
  </si>
  <si>
    <t>já</t>
  </si>
  <si>
    <t>můj podíl</t>
  </si>
  <si>
    <t>zisk 2022</t>
  </si>
  <si>
    <t>zisk 2023</t>
  </si>
  <si>
    <t>zisk 2024</t>
  </si>
  <si>
    <t>zisk 2025</t>
  </si>
  <si>
    <t>NLY</t>
  </si>
  <si>
    <t xml:space="preserve">Daň </t>
  </si>
  <si>
    <t>2022 2Q</t>
  </si>
  <si>
    <t>2022 3Q</t>
  </si>
  <si>
    <t xml:space="preserve">2022 2Q </t>
  </si>
  <si>
    <t>Daň 15 %</t>
  </si>
  <si>
    <t>2022 4Q</t>
  </si>
  <si>
    <t>VNTRQ</t>
  </si>
  <si>
    <t>PBA</t>
  </si>
  <si>
    <t>OE</t>
  </si>
  <si>
    <t>příděl</t>
  </si>
  <si>
    <t>Jm. hodnota</t>
  </si>
  <si>
    <t>Nom. hodnota</t>
  </si>
  <si>
    <t>CZK</t>
  </si>
  <si>
    <t>EUR</t>
  </si>
  <si>
    <t>USD</t>
  </si>
  <si>
    <t>Dar</t>
  </si>
  <si>
    <t>Nerozdělený zisk minulých let</t>
  </si>
  <si>
    <t>2023 1Q</t>
  </si>
  <si>
    <t>2023 2Q</t>
  </si>
  <si>
    <t>VNTRF</t>
  </si>
  <si>
    <t>2023 3Q</t>
  </si>
  <si>
    <t>PFE</t>
  </si>
  <si>
    <t>2023 4Q</t>
  </si>
  <si>
    <t>NVDA</t>
  </si>
  <si>
    <t>2024 1Q</t>
  </si>
  <si>
    <t>2024 2Q</t>
  </si>
  <si>
    <t>2024 3Q</t>
  </si>
  <si>
    <t>DSPW</t>
  </si>
  <si>
    <t>CZ1008000310</t>
  </si>
  <si>
    <t>2024.4Q</t>
  </si>
  <si>
    <t>2024 4Q</t>
  </si>
  <si>
    <t>d</t>
  </si>
  <si>
    <t>2025 4Q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</si>
</sst>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#,##0\ &quot;Kč&quot;;[Red]\-#,##0\ &quot;Kč&quot;"/>
    <numFmt numFmtId="8" formatCode="#,##0.00\ &quot;Kč&quot;;[Red]\-#,##0.00\ &quot;Kč&quot;"/>
    <numFmt numFmtId="44" formatCode="_-* #,##0.00\ &quot;Kč&quot;_-;\-* #,##0.00\ &quot;Kč&quot;_-;_-* &quot;-&quot;??\ &quot;Kč&quot;_-;_-@_-"/>
    <numFmt numFmtId="43" formatCode="_-* #,##0.00_-;\-* #,##0.00_-;_-* &quot;-&quot;??_-;_-@_-"/>
    <numFmt numFmtId="165" formatCode="_-* #,##0.00\ [$€-1]_-;\-* #,##0.00\ [$€-1]_-;_-* &quot;-&quot;??\ [$€-1]_-;_-@_-"/>
    <numFmt numFmtId="166" formatCode="_-[$$-409]* #,##0.00_ ;_-[$$-409]* \-#,##0.00\ ;_-[$$-409]* &quot;-&quot;??_ ;_-@_ "/>
    <numFmt numFmtId="167" formatCode="_-* #,##0.000\ [$€-1]_-;\-* #,##0.000\ [$€-1]_-;_-* &quot;-&quot;??\ [$€-1]_-;_-@_-"/>
    <numFmt numFmtId="168" formatCode="_-* #,##0.00\ [$Kč-405]_-;\-* #,##0.00\ [$Kč-405]_-;_-* &quot;-&quot;??\ [$Kč-405]_-;_-@_-"/>
    <numFmt numFmtId="170" formatCode="_-* #,##0\ &quot;Kč&quot;_-;\-* #,##0\ &quot;Kč&quot;_-;_-* &quot;-&quot;??\ &quot;Kč&quot;_-;_-@_-"/>
    <numFmt numFmtId="171" formatCode="_-[$$-409]* #,##0.000_ ;_-[$$-409]* \-#,##0.000\ ;_-[$$-409]* &quot;-&quot;??_ ;_-@_ "/>
    <numFmt numFmtId="172" formatCode="_-[$$-409]* #,##0.0000_ ;_-[$$-409]* \-#,##0.0000\ ;_-[$$-409]* &quot;-&quot;??_ ;_-@_ "/>
    <numFmt numFmtId="176" formatCode="_-* #,##0.0000000\ &quot;Kč&quot;_-;\-* #,##0.0000000\ &quot;Kč&quot;_-;_-* &quot;-&quot;??\ &quot;Kč&quot;_-;_-@_-"/>
    <numFmt numFmtId="177" formatCode="#,##0.0000000\ &quot;Kč&quot;;[Red]\-#,##0.0000000\ &quot;Kč&quot;"/>
    <numFmt numFmtId="178" formatCode="_-* #,##0.0000000\ &quot;Kč&quot;_-;\-* #,##0.0000000\ &quot;Kč&quot;_-;_-* &quot;-&quot;???????\ &quot;Kč&quot;_-;_-@_-"/>
    <numFmt numFmtId="179" formatCode="_-* #,##0_-;\-* #,##0_-;_-* &quot;-&quot;??_-;_-@_-"/>
    <numFmt numFmtId="180" formatCode="[$$-409]#,##0.00_ ;[Red]\-[$$-409]#,##0.00\ "/>
    <numFmt numFmtId="181" formatCode="#,##0.00\ [$€-1];[Red]\-#,##0.00\ [$€-1]"/>
    <numFmt numFmtId="182" formatCode="[$$-409]#,##0.000_ ;[Red]\-[$$-409]#,##0.000\ "/>
    <numFmt numFmtId="183" formatCode="[$$-409]#,##0.00;[Red][$$-409]#,##0.00"/>
    <numFmt numFmtId="184" formatCode="#,##0.0\ &quot;Kč&quot;;[Red]\-#,##0.0\ &quot;Kč&quot;"/>
    <numFmt numFmtId="187" formatCode="_-* #,##0.000000\ &quot;Kč&quot;_-;\-* #,##0.000000\ &quot;Kč&quot;_-;_-* &quot;-&quot;??\ &quot;Kč&quot;_-;_-@_-"/>
    <numFmt numFmtId="188" formatCode="_-[$$-409]* #,##0.00000_ ;_-[$$-409]* \-#,##0.00000\ ;_-[$$-409]* &quot;-&quot;??_ ;_-@_ 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center"/>
    </xf>
    <xf numFmtId="166" fontId="3" fillId="0" borderId="0" xfId="1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4" fontId="2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17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8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8" fontId="3" fillId="0" borderId="0" xfId="0" applyNumberFormat="1" applyFont="1" applyAlignment="1">
      <alignment horizontal="right"/>
    </xf>
    <xf numFmtId="8" fontId="2" fillId="0" borderId="0" xfId="0" applyNumberFormat="1" applyFont="1" applyAlignment="1">
      <alignment horizontal="right"/>
    </xf>
    <xf numFmtId="6" fontId="0" fillId="0" borderId="0" xfId="0" applyNumberFormat="1" applyAlignment="1">
      <alignment horizontal="right"/>
    </xf>
    <xf numFmtId="6" fontId="3" fillId="0" borderId="0" xfId="0" applyNumberFormat="1" applyFont="1" applyAlignment="1">
      <alignment horizontal="right"/>
    </xf>
    <xf numFmtId="6" fontId="2" fillId="2" borderId="0" xfId="0" applyNumberFormat="1" applyFont="1" applyFill="1" applyAlignment="1">
      <alignment horizontal="right"/>
    </xf>
    <xf numFmtId="44" fontId="0" fillId="0" borderId="0" xfId="1" applyFont="1" applyAlignment="1">
      <alignment horizontal="right"/>
    </xf>
    <xf numFmtId="0" fontId="0" fillId="0" borderId="0" xfId="0" applyAlignment="1">
      <alignment horizontal="right"/>
    </xf>
    <xf numFmtId="166" fontId="3" fillId="0" borderId="0" xfId="0" applyNumberFormat="1" applyFont="1" applyAlignment="1">
      <alignment horizontal="right"/>
    </xf>
    <xf numFmtId="0" fontId="2" fillId="0" borderId="0" xfId="0" applyFont="1"/>
    <xf numFmtId="172" fontId="0" fillId="0" borderId="0" xfId="0" applyNumberFormat="1" applyAlignment="1">
      <alignment horizontal="center"/>
    </xf>
    <xf numFmtId="8" fontId="0" fillId="0" borderId="0" xfId="1" applyNumberFormat="1" applyFont="1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8" fontId="2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168" fontId="2" fillId="2" borderId="2" xfId="0" applyNumberFormat="1" applyFont="1" applyFill="1" applyBorder="1" applyAlignment="1">
      <alignment horizontal="right"/>
    </xf>
    <xf numFmtId="165" fontId="2" fillId="2" borderId="2" xfId="0" applyNumberFormat="1" applyFont="1" applyFill="1" applyBorder="1" applyAlignment="1">
      <alignment horizontal="center"/>
    </xf>
    <xf numFmtId="165" fontId="2" fillId="2" borderId="0" xfId="0" applyNumberFormat="1" applyFont="1" applyFill="1"/>
    <xf numFmtId="168" fontId="2" fillId="2" borderId="2" xfId="0" applyNumberFormat="1" applyFont="1" applyFill="1" applyBorder="1" applyAlignment="1">
      <alignment horizontal="center"/>
    </xf>
    <xf numFmtId="165" fontId="6" fillId="0" borderId="0" xfId="1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71" fontId="2" fillId="2" borderId="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4" fontId="2" fillId="0" borderId="0" xfId="0" applyNumberFormat="1" applyFont="1" applyAlignment="1">
      <alignment horizontal="center"/>
    </xf>
    <xf numFmtId="44" fontId="2" fillId="2" borderId="2" xfId="0" applyNumberFormat="1" applyFont="1" applyFill="1" applyBorder="1" applyAlignment="1">
      <alignment horizontal="right"/>
    </xf>
    <xf numFmtId="44" fontId="2" fillId="2" borderId="0" xfId="1" applyFont="1" applyFill="1" applyAlignment="1">
      <alignment horizontal="center"/>
    </xf>
    <xf numFmtId="44" fontId="5" fillId="0" borderId="0" xfId="1" applyFont="1" applyAlignment="1">
      <alignment horizontal="right"/>
    </xf>
    <xf numFmtId="8" fontId="0" fillId="0" borderId="0" xfId="0" applyNumberFormat="1"/>
    <xf numFmtId="165" fontId="0" fillId="0" borderId="0" xfId="1" applyNumberFormat="1" applyFont="1" applyAlignment="1">
      <alignment horizontal="right"/>
    </xf>
    <xf numFmtId="165" fontId="5" fillId="0" borderId="0" xfId="1" applyNumberFormat="1" applyFont="1" applyAlignment="1">
      <alignment horizontal="right"/>
    </xf>
    <xf numFmtId="165" fontId="2" fillId="2" borderId="0" xfId="1" applyNumberFormat="1" applyFont="1" applyFill="1" applyAlignment="1">
      <alignment horizontal="center"/>
    </xf>
    <xf numFmtId="168" fontId="0" fillId="0" borderId="0" xfId="1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68" fontId="5" fillId="0" borderId="0" xfId="1" applyNumberFormat="1" applyFont="1" applyAlignment="1">
      <alignment horizontal="right"/>
    </xf>
    <xf numFmtId="168" fontId="0" fillId="0" borderId="0" xfId="1" applyNumberFormat="1" applyFont="1" applyFill="1" applyAlignment="1">
      <alignment horizontal="right"/>
    </xf>
    <xf numFmtId="168" fontId="2" fillId="0" borderId="0" xfId="1" applyNumberFormat="1" applyFont="1" applyAlignment="1">
      <alignment horizontal="right"/>
    </xf>
    <xf numFmtId="168" fontId="5" fillId="2" borderId="0" xfId="1" applyNumberFormat="1" applyFont="1" applyFill="1" applyAlignment="1">
      <alignment horizontal="right"/>
    </xf>
    <xf numFmtId="168" fontId="0" fillId="0" borderId="1" xfId="0" applyNumberFormat="1" applyBorder="1" applyAlignment="1">
      <alignment horizontal="right"/>
    </xf>
    <xf numFmtId="168" fontId="0" fillId="0" borderId="1" xfId="1" applyNumberFormat="1" applyFont="1" applyBorder="1" applyAlignment="1">
      <alignment horizontal="right"/>
    </xf>
    <xf numFmtId="168" fontId="3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168" fontId="2" fillId="2" borderId="0" xfId="0" applyNumberFormat="1" applyFont="1" applyFill="1" applyAlignment="1">
      <alignment horizontal="right"/>
    </xf>
    <xf numFmtId="8" fontId="0" fillId="0" borderId="1" xfId="1" applyNumberFormat="1" applyFont="1" applyBorder="1" applyAlignment="1">
      <alignment horizontal="right"/>
    </xf>
    <xf numFmtId="8" fontId="3" fillId="0" borderId="0" xfId="1" applyNumberFormat="1" applyFont="1" applyAlignment="1">
      <alignment horizontal="right"/>
    </xf>
    <xf numFmtId="8" fontId="6" fillId="0" borderId="0" xfId="1" applyNumberFormat="1" applyFont="1" applyAlignment="1">
      <alignment horizontal="right"/>
    </xf>
    <xf numFmtId="165" fontId="5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0" fillId="0" borderId="6" xfId="0" applyBorder="1"/>
    <xf numFmtId="44" fontId="2" fillId="2" borderId="7" xfId="1" applyFont="1" applyFill="1" applyBorder="1"/>
    <xf numFmtId="44" fontId="0" fillId="0" borderId="5" xfId="1" applyFont="1" applyBorder="1"/>
    <xf numFmtId="8" fontId="0" fillId="0" borderId="5" xfId="1" applyNumberFormat="1" applyFont="1" applyBorder="1"/>
    <xf numFmtId="0" fontId="2" fillId="0" borderId="8" xfId="0" applyFont="1" applyBorder="1"/>
    <xf numFmtId="0" fontId="0" fillId="0" borderId="9" xfId="0" applyBorder="1"/>
    <xf numFmtId="44" fontId="2" fillId="2" borderId="10" xfId="1" applyFont="1" applyFill="1" applyBorder="1"/>
    <xf numFmtId="44" fontId="0" fillId="0" borderId="8" xfId="1" applyFont="1" applyBorder="1"/>
    <xf numFmtId="8" fontId="0" fillId="0" borderId="8" xfId="1" applyNumberFormat="1" applyFont="1" applyBorder="1"/>
    <xf numFmtId="0" fontId="2" fillId="0" borderId="11" xfId="0" applyFont="1" applyBorder="1"/>
    <xf numFmtId="0" fontId="0" fillId="0" borderId="12" xfId="0" applyBorder="1"/>
    <xf numFmtId="44" fontId="2" fillId="2" borderId="13" xfId="1" applyFont="1" applyFill="1" applyBorder="1"/>
    <xf numFmtId="44" fontId="0" fillId="0" borderId="11" xfId="1" applyFont="1" applyBorder="1"/>
    <xf numFmtId="8" fontId="0" fillId="0" borderId="11" xfId="1" applyNumberFormat="1" applyFont="1" applyBorder="1"/>
    <xf numFmtId="0" fontId="2" fillId="0" borderId="14" xfId="0" applyFont="1" applyBorder="1"/>
    <xf numFmtId="0" fontId="0" fillId="0" borderId="15" xfId="0" applyBorder="1"/>
    <xf numFmtId="44" fontId="2" fillId="2" borderId="16" xfId="1" applyFont="1" applyFill="1" applyBorder="1"/>
    <xf numFmtId="44" fontId="0" fillId="0" borderId="14" xfId="1" applyFont="1" applyBorder="1"/>
    <xf numFmtId="8" fontId="0" fillId="0" borderId="14" xfId="1" applyNumberFormat="1" applyFont="1" applyBorder="1"/>
    <xf numFmtId="44" fontId="2" fillId="0" borderId="0" xfId="1" applyFont="1"/>
    <xf numFmtId="44" fontId="2" fillId="0" borderId="17" xfId="1" applyFont="1" applyBorder="1"/>
    <xf numFmtId="8" fontId="2" fillId="0" borderId="17" xfId="1" applyNumberFormat="1" applyFont="1" applyBorder="1"/>
    <xf numFmtId="8" fontId="2" fillId="0" borderId="0" xfId="2" applyNumberFormat="1" applyFont="1"/>
    <xf numFmtId="10" fontId="2" fillId="0" borderId="0" xfId="2" applyNumberFormat="1" applyFont="1"/>
    <xf numFmtId="14" fontId="2" fillId="2" borderId="0" xfId="0" applyNumberFormat="1" applyFont="1" applyFill="1" applyAlignment="1">
      <alignment horizontal="center"/>
    </xf>
    <xf numFmtId="44" fontId="2" fillId="0" borderId="0" xfId="1" applyFont="1" applyFill="1" applyBorder="1"/>
    <xf numFmtId="44" fontId="0" fillId="0" borderId="0" xfId="1" applyFont="1" applyFill="1" applyBorder="1"/>
    <xf numFmtId="8" fontId="0" fillId="0" borderId="0" xfId="1" applyNumberFormat="1" applyFont="1" applyFill="1" applyBorder="1"/>
    <xf numFmtId="10" fontId="0" fillId="0" borderId="0" xfId="2" applyNumberFormat="1" applyFont="1"/>
    <xf numFmtId="166" fontId="5" fillId="2" borderId="0" xfId="0" applyNumberFormat="1" applyFont="1" applyFill="1" applyAlignment="1">
      <alignment horizontal="center"/>
    </xf>
    <xf numFmtId="44" fontId="1" fillId="0" borderId="0" xfId="1" applyFont="1" applyAlignment="1">
      <alignment horizontal="center"/>
    </xf>
    <xf numFmtId="176" fontId="6" fillId="0" borderId="0" xfId="1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72" fontId="2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14" fontId="0" fillId="0" borderId="0" xfId="0" applyNumberFormat="1"/>
    <xf numFmtId="44" fontId="6" fillId="0" borderId="0" xfId="1" applyFont="1" applyAlignment="1">
      <alignment horizontal="center"/>
    </xf>
    <xf numFmtId="178" fontId="6" fillId="0" borderId="0" xfId="0" applyNumberFormat="1" applyFont="1" applyAlignment="1">
      <alignment horizontal="center"/>
    </xf>
    <xf numFmtId="44" fontId="0" fillId="0" borderId="0" xfId="1" applyFont="1"/>
    <xf numFmtId="170" fontId="0" fillId="0" borderId="0" xfId="1" applyNumberFormat="1" applyFont="1"/>
    <xf numFmtId="179" fontId="0" fillId="0" borderId="0" xfId="3" applyNumberFormat="1" applyFont="1"/>
    <xf numFmtId="44" fontId="0" fillId="0" borderId="0" xfId="0" applyNumberFormat="1"/>
    <xf numFmtId="0" fontId="0" fillId="0" borderId="1" xfId="0" applyBorder="1"/>
    <xf numFmtId="180" fontId="6" fillId="0" borderId="11" xfId="1" applyNumberFormat="1" applyFont="1" applyBorder="1"/>
    <xf numFmtId="180" fontId="0" fillId="0" borderId="11" xfId="1" applyNumberFormat="1" applyFont="1" applyBorder="1"/>
    <xf numFmtId="180" fontId="3" fillId="0" borderId="11" xfId="1" applyNumberFormat="1" applyFont="1" applyBorder="1"/>
    <xf numFmtId="181" fontId="0" fillId="0" borderId="5" xfId="1" applyNumberFormat="1" applyFont="1" applyBorder="1"/>
    <xf numFmtId="181" fontId="3" fillId="0" borderId="5" xfId="1" applyNumberFormat="1" applyFont="1" applyBorder="1"/>
    <xf numFmtId="181" fontId="2" fillId="2" borderId="7" xfId="1" applyNumberFormat="1" applyFont="1" applyFill="1" applyBorder="1"/>
    <xf numFmtId="166" fontId="0" fillId="0" borderId="0" xfId="1" applyNumberFormat="1" applyFont="1" applyAlignment="1">
      <alignment horizontal="center"/>
    </xf>
    <xf numFmtId="181" fontId="0" fillId="0" borderId="5" xfId="1" applyNumberFormat="1" applyFont="1" applyBorder="1" applyAlignment="1">
      <alignment horizontal="right"/>
    </xf>
    <xf numFmtId="180" fontId="0" fillId="0" borderId="11" xfId="1" applyNumberFormat="1" applyFont="1" applyBorder="1" applyAlignment="1">
      <alignment horizontal="right"/>
    </xf>
    <xf numFmtId="183" fontId="0" fillId="0" borderId="11" xfId="1" applyNumberFormat="1" applyFont="1" applyBorder="1" applyAlignment="1">
      <alignment horizontal="right"/>
    </xf>
    <xf numFmtId="18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right"/>
    </xf>
    <xf numFmtId="8" fontId="5" fillId="0" borderId="0" xfId="0" applyNumberFormat="1" applyFont="1" applyAlignment="1">
      <alignment horizontal="center"/>
    </xf>
    <xf numFmtId="165" fontId="2" fillId="0" borderId="0" xfId="1" applyNumberFormat="1" applyFont="1" applyFill="1" applyBorder="1"/>
    <xf numFmtId="166" fontId="2" fillId="0" borderId="0" xfId="1" applyNumberFormat="1" applyFont="1" applyFill="1" applyBorder="1"/>
    <xf numFmtId="0" fontId="2" fillId="0" borderId="0" xfId="0" applyFont="1" applyAlignment="1">
      <alignment horizontal="left"/>
    </xf>
    <xf numFmtId="0" fontId="2" fillId="0" borderId="17" xfId="0" applyFont="1" applyBorder="1"/>
    <xf numFmtId="0" fontId="0" fillId="0" borderId="19" xfId="0" applyBorder="1"/>
    <xf numFmtId="181" fontId="2" fillId="2" borderId="20" xfId="1" applyNumberFormat="1" applyFont="1" applyFill="1" applyBorder="1"/>
    <xf numFmtId="181" fontId="0" fillId="0" borderId="17" xfId="1" applyNumberFormat="1" applyFont="1" applyBorder="1"/>
    <xf numFmtId="181" fontId="3" fillId="0" borderId="17" xfId="1" applyNumberFormat="1" applyFont="1" applyBorder="1"/>
    <xf numFmtId="181" fontId="0" fillId="0" borderId="14" xfId="1" applyNumberFormat="1" applyFont="1" applyBorder="1"/>
    <xf numFmtId="181" fontId="0" fillId="0" borderId="17" xfId="1" applyNumberFormat="1" applyFont="1" applyBorder="1" applyAlignment="1">
      <alignment horizontal="right"/>
    </xf>
    <xf numFmtId="0" fontId="2" fillId="0" borderId="18" xfId="0" applyFont="1" applyBorder="1"/>
    <xf numFmtId="181" fontId="0" fillId="0" borderId="0" xfId="1" applyNumberFormat="1" applyFont="1" applyBorder="1"/>
    <xf numFmtId="181" fontId="3" fillId="0" borderId="0" xfId="1" applyNumberFormat="1" applyFont="1" applyBorder="1"/>
    <xf numFmtId="180" fontId="0" fillId="0" borderId="5" xfId="1" applyNumberFormat="1" applyFont="1" applyBorder="1"/>
    <xf numFmtId="180" fontId="3" fillId="0" borderId="5" xfId="1" applyNumberFormat="1" applyFont="1" applyBorder="1"/>
    <xf numFmtId="180" fontId="6" fillId="0" borderId="21" xfId="1" applyNumberFormat="1" applyFont="1" applyBorder="1"/>
    <xf numFmtId="180" fontId="0" fillId="0" borderId="5" xfId="1" applyNumberFormat="1" applyFont="1" applyBorder="1" applyAlignment="1">
      <alignment horizontal="right"/>
    </xf>
    <xf numFmtId="182" fontId="2" fillId="2" borderId="16" xfId="1" applyNumberFormat="1" applyFont="1" applyFill="1" applyBorder="1"/>
    <xf numFmtId="180" fontId="0" fillId="0" borderId="14" xfId="1" applyNumberFormat="1" applyFont="1" applyBorder="1"/>
    <xf numFmtId="180" fontId="3" fillId="0" borderId="14" xfId="1" applyNumberFormat="1" applyFont="1" applyBorder="1"/>
    <xf numFmtId="180" fontId="6" fillId="0" borderId="14" xfId="1" applyNumberFormat="1" applyFont="1" applyBorder="1"/>
    <xf numFmtId="183" fontId="0" fillId="0" borderId="14" xfId="1" applyNumberFormat="1" applyFont="1" applyBorder="1" applyAlignment="1">
      <alignment horizontal="right"/>
    </xf>
    <xf numFmtId="181" fontId="2" fillId="0" borderId="18" xfId="1" applyNumberFormat="1" applyFont="1" applyFill="1" applyBorder="1"/>
    <xf numFmtId="181" fontId="2" fillId="0" borderId="0" xfId="1" applyNumberFormat="1" applyFont="1" applyFill="1" applyBorder="1"/>
    <xf numFmtId="181" fontId="2" fillId="0" borderId="2" xfId="1" applyNumberFormat="1" applyFont="1" applyBorder="1"/>
    <xf numFmtId="181" fontId="4" fillId="0" borderId="2" xfId="1" applyNumberFormat="1" applyFont="1" applyBorder="1"/>
    <xf numFmtId="181" fontId="2" fillId="0" borderId="2" xfId="1" applyNumberFormat="1" applyFont="1" applyBorder="1" applyAlignment="1">
      <alignment horizontal="right"/>
    </xf>
    <xf numFmtId="181" fontId="2" fillId="0" borderId="0" xfId="0" applyNumberFormat="1" applyFont="1"/>
    <xf numFmtId="44" fontId="2" fillId="0" borderId="18" xfId="1" applyFont="1" applyFill="1" applyBorder="1"/>
    <xf numFmtId="180" fontId="2" fillId="0" borderId="0" xfId="0" applyNumberFormat="1" applyFont="1"/>
    <xf numFmtId="180" fontId="2" fillId="0" borderId="2" xfId="1" applyNumberFormat="1" applyFont="1" applyBorder="1"/>
    <xf numFmtId="180" fontId="4" fillId="0" borderId="17" xfId="1" applyNumberFormat="1" applyFont="1" applyBorder="1"/>
    <xf numFmtId="180" fontId="2" fillId="0" borderId="17" xfId="1" applyNumberFormat="1" applyFont="1" applyBorder="1"/>
    <xf numFmtId="180" fontId="2" fillId="0" borderId="17" xfId="1" applyNumberFormat="1" applyFont="1" applyBorder="1" applyAlignment="1">
      <alignment horizontal="right"/>
    </xf>
    <xf numFmtId="44" fontId="2" fillId="2" borderId="0" xfId="1" applyFont="1" applyFill="1" applyBorder="1"/>
    <xf numFmtId="44" fontId="4" fillId="2" borderId="0" xfId="1" applyFont="1" applyFill="1"/>
    <xf numFmtId="187" fontId="0" fillId="0" borderId="0" xfId="1" applyNumberFormat="1" applyFont="1" applyAlignment="1">
      <alignment horizontal="center"/>
    </xf>
    <xf numFmtId="188" fontId="0" fillId="0" borderId="0" xfId="0" applyNumberFormat="1" applyAlignment="1">
      <alignment horizontal="center"/>
    </xf>
    <xf numFmtId="44" fontId="1" fillId="0" borderId="0" xfId="1" applyFont="1" applyFill="1" applyBorder="1"/>
    <xf numFmtId="44" fontId="1" fillId="0" borderId="0" xfId="1" applyFont="1" applyBorder="1"/>
    <xf numFmtId="44" fontId="3" fillId="0" borderId="0" xfId="1" applyFont="1" applyBorder="1"/>
    <xf numFmtId="44" fontId="1" fillId="0" borderId="0" xfId="1" applyFont="1" applyBorder="1" applyAlignment="1">
      <alignment horizontal="right"/>
    </xf>
    <xf numFmtId="181" fontId="0" fillId="0" borderId="0" xfId="0" applyNumberFormat="1"/>
    <xf numFmtId="180" fontId="0" fillId="0" borderId="0" xfId="0" applyNumberFormat="1"/>
    <xf numFmtId="44" fontId="1" fillId="0" borderId="0" xfId="1" applyFont="1"/>
    <xf numFmtId="44" fontId="2" fillId="2" borderId="0" xfId="0" applyNumberFormat="1" applyFont="1" applyFill="1"/>
    <xf numFmtId="44" fontId="4" fillId="0" borderId="0" xfId="1" applyFont="1"/>
    <xf numFmtId="180" fontId="2" fillId="2" borderId="7" xfId="1" applyNumberFormat="1" applyFont="1" applyFill="1" applyBorder="1"/>
    <xf numFmtId="180" fontId="2" fillId="2" borderId="10" xfId="1" applyNumberFormat="1" applyFont="1" applyFill="1" applyBorder="1"/>
    <xf numFmtId="180" fontId="2" fillId="2" borderId="13" xfId="1" applyNumberFormat="1" applyFont="1" applyFill="1" applyBorder="1"/>
    <xf numFmtId="14" fontId="0" fillId="2" borderId="0" xfId="0" applyNumberFormat="1" applyFill="1" applyAlignment="1">
      <alignment horizontal="center"/>
    </xf>
    <xf numFmtId="44" fontId="0" fillId="2" borderId="0" xfId="1" applyFont="1" applyFill="1"/>
    <xf numFmtId="0" fontId="7" fillId="0" borderId="0" xfId="0" applyFont="1"/>
    <xf numFmtId="8" fontId="0" fillId="0" borderId="1" xfId="0" applyNumberFormat="1" applyBorder="1" applyAlignment="1">
      <alignment horizontal="center"/>
    </xf>
    <xf numFmtId="44" fontId="0" fillId="2" borderId="0" xfId="0" applyNumberFormat="1" applyFill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4">
    <cellStyle name="Čárka" xfId="3" builtinId="3"/>
    <cellStyle name="Měna" xfId="1" builtinId="4"/>
    <cellStyle name="Normální" xfId="0" builtinId="0"/>
    <cellStyle name="Procent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5F9F-57F3-4B8C-9112-918923974C49}">
  <dimension ref="A1:M64"/>
  <sheetViews>
    <sheetView tabSelected="1" workbookViewId="0">
      <selection activeCell="F22" sqref="F22"/>
    </sheetView>
  </sheetViews>
  <sheetFormatPr defaultColWidth="14" defaultRowHeight="14.4" x14ac:dyDescent="0.3"/>
  <cols>
    <col min="1" max="1" width="12.33203125" style="50" customWidth="1"/>
    <col min="2" max="2" width="6" bestFit="1" customWidth="1"/>
    <col min="3" max="3" width="12.77734375" style="50" bestFit="1" customWidth="1"/>
    <col min="4" max="4" width="15.33203125" bestFit="1" customWidth="1"/>
    <col min="5" max="5" width="13.88671875" bestFit="1" customWidth="1"/>
    <col min="6" max="6" width="15.109375" bestFit="1" customWidth="1"/>
    <col min="7" max="7" width="13.88671875" bestFit="1" customWidth="1"/>
    <col min="8" max="8" width="15.109375" bestFit="1" customWidth="1"/>
    <col min="10" max="10" width="15.33203125" bestFit="1" customWidth="1"/>
  </cols>
  <sheetData>
    <row r="1" spans="1:13" ht="15" thickBot="1" x14ac:dyDescent="0.35"/>
    <row r="2" spans="1:13" s="7" customFormat="1" ht="15" thickBot="1" x14ac:dyDescent="0.35">
      <c r="A2" s="92" t="s">
        <v>78</v>
      </c>
      <c r="B2" s="93" t="s">
        <v>43</v>
      </c>
      <c r="C2" s="94" t="s">
        <v>44</v>
      </c>
      <c r="D2" s="92" t="s">
        <v>45</v>
      </c>
      <c r="E2" s="92" t="s">
        <v>9</v>
      </c>
      <c r="F2" s="92" t="s">
        <v>46</v>
      </c>
      <c r="G2" s="92" t="s">
        <v>8</v>
      </c>
    </row>
    <row r="3" spans="1:13" x14ac:dyDescent="0.3">
      <c r="A3" s="95" t="s">
        <v>10</v>
      </c>
      <c r="B3" s="96">
        <f>ČEZ!E37</f>
        <v>555</v>
      </c>
      <c r="C3" s="97">
        <v>1189</v>
      </c>
      <c r="D3" s="98">
        <f t="shared" ref="D3:D9" si="0">B3*C3</f>
        <v>659895</v>
      </c>
      <c r="E3" s="99">
        <f>ČEZ!G2+ČEZ!H2+ČEZ!G3+ČEZ!H3+ČEZ!G4+ČEZ!H4+ČEZ!G5+ČEZ!H5+ČEZ!G6+ČEZ!H6+ČEZ!G7+ČEZ!H7+ČEZ!G8+ČEZ!H8+ČEZ!G9+ČEZ!H9+ČEZ!G10+ČEZ!H10+ČEZ!G11+ČEZ!H11+ČEZ!G12+ČEZ!H12+ČEZ!G13+ČEZ!H13+ČEZ!G14+ČEZ!H14+ČEZ!G15+ČEZ!H15+ČEZ!G16+ČEZ!H16+ČEZ!G17+ČEZ!H17+ČEZ!G18+ČEZ!H18+ČEZ!G19+ČEZ!H19+ČEZ!G20+ČEZ!H20+ČEZ!G21+ČEZ!H21+ČEZ!G22+ČEZ!H22+ČEZ!G23+ČEZ!H23+ČEZ!G24+ČEZ!H24+ČEZ!G25+ČEZ!H25+ČEZ!G26+ČEZ!H26+ČEZ!G27+ČEZ!H27+ČEZ!G28+ČEZ!H28+ČEZ!G29+ČEZ!H29+ČEZ!G30+ČEZ!H30+ČEZ!G31+ČEZ!H31+ČEZ!G32+ČEZ!H32+ČEZ!G33+ČEZ!H33</f>
        <v>-287179.75000000006</v>
      </c>
      <c r="F3" s="99">
        <f t="shared" ref="F3:F9" si="1">D3+E3</f>
        <v>372715.24999999994</v>
      </c>
      <c r="G3" s="98">
        <f>ČEZ!Q38</f>
        <v>243134.08999999997</v>
      </c>
    </row>
    <row r="4" spans="1:13" x14ac:dyDescent="0.3">
      <c r="A4" s="100" t="s">
        <v>34</v>
      </c>
      <c r="B4" s="101">
        <f>'ERSTE + 57 748 Kč'!E15</f>
        <v>0</v>
      </c>
      <c r="C4" s="102">
        <v>1780</v>
      </c>
      <c r="D4" s="103">
        <f t="shared" si="0"/>
        <v>0</v>
      </c>
      <c r="E4" s="104">
        <f>'ERSTE + 57 748 Kč'!G2+'ERSTE + 57 748 Kč'!H2+'ERSTE + 57 748 Kč'!G3+'ERSTE + 57 748 Kč'!H3+'ERSTE + 57 748 Kč'!G4+'ERSTE + 57 748 Kč'!H4+'ERSTE + 57 748 Kč'!G5+'ERSTE + 57 748 Kč'!H5+'ERSTE + 57 748 Kč'!G6+'ERSTE + 57 748 Kč'!H6+'ERSTE + 57 748 Kč'!G7+'ERSTE + 57 748 Kč'!H7+'ERSTE + 57 748 Kč'!G8+'ERSTE + 57 748 Kč'!H8+'ERSTE + 57 748 Kč'!G9+'ERSTE + 57 748 Kč'!H9+'ERSTE + 57 748 Kč'!G10+'ERSTE + 57 748 Kč'!H10+'ERSTE + 57 748 Kč'!G11+'ERSTE + 57 748 Kč'!H11+'ERSTE + 57 748 Kč'!G12+'ERSTE + 57 748 Kč'!H12</f>
        <v>47225.639999999985</v>
      </c>
      <c r="F4" s="104">
        <f t="shared" si="1"/>
        <v>47225.639999999985</v>
      </c>
      <c r="G4" s="103">
        <f>'ERSTE + 57 748 Kč'!S16</f>
        <v>10522.721564634001</v>
      </c>
    </row>
    <row r="5" spans="1:13" x14ac:dyDescent="0.3">
      <c r="A5" s="100" t="s">
        <v>31</v>
      </c>
      <c r="B5" s="101">
        <f>KB!E19</f>
        <v>530</v>
      </c>
      <c r="C5" s="102">
        <v>1060</v>
      </c>
      <c r="D5" s="103">
        <f t="shared" si="0"/>
        <v>561800</v>
      </c>
      <c r="E5" s="104">
        <f>KB!G2+KB!H2+KB!G3+KB!H3+KB!G4+KB!H4+KB!G5+KB!H5+KB!G6+KB!H6+KB!G7+KB!H7+KB!G8+KB!H8+KB!G9+KB!H9+KB!G10+KB!H10+KB!G11+KB!H11+KB!G12+KB!H12+KB!G13+KB!H13+KB!G14+KB!H14+KB!G15+KB!H15</f>
        <v>-431309.69000000006</v>
      </c>
      <c r="F5" s="104">
        <f t="shared" si="1"/>
        <v>130490.30999999994</v>
      </c>
      <c r="G5" s="103">
        <f>KB!Q20</f>
        <v>48067.680981999991</v>
      </c>
    </row>
    <row r="6" spans="1:13" x14ac:dyDescent="0.3">
      <c r="A6" s="100" t="s">
        <v>93</v>
      </c>
      <c r="B6" s="101">
        <f>DSPW!E19</f>
        <v>124</v>
      </c>
      <c r="C6" s="102">
        <v>338</v>
      </c>
      <c r="D6" s="103">
        <f>B6*C6</f>
        <v>41912</v>
      </c>
      <c r="E6" s="104">
        <f>DSPW!G2+DSPW!H2+DSPW!G3+DSPW!H3+DSPW!G4+DSPW!H4</f>
        <v>-30060</v>
      </c>
      <c r="F6" s="104">
        <f t="shared" si="1"/>
        <v>11852</v>
      </c>
      <c r="G6" s="103">
        <f>DSPW!Q20</f>
        <v>0</v>
      </c>
    </row>
    <row r="7" spans="1:13" x14ac:dyDescent="0.3">
      <c r="A7" s="100" t="s">
        <v>40</v>
      </c>
      <c r="B7" s="101">
        <f>'MMB + 10 674 Kč'!E13</f>
        <v>0</v>
      </c>
      <c r="C7" s="102">
        <v>145.19999999999999</v>
      </c>
      <c r="D7" s="103">
        <f t="shared" si="0"/>
        <v>0</v>
      </c>
      <c r="E7" s="104">
        <f>'MMB + 10 674 Kč'!G2+'MMB + 10 674 Kč'!H2+'MMB + 10 674 Kč'!G3+'MMB + 10 674 Kč'!H3+'MMB + 10 674 Kč'!G4+'MMB + 10 674 Kč'!H4+'MMB + 10 674 Kč'!G5+'MMB + 10 674 Kč'!H5</f>
        <v>5488.6700000000037</v>
      </c>
      <c r="F7" s="104">
        <f t="shared" si="1"/>
        <v>5488.6700000000037</v>
      </c>
      <c r="G7" s="103">
        <f>'MMB + 10 674 Kč'!Q14</f>
        <v>5185</v>
      </c>
    </row>
    <row r="8" spans="1:13" x14ac:dyDescent="0.3">
      <c r="A8" s="105" t="s">
        <v>37</v>
      </c>
      <c r="B8" s="106">
        <f>'FIX - 26 867 Kč'!E10</f>
        <v>0</v>
      </c>
      <c r="C8" s="107">
        <v>134</v>
      </c>
      <c r="D8" s="108">
        <f t="shared" si="0"/>
        <v>0</v>
      </c>
      <c r="E8" s="109">
        <f>'FIX - 26 867 Kč'!G2+'FIX - 26 867 Kč'!H2+'FIX - 26 867 Kč'!G3+'FIX - 26 867 Kč'!H3+'FIX - 26 867 Kč'!G4+'FIX - 26 867 Kč'!H4+'FIX - 26 867 Kč'!G5+'FIX - 26 867 Kč'!H5+'FIX - 26 867 Kč'!G6+'FIX - 26 867 Kč'!H6+'FIX - 26 867 Kč'!G7+'FIX - 26 867 Kč'!H7</f>
        <v>-27401.5</v>
      </c>
      <c r="F8" s="109">
        <f t="shared" si="1"/>
        <v>-27401.5</v>
      </c>
      <c r="G8" s="108">
        <f>'FIX - 26 867 Kč'!Q11</f>
        <v>534.42899999999997</v>
      </c>
    </row>
    <row r="9" spans="1:13" x14ac:dyDescent="0.3">
      <c r="A9" s="105" t="s">
        <v>74</v>
      </c>
      <c r="B9" s="106">
        <f>OE!E14</f>
        <v>384</v>
      </c>
      <c r="C9" s="107">
        <v>200</v>
      </c>
      <c r="D9" s="108">
        <f t="shared" si="0"/>
        <v>76800</v>
      </c>
      <c r="E9" s="109">
        <f>OE!H2</f>
        <v>-80000</v>
      </c>
      <c r="F9" s="109">
        <f t="shared" si="1"/>
        <v>-3200</v>
      </c>
      <c r="G9" s="108">
        <f>OE!R15</f>
        <v>8103.5789999999997</v>
      </c>
      <c r="M9" t="s">
        <v>18</v>
      </c>
    </row>
    <row r="10" spans="1:13" ht="15" thickBot="1" x14ac:dyDescent="0.35">
      <c r="A10" s="110"/>
      <c r="B10" s="111"/>
      <c r="C10" s="112"/>
      <c r="D10" s="113"/>
      <c r="E10" s="114"/>
      <c r="F10" s="114"/>
      <c r="G10" s="113"/>
    </row>
    <row r="11" spans="1:13" s="50" customFormat="1" ht="15" thickBot="1" x14ac:dyDescent="0.35">
      <c r="C11" s="115"/>
      <c r="D11" s="116">
        <f>SUM(D3:D10)</f>
        <v>1340407</v>
      </c>
      <c r="E11" s="117">
        <f>SUM(E3:E10)</f>
        <v>-803236.63000000012</v>
      </c>
      <c r="F11" s="117">
        <f>SUM(F3:F10)</f>
        <v>537170.36999999988</v>
      </c>
      <c r="G11" s="116">
        <f>SUM(G3:G10)</f>
        <v>315547.50054663396</v>
      </c>
      <c r="H11" s="118">
        <f>F11+G11</f>
        <v>852717.87054663384</v>
      </c>
    </row>
    <row r="12" spans="1:13" s="50" customFormat="1" x14ac:dyDescent="0.3">
      <c r="F12" s="119">
        <f>F11/E11*-1</f>
        <v>0.66875731252445469</v>
      </c>
      <c r="G12" s="119">
        <f>G11/E11*-1</f>
        <v>0.39284500825943897</v>
      </c>
      <c r="H12" s="119">
        <f>H11/E11*-1</f>
        <v>1.0616023207838936</v>
      </c>
    </row>
    <row r="13" spans="1:13" ht="15" thickBot="1" x14ac:dyDescent="0.35">
      <c r="F13" s="124"/>
      <c r="G13" s="124"/>
      <c r="H13" s="124"/>
    </row>
    <row r="14" spans="1:13" ht="15" thickBot="1" x14ac:dyDescent="0.35">
      <c r="A14" s="92" t="s">
        <v>79</v>
      </c>
      <c r="B14" s="93" t="s">
        <v>43</v>
      </c>
      <c r="C14" s="94" t="s">
        <v>44</v>
      </c>
      <c r="D14" s="92" t="s">
        <v>45</v>
      </c>
      <c r="E14" s="92" t="s">
        <v>9</v>
      </c>
      <c r="F14" s="92" t="s">
        <v>46</v>
      </c>
      <c r="G14" s="92" t="s">
        <v>8</v>
      </c>
    </row>
    <row r="15" spans="1:13" x14ac:dyDescent="0.3">
      <c r="A15" s="95" t="s">
        <v>20</v>
      </c>
      <c r="B15" s="96">
        <f>RWE!E13</f>
        <v>60</v>
      </c>
      <c r="C15" s="144">
        <v>32.549999999999997</v>
      </c>
      <c r="D15" s="142">
        <f t="shared" ref="D15:D28" si="2">B15*C15</f>
        <v>1952.9999999999998</v>
      </c>
      <c r="E15" s="143">
        <f>RWE!G2+RWE!H2+RWE!G3+RWE!H3+RWE!H4</f>
        <v>-1069.1500000000001</v>
      </c>
      <c r="F15" s="142">
        <f t="shared" ref="F15:F28" si="3">D15+E15</f>
        <v>883.84999999999968</v>
      </c>
      <c r="G15" s="146">
        <f>RWE!Q14</f>
        <v>386.36399999999998</v>
      </c>
    </row>
    <row r="16" spans="1:13" ht="15" thickBot="1" x14ac:dyDescent="0.35">
      <c r="A16" s="155"/>
      <c r="B16" s="156"/>
      <c r="C16" s="157"/>
      <c r="D16" s="158"/>
      <c r="E16" s="159"/>
      <c r="F16" s="160"/>
      <c r="G16" s="161"/>
    </row>
    <row r="17" spans="1:10" s="50" customFormat="1" ht="15" thickBot="1" x14ac:dyDescent="0.35">
      <c r="A17" s="162"/>
      <c r="B17" s="162"/>
      <c r="C17" s="174"/>
      <c r="D17" s="176">
        <f>SUM(D15:D16)</f>
        <v>1952.9999999999998</v>
      </c>
      <c r="E17" s="177">
        <f>SUM(E15:E16)</f>
        <v>-1069.1500000000001</v>
      </c>
      <c r="F17" s="176">
        <f>SUM(D17:E17)</f>
        <v>883.84999999999968</v>
      </c>
      <c r="G17" s="178">
        <f>SUM(G15:G16)</f>
        <v>386.36399999999998</v>
      </c>
      <c r="H17" s="179">
        <f>F17+G17</f>
        <v>1270.2139999999997</v>
      </c>
    </row>
    <row r="18" spans="1:10" x14ac:dyDescent="0.3">
      <c r="A18"/>
      <c r="C18" s="190">
        <v>24.93</v>
      </c>
      <c r="D18" s="191">
        <f>D17*C18</f>
        <v>48688.289999999994</v>
      </c>
      <c r="E18" s="192">
        <f>E17*C18</f>
        <v>-26653.909500000002</v>
      </c>
      <c r="F18" s="191">
        <f>F17*C18</f>
        <v>22034.380499999992</v>
      </c>
      <c r="G18" s="193">
        <f>G17*C18</f>
        <v>9632.0545199999997</v>
      </c>
      <c r="H18" s="194"/>
    </row>
    <row r="19" spans="1:10" x14ac:dyDescent="0.3">
      <c r="C19" s="175"/>
      <c r="D19" s="163"/>
      <c r="E19" s="164"/>
      <c r="F19" s="119">
        <f>F17/E17*-1</f>
        <v>0.826684749567413</v>
      </c>
      <c r="G19" s="119">
        <f>G17/E17*-1</f>
        <v>0.36137492400505067</v>
      </c>
      <c r="H19" s="119">
        <f>H17/E17*-1</f>
        <v>1.1880596735724638</v>
      </c>
    </row>
    <row r="20" spans="1:10" ht="15" thickBot="1" x14ac:dyDescent="0.35">
      <c r="C20" s="175"/>
      <c r="D20" s="163"/>
      <c r="E20" s="164"/>
      <c r="F20" s="119"/>
      <c r="G20" s="119"/>
      <c r="H20" s="119"/>
    </row>
    <row r="21" spans="1:10" ht="15" thickBot="1" x14ac:dyDescent="0.35">
      <c r="A21" s="92" t="s">
        <v>80</v>
      </c>
      <c r="B21" s="93" t="s">
        <v>43</v>
      </c>
      <c r="C21" s="94" t="s">
        <v>44</v>
      </c>
      <c r="D21" s="92" t="s">
        <v>45</v>
      </c>
      <c r="E21" s="92" t="s">
        <v>9</v>
      </c>
      <c r="F21" s="92" t="s">
        <v>46</v>
      </c>
      <c r="G21" s="92" t="s">
        <v>8</v>
      </c>
    </row>
    <row r="22" spans="1:10" x14ac:dyDescent="0.3">
      <c r="A22" s="95" t="s">
        <v>24</v>
      </c>
      <c r="B22" s="96">
        <f>FNMA!E10</f>
        <v>1600</v>
      </c>
      <c r="C22" s="199">
        <v>6.62</v>
      </c>
      <c r="D22" s="165">
        <f t="shared" si="2"/>
        <v>10592</v>
      </c>
      <c r="E22" s="166">
        <f>FNMA!G2+FNMA!H2+FNMA!G3+FNMA!H3+FNMA!H4+FNMA!G5+FNMA!H5+FNMA!G6+FNMA!H6</f>
        <v>-745.55000000000007</v>
      </c>
      <c r="F22" s="167">
        <f t="shared" si="3"/>
        <v>9846.4500000000007</v>
      </c>
      <c r="G22" s="168"/>
      <c r="H22" s="187">
        <f>D22*C31</f>
        <v>232388.48000000001</v>
      </c>
    </row>
    <row r="23" spans="1:10" x14ac:dyDescent="0.3">
      <c r="A23" s="105" t="s">
        <v>50</v>
      </c>
      <c r="B23" s="106">
        <f>'VNTR -2 455,93 USD'!E11</f>
        <v>0</v>
      </c>
      <c r="C23" s="200">
        <v>250</v>
      </c>
      <c r="D23" s="140">
        <f t="shared" si="2"/>
        <v>0</v>
      </c>
      <c r="E23" s="141">
        <f>'VNTR -2 455,93 USD'!G2+'VNTR -2 455,93 USD'!H2+'VNTR -2 455,93 USD'!G3+'VNTR -2 455,93 USD'!H3+'VNTR -2 455,93 USD'!G4+'VNTR -2 455,93 USD'!H4+'VNTR -2 455,93 USD'!G5+'VNTR -2 455,93 USD'!H5+'VNTR -2 455,93 USD'!G6+'VNTR -2 455,93 USD'!H6+'VNTR -2 455,93 USD'!G7+'VNTR -2 455,93 USD'!H7</f>
        <v>-2525.0900319999996</v>
      </c>
      <c r="F23" s="141">
        <f t="shared" si="3"/>
        <v>-2525.0900319999996</v>
      </c>
      <c r="G23" s="147"/>
    </row>
    <row r="24" spans="1:10" x14ac:dyDescent="0.3">
      <c r="A24" s="105" t="s">
        <v>54</v>
      </c>
      <c r="B24" s="106">
        <f>BP!E15</f>
        <v>10</v>
      </c>
      <c r="C24" s="201">
        <v>30.19</v>
      </c>
      <c r="D24" s="140">
        <f t="shared" si="2"/>
        <v>301.90000000000003</v>
      </c>
      <c r="E24" s="141">
        <f>BP!G2+BP!H2</f>
        <v>-307.95</v>
      </c>
      <c r="F24" s="139">
        <f t="shared" si="3"/>
        <v>-6.0499999999999545</v>
      </c>
      <c r="G24" s="148">
        <f>BP!Q16</f>
        <v>46.437200000000004</v>
      </c>
      <c r="H24" s="198">
        <f>D24*C31</f>
        <v>6623.6860000000015</v>
      </c>
    </row>
    <row r="25" spans="1:10" x14ac:dyDescent="0.3">
      <c r="A25" s="105" t="s">
        <v>73</v>
      </c>
      <c r="B25" s="106">
        <f>PBA!E12</f>
        <v>15</v>
      </c>
      <c r="C25" s="201">
        <v>37.03</v>
      </c>
      <c r="D25" s="140">
        <f t="shared" si="2"/>
        <v>555.45000000000005</v>
      </c>
      <c r="E25" s="141">
        <f>PBA!G2+PBA!H2</f>
        <v>-495.45</v>
      </c>
      <c r="F25" s="139">
        <f t="shared" si="3"/>
        <v>60.000000000000057</v>
      </c>
      <c r="G25" s="148">
        <f>PBA!Q13</f>
        <v>50.156500000000001</v>
      </c>
      <c r="H25" s="198">
        <f>D25*C31</f>
        <v>12186.573000000002</v>
      </c>
    </row>
    <row r="26" spans="1:10" x14ac:dyDescent="0.3">
      <c r="A26" s="105" t="s">
        <v>65</v>
      </c>
      <c r="B26" s="106">
        <f>NLY!E16</f>
        <v>155</v>
      </c>
      <c r="C26" s="201">
        <v>19.489999999999998</v>
      </c>
      <c r="D26" s="140">
        <f t="shared" si="2"/>
        <v>3020.95</v>
      </c>
      <c r="E26" s="141">
        <f>NLY!G2+NLY!H2+NLY!G3+NLY!H3+NLY!G4+NLY!H4+NLY!G5+NLY!H5+NLY!G6+NLY!H6+NLY!G7+NLY!H7+NLY!G8+NLY!H8</f>
        <v>-2842.0699999999997</v>
      </c>
      <c r="F26" s="139">
        <f t="shared" si="3"/>
        <v>178.88000000000011</v>
      </c>
      <c r="G26" s="148">
        <f>NLY!Q17</f>
        <v>119.98750000000001</v>
      </c>
      <c r="H26" s="198">
        <f>D26*C31</f>
        <v>66279.642999999996</v>
      </c>
    </row>
    <row r="27" spans="1:10" x14ac:dyDescent="0.3">
      <c r="A27" s="105" t="s">
        <v>87</v>
      </c>
      <c r="B27" s="106">
        <f>PFE!E10</f>
        <v>5</v>
      </c>
      <c r="C27" s="201">
        <v>23.09</v>
      </c>
      <c r="D27" s="140">
        <f t="shared" si="2"/>
        <v>115.45</v>
      </c>
      <c r="E27" s="141">
        <f>PFE!G2+PFE!H2</f>
        <v>-150.44999999999999</v>
      </c>
      <c r="F27" s="139">
        <f t="shared" si="3"/>
        <v>-34.999999999999986</v>
      </c>
      <c r="G27" s="148">
        <f>PFE!Q11</f>
        <v>8.98</v>
      </c>
      <c r="H27" s="198">
        <f>D27*C31</f>
        <v>2532.9730000000004</v>
      </c>
    </row>
    <row r="28" spans="1:10" x14ac:dyDescent="0.3">
      <c r="A28" s="105" t="s">
        <v>89</v>
      </c>
      <c r="B28" s="106">
        <f>NVDA!E9</f>
        <v>32</v>
      </c>
      <c r="C28" s="201">
        <v>123</v>
      </c>
      <c r="D28" s="140">
        <f t="shared" si="2"/>
        <v>3936</v>
      </c>
      <c r="E28" s="141">
        <f>NVDA!G2+NVDA!H2+NVDA!G3+NVDA!H3</f>
        <v>-3695.8399995999998</v>
      </c>
      <c r="F28" s="139">
        <f t="shared" si="3"/>
        <v>240.16000040000017</v>
      </c>
      <c r="G28" s="148">
        <f>NVDA!Q10</f>
        <v>1.08</v>
      </c>
      <c r="H28" s="187">
        <f>D28*C31</f>
        <v>86355.840000000011</v>
      </c>
    </row>
    <row r="29" spans="1:10" ht="15" thickBot="1" x14ac:dyDescent="0.35">
      <c r="A29" s="110"/>
      <c r="B29" s="111"/>
      <c r="C29" s="169"/>
      <c r="D29" s="170"/>
      <c r="E29" s="171"/>
      <c r="F29" s="172"/>
      <c r="G29" s="173"/>
      <c r="I29" s="1"/>
    </row>
    <row r="30" spans="1:10" s="50" customFormat="1" ht="15" thickBot="1" x14ac:dyDescent="0.35">
      <c r="A30" s="162"/>
      <c r="B30" s="162"/>
      <c r="C30" s="180"/>
      <c r="D30" s="182">
        <f>SUM(D22:D29)</f>
        <v>18521.75</v>
      </c>
      <c r="E30" s="183">
        <f>SUM(E22:E29)</f>
        <v>-10762.400031599998</v>
      </c>
      <c r="F30" s="184">
        <f>SUM(F22:F29)</f>
        <v>7759.3499684000008</v>
      </c>
      <c r="G30" s="185">
        <f>SUM(G22:G29)</f>
        <v>226.64120000000003</v>
      </c>
      <c r="H30" s="181">
        <f>F30+G30</f>
        <v>7985.9911684000008</v>
      </c>
      <c r="I30" s="31"/>
      <c r="J30" s="115"/>
    </row>
    <row r="31" spans="1:10" x14ac:dyDescent="0.3">
      <c r="A31"/>
      <c r="C31" s="190">
        <v>21.94</v>
      </c>
      <c r="D31" s="191">
        <f>D30*C31</f>
        <v>406367.19500000001</v>
      </c>
      <c r="E31" s="192">
        <f>E30*C31</f>
        <v>-236127.05669330398</v>
      </c>
      <c r="F31" s="191">
        <f>F30*C31</f>
        <v>170240.13830669603</v>
      </c>
      <c r="G31" s="193">
        <f>G30*C31</f>
        <v>4972.5079280000009</v>
      </c>
      <c r="H31" s="195"/>
      <c r="I31" s="126"/>
      <c r="J31" s="196"/>
    </row>
    <row r="32" spans="1:10" x14ac:dyDescent="0.3">
      <c r="C32" s="121"/>
      <c r="D32" s="122"/>
      <c r="E32" s="123"/>
      <c r="F32" s="119">
        <f>F30/E30*-1</f>
        <v>0.72096836631396355</v>
      </c>
      <c r="G32" s="119">
        <f>G30/E30*-1</f>
        <v>2.1058611400296211E-2</v>
      </c>
      <c r="H32" s="119">
        <f>H30/E30*-1</f>
        <v>0.74202697771425974</v>
      </c>
    </row>
    <row r="33" spans="1:7" x14ac:dyDescent="0.3">
      <c r="B33" t="s">
        <v>78</v>
      </c>
      <c r="C33" s="121">
        <v>0</v>
      </c>
      <c r="D33" s="122">
        <f>C33</f>
        <v>0</v>
      </c>
      <c r="E33" s="123"/>
      <c r="F33" s="123"/>
      <c r="G33" s="122"/>
    </row>
    <row r="34" spans="1:7" x14ac:dyDescent="0.3">
      <c r="B34" t="s">
        <v>79</v>
      </c>
      <c r="C34" s="152">
        <v>0</v>
      </c>
      <c r="D34" s="122">
        <v>0</v>
      </c>
      <c r="E34" s="123"/>
      <c r="F34" s="123"/>
      <c r="G34" s="122"/>
    </row>
    <row r="35" spans="1:7" x14ac:dyDescent="0.3">
      <c r="B35" t="s">
        <v>80</v>
      </c>
      <c r="C35" s="153">
        <v>73.430000000000007</v>
      </c>
      <c r="D35" s="122">
        <v>1580.67</v>
      </c>
      <c r="E35" s="123"/>
      <c r="F35" s="123"/>
      <c r="G35" s="122"/>
    </row>
    <row r="36" spans="1:7" x14ac:dyDescent="0.3">
      <c r="C36" s="121"/>
      <c r="D36" s="186">
        <f>SUM(D33:D35)</f>
        <v>1580.67</v>
      </c>
      <c r="E36" s="123"/>
      <c r="F36" s="123" t="s">
        <v>18</v>
      </c>
      <c r="G36" s="122"/>
    </row>
    <row r="37" spans="1:7" x14ac:dyDescent="0.3">
      <c r="A37" s="207" t="s">
        <v>27</v>
      </c>
      <c r="B37" s="207"/>
      <c r="C37" s="120">
        <v>45790</v>
      </c>
      <c r="D37" s="197">
        <f>D11+D18+D31+D36</f>
        <v>1797043.155</v>
      </c>
    </row>
    <row r="38" spans="1:7" x14ac:dyDescent="0.3">
      <c r="C38" s="1"/>
    </row>
    <row r="39" spans="1:7" x14ac:dyDescent="0.3">
      <c r="C39" s="1"/>
    </row>
    <row r="40" spans="1:7" x14ac:dyDescent="0.3">
      <c r="C40" s="120">
        <v>45790</v>
      </c>
      <c r="D40" s="197">
        <v>1797043.16</v>
      </c>
    </row>
    <row r="41" spans="1:7" x14ac:dyDescent="0.3">
      <c r="C41" s="202">
        <v>45762</v>
      </c>
      <c r="D41" s="203">
        <v>1791607.06</v>
      </c>
    </row>
    <row r="42" spans="1:7" x14ac:dyDescent="0.3">
      <c r="C42" s="2">
        <v>45758</v>
      </c>
      <c r="D42" s="134">
        <v>1737856.56</v>
      </c>
    </row>
    <row r="43" spans="1:7" x14ac:dyDescent="0.3">
      <c r="A43"/>
      <c r="C43" s="2">
        <v>45758</v>
      </c>
      <c r="D43" s="137">
        <v>1689563.9</v>
      </c>
    </row>
    <row r="44" spans="1:7" x14ac:dyDescent="0.3">
      <c r="A44"/>
      <c r="C44" s="2">
        <v>45754</v>
      </c>
      <c r="D44" s="137">
        <v>1558116.05</v>
      </c>
    </row>
    <row r="45" spans="1:7" x14ac:dyDescent="0.3">
      <c r="A45"/>
      <c r="C45" s="202">
        <v>45749</v>
      </c>
      <c r="D45" s="206">
        <v>1766570.29</v>
      </c>
    </row>
    <row r="46" spans="1:7" x14ac:dyDescent="0.3">
      <c r="C46" s="2">
        <v>45727</v>
      </c>
      <c r="D46" s="134">
        <v>1685919.57</v>
      </c>
    </row>
    <row r="47" spans="1:7" x14ac:dyDescent="0.3">
      <c r="C47" s="202">
        <v>45709</v>
      </c>
      <c r="D47" s="203">
        <v>1718839.27</v>
      </c>
    </row>
    <row r="48" spans="1:7" x14ac:dyDescent="0.3">
      <c r="C48" s="202">
        <v>45705</v>
      </c>
      <c r="D48" s="203">
        <v>1690716.83</v>
      </c>
    </row>
    <row r="49" spans="3:8" x14ac:dyDescent="0.3">
      <c r="C49" s="202">
        <v>45699</v>
      </c>
      <c r="D49" s="203">
        <v>1670029.71</v>
      </c>
    </row>
    <row r="50" spans="3:8" x14ac:dyDescent="0.3">
      <c r="C50" s="202">
        <v>45698</v>
      </c>
      <c r="D50" s="203">
        <v>1647692.96</v>
      </c>
    </row>
    <row r="51" spans="3:8" x14ac:dyDescent="0.3">
      <c r="C51" s="202">
        <v>45695</v>
      </c>
      <c r="D51" s="203">
        <v>1639547.78</v>
      </c>
    </row>
    <row r="52" spans="3:8" x14ac:dyDescent="0.3">
      <c r="C52" s="2">
        <v>45694</v>
      </c>
      <c r="D52" s="134">
        <v>1551760.19</v>
      </c>
    </row>
    <row r="53" spans="3:8" x14ac:dyDescent="0.3">
      <c r="C53" s="2">
        <v>45692</v>
      </c>
      <c r="D53" s="134">
        <v>1500621.42</v>
      </c>
    </row>
    <row r="54" spans="3:8" x14ac:dyDescent="0.3">
      <c r="C54" s="2">
        <v>45691</v>
      </c>
      <c r="D54" s="134">
        <v>1517655.44</v>
      </c>
    </row>
    <row r="55" spans="3:8" x14ac:dyDescent="0.3">
      <c r="C55" s="2">
        <v>45685</v>
      </c>
      <c r="D55" s="134">
        <v>1540345.69</v>
      </c>
    </row>
    <row r="56" spans="3:8" x14ac:dyDescent="0.3">
      <c r="C56" s="2">
        <v>45685</v>
      </c>
      <c r="D56" s="134">
        <v>1520429.75</v>
      </c>
    </row>
    <row r="57" spans="3:8" x14ac:dyDescent="0.3">
      <c r="C57" s="202">
        <v>45679</v>
      </c>
      <c r="D57" s="203">
        <v>1576928.89</v>
      </c>
    </row>
    <row r="58" spans="3:8" x14ac:dyDescent="0.3">
      <c r="C58" s="2">
        <v>45678</v>
      </c>
      <c r="D58" s="134">
        <v>1561800.54</v>
      </c>
    </row>
    <row r="59" spans="3:8" x14ac:dyDescent="0.3">
      <c r="C59" s="2">
        <v>45677</v>
      </c>
      <c r="D59" s="134">
        <v>1557593.68</v>
      </c>
    </row>
    <row r="60" spans="3:8" x14ac:dyDescent="0.3">
      <c r="C60" s="2">
        <v>45672</v>
      </c>
      <c r="D60" s="137">
        <v>1545473.16</v>
      </c>
    </row>
    <row r="61" spans="3:8" x14ac:dyDescent="0.3">
      <c r="C61" s="2">
        <v>45666</v>
      </c>
      <c r="D61" s="134">
        <v>1488103.15</v>
      </c>
    </row>
    <row r="62" spans="3:8" x14ac:dyDescent="0.3">
      <c r="C62" s="2">
        <v>45663</v>
      </c>
      <c r="D62" s="134">
        <v>1461560</v>
      </c>
    </row>
    <row r="63" spans="3:8" x14ac:dyDescent="0.3">
      <c r="C63" s="2">
        <v>45659</v>
      </c>
      <c r="D63" s="134">
        <v>1387270</v>
      </c>
    </row>
    <row r="64" spans="3:8" x14ac:dyDescent="0.3">
      <c r="H64" t="s">
        <v>18</v>
      </c>
    </row>
  </sheetData>
  <mergeCells count="1">
    <mergeCell ref="A37:B37"/>
  </mergeCells>
  <pageMargins left="0.7" right="0.7" top="0.78740157499999996" bottom="0.78740157499999996" header="0.3" footer="0.3"/>
  <pageSetup paperSize="9" orientation="landscape" r:id="rId1"/>
  <ignoredErrors>
    <ignoredError xmlns:x16r3="http://schemas.microsoft.com/office/spreadsheetml/2018/08/main" sqref="G24" x16r3:misleadingForma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63DA-4C6F-4FBF-BB16-72E95E5259D7}">
  <dimension ref="A1:T22"/>
  <sheetViews>
    <sheetView workbookViewId="0">
      <selection activeCell="H17" sqref="H17"/>
    </sheetView>
  </sheetViews>
  <sheetFormatPr defaultRowHeight="14.4" x14ac:dyDescent="0.3"/>
  <cols>
    <col min="1" max="1" width="10.109375" bestFit="1" customWidth="1"/>
    <col min="2" max="2" width="11.109375" bestFit="1" customWidth="1"/>
    <col min="3" max="3" width="13.44140625" bestFit="1" customWidth="1"/>
    <col min="4" max="4" width="12.21875" bestFit="1" customWidth="1"/>
    <col min="5" max="5" width="8.6640625" bestFit="1" customWidth="1"/>
    <col min="6" max="6" width="9.5546875" bestFit="1" customWidth="1"/>
    <col min="7" max="7" width="12.109375" bestFit="1" customWidth="1"/>
    <col min="8" max="8" width="8.44140625" style="20" bestFit="1" customWidth="1"/>
    <col min="9" max="9" width="14.21875" style="34" bestFit="1" customWidth="1"/>
    <col min="10" max="10" width="15.5546875" bestFit="1" customWidth="1"/>
    <col min="11" max="11" width="8.21875" bestFit="1" customWidth="1"/>
    <col min="12" max="12" width="8.6640625" bestFit="1" customWidth="1"/>
    <col min="14" max="14" width="7.5546875" bestFit="1" customWidth="1"/>
    <col min="15" max="15" width="10.6640625" bestFit="1" customWidth="1"/>
    <col min="16" max="16" width="7.21875" bestFit="1" customWidth="1"/>
    <col min="17" max="17" width="9.88671875" bestFit="1" customWidth="1"/>
    <col min="18" max="18" width="4.6640625" bestFit="1" customWidth="1"/>
    <col min="19" max="19" width="11.33203125" bestFit="1" customWidth="1"/>
  </cols>
  <sheetData>
    <row r="1" spans="1:20" s="7" customFormat="1" x14ac:dyDescent="0.3">
      <c r="A1" s="37" t="s">
        <v>0</v>
      </c>
      <c r="B1" s="37" t="s">
        <v>1</v>
      </c>
      <c r="C1" s="37" t="s">
        <v>11</v>
      </c>
      <c r="D1" s="37" t="s">
        <v>13</v>
      </c>
      <c r="E1" s="37" t="s">
        <v>2</v>
      </c>
      <c r="F1" s="37" t="s">
        <v>3</v>
      </c>
      <c r="G1" s="37" t="s">
        <v>33</v>
      </c>
      <c r="H1" s="38" t="s">
        <v>5</v>
      </c>
      <c r="I1" s="39" t="s">
        <v>53</v>
      </c>
      <c r="J1" s="37" t="s">
        <v>6</v>
      </c>
      <c r="K1" s="37" t="s">
        <v>7</v>
      </c>
      <c r="L1" s="37" t="s">
        <v>2</v>
      </c>
      <c r="M1" s="209" t="s">
        <v>8</v>
      </c>
      <c r="N1" s="209"/>
      <c r="O1" s="37" t="s">
        <v>70</v>
      </c>
      <c r="P1" s="37" t="s">
        <v>36</v>
      </c>
      <c r="Q1" s="37" t="s">
        <v>29</v>
      </c>
      <c r="R1" s="37" t="s">
        <v>3</v>
      </c>
      <c r="S1" s="37" t="s">
        <v>39</v>
      </c>
    </row>
    <row r="2" spans="1:20" s="1" customFormat="1" x14ac:dyDescent="0.3">
      <c r="A2" s="2">
        <v>44820</v>
      </c>
      <c r="B2" s="1" t="s">
        <v>65</v>
      </c>
      <c r="C2" s="3"/>
      <c r="D2" s="1" t="s">
        <v>9</v>
      </c>
      <c r="E2" s="1">
        <v>4</v>
      </c>
      <c r="F2" s="51">
        <v>27.47</v>
      </c>
      <c r="G2" s="49">
        <f t="shared" ref="G2:G8" si="0">E2*F2*-1</f>
        <v>-109.88</v>
      </c>
      <c r="H2" s="22">
        <v>-7.95</v>
      </c>
      <c r="I2" s="133">
        <v>25.1821862</v>
      </c>
      <c r="J2" s="2">
        <v>44865</v>
      </c>
      <c r="K2" s="1" t="s">
        <v>69</v>
      </c>
      <c r="L2" s="1">
        <v>12</v>
      </c>
      <c r="M2" s="21">
        <v>0.88</v>
      </c>
      <c r="N2" s="21">
        <f t="shared" ref="N2:N6" si="1">L2*M2</f>
        <v>10.56</v>
      </c>
      <c r="O2" s="21">
        <v>-1.59</v>
      </c>
      <c r="P2" s="21">
        <v>0</v>
      </c>
      <c r="Q2" s="145">
        <f t="shared" ref="Q2:Q12" si="2">N2+O2+P2</f>
        <v>8.9700000000000006</v>
      </c>
      <c r="R2" s="10"/>
      <c r="S2" s="10">
        <f t="shared" ref="S2" si="3">Q2*R2</f>
        <v>0</v>
      </c>
    </row>
    <row r="3" spans="1:20" s="1" customFormat="1" x14ac:dyDescent="0.3">
      <c r="A3" s="2">
        <v>44831</v>
      </c>
      <c r="B3" s="1" t="s">
        <v>65</v>
      </c>
      <c r="C3" s="3"/>
      <c r="D3" s="1" t="s">
        <v>9</v>
      </c>
      <c r="E3" s="1">
        <v>8</v>
      </c>
      <c r="F3" s="51">
        <v>19.397500000000001</v>
      </c>
      <c r="G3" s="49">
        <f t="shared" si="0"/>
        <v>-155.18</v>
      </c>
      <c r="H3" s="22">
        <v>-7.95</v>
      </c>
      <c r="I3" s="130">
        <v>25.738352899999999</v>
      </c>
      <c r="J3" s="2">
        <v>44957</v>
      </c>
      <c r="K3" s="1" t="s">
        <v>68</v>
      </c>
      <c r="L3" s="1">
        <v>12</v>
      </c>
      <c r="M3" s="21">
        <v>0.88</v>
      </c>
      <c r="N3" s="21">
        <f t="shared" si="1"/>
        <v>10.56</v>
      </c>
      <c r="O3" s="21">
        <v>-1.59</v>
      </c>
      <c r="P3" s="21">
        <f>0.14+0.07</f>
        <v>0.21000000000000002</v>
      </c>
      <c r="Q3" s="145">
        <f t="shared" si="2"/>
        <v>9.1800000000000015</v>
      </c>
      <c r="R3" s="10"/>
      <c r="S3" s="10"/>
    </row>
    <row r="4" spans="1:20" s="1" customFormat="1" x14ac:dyDescent="0.3">
      <c r="A4" s="2">
        <v>45365</v>
      </c>
      <c r="B4" s="1" t="s">
        <v>65</v>
      </c>
      <c r="D4" s="1" t="s">
        <v>9</v>
      </c>
      <c r="E4" s="1">
        <v>11</v>
      </c>
      <c r="F4" s="51">
        <v>19.5</v>
      </c>
      <c r="G4" s="49">
        <f t="shared" si="0"/>
        <v>-214.5</v>
      </c>
      <c r="H4" s="22">
        <v>-7.95</v>
      </c>
      <c r="I4" s="130">
        <v>23.985589999999998</v>
      </c>
      <c r="J4" s="2">
        <v>45044</v>
      </c>
      <c r="K4" s="1" t="s">
        <v>71</v>
      </c>
      <c r="L4" s="1">
        <v>12</v>
      </c>
      <c r="M4" s="21">
        <v>0.65</v>
      </c>
      <c r="N4" s="21">
        <f t="shared" si="1"/>
        <v>7.8000000000000007</v>
      </c>
      <c r="O4" s="21">
        <f>-0.39-0.78</f>
        <v>-1.17</v>
      </c>
      <c r="P4" s="21">
        <v>0</v>
      </c>
      <c r="Q4" s="145">
        <f t="shared" si="2"/>
        <v>6.6300000000000008</v>
      </c>
    </row>
    <row r="5" spans="1:20" s="1" customFormat="1" x14ac:dyDescent="0.3">
      <c r="A5" s="2">
        <v>45387</v>
      </c>
      <c r="B5" s="1" t="s">
        <v>65</v>
      </c>
      <c r="D5" s="1" t="s">
        <v>9</v>
      </c>
      <c r="E5" s="1">
        <v>4</v>
      </c>
      <c r="F5" s="51">
        <v>19.225000000000001</v>
      </c>
      <c r="G5" s="49">
        <f t="shared" si="0"/>
        <v>-76.900000000000006</v>
      </c>
      <c r="H5" s="22">
        <v>-7.95</v>
      </c>
      <c r="I5" s="130">
        <v>23.992235099999998</v>
      </c>
      <c r="J5" s="2">
        <v>45138</v>
      </c>
      <c r="K5" s="1" t="s">
        <v>83</v>
      </c>
      <c r="L5" s="1">
        <v>12</v>
      </c>
      <c r="M5" s="21">
        <v>0.65</v>
      </c>
      <c r="N5" s="21">
        <f t="shared" si="1"/>
        <v>7.8000000000000007</v>
      </c>
      <c r="O5" s="21">
        <f>-0.39-0.78</f>
        <v>-1.17</v>
      </c>
      <c r="P5" s="21">
        <v>0</v>
      </c>
      <c r="Q5" s="145">
        <f t="shared" si="2"/>
        <v>6.6300000000000008</v>
      </c>
    </row>
    <row r="6" spans="1:20" s="1" customFormat="1" x14ac:dyDescent="0.3">
      <c r="A6" s="2">
        <v>45659</v>
      </c>
      <c r="B6" s="1" t="s">
        <v>65</v>
      </c>
      <c r="C6" s="3"/>
      <c r="D6" s="1" t="s">
        <v>9</v>
      </c>
      <c r="E6" s="1">
        <v>3</v>
      </c>
      <c r="F6" s="51">
        <v>18.38</v>
      </c>
      <c r="G6" s="49">
        <f t="shared" si="0"/>
        <v>-55.14</v>
      </c>
      <c r="H6" s="22">
        <v>-7.95</v>
      </c>
      <c r="I6" s="65"/>
      <c r="J6" s="2">
        <v>45230</v>
      </c>
      <c r="K6" s="1" t="s">
        <v>84</v>
      </c>
      <c r="L6" s="1">
        <v>12</v>
      </c>
      <c r="M6" s="21">
        <v>0.65</v>
      </c>
      <c r="N6" s="21">
        <f t="shared" si="1"/>
        <v>7.8000000000000007</v>
      </c>
      <c r="O6" s="21">
        <f>-0.39-0.78</f>
        <v>-1.17</v>
      </c>
      <c r="P6" s="21">
        <v>0</v>
      </c>
      <c r="Q6" s="145">
        <f t="shared" si="2"/>
        <v>6.6300000000000008</v>
      </c>
    </row>
    <row r="7" spans="1:20" s="1" customFormat="1" x14ac:dyDescent="0.3">
      <c r="A7" s="2">
        <v>45754</v>
      </c>
      <c r="B7" s="1" t="s">
        <v>65</v>
      </c>
      <c r="C7" s="3"/>
      <c r="D7" s="1" t="s">
        <v>9</v>
      </c>
      <c r="E7" s="1">
        <v>48</v>
      </c>
      <c r="F7" s="51">
        <v>18.07</v>
      </c>
      <c r="G7" s="49">
        <f t="shared" si="0"/>
        <v>-867.36</v>
      </c>
      <c r="H7" s="22">
        <v>-7.95</v>
      </c>
      <c r="I7" s="130">
        <v>23.582249999999998</v>
      </c>
      <c r="J7" s="2">
        <v>45322</v>
      </c>
      <c r="K7" s="1" t="s">
        <v>86</v>
      </c>
      <c r="L7" s="1">
        <v>12</v>
      </c>
      <c r="M7" s="21">
        <v>0.65</v>
      </c>
      <c r="N7" s="21">
        <f t="shared" ref="N7:N12" si="4">L7*M7</f>
        <v>7.8000000000000007</v>
      </c>
      <c r="O7" s="21">
        <f>-0.39-0.78</f>
        <v>-1.17</v>
      </c>
      <c r="P7" s="21">
        <v>0</v>
      </c>
      <c r="Q7" s="145">
        <f t="shared" si="2"/>
        <v>6.6300000000000008</v>
      </c>
    </row>
    <row r="8" spans="1:20" s="1" customFormat="1" x14ac:dyDescent="0.3">
      <c r="A8" s="2">
        <v>45758</v>
      </c>
      <c r="B8" s="1" t="s">
        <v>97</v>
      </c>
      <c r="C8" s="3"/>
      <c r="D8" s="1" t="s">
        <v>9</v>
      </c>
      <c r="E8" s="1">
        <v>77</v>
      </c>
      <c r="F8" s="51">
        <v>16.98</v>
      </c>
      <c r="G8" s="49">
        <f t="shared" si="0"/>
        <v>-1307.46</v>
      </c>
      <c r="H8" s="22">
        <v>-7.95</v>
      </c>
      <c r="I8" s="65"/>
      <c r="J8" s="2">
        <v>45412</v>
      </c>
      <c r="K8" s="1" t="s">
        <v>88</v>
      </c>
      <c r="L8" s="1">
        <v>23</v>
      </c>
      <c r="M8" s="21">
        <v>0.65</v>
      </c>
      <c r="N8" s="21">
        <f t="shared" si="4"/>
        <v>14.950000000000001</v>
      </c>
      <c r="O8" s="21">
        <v>-2.2400000000000002</v>
      </c>
      <c r="P8" s="21">
        <v>0</v>
      </c>
      <c r="Q8" s="145">
        <f t="shared" si="2"/>
        <v>12.71</v>
      </c>
    </row>
    <row r="9" spans="1:20" s="1" customFormat="1" x14ac:dyDescent="0.3">
      <c r="A9" s="2"/>
      <c r="C9" s="3"/>
      <c r="F9" s="4"/>
      <c r="G9" s="21"/>
      <c r="H9" s="23"/>
      <c r="I9" s="65"/>
      <c r="J9" s="2">
        <v>45504</v>
      </c>
      <c r="K9" s="1" t="s">
        <v>90</v>
      </c>
      <c r="L9" s="1">
        <v>27</v>
      </c>
      <c r="M9" s="21">
        <v>0.65</v>
      </c>
      <c r="N9" s="21">
        <f t="shared" si="4"/>
        <v>17.55</v>
      </c>
      <c r="O9" s="21">
        <v>-2.63</v>
      </c>
      <c r="P9" s="21">
        <v>0</v>
      </c>
      <c r="Q9" s="145">
        <f t="shared" si="2"/>
        <v>14.920000000000002</v>
      </c>
    </row>
    <row r="10" spans="1:20" s="1" customFormat="1" x14ac:dyDescent="0.3">
      <c r="A10" s="2"/>
      <c r="C10" s="3"/>
      <c r="F10" s="4"/>
      <c r="G10" s="21"/>
      <c r="H10" s="23"/>
      <c r="I10" s="65"/>
      <c r="J10" s="2">
        <v>45596</v>
      </c>
      <c r="K10" s="1" t="s">
        <v>91</v>
      </c>
      <c r="L10" s="1">
        <v>27</v>
      </c>
      <c r="M10" s="21">
        <v>0.65</v>
      </c>
      <c r="N10" s="21">
        <f t="shared" si="4"/>
        <v>17.55</v>
      </c>
      <c r="O10" s="21">
        <v>-2.63</v>
      </c>
      <c r="P10" s="21">
        <v>0</v>
      </c>
      <c r="Q10" s="145">
        <f t="shared" si="2"/>
        <v>14.920000000000002</v>
      </c>
    </row>
    <row r="11" spans="1:20" s="7" customFormat="1" x14ac:dyDescent="0.3">
      <c r="A11" s="2"/>
      <c r="B11" s="1"/>
      <c r="C11" s="3"/>
      <c r="D11" s="1"/>
      <c r="E11" s="1"/>
      <c r="F11" s="4"/>
      <c r="G11" s="21"/>
      <c r="H11" s="23"/>
      <c r="I11" s="65"/>
      <c r="J11" s="2">
        <v>45688</v>
      </c>
      <c r="K11" s="1" t="s">
        <v>92</v>
      </c>
      <c r="L11" s="1">
        <v>27</v>
      </c>
      <c r="M11" s="21">
        <v>0.65</v>
      </c>
      <c r="N11" s="21">
        <f t="shared" si="4"/>
        <v>17.55</v>
      </c>
      <c r="O11" s="21">
        <f>N11*0.15*-1</f>
        <v>-2.6324999999999998</v>
      </c>
      <c r="P11" s="21">
        <v>0</v>
      </c>
      <c r="Q11" s="145">
        <f t="shared" si="2"/>
        <v>14.9175</v>
      </c>
      <c r="R11" s="1"/>
      <c r="S11" s="1"/>
      <c r="T11" s="1"/>
    </row>
    <row r="12" spans="1:20" s="1" customFormat="1" x14ac:dyDescent="0.3">
      <c r="A12" s="2"/>
      <c r="C12" s="3"/>
      <c r="F12" s="4"/>
      <c r="G12" s="21"/>
      <c r="H12" s="23"/>
      <c r="I12" s="65"/>
      <c r="J12" s="2">
        <v>45777</v>
      </c>
      <c r="K12" s="1" t="s">
        <v>98</v>
      </c>
      <c r="L12" s="1">
        <v>30</v>
      </c>
      <c r="M12" s="21">
        <v>0.7</v>
      </c>
      <c r="N12" s="21">
        <f t="shared" si="4"/>
        <v>21</v>
      </c>
      <c r="O12" s="21">
        <f>N12*0.15*-1</f>
        <v>-3.15</v>
      </c>
      <c r="P12" s="21">
        <v>0</v>
      </c>
      <c r="Q12" s="145">
        <f t="shared" si="2"/>
        <v>17.850000000000001</v>
      </c>
      <c r="S12" s="21"/>
    </row>
    <row r="13" spans="1:20" s="1" customFormat="1" x14ac:dyDescent="0.3">
      <c r="A13" s="2"/>
      <c r="C13" s="3"/>
      <c r="F13" s="4"/>
      <c r="G13" s="21"/>
      <c r="H13" s="23"/>
      <c r="I13" s="65"/>
      <c r="J13" s="2"/>
      <c r="M13" s="21"/>
      <c r="N13" s="21"/>
      <c r="O13" s="21"/>
      <c r="P13" s="21"/>
      <c r="Q13" s="145"/>
    </row>
    <row r="14" spans="1:20" s="1" customFormat="1" x14ac:dyDescent="0.3">
      <c r="A14" s="2"/>
      <c r="C14" s="3"/>
      <c r="F14" s="4"/>
      <c r="G14" s="21"/>
      <c r="H14" s="23"/>
      <c r="I14" s="65"/>
    </row>
    <row r="15" spans="1:20" s="1" customFormat="1" ht="15" thickBot="1" x14ac:dyDescent="0.35">
      <c r="A15" s="2"/>
      <c r="C15" s="3"/>
      <c r="F15" s="4"/>
      <c r="G15" s="21"/>
      <c r="H15" s="23"/>
      <c r="I15" s="65"/>
      <c r="T15" s="7"/>
    </row>
    <row r="16" spans="1:20" s="1" customFormat="1" ht="15" thickBot="1" x14ac:dyDescent="0.35">
      <c r="A16" s="207" t="s">
        <v>27</v>
      </c>
      <c r="B16" s="207"/>
      <c r="C16" s="2">
        <f>Bilance!C37</f>
        <v>45790</v>
      </c>
      <c r="E16" s="1">
        <f>SUM(E2:E15)</f>
        <v>155</v>
      </c>
      <c r="F16" s="67">
        <f>Bilance!C26</f>
        <v>19.489999999999998</v>
      </c>
      <c r="G16" s="21">
        <f>E16*F16</f>
        <v>3020.95</v>
      </c>
      <c r="H16" s="19"/>
      <c r="I16" s="65"/>
    </row>
    <row r="17" spans="1:20" x14ac:dyDescent="0.3">
      <c r="A17" s="6"/>
      <c r="B17" s="7"/>
      <c r="C17" s="8"/>
      <c r="D17" s="7"/>
      <c r="E17" s="7" t="s">
        <v>42</v>
      </c>
      <c r="F17" s="25">
        <f>(G2+G3+G4+G5+G6+G7+G8)/E16*-1</f>
        <v>17.976903225806453</v>
      </c>
      <c r="G17" s="25">
        <f>SUM(G2:G16)</f>
        <v>234.52999999999975</v>
      </c>
      <c r="H17" s="24">
        <f>SUM(H2:H16)</f>
        <v>-55.650000000000006</v>
      </c>
      <c r="I17" s="125">
        <f>G17+H17+Q17</f>
        <v>298.86749999999972</v>
      </c>
      <c r="J17" s="7"/>
      <c r="K17" s="7"/>
      <c r="L17" s="7"/>
      <c r="M17" s="7"/>
      <c r="N17" s="7"/>
      <c r="O17" s="7"/>
      <c r="P17" s="7"/>
      <c r="Q17" s="58">
        <f>SUM(Q2:Q16)</f>
        <v>119.98750000000001</v>
      </c>
      <c r="R17" s="7"/>
      <c r="S17" s="68"/>
      <c r="T17" s="1"/>
    </row>
    <row r="18" spans="1:20" x14ac:dyDescent="0.3">
      <c r="A18" s="2"/>
      <c r="B18" s="5"/>
      <c r="C18" s="1"/>
      <c r="D18" s="1"/>
      <c r="E18" s="1"/>
      <c r="F18" s="4"/>
      <c r="G18" s="4"/>
      <c r="H18" s="17"/>
      <c r="I18" s="3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2"/>
      <c r="B19" s="1"/>
      <c r="C19" s="1"/>
      <c r="D19" s="1"/>
      <c r="E19" s="1"/>
      <c r="F19" s="10"/>
      <c r="G19" s="4"/>
      <c r="H19" s="19"/>
      <c r="I19" s="65"/>
      <c r="J19" s="2"/>
      <c r="K19" s="1"/>
      <c r="L19" s="1"/>
      <c r="M19" s="1"/>
      <c r="N19" s="10"/>
      <c r="O19" s="1"/>
      <c r="P19" s="1"/>
      <c r="Q19" s="1"/>
      <c r="R19" s="1"/>
      <c r="S19" s="1"/>
      <c r="T19" s="1"/>
    </row>
    <row r="20" spans="1:20" x14ac:dyDescent="0.3">
      <c r="A20" s="1"/>
      <c r="B20" s="1"/>
      <c r="C20" s="1"/>
      <c r="D20" s="1"/>
      <c r="E20" s="1"/>
      <c r="F20" s="10"/>
      <c r="G20" s="11"/>
      <c r="H20" s="19"/>
      <c r="I20" s="6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/>
      <c r="B21" s="1"/>
      <c r="C21" s="1"/>
      <c r="D21" s="1"/>
      <c r="E21" s="1"/>
      <c r="F21" s="1"/>
      <c r="G21" s="4"/>
      <c r="H21" s="17"/>
      <c r="I21" s="33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0" x14ac:dyDescent="0.3">
      <c r="A22" s="1"/>
      <c r="B22" s="1"/>
      <c r="C22" s="1"/>
      <c r="D22" s="1"/>
      <c r="E22" s="1"/>
      <c r="F22" s="1"/>
      <c r="G22" s="1"/>
      <c r="H22" s="17"/>
      <c r="I22" s="33"/>
      <c r="J22" s="1"/>
      <c r="K22" s="1"/>
      <c r="L22" s="1"/>
      <c r="M22" s="1"/>
      <c r="N22" s="1"/>
      <c r="O22" s="1"/>
      <c r="P22" s="1"/>
      <c r="Q22" s="1"/>
      <c r="R22" s="1"/>
      <c r="S22" s="1"/>
    </row>
  </sheetData>
  <mergeCells count="2">
    <mergeCell ref="M1:N1"/>
    <mergeCell ref="A16:B16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77703-B2EA-4271-95A8-47888DE28702}">
  <dimension ref="A1:S18"/>
  <sheetViews>
    <sheetView workbookViewId="0">
      <selection activeCell="G18" sqref="G18"/>
    </sheetView>
  </sheetViews>
  <sheetFormatPr defaultRowHeight="14.4" x14ac:dyDescent="0.3"/>
  <cols>
    <col min="1" max="1" width="10.109375" bestFit="1" customWidth="1"/>
    <col min="2" max="2" width="11.109375" bestFit="1" customWidth="1"/>
    <col min="3" max="3" width="13.44140625" bestFit="1" customWidth="1"/>
    <col min="4" max="4" width="12.21875" bestFit="1" customWidth="1"/>
    <col min="5" max="5" width="8.6640625" bestFit="1" customWidth="1"/>
    <col min="6" max="6" width="9.5546875" bestFit="1" customWidth="1"/>
    <col min="7" max="7" width="12.109375" bestFit="1" customWidth="1"/>
    <col min="8" max="8" width="8.44140625" style="20" bestFit="1" customWidth="1"/>
    <col min="9" max="9" width="14.21875" style="34" bestFit="1" customWidth="1"/>
    <col min="10" max="10" width="15.5546875" bestFit="1" customWidth="1"/>
    <col min="11" max="11" width="8.21875" bestFit="1" customWidth="1"/>
    <col min="12" max="12" width="8.6640625" bestFit="1" customWidth="1"/>
    <col min="14" max="14" width="7.5546875" bestFit="1" customWidth="1"/>
    <col min="15" max="15" width="8.6640625" bestFit="1" customWidth="1"/>
    <col min="16" max="16" width="7.21875" bestFit="1" customWidth="1"/>
    <col min="17" max="17" width="9.88671875" bestFit="1" customWidth="1"/>
    <col min="18" max="18" width="4.6640625" bestFit="1" customWidth="1"/>
    <col min="19" max="19" width="11.33203125" bestFit="1" customWidth="1"/>
  </cols>
  <sheetData>
    <row r="1" spans="1:19" s="7" customFormat="1" x14ac:dyDescent="0.3">
      <c r="A1" s="37" t="s">
        <v>0</v>
      </c>
      <c r="B1" s="37" t="s">
        <v>1</v>
      </c>
      <c r="C1" s="37" t="s">
        <v>11</v>
      </c>
      <c r="D1" s="37" t="s">
        <v>13</v>
      </c>
      <c r="E1" s="37" t="s">
        <v>2</v>
      </c>
      <c r="F1" s="37" t="s">
        <v>3</v>
      </c>
      <c r="G1" s="37" t="s">
        <v>33</v>
      </c>
      <c r="H1" s="38" t="s">
        <v>5</v>
      </c>
      <c r="I1" s="39" t="s">
        <v>53</v>
      </c>
      <c r="J1" s="37" t="s">
        <v>6</v>
      </c>
      <c r="K1" s="37" t="s">
        <v>7</v>
      </c>
      <c r="L1" s="37" t="s">
        <v>2</v>
      </c>
      <c r="M1" s="209" t="s">
        <v>8</v>
      </c>
      <c r="N1" s="209"/>
      <c r="O1" s="37" t="s">
        <v>70</v>
      </c>
      <c r="P1" s="37" t="s">
        <v>36</v>
      </c>
      <c r="Q1" s="37" t="s">
        <v>29</v>
      </c>
      <c r="R1" s="37" t="s">
        <v>3</v>
      </c>
      <c r="S1" s="37" t="s">
        <v>39</v>
      </c>
    </row>
    <row r="2" spans="1:19" s="1" customFormat="1" x14ac:dyDescent="0.3">
      <c r="A2" s="2">
        <v>45306</v>
      </c>
      <c r="B2" s="1" t="s">
        <v>87</v>
      </c>
      <c r="C2" s="3"/>
      <c r="D2" s="1" t="s">
        <v>9</v>
      </c>
      <c r="E2" s="1">
        <v>5</v>
      </c>
      <c r="F2" s="51">
        <v>28.5</v>
      </c>
      <c r="G2" s="49">
        <f t="shared" ref="G2" si="0">E2*F2*-1</f>
        <v>-142.5</v>
      </c>
      <c r="H2" s="22">
        <v>-7.95</v>
      </c>
      <c r="I2" s="133">
        <v>21.919740000000001</v>
      </c>
      <c r="J2" s="2">
        <v>45352</v>
      </c>
      <c r="K2" s="1">
        <v>2023</v>
      </c>
      <c r="L2" s="1">
        <v>5</v>
      </c>
      <c r="M2" s="21">
        <v>0.42</v>
      </c>
      <c r="N2" s="21">
        <f t="shared" ref="N2:N6" si="1">L2*M2</f>
        <v>2.1</v>
      </c>
      <c r="O2" s="21">
        <v>-0.32</v>
      </c>
      <c r="P2" s="21">
        <v>0</v>
      </c>
      <c r="Q2" s="145">
        <f>N2+O2+P2</f>
        <v>1.78</v>
      </c>
      <c r="R2" s="10"/>
      <c r="S2" s="10">
        <f t="shared" ref="S2:S6" si="2">Q2*R2</f>
        <v>0</v>
      </c>
    </row>
    <row r="3" spans="1:19" s="1" customFormat="1" x14ac:dyDescent="0.3">
      <c r="A3" s="2"/>
      <c r="C3" s="3"/>
      <c r="F3" s="51"/>
      <c r="G3" s="49"/>
      <c r="H3" s="22"/>
      <c r="I3" s="130"/>
      <c r="J3" s="2">
        <v>45457</v>
      </c>
      <c r="L3" s="1">
        <v>5</v>
      </c>
      <c r="M3" s="21">
        <v>0.42</v>
      </c>
      <c r="N3" s="21">
        <f t="shared" si="1"/>
        <v>2.1</v>
      </c>
      <c r="O3" s="21">
        <v>-0.31</v>
      </c>
      <c r="P3" s="21">
        <v>0</v>
      </c>
      <c r="Q3" s="145">
        <f>N3+O3+P3</f>
        <v>1.79</v>
      </c>
      <c r="R3" s="10"/>
      <c r="S3" s="10">
        <f t="shared" si="2"/>
        <v>0</v>
      </c>
    </row>
    <row r="4" spans="1:19" s="1" customFormat="1" x14ac:dyDescent="0.3">
      <c r="A4" s="2"/>
      <c r="F4" s="21"/>
      <c r="G4" s="21"/>
      <c r="H4" s="23"/>
      <c r="I4" s="66"/>
      <c r="J4" s="2">
        <v>45538</v>
      </c>
      <c r="L4" s="1">
        <v>5</v>
      </c>
      <c r="M4" s="21">
        <v>0.42</v>
      </c>
      <c r="N4" s="21">
        <f t="shared" si="1"/>
        <v>2.1</v>
      </c>
      <c r="O4" s="21">
        <v>-0.31</v>
      </c>
      <c r="P4" s="21">
        <v>0</v>
      </c>
      <c r="Q4" s="145">
        <f>N4+O4+P4</f>
        <v>1.79</v>
      </c>
      <c r="S4" s="10">
        <f t="shared" si="2"/>
        <v>0</v>
      </c>
    </row>
    <row r="5" spans="1:19" s="1" customFormat="1" x14ac:dyDescent="0.3">
      <c r="A5" s="2"/>
      <c r="F5" s="21"/>
      <c r="G5" s="21"/>
      <c r="H5" s="23"/>
      <c r="I5" s="66"/>
      <c r="J5" s="2">
        <v>45628</v>
      </c>
      <c r="L5" s="1">
        <v>5</v>
      </c>
      <c r="M5" s="21">
        <v>0.42</v>
      </c>
      <c r="N5" s="21">
        <f t="shared" si="1"/>
        <v>2.1</v>
      </c>
      <c r="O5" s="21">
        <v>-0.31</v>
      </c>
      <c r="P5" s="21">
        <v>0</v>
      </c>
      <c r="Q5" s="145">
        <f>N5+O5+P5</f>
        <v>1.79</v>
      </c>
      <c r="S5" s="10">
        <f t="shared" si="2"/>
        <v>0</v>
      </c>
    </row>
    <row r="6" spans="1:19" s="1" customFormat="1" x14ac:dyDescent="0.3">
      <c r="A6" s="2"/>
      <c r="F6" s="21"/>
      <c r="G6" s="21"/>
      <c r="H6" s="23"/>
      <c r="I6" s="66"/>
      <c r="J6" s="2">
        <v>45723</v>
      </c>
      <c r="L6" s="1">
        <v>5</v>
      </c>
      <c r="M6" s="21">
        <v>0.43</v>
      </c>
      <c r="N6" s="21">
        <f t="shared" si="1"/>
        <v>2.15</v>
      </c>
      <c r="O6" s="21">
        <v>-0.32</v>
      </c>
      <c r="P6" s="21">
        <v>0</v>
      </c>
      <c r="Q6" s="145">
        <f>N6+O6+P6</f>
        <v>1.8299999999999998</v>
      </c>
      <c r="S6" s="10">
        <f t="shared" si="2"/>
        <v>0</v>
      </c>
    </row>
    <row r="7" spans="1:19" s="1" customFormat="1" x14ac:dyDescent="0.3">
      <c r="A7" s="2"/>
      <c r="F7" s="21"/>
      <c r="G7" s="21"/>
      <c r="H7" s="23"/>
      <c r="I7" s="66"/>
      <c r="J7" s="2"/>
      <c r="M7" s="21"/>
      <c r="N7" s="21"/>
      <c r="O7" s="21"/>
      <c r="P7" s="21"/>
      <c r="Q7" s="145"/>
    </row>
    <row r="8" spans="1:19" s="1" customFormat="1" x14ac:dyDescent="0.3">
      <c r="A8" s="2"/>
      <c r="C8" s="3"/>
      <c r="F8" s="4"/>
      <c r="G8" s="21"/>
      <c r="H8" s="23"/>
      <c r="I8" s="65"/>
      <c r="J8" s="2"/>
      <c r="M8" s="21"/>
      <c r="N8" s="21"/>
      <c r="O8" s="21"/>
      <c r="P8" s="21"/>
      <c r="Q8" s="145"/>
    </row>
    <row r="9" spans="1:19" s="1" customFormat="1" ht="15" thickBot="1" x14ac:dyDescent="0.35">
      <c r="A9" s="2"/>
      <c r="C9" s="3"/>
      <c r="F9" s="4"/>
      <c r="G9" s="21"/>
      <c r="H9" s="23"/>
      <c r="I9" s="65"/>
      <c r="J9" s="2"/>
      <c r="M9" s="21"/>
      <c r="N9" s="21"/>
      <c r="O9" s="21"/>
      <c r="P9" s="21"/>
      <c r="Q9" s="145"/>
    </row>
    <row r="10" spans="1:19" s="1" customFormat="1" ht="15" thickBot="1" x14ac:dyDescent="0.35">
      <c r="A10" s="207" t="s">
        <v>27</v>
      </c>
      <c r="B10" s="207"/>
      <c r="C10" s="2">
        <f>Bilance!C37</f>
        <v>45790</v>
      </c>
      <c r="E10" s="1">
        <f>SUM(E2:E9)</f>
        <v>5</v>
      </c>
      <c r="F10" s="67">
        <f>Bilance!C27</f>
        <v>23.09</v>
      </c>
      <c r="G10" s="21">
        <f>E10*F10</f>
        <v>115.45</v>
      </c>
      <c r="H10" s="19"/>
      <c r="I10" s="65"/>
    </row>
    <row r="11" spans="1:19" s="7" customFormat="1" x14ac:dyDescent="0.3">
      <c r="A11" s="6"/>
      <c r="C11" s="8"/>
      <c r="E11" s="7" t="s">
        <v>42</v>
      </c>
      <c r="F11" s="25">
        <f>(G2+G3)/E10*-1</f>
        <v>28.5</v>
      </c>
      <c r="G11" s="25">
        <f>SUM(G2:G10)</f>
        <v>-27.049999999999997</v>
      </c>
      <c r="H11" s="24">
        <f>SUM(H2:H10)</f>
        <v>-7.95</v>
      </c>
      <c r="I11" s="125">
        <f>G11+H11+Q11</f>
        <v>-26.02</v>
      </c>
      <c r="J11" s="1"/>
      <c r="K11" s="1"/>
      <c r="L11" s="1"/>
      <c r="M11" s="1"/>
      <c r="N11" s="1"/>
      <c r="O11" s="1"/>
      <c r="P11" s="1"/>
      <c r="Q11" s="58">
        <f>SUM(Q2:Q10)</f>
        <v>8.98</v>
      </c>
      <c r="S11" s="68"/>
    </row>
    <row r="12" spans="1:19" s="1" customFormat="1" x14ac:dyDescent="0.3">
      <c r="A12" s="2"/>
      <c r="B12" s="5"/>
      <c r="F12" s="4"/>
      <c r="G12" s="4"/>
      <c r="H12" s="17"/>
      <c r="I12" s="33"/>
    </row>
    <row r="13" spans="1:19" s="1" customFormat="1" x14ac:dyDescent="0.3">
      <c r="A13" s="2"/>
      <c r="F13" s="10"/>
      <c r="G13" s="4"/>
      <c r="H13" s="19"/>
      <c r="I13" s="65"/>
      <c r="J13" s="7"/>
      <c r="K13" s="7"/>
      <c r="L13" s="7"/>
      <c r="M13" s="7"/>
      <c r="N13" s="7"/>
      <c r="O13" s="7"/>
      <c r="P13" s="7"/>
    </row>
    <row r="14" spans="1:19" s="1" customFormat="1" x14ac:dyDescent="0.3">
      <c r="F14" s="10"/>
      <c r="G14" s="11"/>
      <c r="H14" s="19"/>
      <c r="I14" s="65"/>
    </row>
    <row r="15" spans="1:19" s="1" customFormat="1" x14ac:dyDescent="0.3">
      <c r="G15" s="4"/>
      <c r="H15" s="17"/>
      <c r="I15" s="33"/>
      <c r="J15" s="2"/>
      <c r="N15" s="10"/>
    </row>
    <row r="16" spans="1:19" s="1" customFormat="1" x14ac:dyDescent="0.3">
      <c r="H16" s="17"/>
      <c r="I16" s="33"/>
    </row>
    <row r="17" spans="10:16" x14ac:dyDescent="0.3">
      <c r="J17" s="1"/>
      <c r="K17" s="1"/>
      <c r="L17" s="1"/>
      <c r="M17" s="1"/>
      <c r="N17" s="1"/>
      <c r="O17" s="1"/>
      <c r="P17" s="1"/>
    </row>
    <row r="18" spans="10:16" x14ac:dyDescent="0.3">
      <c r="J18" s="1"/>
      <c r="K18" s="1"/>
      <c r="L18" s="1"/>
      <c r="M18" s="1"/>
      <c r="N18" s="1"/>
      <c r="O18" s="1"/>
      <c r="P18" s="1"/>
    </row>
  </sheetData>
  <mergeCells count="2">
    <mergeCell ref="M1:N1"/>
    <mergeCell ref="A10:B10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DC25-0B76-4E8E-91F9-64D1D91BE92F}">
  <dimension ref="A1:S17"/>
  <sheetViews>
    <sheetView workbookViewId="0">
      <selection activeCell="F15" sqref="F15"/>
    </sheetView>
  </sheetViews>
  <sheetFormatPr defaultRowHeight="14.4" x14ac:dyDescent="0.3"/>
  <cols>
    <col min="1" max="1" width="10.109375" bestFit="1" customWidth="1"/>
    <col min="2" max="2" width="11.109375" bestFit="1" customWidth="1"/>
    <col min="3" max="3" width="13.44140625" bestFit="1" customWidth="1"/>
    <col min="4" max="4" width="12.21875" bestFit="1" customWidth="1"/>
    <col min="5" max="5" width="8.6640625" bestFit="1" customWidth="1"/>
    <col min="6" max="6" width="12" bestFit="1" customWidth="1"/>
    <col min="7" max="7" width="12.109375" bestFit="1" customWidth="1"/>
    <col min="8" max="8" width="8.44140625" style="20" bestFit="1" customWidth="1"/>
    <col min="9" max="9" width="14.21875" style="34" bestFit="1" customWidth="1"/>
    <col min="10" max="10" width="15.5546875" bestFit="1" customWidth="1"/>
    <col min="11" max="11" width="8.21875" bestFit="1" customWidth="1"/>
    <col min="12" max="12" width="8.6640625" bestFit="1" customWidth="1"/>
    <col min="14" max="14" width="7.5546875" bestFit="1" customWidth="1"/>
    <col min="15" max="15" width="8.6640625" bestFit="1" customWidth="1"/>
    <col min="16" max="16" width="7.21875" bestFit="1" customWidth="1"/>
    <col min="17" max="17" width="9.88671875" bestFit="1" customWidth="1"/>
    <col min="18" max="18" width="4.6640625" bestFit="1" customWidth="1"/>
    <col min="19" max="19" width="11.33203125" bestFit="1" customWidth="1"/>
  </cols>
  <sheetData>
    <row r="1" spans="1:19" s="7" customFormat="1" x14ac:dyDescent="0.3">
      <c r="A1" s="37" t="s">
        <v>0</v>
      </c>
      <c r="B1" s="37" t="s">
        <v>1</v>
      </c>
      <c r="C1" s="37" t="s">
        <v>11</v>
      </c>
      <c r="D1" s="37" t="s">
        <v>13</v>
      </c>
      <c r="E1" s="37" t="s">
        <v>2</v>
      </c>
      <c r="F1" s="37" t="s">
        <v>3</v>
      </c>
      <c r="G1" s="37" t="s">
        <v>33</v>
      </c>
      <c r="H1" s="38" t="s">
        <v>5</v>
      </c>
      <c r="I1" s="39" t="s">
        <v>53</v>
      </c>
      <c r="J1" s="37" t="s">
        <v>6</v>
      </c>
      <c r="K1" s="37" t="s">
        <v>7</v>
      </c>
      <c r="L1" s="37" t="s">
        <v>2</v>
      </c>
      <c r="M1" s="209" t="s">
        <v>8</v>
      </c>
      <c r="N1" s="209"/>
      <c r="O1" s="37" t="s">
        <v>70</v>
      </c>
      <c r="P1" s="37" t="s">
        <v>36</v>
      </c>
      <c r="Q1" s="37" t="s">
        <v>29</v>
      </c>
      <c r="R1" s="37" t="s">
        <v>3</v>
      </c>
      <c r="S1" s="37" t="s">
        <v>39</v>
      </c>
    </row>
    <row r="2" spans="1:19" s="1" customFormat="1" x14ac:dyDescent="0.3">
      <c r="A2" s="2">
        <v>45443</v>
      </c>
      <c r="B2" s="1" t="s">
        <v>89</v>
      </c>
      <c r="C2" s="3"/>
      <c r="D2" s="1" t="s">
        <v>9</v>
      </c>
      <c r="E2" s="1">
        <v>20</v>
      </c>
      <c r="F2" s="51">
        <v>111.53449999999999</v>
      </c>
      <c r="G2" s="49">
        <f t="shared" ref="G2:G5" si="0">E2*F2*-1</f>
        <v>-2230.69</v>
      </c>
      <c r="H2" s="22">
        <v>-7.95</v>
      </c>
      <c r="I2" s="133">
        <v>23.564517299999999</v>
      </c>
      <c r="J2" s="2">
        <v>45471</v>
      </c>
      <c r="K2" s="1" t="s">
        <v>90</v>
      </c>
      <c r="L2" s="1">
        <v>32</v>
      </c>
      <c r="M2" s="21">
        <v>0.01</v>
      </c>
      <c r="N2" s="21">
        <f t="shared" ref="N2:N5" si="1">L2*M2</f>
        <v>0.32</v>
      </c>
      <c r="O2" s="21">
        <v>-0.05</v>
      </c>
      <c r="P2" s="21">
        <v>0</v>
      </c>
      <c r="Q2" s="145">
        <f>N2+O2+P2</f>
        <v>0.27</v>
      </c>
      <c r="R2" s="10"/>
      <c r="S2" s="10">
        <f t="shared" ref="S2" si="2">Q2*R2</f>
        <v>0</v>
      </c>
    </row>
    <row r="3" spans="1:19" s="1" customFormat="1" x14ac:dyDescent="0.3">
      <c r="A3" s="2">
        <v>45453</v>
      </c>
      <c r="B3" s="1" t="s">
        <v>89</v>
      </c>
      <c r="C3" s="3"/>
      <c r="D3" s="1" t="s">
        <v>9</v>
      </c>
      <c r="E3" s="1">
        <v>12</v>
      </c>
      <c r="F3" s="51">
        <v>120.77083330000001</v>
      </c>
      <c r="G3" s="49">
        <f t="shared" si="0"/>
        <v>-1449.2499996000001</v>
      </c>
      <c r="H3" s="22">
        <v>-7.95</v>
      </c>
      <c r="I3" s="130">
        <v>23.5388485</v>
      </c>
      <c r="J3" s="2">
        <v>45568</v>
      </c>
      <c r="K3" s="1" t="s">
        <v>91</v>
      </c>
      <c r="L3" s="1">
        <v>32</v>
      </c>
      <c r="M3" s="21">
        <v>0.01</v>
      </c>
      <c r="N3" s="21">
        <f t="shared" si="1"/>
        <v>0.32</v>
      </c>
      <c r="O3" s="21">
        <v>-0.05</v>
      </c>
      <c r="P3" s="21">
        <v>0</v>
      </c>
      <c r="Q3" s="145">
        <f>N3+O3+P3</f>
        <v>0.27</v>
      </c>
      <c r="R3" s="10"/>
      <c r="S3" s="10"/>
    </row>
    <row r="4" spans="1:19" s="1" customFormat="1" x14ac:dyDescent="0.3">
      <c r="A4" s="2"/>
      <c r="C4" s="3"/>
      <c r="F4" s="51">
        <v>90</v>
      </c>
      <c r="G4" s="49">
        <f t="shared" si="0"/>
        <v>0</v>
      </c>
      <c r="H4" s="22">
        <v>-7.95</v>
      </c>
      <c r="I4" s="130"/>
      <c r="J4" s="2">
        <v>45653</v>
      </c>
      <c r="K4" s="1" t="s">
        <v>92</v>
      </c>
      <c r="L4" s="1">
        <v>32</v>
      </c>
      <c r="M4" s="21">
        <v>0.01</v>
      </c>
      <c r="N4" s="21">
        <f t="shared" si="1"/>
        <v>0.32</v>
      </c>
      <c r="O4" s="21">
        <v>-0.05</v>
      </c>
      <c r="P4" s="21">
        <v>0</v>
      </c>
      <c r="Q4" s="145">
        <f>N4+O4+P4</f>
        <v>0.27</v>
      </c>
      <c r="R4" s="10"/>
      <c r="S4" s="10"/>
    </row>
    <row r="5" spans="1:19" s="1" customFormat="1" x14ac:dyDescent="0.3">
      <c r="A5" s="2"/>
      <c r="F5" s="51"/>
      <c r="G5" s="49">
        <f t="shared" si="0"/>
        <v>0</v>
      </c>
      <c r="H5" s="22"/>
      <c r="I5" s="66"/>
      <c r="J5" s="2">
        <v>45749</v>
      </c>
      <c r="K5" s="1" t="s">
        <v>96</v>
      </c>
      <c r="L5" s="1">
        <v>32</v>
      </c>
      <c r="M5" s="21">
        <v>0.01</v>
      </c>
      <c r="N5" s="21">
        <f t="shared" si="1"/>
        <v>0.32</v>
      </c>
      <c r="O5" s="21">
        <v>-0.05</v>
      </c>
      <c r="P5" s="21">
        <v>0</v>
      </c>
      <c r="Q5" s="145">
        <f>N5+O5+P5</f>
        <v>0.27</v>
      </c>
    </row>
    <row r="6" spans="1:19" s="1" customFormat="1" x14ac:dyDescent="0.3">
      <c r="A6" s="2"/>
      <c r="F6" s="21"/>
      <c r="G6" s="21"/>
      <c r="H6" s="23"/>
      <c r="I6" s="66"/>
      <c r="J6" s="2"/>
      <c r="M6" s="21"/>
      <c r="N6" s="21"/>
      <c r="O6" s="21"/>
      <c r="P6" s="21"/>
      <c r="Q6" s="145"/>
    </row>
    <row r="7" spans="1:19" s="1" customFormat="1" x14ac:dyDescent="0.3">
      <c r="A7" s="2"/>
      <c r="C7" s="3"/>
      <c r="F7" s="4"/>
      <c r="G7" s="21"/>
      <c r="H7" s="23"/>
      <c r="I7" s="65"/>
      <c r="J7" s="2"/>
      <c r="M7" s="21"/>
      <c r="N7" s="21"/>
      <c r="O7" s="21"/>
      <c r="P7" s="21"/>
      <c r="Q7" s="145"/>
    </row>
    <row r="8" spans="1:19" s="1" customFormat="1" ht="15" thickBot="1" x14ac:dyDescent="0.35">
      <c r="A8" s="2"/>
      <c r="C8" s="3"/>
      <c r="F8" s="4"/>
      <c r="G8" s="21"/>
      <c r="H8" s="23"/>
      <c r="I8" s="65"/>
      <c r="J8" s="2"/>
      <c r="M8" s="21"/>
      <c r="N8" s="21"/>
      <c r="O8" s="21"/>
      <c r="P8" s="21"/>
      <c r="Q8" s="145"/>
    </row>
    <row r="9" spans="1:19" s="1" customFormat="1" ht="15" thickBot="1" x14ac:dyDescent="0.35">
      <c r="A9" s="207" t="s">
        <v>27</v>
      </c>
      <c r="B9" s="207"/>
      <c r="C9" s="2">
        <f>Bilance!C37</f>
        <v>45790</v>
      </c>
      <c r="E9" s="1">
        <f>SUM(E2:E8)</f>
        <v>32</v>
      </c>
      <c r="F9" s="67">
        <f>Bilance!C28</f>
        <v>123</v>
      </c>
      <c r="G9" s="21">
        <f>E9*F9</f>
        <v>3936</v>
      </c>
      <c r="H9" s="19"/>
      <c r="I9" s="65"/>
    </row>
    <row r="10" spans="1:19" s="7" customFormat="1" x14ac:dyDescent="0.3">
      <c r="A10" s="6"/>
      <c r="C10" s="8"/>
      <c r="E10" s="7" t="s">
        <v>42</v>
      </c>
      <c r="F10" s="25">
        <f>(G2+G3+G4)/E9*-1</f>
        <v>114.99812498750001</v>
      </c>
      <c r="G10" s="25">
        <f>SUM(G2:G9)</f>
        <v>256.06000039999981</v>
      </c>
      <c r="H10" s="24">
        <f>SUM(H2:H9)</f>
        <v>-23.85</v>
      </c>
      <c r="I10" s="125">
        <f>G10+H10+Q10</f>
        <v>233.29000039999983</v>
      </c>
      <c r="J10" s="1"/>
      <c r="K10" s="1"/>
      <c r="L10" s="1"/>
      <c r="M10" s="1"/>
      <c r="N10" s="1"/>
      <c r="O10" s="1"/>
      <c r="P10" s="1"/>
      <c r="Q10" s="58">
        <f>SUM(Q2:Q9)</f>
        <v>1.08</v>
      </c>
      <c r="S10" s="68"/>
    </row>
    <row r="11" spans="1:19" s="1" customFormat="1" x14ac:dyDescent="0.3">
      <c r="A11" s="2"/>
      <c r="B11" s="5"/>
      <c r="F11" s="4"/>
      <c r="G11" s="4"/>
      <c r="H11" s="17"/>
      <c r="I11" s="33"/>
    </row>
    <row r="12" spans="1:19" s="1" customFormat="1" x14ac:dyDescent="0.3">
      <c r="A12" s="2"/>
      <c r="F12" s="10"/>
      <c r="G12" s="4"/>
      <c r="H12" s="19"/>
      <c r="I12" s="65"/>
      <c r="J12" s="7"/>
      <c r="K12" s="7"/>
      <c r="L12" s="7"/>
      <c r="M12" s="7"/>
      <c r="N12" s="7"/>
      <c r="O12" s="7"/>
      <c r="P12" s="7"/>
    </row>
    <row r="13" spans="1:19" s="1" customFormat="1" x14ac:dyDescent="0.3">
      <c r="F13" s="10"/>
      <c r="G13" s="11"/>
      <c r="H13" s="19"/>
      <c r="I13" s="65"/>
    </row>
    <row r="14" spans="1:19" s="1" customFormat="1" x14ac:dyDescent="0.3">
      <c r="G14" s="4"/>
      <c r="H14" s="17"/>
      <c r="I14" s="33"/>
      <c r="J14" s="2"/>
      <c r="N14" s="10"/>
    </row>
    <row r="15" spans="1:19" s="1" customFormat="1" x14ac:dyDescent="0.3">
      <c r="H15" s="17"/>
      <c r="I15" s="33"/>
    </row>
    <row r="16" spans="1:19" x14ac:dyDescent="0.3">
      <c r="J16" s="1"/>
      <c r="K16" s="1"/>
      <c r="L16" s="1"/>
      <c r="M16" s="1"/>
      <c r="N16" s="1"/>
      <c r="O16" s="1"/>
      <c r="P16" s="1"/>
    </row>
    <row r="17" spans="10:16" x14ac:dyDescent="0.3">
      <c r="J17" s="1"/>
      <c r="K17" s="1"/>
      <c r="L17" s="1"/>
      <c r="M17" s="1"/>
      <c r="N17" s="1"/>
      <c r="O17" s="1"/>
      <c r="P17" s="1"/>
    </row>
  </sheetData>
  <mergeCells count="2">
    <mergeCell ref="M1:N1"/>
    <mergeCell ref="A9:B9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9F8B-5EE4-42CF-B3FA-96B07C0649AE}">
  <dimension ref="A1:S26"/>
  <sheetViews>
    <sheetView zoomScaleNormal="100" workbookViewId="0">
      <selection activeCell="E20" sqref="E20"/>
    </sheetView>
  </sheetViews>
  <sheetFormatPr defaultRowHeight="14.4" x14ac:dyDescent="0.3"/>
  <cols>
    <col min="1" max="1" width="10.109375" bestFit="1" customWidth="1"/>
    <col min="2" max="2" width="11.109375" bestFit="1" customWidth="1"/>
    <col min="3" max="3" width="13.21875" bestFit="1" customWidth="1"/>
    <col min="4" max="4" width="7.44140625" bestFit="1" customWidth="1"/>
    <col min="5" max="5" width="8.6640625" bestFit="1" customWidth="1"/>
    <col min="6" max="6" width="13.21875" bestFit="1" customWidth="1"/>
    <col min="7" max="7" width="13.44140625" bestFit="1" customWidth="1"/>
    <col min="8" max="8" width="11.109375" bestFit="1" customWidth="1"/>
    <col min="9" max="9" width="9.5546875" bestFit="1" customWidth="1"/>
    <col min="10" max="10" width="15.5546875" bestFit="1" customWidth="1"/>
    <col min="11" max="11" width="5" bestFit="1" customWidth="1"/>
    <col min="12" max="12" width="8.6640625" bestFit="1" customWidth="1"/>
    <col min="13" max="13" width="7.21875" bestFit="1" customWidth="1"/>
    <col min="14" max="14" width="9.33203125" bestFit="1" customWidth="1"/>
    <col min="15" max="15" width="11.33203125" bestFit="1" customWidth="1"/>
    <col min="16" max="16" width="8.44140625" bestFit="1" customWidth="1"/>
    <col min="17" max="17" width="9.88671875" bestFit="1" customWidth="1"/>
    <col min="18" max="18" width="9.109375" bestFit="1" customWidth="1"/>
    <col min="19" max="19" width="12.77734375" style="50" bestFit="1" customWidth="1"/>
  </cols>
  <sheetData>
    <row r="1" spans="1:19" s="7" customFormat="1" x14ac:dyDescent="0.3">
      <c r="A1" s="37" t="s">
        <v>0</v>
      </c>
      <c r="B1" s="37" t="s">
        <v>1</v>
      </c>
      <c r="C1" s="37" t="s">
        <v>11</v>
      </c>
      <c r="D1" s="37" t="s">
        <v>13</v>
      </c>
      <c r="E1" s="37" t="s">
        <v>2</v>
      </c>
      <c r="F1" s="37" t="s">
        <v>3</v>
      </c>
      <c r="G1" s="37" t="s">
        <v>4</v>
      </c>
      <c r="H1" s="37" t="s">
        <v>5</v>
      </c>
      <c r="I1" s="37"/>
      <c r="J1" s="37" t="s">
        <v>6</v>
      </c>
      <c r="K1" s="37" t="s">
        <v>7</v>
      </c>
      <c r="L1" s="37" t="s">
        <v>2</v>
      </c>
      <c r="M1" s="209" t="s">
        <v>8</v>
      </c>
      <c r="N1" s="209"/>
      <c r="O1" s="37" t="s">
        <v>49</v>
      </c>
      <c r="P1" s="37" t="s">
        <v>5</v>
      </c>
      <c r="Q1" s="37" t="s">
        <v>29</v>
      </c>
      <c r="R1" s="37" t="s">
        <v>3</v>
      </c>
      <c r="S1" s="37" t="s">
        <v>39</v>
      </c>
    </row>
    <row r="2" spans="1:19" s="1" customFormat="1" x14ac:dyDescent="0.3">
      <c r="A2" s="2">
        <v>40870</v>
      </c>
      <c r="B2" s="1" t="s">
        <v>34</v>
      </c>
      <c r="C2" s="3" t="s">
        <v>35</v>
      </c>
      <c r="D2" s="1" t="s">
        <v>9</v>
      </c>
      <c r="E2" s="1">
        <v>17</v>
      </c>
      <c r="F2" s="40">
        <v>280</v>
      </c>
      <c r="G2" s="40">
        <f t="shared" ref="G2:G12" si="0">E2*F2*-1</f>
        <v>-4760</v>
      </c>
      <c r="H2" s="40">
        <v>-40</v>
      </c>
      <c r="I2" s="44"/>
      <c r="J2" s="2">
        <v>44706</v>
      </c>
      <c r="K2" s="1">
        <v>2021</v>
      </c>
      <c r="L2" s="1">
        <v>150</v>
      </c>
      <c r="M2" s="74">
        <v>1.6</v>
      </c>
      <c r="N2" s="74">
        <f t="shared" ref="N2:N4" si="1">L2*M2</f>
        <v>240</v>
      </c>
      <c r="O2" s="74">
        <f>N2/100*27.5*-1</f>
        <v>-66</v>
      </c>
      <c r="P2" s="74">
        <f>(N2+O2)/1000*-2</f>
        <v>-0.34799999999999998</v>
      </c>
      <c r="Q2" s="75">
        <f>N2+O2+P2</f>
        <v>173.65199999999999</v>
      </c>
      <c r="R2" s="10">
        <v>24.069104500000002</v>
      </c>
      <c r="S2" s="31">
        <f>Q2*R2</f>
        <v>4179.6481346339997</v>
      </c>
    </row>
    <row r="3" spans="1:19" s="1" customFormat="1" x14ac:dyDescent="0.3">
      <c r="A3" s="2">
        <v>40900</v>
      </c>
      <c r="B3" s="1" t="s">
        <v>34</v>
      </c>
      <c r="C3" s="3"/>
      <c r="D3" s="1" t="s">
        <v>14</v>
      </c>
      <c r="E3" s="1">
        <v>-17</v>
      </c>
      <c r="F3" s="40">
        <v>350</v>
      </c>
      <c r="G3" s="40">
        <f t="shared" si="0"/>
        <v>5950</v>
      </c>
      <c r="H3" s="40">
        <v>-40</v>
      </c>
      <c r="I3" s="44"/>
      <c r="J3" s="2">
        <v>45065</v>
      </c>
      <c r="K3" s="1">
        <v>2022</v>
      </c>
      <c r="L3" s="1">
        <v>200</v>
      </c>
      <c r="M3" s="13">
        <v>1.9</v>
      </c>
      <c r="N3" s="74">
        <f t="shared" si="1"/>
        <v>380</v>
      </c>
      <c r="O3" s="74">
        <f>N3/100*27.5*-1</f>
        <v>-104.5</v>
      </c>
      <c r="P3" s="74">
        <f>(N3+O3)/1000*-2</f>
        <v>-0.55100000000000005</v>
      </c>
      <c r="Q3" s="75">
        <f>N3+O3+P3</f>
        <v>274.94900000000001</v>
      </c>
      <c r="R3" s="10">
        <v>23.07</v>
      </c>
      <c r="S3" s="31">
        <f>Q3*R3</f>
        <v>6343.0734300000004</v>
      </c>
    </row>
    <row r="4" spans="1:19" s="1" customFormat="1" x14ac:dyDescent="0.3">
      <c r="A4" s="2">
        <v>44616</v>
      </c>
      <c r="B4" s="1" t="s">
        <v>34</v>
      </c>
      <c r="C4" s="3"/>
      <c r="D4" s="1" t="s">
        <v>9</v>
      </c>
      <c r="E4" s="1">
        <v>19</v>
      </c>
      <c r="F4" s="40">
        <v>837.4</v>
      </c>
      <c r="G4" s="40">
        <f t="shared" si="0"/>
        <v>-15910.6</v>
      </c>
      <c r="H4" s="40">
        <v>-65.69</v>
      </c>
      <c r="I4" s="44"/>
      <c r="J4" s="2"/>
      <c r="K4" s="1">
        <v>2023</v>
      </c>
      <c r="M4" s="13">
        <v>2.7</v>
      </c>
      <c r="N4" s="74">
        <f t="shared" si="1"/>
        <v>0</v>
      </c>
      <c r="O4" s="74">
        <f>N4/100*27.5*-1</f>
        <v>0</v>
      </c>
      <c r="P4" s="74">
        <f>(N4+O4)/1000*-2</f>
        <v>0</v>
      </c>
      <c r="Q4" s="75">
        <f>N4+O4+P4</f>
        <v>0</v>
      </c>
      <c r="R4" s="10">
        <v>25.5</v>
      </c>
      <c r="S4" s="31">
        <f>Q4*R4</f>
        <v>0</v>
      </c>
    </row>
    <row r="5" spans="1:19" s="1" customFormat="1" x14ac:dyDescent="0.3">
      <c r="A5" s="2">
        <v>44616</v>
      </c>
      <c r="B5" s="1" t="s">
        <v>34</v>
      </c>
      <c r="C5" s="3"/>
      <c r="D5" s="1" t="s">
        <v>9</v>
      </c>
      <c r="E5" s="1">
        <v>41</v>
      </c>
      <c r="F5" s="40">
        <v>828.2</v>
      </c>
      <c r="G5" s="40">
        <f t="shared" si="0"/>
        <v>-33956.200000000004</v>
      </c>
      <c r="H5" s="40">
        <v>-128.85</v>
      </c>
      <c r="I5" s="44"/>
      <c r="J5" s="2"/>
      <c r="M5" s="13"/>
      <c r="N5" s="13"/>
      <c r="O5" s="13"/>
      <c r="P5" s="10"/>
      <c r="Q5" s="13"/>
      <c r="S5" s="7"/>
    </row>
    <row r="6" spans="1:19" s="1" customFormat="1" x14ac:dyDescent="0.3">
      <c r="A6" s="2">
        <v>44616</v>
      </c>
      <c r="B6" s="1" t="s">
        <v>34</v>
      </c>
      <c r="C6" s="3"/>
      <c r="D6" s="1" t="s">
        <v>9</v>
      </c>
      <c r="E6" s="1">
        <v>5</v>
      </c>
      <c r="F6" s="40">
        <v>821.2</v>
      </c>
      <c r="G6" s="40">
        <f t="shared" si="0"/>
        <v>-4106</v>
      </c>
      <c r="H6" s="40">
        <v>-50</v>
      </c>
      <c r="I6" s="44"/>
      <c r="J6" s="2"/>
      <c r="M6" s="13"/>
      <c r="N6" s="13"/>
      <c r="O6" s="13"/>
      <c r="P6" s="10"/>
      <c r="Q6" s="13"/>
      <c r="S6" s="7"/>
    </row>
    <row r="7" spans="1:19" s="1" customFormat="1" x14ac:dyDescent="0.3">
      <c r="A7" s="2">
        <v>44620</v>
      </c>
      <c r="B7" s="1" t="s">
        <v>34</v>
      </c>
      <c r="C7" s="3"/>
      <c r="D7" s="1" t="s">
        <v>9</v>
      </c>
      <c r="E7" s="1">
        <v>4</v>
      </c>
      <c r="F7" s="40">
        <v>790.6</v>
      </c>
      <c r="G7" s="40">
        <f t="shared" si="0"/>
        <v>-3162.4</v>
      </c>
      <c r="H7" s="40">
        <v>-50</v>
      </c>
      <c r="I7" s="44"/>
      <c r="J7" s="2"/>
      <c r="M7" s="13"/>
      <c r="N7" s="13"/>
      <c r="O7" s="13"/>
      <c r="P7" s="10"/>
      <c r="Q7" s="13"/>
      <c r="S7" s="7"/>
    </row>
    <row r="8" spans="1:19" s="1" customFormat="1" x14ac:dyDescent="0.3">
      <c r="A8" s="2">
        <v>44620</v>
      </c>
      <c r="B8" s="1" t="s">
        <v>34</v>
      </c>
      <c r="C8" s="3"/>
      <c r="D8" s="1" t="s">
        <v>9</v>
      </c>
      <c r="E8" s="1">
        <v>51</v>
      </c>
      <c r="F8" s="40">
        <v>769.8</v>
      </c>
      <c r="G8" s="40">
        <f t="shared" si="0"/>
        <v>-39259.799999999996</v>
      </c>
      <c r="H8" s="40">
        <v>-147.41</v>
      </c>
      <c r="I8" s="44"/>
      <c r="J8" s="2"/>
      <c r="M8" s="13"/>
      <c r="N8" s="13"/>
      <c r="O8" s="13"/>
      <c r="P8" s="10"/>
      <c r="Q8" s="13"/>
      <c r="S8" s="7"/>
    </row>
    <row r="9" spans="1:19" s="1" customFormat="1" x14ac:dyDescent="0.3">
      <c r="A9" s="2">
        <v>44657</v>
      </c>
      <c r="B9" s="1" t="s">
        <v>34</v>
      </c>
      <c r="C9" s="3"/>
      <c r="D9" s="1" t="s">
        <v>9</v>
      </c>
      <c r="E9" s="1">
        <v>30</v>
      </c>
      <c r="F9" s="40">
        <v>751.2</v>
      </c>
      <c r="G9" s="40">
        <f t="shared" si="0"/>
        <v>-22536</v>
      </c>
      <c r="H9" s="40">
        <v>-88.88</v>
      </c>
      <c r="I9" s="44"/>
      <c r="J9" s="2"/>
      <c r="M9" s="13"/>
      <c r="N9" s="13"/>
      <c r="O9" s="13"/>
      <c r="P9" s="10"/>
      <c r="Q9" s="13"/>
      <c r="S9" s="7"/>
    </row>
    <row r="10" spans="1:19" s="1" customFormat="1" x14ac:dyDescent="0.3">
      <c r="A10" s="2">
        <v>44742</v>
      </c>
      <c r="B10" s="1" t="s">
        <v>34</v>
      </c>
      <c r="C10" s="3"/>
      <c r="D10" s="1" t="s">
        <v>9</v>
      </c>
      <c r="E10" s="1">
        <v>50</v>
      </c>
      <c r="F10" s="40">
        <v>600</v>
      </c>
      <c r="G10" s="40">
        <f t="shared" si="0"/>
        <v>-30000</v>
      </c>
      <c r="H10" s="40">
        <v>-115</v>
      </c>
      <c r="I10" s="44"/>
      <c r="J10" s="2"/>
      <c r="M10" s="13"/>
      <c r="N10" s="13"/>
      <c r="O10" s="13"/>
      <c r="P10" s="10"/>
      <c r="Q10" s="13"/>
      <c r="S10" s="7"/>
    </row>
    <row r="11" spans="1:19" s="1" customFormat="1" x14ac:dyDescent="0.3">
      <c r="A11" s="2">
        <v>45335</v>
      </c>
      <c r="B11" s="1" t="s">
        <v>34</v>
      </c>
      <c r="C11" s="3"/>
      <c r="D11" s="1" t="s">
        <v>14</v>
      </c>
      <c r="E11" s="1">
        <v>-100</v>
      </c>
      <c r="F11" s="40">
        <v>1013</v>
      </c>
      <c r="G11" s="40">
        <f t="shared" si="0"/>
        <v>101300</v>
      </c>
      <c r="H11" s="40">
        <v>-364.68</v>
      </c>
      <c r="I11" s="44"/>
      <c r="J11" s="2"/>
      <c r="M11" s="13"/>
      <c r="N11" s="13"/>
      <c r="O11" s="13"/>
      <c r="P11" s="10"/>
      <c r="Q11" s="13"/>
      <c r="S11" s="7"/>
    </row>
    <row r="12" spans="1:19" s="1" customFormat="1" x14ac:dyDescent="0.3">
      <c r="A12" s="2">
        <v>45358</v>
      </c>
      <c r="B12" s="1" t="s">
        <v>34</v>
      </c>
      <c r="C12" s="3"/>
      <c r="D12" s="1" t="s">
        <v>14</v>
      </c>
      <c r="E12" s="1">
        <v>-100</v>
      </c>
      <c r="F12" s="40">
        <v>951</v>
      </c>
      <c r="G12" s="40">
        <f t="shared" si="0"/>
        <v>95100</v>
      </c>
      <c r="H12" s="40">
        <v>-342.85</v>
      </c>
      <c r="I12" s="44"/>
      <c r="J12" s="2"/>
      <c r="M12" s="13"/>
      <c r="N12" s="13"/>
      <c r="O12" s="13"/>
      <c r="P12" s="10"/>
      <c r="Q12" s="13"/>
      <c r="S12" s="7"/>
    </row>
    <row r="13" spans="1:19" s="1" customFormat="1" x14ac:dyDescent="0.3">
      <c r="A13" s="2"/>
      <c r="C13" s="3"/>
      <c r="F13" s="40"/>
      <c r="G13" s="40"/>
      <c r="H13" s="40"/>
      <c r="I13" s="44"/>
      <c r="J13" s="2"/>
      <c r="M13" s="13"/>
      <c r="N13" s="13"/>
      <c r="O13" s="13"/>
      <c r="P13" s="10"/>
      <c r="Q13" s="13"/>
      <c r="S13" s="7"/>
    </row>
    <row r="14" spans="1:19" s="1" customFormat="1" ht="15" thickBot="1" x14ac:dyDescent="0.35">
      <c r="A14" s="2"/>
      <c r="C14" s="3"/>
      <c r="F14" s="40"/>
      <c r="G14" s="40"/>
      <c r="H14" s="40"/>
      <c r="I14" s="44"/>
      <c r="J14" s="2"/>
      <c r="M14" s="13"/>
      <c r="N14" s="13"/>
      <c r="O14" s="13"/>
      <c r="P14" s="10"/>
      <c r="Q14" s="13"/>
      <c r="S14" s="7"/>
    </row>
    <row r="15" spans="1:19" s="1" customFormat="1" ht="15" thickBot="1" x14ac:dyDescent="0.35">
      <c r="A15" s="207" t="s">
        <v>27</v>
      </c>
      <c r="B15" s="207"/>
      <c r="C15" s="2">
        <f>Bilance!C37</f>
        <v>45790</v>
      </c>
      <c r="E15" s="1">
        <f>SUM(E2:E14)</f>
        <v>0</v>
      </c>
      <c r="F15" s="70">
        <f>Bilance!C4</f>
        <v>1780</v>
      </c>
      <c r="G15" s="40">
        <f>E15*F15</f>
        <v>0</v>
      </c>
      <c r="H15" s="42"/>
      <c r="I15" s="45"/>
      <c r="J15" s="2"/>
      <c r="M15" s="13"/>
      <c r="N15" s="13"/>
      <c r="O15" s="13"/>
      <c r="P15" s="10"/>
      <c r="Q15" s="13"/>
      <c r="S15" s="7"/>
    </row>
    <row r="16" spans="1:19" s="7" customFormat="1" x14ac:dyDescent="0.3">
      <c r="A16" s="6"/>
      <c r="C16" s="8"/>
      <c r="E16" s="7" t="s">
        <v>42</v>
      </c>
      <c r="F16" s="43" t="e">
        <f>(SUM(G4:G14))/E15*-1</f>
        <v>#DIV/0!</v>
      </c>
      <c r="G16" s="43">
        <f>SUM(G2:G15)</f>
        <v>48659</v>
      </c>
      <c r="H16" s="43">
        <f>SUM(H2:H15)</f>
        <v>-1433.3600000000001</v>
      </c>
      <c r="I16" s="46">
        <f>G16+H16+S16</f>
        <v>57748.361564634004</v>
      </c>
      <c r="J16" s="2"/>
      <c r="K16" s="1"/>
      <c r="L16" s="1"/>
      <c r="M16" s="10"/>
      <c r="N16" s="10"/>
      <c r="O16" s="10"/>
      <c r="P16" s="10"/>
      <c r="Q16" s="76">
        <f>SUM(Q2:Q15)</f>
        <v>448.601</v>
      </c>
      <c r="S16" s="71">
        <f>SUM(S2:S15)</f>
        <v>10522.721564634001</v>
      </c>
    </row>
    <row r="17" spans="1:19" s="1" customFormat="1" x14ac:dyDescent="0.3">
      <c r="A17" s="2"/>
      <c r="B17" s="5"/>
      <c r="F17" s="4"/>
      <c r="G17" s="4"/>
      <c r="H17" s="4"/>
      <c r="M17" s="10"/>
      <c r="N17" s="10"/>
      <c r="O17" s="10"/>
      <c r="P17" s="10"/>
      <c r="Q17" s="10"/>
      <c r="S17" s="7"/>
    </row>
    <row r="18" spans="1:19" s="1" customFormat="1" x14ac:dyDescent="0.3">
      <c r="A18" s="2"/>
      <c r="F18" s="10"/>
      <c r="G18" s="4"/>
      <c r="H18" s="4"/>
      <c r="I18" s="4"/>
      <c r="M18" s="10"/>
      <c r="N18" s="10"/>
      <c r="O18" s="10"/>
      <c r="P18" s="10"/>
      <c r="Q18" s="10"/>
      <c r="S18" s="7"/>
    </row>
    <row r="19" spans="1:19" s="1" customFormat="1" x14ac:dyDescent="0.3">
      <c r="F19" s="10"/>
      <c r="G19" s="11"/>
      <c r="H19" s="4"/>
      <c r="I19" s="4"/>
      <c r="M19" s="10"/>
      <c r="N19" s="10"/>
      <c r="O19" s="10"/>
      <c r="P19" s="10"/>
      <c r="Q19" s="10"/>
      <c r="S19" s="7"/>
    </row>
    <row r="20" spans="1:19" s="1" customFormat="1" x14ac:dyDescent="0.3">
      <c r="G20" s="4"/>
      <c r="H20" s="4"/>
      <c r="J20" s="7"/>
      <c r="K20" s="7"/>
      <c r="L20" s="7"/>
      <c r="M20" s="31"/>
      <c r="N20" s="31"/>
      <c r="O20" s="31"/>
      <c r="P20" s="31"/>
      <c r="Q20" s="31"/>
      <c r="S20" s="7"/>
    </row>
    <row r="21" spans="1:19" s="1" customFormat="1" x14ac:dyDescent="0.3">
      <c r="H21" s="4"/>
      <c r="S21" s="7"/>
    </row>
    <row r="22" spans="1:19" x14ac:dyDescent="0.3">
      <c r="H22" s="73"/>
    </row>
    <row r="26" spans="1:19" x14ac:dyDescent="0.3">
      <c r="L26">
        <f>174/2.4</f>
        <v>72.5</v>
      </c>
    </row>
  </sheetData>
  <mergeCells count="2">
    <mergeCell ref="M1:N1"/>
    <mergeCell ref="A15:B15"/>
  </mergeCells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EC59-555A-49E6-8966-85747BC24CCE}">
  <dimension ref="A1:R19"/>
  <sheetViews>
    <sheetView workbookViewId="0">
      <selection activeCell="L4" sqref="L4"/>
    </sheetView>
  </sheetViews>
  <sheetFormatPr defaultRowHeight="14.4" x14ac:dyDescent="0.3"/>
  <cols>
    <col min="1" max="1" width="10.109375" bestFit="1" customWidth="1"/>
    <col min="2" max="2" width="11.109375" bestFit="1" customWidth="1"/>
    <col min="3" max="3" width="13.109375" bestFit="1" customWidth="1"/>
    <col min="4" max="4" width="7.44140625" bestFit="1" customWidth="1"/>
    <col min="5" max="5" width="8.6640625" bestFit="1" customWidth="1"/>
    <col min="6" max="6" width="11.109375" customWidth="1"/>
    <col min="7" max="7" width="13.88671875" bestFit="1" customWidth="1"/>
    <col min="8" max="8" width="9.6640625" bestFit="1" customWidth="1"/>
    <col min="9" max="9" width="11.44140625" bestFit="1" customWidth="1"/>
    <col min="10" max="10" width="15.5546875" bestFit="1" customWidth="1"/>
    <col min="11" max="11" width="5" bestFit="1" customWidth="1"/>
    <col min="12" max="12" width="8.6640625" bestFit="1" customWidth="1"/>
    <col min="13" max="13" width="9.109375" bestFit="1" customWidth="1"/>
    <col min="14" max="14" width="11.5546875" bestFit="1" customWidth="1"/>
    <col min="15" max="15" width="10.109375" bestFit="1" customWidth="1"/>
    <col min="16" max="16" width="8.44140625" bestFit="1" customWidth="1"/>
    <col min="17" max="17" width="11.77734375" bestFit="1" customWidth="1"/>
  </cols>
  <sheetData>
    <row r="1" spans="1:18" s="7" customFormat="1" x14ac:dyDescent="0.3">
      <c r="A1" s="37" t="s">
        <v>0</v>
      </c>
      <c r="B1" s="37" t="s">
        <v>1</v>
      </c>
      <c r="C1" s="37" t="s">
        <v>11</v>
      </c>
      <c r="D1" s="37" t="s">
        <v>13</v>
      </c>
      <c r="E1" s="37" t="s">
        <v>2</v>
      </c>
      <c r="F1" s="37" t="s">
        <v>3</v>
      </c>
      <c r="G1" s="37" t="s">
        <v>4</v>
      </c>
      <c r="H1" s="37" t="s">
        <v>5</v>
      </c>
      <c r="I1" s="37"/>
      <c r="J1" s="37" t="s">
        <v>6</v>
      </c>
      <c r="K1" s="37" t="s">
        <v>7</v>
      </c>
      <c r="L1" s="37" t="s">
        <v>2</v>
      </c>
      <c r="M1" s="209" t="s">
        <v>8</v>
      </c>
      <c r="N1" s="209"/>
      <c r="O1" s="37" t="s">
        <v>28</v>
      </c>
      <c r="P1" s="37" t="s">
        <v>5</v>
      </c>
      <c r="Q1" s="37" t="s">
        <v>29</v>
      </c>
      <c r="R1" s="37"/>
    </row>
    <row r="2" spans="1:18" s="1" customFormat="1" x14ac:dyDescent="0.3">
      <c r="A2" s="2">
        <v>44651</v>
      </c>
      <c r="B2" s="1" t="s">
        <v>40</v>
      </c>
      <c r="C2" s="3" t="s">
        <v>41</v>
      </c>
      <c r="D2" s="1" t="s">
        <v>9</v>
      </c>
      <c r="E2" s="1">
        <v>15</v>
      </c>
      <c r="F2" s="4">
        <v>90.4</v>
      </c>
      <c r="G2" s="4">
        <f t="shared" ref="G2:G4" si="0">E2*F2*-1</f>
        <v>-1356</v>
      </c>
      <c r="H2" s="4">
        <v>-50</v>
      </c>
      <c r="I2" s="4"/>
      <c r="J2" s="2">
        <v>44706</v>
      </c>
      <c r="K2" s="1">
        <v>2021</v>
      </c>
      <c r="L2" s="1">
        <v>300</v>
      </c>
      <c r="M2" s="47">
        <v>7</v>
      </c>
      <c r="N2" s="47">
        <f t="shared" ref="N2:N3" si="1">L2*M2</f>
        <v>2100</v>
      </c>
      <c r="O2" s="47">
        <f t="shared" ref="O2:O3" si="2">N2/100*15*-1</f>
        <v>-315</v>
      </c>
      <c r="P2" s="47">
        <v>0</v>
      </c>
      <c r="Q2" s="72">
        <f>N2+O2+P2</f>
        <v>1785</v>
      </c>
    </row>
    <row r="3" spans="1:18" s="1" customFormat="1" x14ac:dyDescent="0.3">
      <c r="A3" s="2">
        <v>44658</v>
      </c>
      <c r="B3" s="1" t="s">
        <v>40</v>
      </c>
      <c r="C3" s="3"/>
      <c r="D3" s="1" t="s">
        <v>9</v>
      </c>
      <c r="E3" s="1">
        <v>285</v>
      </c>
      <c r="F3" s="4">
        <v>90</v>
      </c>
      <c r="G3" s="4">
        <f t="shared" si="0"/>
        <v>-25650</v>
      </c>
      <c r="H3" s="4">
        <v>-99.78</v>
      </c>
      <c r="I3" s="4"/>
      <c r="J3" s="2">
        <v>45071</v>
      </c>
      <c r="K3" s="1">
        <v>2022</v>
      </c>
      <c r="L3" s="1">
        <v>500</v>
      </c>
      <c r="M3" s="10">
        <v>8</v>
      </c>
      <c r="N3" s="47">
        <f t="shared" si="1"/>
        <v>4000</v>
      </c>
      <c r="O3" s="47">
        <f t="shared" si="2"/>
        <v>-600</v>
      </c>
      <c r="P3" s="47">
        <v>0</v>
      </c>
      <c r="Q3" s="72">
        <f>N3+O3+P3</f>
        <v>3400</v>
      </c>
    </row>
    <row r="4" spans="1:18" s="1" customFormat="1" x14ac:dyDescent="0.3">
      <c r="A4" s="2">
        <v>44687</v>
      </c>
      <c r="B4" s="1" t="s">
        <v>40</v>
      </c>
      <c r="C4" s="3"/>
      <c r="D4" s="1" t="s">
        <v>9</v>
      </c>
      <c r="E4" s="1">
        <v>200</v>
      </c>
      <c r="F4" s="4">
        <v>86</v>
      </c>
      <c r="G4" s="4">
        <f t="shared" si="0"/>
        <v>-17200</v>
      </c>
      <c r="H4" s="4">
        <v>-70.2</v>
      </c>
      <c r="I4" s="4"/>
      <c r="J4" s="2"/>
      <c r="M4" s="10">
        <v>9</v>
      </c>
      <c r="N4" s="47">
        <f t="shared" ref="N4" si="3">L4*M4</f>
        <v>0</v>
      </c>
      <c r="O4" s="47">
        <f t="shared" ref="O4" si="4">N4/100*15*-1</f>
        <v>0</v>
      </c>
      <c r="P4" s="47">
        <v>0</v>
      </c>
      <c r="Q4" s="72">
        <f>N4+O4+P4</f>
        <v>0</v>
      </c>
    </row>
    <row r="5" spans="1:18" s="1" customFormat="1" x14ac:dyDescent="0.3">
      <c r="A5" s="2">
        <v>45331</v>
      </c>
      <c r="B5" s="1" t="s">
        <v>40</v>
      </c>
      <c r="C5" s="3"/>
      <c r="D5" s="1" t="s">
        <v>14</v>
      </c>
      <c r="E5" s="1">
        <v>-500</v>
      </c>
      <c r="F5" s="4">
        <v>100.2</v>
      </c>
      <c r="G5" s="4">
        <f>E5*F5*-1</f>
        <v>50100</v>
      </c>
      <c r="H5" s="4">
        <v>-185.35</v>
      </c>
      <c r="I5" s="4"/>
      <c r="J5" s="2"/>
      <c r="M5" s="10"/>
      <c r="N5" s="10"/>
      <c r="O5" s="10"/>
      <c r="P5" s="10"/>
      <c r="Q5" s="10"/>
    </row>
    <row r="6" spans="1:18" s="1" customFormat="1" x14ac:dyDescent="0.3">
      <c r="A6" s="2"/>
      <c r="F6" s="4"/>
      <c r="G6" s="4"/>
      <c r="H6" s="4"/>
      <c r="I6" s="4"/>
      <c r="J6" s="2"/>
      <c r="M6" s="10"/>
      <c r="N6" s="10"/>
      <c r="O6" s="10"/>
      <c r="P6" s="10"/>
      <c r="Q6" s="10"/>
    </row>
    <row r="7" spans="1:18" s="1" customFormat="1" ht="15" customHeight="1" x14ac:dyDescent="0.3">
      <c r="A7" s="2"/>
      <c r="C7" s="3"/>
      <c r="F7" s="4"/>
      <c r="G7" s="4"/>
      <c r="H7" s="4"/>
      <c r="I7" s="4"/>
      <c r="J7" s="2"/>
      <c r="M7" s="10"/>
      <c r="N7" s="10"/>
      <c r="O7" s="10"/>
      <c r="P7" s="10"/>
      <c r="Q7" s="10"/>
    </row>
    <row r="8" spans="1:18" s="1" customFormat="1" ht="15" customHeight="1" x14ac:dyDescent="0.3">
      <c r="A8" s="2"/>
      <c r="C8" s="3"/>
      <c r="F8" s="4"/>
      <c r="G8" s="4"/>
      <c r="H8" s="4"/>
      <c r="I8" s="4"/>
      <c r="J8" s="2"/>
      <c r="M8" s="10"/>
      <c r="N8" s="10"/>
      <c r="O8" s="10"/>
      <c r="P8" s="10"/>
      <c r="Q8" s="10"/>
    </row>
    <row r="9" spans="1:18" s="1" customFormat="1" ht="15" customHeight="1" x14ac:dyDescent="0.3">
      <c r="A9" s="2"/>
      <c r="C9" s="3"/>
      <c r="F9" s="4"/>
      <c r="G9" s="4"/>
      <c r="H9" s="4"/>
      <c r="I9" s="4"/>
      <c r="J9" s="2"/>
      <c r="M9" s="10"/>
      <c r="N9" s="10"/>
      <c r="O9" s="10"/>
      <c r="P9" s="10"/>
      <c r="Q9" s="10"/>
    </row>
    <row r="10" spans="1:18" s="1" customFormat="1" ht="15" customHeight="1" x14ac:dyDescent="0.3">
      <c r="A10" s="2"/>
      <c r="C10" s="3"/>
      <c r="F10" s="4"/>
      <c r="G10" s="4"/>
      <c r="H10" s="4"/>
      <c r="I10" s="4"/>
      <c r="J10" s="2"/>
      <c r="M10" s="10"/>
      <c r="N10" s="10"/>
      <c r="O10" s="10"/>
      <c r="P10" s="10"/>
      <c r="Q10" s="10"/>
    </row>
    <row r="11" spans="1:18" s="1" customFormat="1" x14ac:dyDescent="0.3">
      <c r="A11" s="2"/>
      <c r="C11" s="3"/>
      <c r="F11" s="4"/>
      <c r="G11" s="4"/>
      <c r="H11" s="4"/>
      <c r="I11" s="4"/>
      <c r="M11" s="10"/>
      <c r="N11" s="10"/>
      <c r="O11" s="10"/>
      <c r="P11" s="10"/>
      <c r="Q11" s="10"/>
    </row>
    <row r="12" spans="1:18" s="1" customFormat="1" ht="15" thickBot="1" x14ac:dyDescent="0.35">
      <c r="A12" s="2"/>
      <c r="C12" s="3"/>
      <c r="F12" s="4"/>
      <c r="G12" s="4"/>
      <c r="H12" s="4"/>
      <c r="I12" s="4"/>
      <c r="M12" s="10"/>
      <c r="N12" s="10"/>
      <c r="O12" s="10"/>
      <c r="P12" s="10"/>
      <c r="Q12" s="10"/>
    </row>
    <row r="13" spans="1:18" s="1" customFormat="1" ht="15" thickBot="1" x14ac:dyDescent="0.35">
      <c r="A13" s="207" t="s">
        <v>27</v>
      </c>
      <c r="B13" s="207"/>
      <c r="C13" s="2">
        <f>Bilance!C37</f>
        <v>45790</v>
      </c>
      <c r="E13" s="1">
        <f>SUM(E2:E12)</f>
        <v>0</v>
      </c>
      <c r="F13" s="63">
        <f>Bilance!C7</f>
        <v>145.19999999999999</v>
      </c>
      <c r="G13" s="28">
        <f>E13*F13</f>
        <v>0</v>
      </c>
      <c r="H13" s="19"/>
      <c r="I13" s="19"/>
      <c r="M13" s="10"/>
      <c r="N13" s="10"/>
      <c r="O13" s="10"/>
      <c r="P13" s="10"/>
      <c r="Q13" s="10"/>
    </row>
    <row r="14" spans="1:18" s="7" customFormat="1" x14ac:dyDescent="0.3">
      <c r="A14" s="6"/>
      <c r="C14" s="8"/>
      <c r="E14" s="7" t="s">
        <v>42</v>
      </c>
      <c r="F14" s="9" t="e">
        <f>(SUM(G2:G12))/E13*-1</f>
        <v>#DIV/0!</v>
      </c>
      <c r="G14" s="69">
        <f>SUM(G2:G13)</f>
        <v>5894</v>
      </c>
      <c r="H14" s="9">
        <f>SUM(H2:H13)</f>
        <v>-405.33000000000004</v>
      </c>
      <c r="I14" s="56">
        <f>G14+H14+Q14</f>
        <v>10673.67</v>
      </c>
      <c r="M14" s="31"/>
      <c r="N14" s="31"/>
      <c r="O14" s="31"/>
      <c r="P14" s="31"/>
      <c r="Q14" s="71">
        <f>SUM(Q2:Q13)</f>
        <v>5185</v>
      </c>
    </row>
    <row r="15" spans="1:18" s="1" customFormat="1" x14ac:dyDescent="0.3">
      <c r="A15" s="2"/>
      <c r="B15" s="5"/>
      <c r="F15" s="4">
        <v>88.41</v>
      </c>
      <c r="G15" s="4"/>
    </row>
    <row r="16" spans="1:18" s="1" customFormat="1" x14ac:dyDescent="0.3">
      <c r="A16" s="2"/>
      <c r="F16" s="10"/>
      <c r="G16" s="4"/>
      <c r="H16" s="4"/>
      <c r="I16" s="4"/>
      <c r="J16" s="2"/>
      <c r="N16" s="10"/>
    </row>
    <row r="17" spans="6:9" s="1" customFormat="1" x14ac:dyDescent="0.3">
      <c r="F17" s="10"/>
      <c r="G17" s="11"/>
      <c r="H17" s="4"/>
      <c r="I17" s="4"/>
    </row>
    <row r="18" spans="6:9" s="1" customFormat="1" x14ac:dyDescent="0.3">
      <c r="G18" s="4"/>
    </row>
    <row r="19" spans="6:9" s="1" customFormat="1" x14ac:dyDescent="0.3"/>
  </sheetData>
  <mergeCells count="2">
    <mergeCell ref="M1:N1"/>
    <mergeCell ref="A13:B13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C7C7-F6D6-4BA5-B588-BF6E8F755005}">
  <dimension ref="A1:R22"/>
  <sheetViews>
    <sheetView workbookViewId="0">
      <selection activeCell="L13" sqref="L13"/>
    </sheetView>
  </sheetViews>
  <sheetFormatPr defaultRowHeight="14.4" x14ac:dyDescent="0.3"/>
  <cols>
    <col min="1" max="1" width="10.109375" bestFit="1" customWidth="1"/>
    <col min="2" max="2" width="16.109375" bestFit="1" customWidth="1"/>
    <col min="3" max="3" width="13.109375" bestFit="1" customWidth="1"/>
    <col min="4" max="4" width="8.109375" bestFit="1" customWidth="1"/>
    <col min="5" max="5" width="8.6640625" bestFit="1" customWidth="1"/>
    <col min="6" max="6" width="12.109375" bestFit="1" customWidth="1"/>
    <col min="7" max="7" width="12.5546875" bestFit="1" customWidth="1"/>
    <col min="8" max="8" width="9.6640625" bestFit="1" customWidth="1"/>
    <col min="9" max="9" width="12.77734375" bestFit="1" customWidth="1"/>
    <col min="10" max="10" width="16.109375" bestFit="1" customWidth="1"/>
    <col min="11" max="11" width="5" bestFit="1" customWidth="1"/>
    <col min="12" max="12" width="8.6640625" bestFit="1" customWidth="1"/>
    <col min="13" max="13" width="8.109375" bestFit="1" customWidth="1"/>
    <col min="14" max="14" width="11.77734375" bestFit="1" customWidth="1"/>
    <col min="15" max="15" width="10.109375" bestFit="1" customWidth="1"/>
    <col min="16" max="16" width="8.44140625" bestFit="1" customWidth="1"/>
    <col min="17" max="17" width="11.77734375" bestFit="1" customWidth="1"/>
  </cols>
  <sheetData>
    <row r="1" spans="1:18" s="7" customFormat="1" x14ac:dyDescent="0.3">
      <c r="A1" s="37" t="s">
        <v>0</v>
      </c>
      <c r="B1" s="37" t="s">
        <v>1</v>
      </c>
      <c r="C1" s="37" t="s">
        <v>11</v>
      </c>
      <c r="D1" s="37" t="s">
        <v>13</v>
      </c>
      <c r="E1" s="37" t="s">
        <v>2</v>
      </c>
      <c r="F1" s="37" t="s">
        <v>3</v>
      </c>
      <c r="G1" s="37" t="s">
        <v>4</v>
      </c>
      <c r="H1" s="37" t="s">
        <v>5</v>
      </c>
      <c r="I1" s="37"/>
      <c r="J1" s="37" t="s">
        <v>6</v>
      </c>
      <c r="K1" s="37" t="s">
        <v>7</v>
      </c>
      <c r="L1" s="37" t="s">
        <v>2</v>
      </c>
      <c r="M1" s="209" t="s">
        <v>8</v>
      </c>
      <c r="N1" s="209"/>
      <c r="O1" s="37" t="s">
        <v>28</v>
      </c>
      <c r="P1" s="37" t="s">
        <v>5</v>
      </c>
      <c r="Q1" s="37" t="s">
        <v>29</v>
      </c>
      <c r="R1" s="37"/>
    </row>
    <row r="2" spans="1:18" s="1" customFormat="1" x14ac:dyDescent="0.3">
      <c r="A2" s="2">
        <v>44508</v>
      </c>
      <c r="B2" s="1" t="s">
        <v>37</v>
      </c>
      <c r="C2" s="3" t="s">
        <v>38</v>
      </c>
      <c r="D2" s="1" t="s">
        <v>9</v>
      </c>
      <c r="E2" s="1">
        <v>200</v>
      </c>
      <c r="F2" s="4">
        <v>272</v>
      </c>
      <c r="G2" s="4">
        <f t="shared" ref="G2:G7" si="0">E2*F2*-1</f>
        <v>-54400</v>
      </c>
      <c r="H2" s="4">
        <v>-157.80000000000001</v>
      </c>
      <c r="I2" s="4"/>
      <c r="J2" s="2">
        <v>45191</v>
      </c>
      <c r="K2" s="1">
        <v>2022</v>
      </c>
      <c r="L2" s="1">
        <v>210</v>
      </c>
      <c r="M2" s="47">
        <v>3</v>
      </c>
      <c r="N2" s="47">
        <f t="shared" ref="N2" si="1">L2*M2</f>
        <v>630</v>
      </c>
      <c r="O2" s="47">
        <f t="shared" ref="O2" si="2">N2/100*15*-1</f>
        <v>-94.5</v>
      </c>
      <c r="P2" s="47">
        <f>(N2+O2)/1000*-2</f>
        <v>-1.071</v>
      </c>
      <c r="Q2" s="72">
        <f>N2+O2+P2</f>
        <v>534.42899999999997</v>
      </c>
    </row>
    <row r="3" spans="1:18" s="1" customFormat="1" x14ac:dyDescent="0.3">
      <c r="A3" s="2">
        <v>44512</v>
      </c>
      <c r="B3" s="1" t="s">
        <v>37</v>
      </c>
      <c r="C3" s="3"/>
      <c r="D3" s="1" t="s">
        <v>9</v>
      </c>
      <c r="E3" s="1">
        <v>10</v>
      </c>
      <c r="F3" s="4">
        <v>545</v>
      </c>
      <c r="G3" s="4">
        <f t="shared" si="0"/>
        <v>-5450</v>
      </c>
      <c r="H3" s="4">
        <v>-40</v>
      </c>
      <c r="I3" s="4"/>
      <c r="J3" s="2"/>
      <c r="M3" s="10"/>
      <c r="N3" s="47"/>
      <c r="O3" s="47"/>
      <c r="P3" s="47"/>
      <c r="Q3" s="72"/>
    </row>
    <row r="4" spans="1:18" s="1" customFormat="1" x14ac:dyDescent="0.3">
      <c r="A4" s="2">
        <v>45453</v>
      </c>
      <c r="B4" s="1" t="s">
        <v>37</v>
      </c>
      <c r="C4" s="3"/>
      <c r="D4" s="1" t="s">
        <v>14</v>
      </c>
      <c r="E4" s="1">
        <v>-9</v>
      </c>
      <c r="F4" s="4">
        <v>160</v>
      </c>
      <c r="G4" s="4">
        <f t="shared" si="0"/>
        <v>1440</v>
      </c>
      <c r="H4" s="4">
        <v>-40</v>
      </c>
      <c r="I4" s="4"/>
      <c r="J4" s="2"/>
      <c r="M4" s="10"/>
      <c r="N4" s="10"/>
      <c r="O4" s="10"/>
      <c r="P4" s="10"/>
      <c r="Q4" s="10"/>
    </row>
    <row r="5" spans="1:18" s="1" customFormat="1" x14ac:dyDescent="0.3">
      <c r="A5" s="2">
        <v>45453</v>
      </c>
      <c r="B5" s="1" t="s">
        <v>37</v>
      </c>
      <c r="C5" s="3"/>
      <c r="D5" s="1" t="s">
        <v>14</v>
      </c>
      <c r="E5" s="1">
        <v>-100</v>
      </c>
      <c r="F5" s="4">
        <v>156</v>
      </c>
      <c r="G5" s="4">
        <f t="shared" si="0"/>
        <v>15600</v>
      </c>
      <c r="H5" s="4">
        <v>-54.6</v>
      </c>
      <c r="I5" s="4"/>
      <c r="J5" s="2"/>
      <c r="M5" s="10"/>
      <c r="N5" s="10"/>
      <c r="O5" s="10"/>
      <c r="P5" s="10"/>
      <c r="Q5" s="10"/>
    </row>
    <row r="6" spans="1:18" s="1" customFormat="1" x14ac:dyDescent="0.3">
      <c r="A6" s="2">
        <v>45453</v>
      </c>
      <c r="B6" s="1" t="s">
        <v>37</v>
      </c>
      <c r="D6" s="1" t="s">
        <v>14</v>
      </c>
      <c r="E6" s="1">
        <v>-100</v>
      </c>
      <c r="F6" s="4">
        <v>156</v>
      </c>
      <c r="G6" s="4">
        <f t="shared" si="0"/>
        <v>15600</v>
      </c>
      <c r="H6" s="4">
        <v>-54.6</v>
      </c>
      <c r="I6" s="4"/>
      <c r="J6" s="2"/>
      <c r="M6" s="10"/>
      <c r="N6" s="10"/>
      <c r="O6" s="10"/>
      <c r="P6" s="10"/>
      <c r="Q6" s="10"/>
    </row>
    <row r="7" spans="1:18" s="1" customFormat="1" x14ac:dyDescent="0.3">
      <c r="A7" s="2">
        <v>45453</v>
      </c>
      <c r="B7" s="1" t="s">
        <v>37</v>
      </c>
      <c r="C7" s="3"/>
      <c r="D7" s="1" t="s">
        <v>14</v>
      </c>
      <c r="E7" s="1">
        <v>-1</v>
      </c>
      <c r="F7" s="4">
        <v>156</v>
      </c>
      <c r="G7" s="4">
        <f t="shared" si="0"/>
        <v>156</v>
      </c>
      <c r="H7" s="4">
        <v>-0.5</v>
      </c>
      <c r="I7" s="4"/>
      <c r="J7" s="2"/>
      <c r="M7" s="10"/>
      <c r="N7" s="10"/>
      <c r="O7" s="10"/>
      <c r="P7" s="10"/>
      <c r="Q7" s="10"/>
    </row>
    <row r="8" spans="1:18" s="1" customFormat="1" x14ac:dyDescent="0.3">
      <c r="A8" s="2"/>
      <c r="C8" s="3"/>
      <c r="F8" s="4"/>
      <c r="G8" s="4"/>
      <c r="H8" s="4"/>
      <c r="I8" s="4"/>
      <c r="M8" s="10"/>
      <c r="N8" s="10"/>
      <c r="O8" s="10"/>
      <c r="P8" s="10"/>
      <c r="Q8" s="10"/>
    </row>
    <row r="9" spans="1:18" s="1" customFormat="1" ht="15" thickBot="1" x14ac:dyDescent="0.35">
      <c r="A9" s="2"/>
      <c r="C9" s="3"/>
      <c r="F9" s="4"/>
      <c r="G9" s="4"/>
      <c r="H9" s="4"/>
      <c r="I9" s="4"/>
      <c r="M9" s="10"/>
      <c r="N9" s="10"/>
      <c r="O9" s="10"/>
      <c r="P9" s="10"/>
      <c r="Q9" s="10"/>
    </row>
    <row r="10" spans="1:18" s="1" customFormat="1" ht="15" thickBot="1" x14ac:dyDescent="0.35">
      <c r="A10" s="207" t="s">
        <v>27</v>
      </c>
      <c r="B10" s="207"/>
      <c r="C10" s="2">
        <f>Bilance!C37</f>
        <v>45790</v>
      </c>
      <c r="E10" s="1">
        <f>SUM(E2:E9)</f>
        <v>0</v>
      </c>
      <c r="F10" s="63">
        <f>Bilance!C8</f>
        <v>134</v>
      </c>
      <c r="G10" s="28">
        <f>E10*F10</f>
        <v>0</v>
      </c>
      <c r="H10" s="19"/>
      <c r="I10" s="19"/>
      <c r="M10" s="10"/>
      <c r="N10" s="10"/>
      <c r="O10" s="10"/>
      <c r="P10" s="10"/>
      <c r="Q10" s="10"/>
    </row>
    <row r="11" spans="1:18" s="7" customFormat="1" x14ac:dyDescent="0.3">
      <c r="A11" s="6"/>
      <c r="C11" s="8"/>
      <c r="E11" s="7" t="s">
        <v>42</v>
      </c>
      <c r="F11" s="9" t="e">
        <f>(SUM(G2:G9))/E10*-1</f>
        <v>#DIV/0!</v>
      </c>
      <c r="G11" s="69">
        <f>SUM(G2:G10)</f>
        <v>-27054</v>
      </c>
      <c r="H11" s="9">
        <f>SUM(H2:H10)</f>
        <v>-347.50000000000006</v>
      </c>
      <c r="I11" s="59">
        <f>G11+H11+Q11</f>
        <v>-26867.071</v>
      </c>
      <c r="M11" s="31"/>
      <c r="N11" s="31"/>
      <c r="O11" s="31"/>
      <c r="P11" s="31"/>
      <c r="Q11" s="71">
        <f>SUM(Q2:Q10)</f>
        <v>534.42899999999997</v>
      </c>
    </row>
    <row r="12" spans="1:18" s="1" customFormat="1" x14ac:dyDescent="0.3">
      <c r="A12" s="2"/>
      <c r="B12" s="5"/>
      <c r="F12" s="4"/>
      <c r="G12" s="4"/>
      <c r="Q12" s="10"/>
    </row>
    <row r="13" spans="1:18" s="1" customFormat="1" x14ac:dyDescent="0.3">
      <c r="A13" s="2"/>
      <c r="F13" s="10"/>
      <c r="G13" s="4"/>
      <c r="H13" s="4"/>
      <c r="I13" s="4"/>
      <c r="J13" s="2"/>
      <c r="N13" s="10"/>
      <c r="Q13" s="10"/>
    </row>
    <row r="14" spans="1:18" s="1" customFormat="1" x14ac:dyDescent="0.3">
      <c r="F14" s="10"/>
      <c r="G14" s="11"/>
      <c r="H14" s="4"/>
      <c r="I14" s="4"/>
      <c r="Q14" s="31"/>
    </row>
    <row r="15" spans="1:18" s="1" customFormat="1" x14ac:dyDescent="0.3">
      <c r="G15" s="4"/>
    </row>
    <row r="16" spans="1:18" s="7" customFormat="1" x14ac:dyDescent="0.3">
      <c r="B16" s="7" t="s">
        <v>56</v>
      </c>
      <c r="C16" s="7" t="s">
        <v>57</v>
      </c>
      <c r="D16" s="7" t="s">
        <v>58</v>
      </c>
      <c r="E16" s="7" t="s">
        <v>59</v>
      </c>
      <c r="F16" s="7" t="s">
        <v>60</v>
      </c>
      <c r="G16" s="7" t="s">
        <v>29</v>
      </c>
      <c r="I16" s="154" t="s">
        <v>82</v>
      </c>
    </row>
    <row r="17" spans="1:17" x14ac:dyDescent="0.3">
      <c r="A17" t="s">
        <v>55</v>
      </c>
      <c r="B17" s="135">
        <v>13350000</v>
      </c>
      <c r="C17" s="136">
        <v>2222000</v>
      </c>
      <c r="D17" s="134">
        <f>B17/C17</f>
        <v>6.0081008100810083</v>
      </c>
      <c r="E17" s="1">
        <v>210</v>
      </c>
      <c r="F17" s="137">
        <f>D17*E17</f>
        <v>1261.7011701170118</v>
      </c>
      <c r="G17">
        <v>0</v>
      </c>
      <c r="I17" s="131">
        <v>44561</v>
      </c>
      <c r="J17" s="135">
        <v>19997000</v>
      </c>
      <c r="Q17" s="1"/>
    </row>
    <row r="18" spans="1:17" x14ac:dyDescent="0.3">
      <c r="A18" t="s">
        <v>61</v>
      </c>
      <c r="B18" s="135">
        <v>11248991</v>
      </c>
      <c r="C18" s="136">
        <v>2222000</v>
      </c>
      <c r="D18" s="134">
        <f>B18/C18</f>
        <v>5.0625522052205216</v>
      </c>
      <c r="E18" s="1">
        <v>210</v>
      </c>
      <c r="F18" s="137">
        <f>D18*E18</f>
        <v>1063.1359630963095</v>
      </c>
      <c r="G18" s="134">
        <v>630</v>
      </c>
      <c r="I18" s="131">
        <v>44926</v>
      </c>
      <c r="J18" s="135">
        <v>34133000</v>
      </c>
      <c r="Q18" s="1"/>
    </row>
    <row r="19" spans="1:17" x14ac:dyDescent="0.3">
      <c r="A19" t="s">
        <v>62</v>
      </c>
      <c r="B19" s="135">
        <v>9177788</v>
      </c>
      <c r="C19" s="136">
        <v>2222000</v>
      </c>
      <c r="D19" s="134">
        <f>B19/C19</f>
        <v>4.1304176417641765</v>
      </c>
      <c r="E19" s="1">
        <v>210</v>
      </c>
      <c r="F19" s="137">
        <f>D19*E19</f>
        <v>867.38770477047706</v>
      </c>
      <c r="I19" s="131">
        <v>45291</v>
      </c>
      <c r="J19" s="135">
        <v>38716000</v>
      </c>
      <c r="Q19" s="1"/>
    </row>
    <row r="20" spans="1:17" x14ac:dyDescent="0.3">
      <c r="A20" t="s">
        <v>63</v>
      </c>
    </row>
    <row r="21" spans="1:17" x14ac:dyDescent="0.3">
      <c r="A21" s="138" t="s">
        <v>64</v>
      </c>
      <c r="B21" s="138"/>
      <c r="C21" s="138"/>
      <c r="D21" s="138"/>
      <c r="E21" s="138"/>
      <c r="F21" s="138"/>
    </row>
    <row r="22" spans="1:17" x14ac:dyDescent="0.3">
      <c r="F22" s="137">
        <f>SUM(F17:F21)</f>
        <v>3192.2248379837984</v>
      </c>
      <c r="G22" s="134">
        <f>SUM(G17:G21)</f>
        <v>630</v>
      </c>
    </row>
  </sheetData>
  <mergeCells count="2">
    <mergeCell ref="M1:N1"/>
    <mergeCell ref="A10:B10"/>
  </mergeCell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D77AB-72C8-454A-A3D0-1B3F90CEE0CD}">
  <dimension ref="A1:P17"/>
  <sheetViews>
    <sheetView workbookViewId="0">
      <selection activeCell="E13" sqref="E13"/>
    </sheetView>
  </sheetViews>
  <sheetFormatPr defaultRowHeight="14.4" x14ac:dyDescent="0.3"/>
  <cols>
    <col min="1" max="1" width="10.109375" bestFit="1" customWidth="1"/>
    <col min="2" max="2" width="11.109375" bestFit="1" customWidth="1"/>
    <col min="3" max="3" width="13.44140625" bestFit="1" customWidth="1"/>
    <col min="4" max="4" width="12.21875" bestFit="1" customWidth="1"/>
    <col min="5" max="5" width="12" bestFit="1" customWidth="1"/>
    <col min="6" max="6" width="11" customWidth="1"/>
    <col min="7" max="7" width="12.109375" bestFit="1" customWidth="1"/>
    <col min="8" max="8" width="8.44140625" style="20" bestFit="1" customWidth="1"/>
    <col min="9" max="9" width="14.21875" style="34" bestFit="1" customWidth="1"/>
    <col min="10" max="10" width="15.5546875" bestFit="1" customWidth="1"/>
    <col min="11" max="11" width="4.21875" bestFit="1" customWidth="1"/>
    <col min="12" max="12" width="8.6640625" bestFit="1" customWidth="1"/>
    <col min="14" max="14" width="15.33203125" bestFit="1" customWidth="1"/>
  </cols>
  <sheetData>
    <row r="1" spans="1:16" s="7" customFormat="1" x14ac:dyDescent="0.3">
      <c r="A1" s="37" t="s">
        <v>0</v>
      </c>
      <c r="B1" s="37" t="s">
        <v>1</v>
      </c>
      <c r="C1" s="37" t="s">
        <v>11</v>
      </c>
      <c r="D1" s="37" t="s">
        <v>13</v>
      </c>
      <c r="E1" s="37" t="s">
        <v>2</v>
      </c>
      <c r="F1" s="37" t="s">
        <v>3</v>
      </c>
      <c r="G1" s="37" t="s">
        <v>33</v>
      </c>
      <c r="H1" s="38" t="s">
        <v>5</v>
      </c>
      <c r="I1" s="39" t="s">
        <v>53</v>
      </c>
      <c r="J1" s="37" t="s">
        <v>6</v>
      </c>
      <c r="K1" s="37" t="s">
        <v>7</v>
      </c>
      <c r="L1" s="37" t="s">
        <v>2</v>
      </c>
      <c r="M1" s="209" t="s">
        <v>8</v>
      </c>
      <c r="N1" s="209"/>
      <c r="O1" s="37"/>
      <c r="P1" s="37"/>
    </row>
    <row r="2" spans="1:16" s="1" customFormat="1" x14ac:dyDescent="0.3">
      <c r="A2" s="2">
        <v>44736</v>
      </c>
      <c r="B2" s="1" t="s">
        <v>51</v>
      </c>
      <c r="C2" s="3" t="s">
        <v>52</v>
      </c>
      <c r="D2" s="1" t="s">
        <v>9</v>
      </c>
      <c r="E2" s="1">
        <v>200</v>
      </c>
      <c r="F2" s="51">
        <v>2.1328</v>
      </c>
      <c r="G2" s="49">
        <f t="shared" ref="G2:G7" si="0">E2*F2*-1</f>
        <v>-426.56</v>
      </c>
      <c r="H2" s="22">
        <v>-9.9499999999999993</v>
      </c>
      <c r="I2" s="127">
        <v>24.1252663</v>
      </c>
      <c r="K2" s="4"/>
    </row>
    <row r="3" spans="1:16" s="1" customFormat="1" x14ac:dyDescent="0.3">
      <c r="A3" s="2">
        <v>44740</v>
      </c>
      <c r="B3" s="1" t="s">
        <v>51</v>
      </c>
      <c r="C3" s="3"/>
      <c r="D3" s="1" t="s">
        <v>9</v>
      </c>
      <c r="E3" s="1">
        <v>300</v>
      </c>
      <c r="F3" s="51">
        <v>2.1</v>
      </c>
      <c r="G3" s="49">
        <f t="shared" si="0"/>
        <v>-630</v>
      </c>
      <c r="H3" s="22">
        <v>-9.9499999999999993</v>
      </c>
      <c r="I3" s="130">
        <v>24.1570982</v>
      </c>
    </row>
    <row r="4" spans="1:16" s="1" customFormat="1" x14ac:dyDescent="0.3">
      <c r="A4" s="2">
        <v>44833</v>
      </c>
      <c r="B4" s="1" t="s">
        <v>51</v>
      </c>
      <c r="D4" s="1" t="s">
        <v>9</v>
      </c>
      <c r="E4" s="1">
        <v>830</v>
      </c>
      <c r="F4" s="51">
        <v>0.91560240000000004</v>
      </c>
      <c r="G4" s="49">
        <f t="shared" si="0"/>
        <v>-759.94999200000007</v>
      </c>
      <c r="H4" s="22">
        <v>-9.9499999999999993</v>
      </c>
      <c r="I4" s="130">
        <v>26.23677</v>
      </c>
    </row>
    <row r="5" spans="1:16" s="1" customFormat="1" x14ac:dyDescent="0.3">
      <c r="A5" s="2">
        <v>44909</v>
      </c>
      <c r="B5" s="1" t="s">
        <v>51</v>
      </c>
      <c r="C5" s="3"/>
      <c r="D5" s="1" t="s">
        <v>9</v>
      </c>
      <c r="E5" s="1">
        <v>1020</v>
      </c>
      <c r="F5" s="51">
        <v>0.42890200000000001</v>
      </c>
      <c r="G5" s="49">
        <f t="shared" si="0"/>
        <v>-437.48004000000003</v>
      </c>
      <c r="H5" s="22">
        <v>-9.9499999999999993</v>
      </c>
      <c r="I5" s="130">
        <v>23.478249999999999</v>
      </c>
    </row>
    <row r="6" spans="1:16" s="1" customFormat="1" x14ac:dyDescent="0.3">
      <c r="A6" s="2">
        <v>45063</v>
      </c>
      <c r="B6" s="1" t="s">
        <v>72</v>
      </c>
      <c r="C6" s="3"/>
      <c r="D6" s="1" t="s">
        <v>9</v>
      </c>
      <c r="E6" s="1">
        <v>960</v>
      </c>
      <c r="F6" s="51">
        <v>0.06</v>
      </c>
      <c r="G6" s="49">
        <f t="shared" si="0"/>
        <v>-57.599999999999994</v>
      </c>
      <c r="H6" s="22">
        <v>-19.95</v>
      </c>
      <c r="I6" s="130">
        <v>22.476929999999999</v>
      </c>
    </row>
    <row r="7" spans="1:16" s="1" customFormat="1" x14ac:dyDescent="0.3">
      <c r="A7" s="2">
        <v>45071</v>
      </c>
      <c r="B7" s="1" t="s">
        <v>72</v>
      </c>
      <c r="C7" s="3"/>
      <c r="D7" s="1" t="s">
        <v>9</v>
      </c>
      <c r="E7" s="1">
        <v>6690</v>
      </c>
      <c r="F7" s="51">
        <v>0.02</v>
      </c>
      <c r="G7" s="49">
        <f t="shared" si="0"/>
        <v>-133.80000000000001</v>
      </c>
      <c r="H7" s="22">
        <v>-19.95</v>
      </c>
      <c r="I7" s="130">
        <v>22.6279</v>
      </c>
    </row>
    <row r="8" spans="1:16" s="1" customFormat="1" x14ac:dyDescent="0.3">
      <c r="A8" s="2">
        <v>45218</v>
      </c>
      <c r="B8" s="1" t="s">
        <v>85</v>
      </c>
      <c r="C8" s="3"/>
      <c r="D8" s="1" t="s">
        <v>9</v>
      </c>
      <c r="E8" s="1">
        <v>6540</v>
      </c>
      <c r="F8" s="51">
        <v>5.0000000000000001E-3</v>
      </c>
      <c r="G8" s="49">
        <f>-44.95-7.7</f>
        <v>-52.650000000000006</v>
      </c>
      <c r="H8" s="22">
        <v>-19.95</v>
      </c>
      <c r="I8" s="130">
        <v>23.93629</v>
      </c>
    </row>
    <row r="9" spans="1:16" s="1" customFormat="1" x14ac:dyDescent="0.3">
      <c r="A9" s="2"/>
      <c r="C9" s="3"/>
      <c r="E9" s="1">
        <v>-16540</v>
      </c>
      <c r="F9" s="51">
        <f>G9/E9*-1</f>
        <v>8.5707376058041101E-3</v>
      </c>
      <c r="G9" s="49">
        <v>141.76</v>
      </c>
      <c r="H9" s="22"/>
      <c r="I9" s="130"/>
    </row>
    <row r="10" spans="1:16" s="1" customFormat="1" ht="15" thickBot="1" x14ac:dyDescent="0.35">
      <c r="A10" s="2"/>
      <c r="C10" s="3"/>
      <c r="F10" s="4"/>
      <c r="G10" s="21"/>
      <c r="H10" s="23"/>
      <c r="I10" s="65"/>
    </row>
    <row r="11" spans="1:16" s="1" customFormat="1" ht="15" thickBot="1" x14ac:dyDescent="0.35">
      <c r="A11" s="207" t="s">
        <v>27</v>
      </c>
      <c r="B11" s="207"/>
      <c r="C11" s="2">
        <f>Bilance!C37</f>
        <v>45790</v>
      </c>
      <c r="E11" s="1">
        <f>SUM(E2:E10)</f>
        <v>0</v>
      </c>
      <c r="F11" s="67">
        <f>Bilance!C23</f>
        <v>250</v>
      </c>
      <c r="G11" s="21">
        <f>E11*F11</f>
        <v>0</v>
      </c>
      <c r="H11" s="19"/>
      <c r="I11" s="65"/>
    </row>
    <row r="12" spans="1:16" s="7" customFormat="1" x14ac:dyDescent="0.3">
      <c r="A12" s="6"/>
      <c r="C12" s="8"/>
      <c r="F12" s="25"/>
      <c r="G12" s="25">
        <f>SUM(G2:G11)</f>
        <v>-2356.2800320000006</v>
      </c>
      <c r="H12" s="24">
        <f>SUM(H2:H11)</f>
        <v>-99.65</v>
      </c>
      <c r="I12" s="125">
        <f>G12+H12</f>
        <v>-2455.9300320000007</v>
      </c>
    </row>
    <row r="13" spans="1:16" s="1" customFormat="1" x14ac:dyDescent="0.3">
      <c r="A13" s="2"/>
      <c r="B13" s="5"/>
      <c r="F13" s="21"/>
      <c r="G13" s="4"/>
      <c r="H13" s="17"/>
      <c r="I13" s="33"/>
    </row>
    <row r="14" spans="1:16" s="1" customFormat="1" x14ac:dyDescent="0.3">
      <c r="A14" s="2"/>
      <c r="F14" s="10"/>
      <c r="G14" s="4"/>
      <c r="H14" s="19"/>
      <c r="I14" s="65"/>
      <c r="J14" s="2"/>
      <c r="N14" s="10"/>
    </row>
    <row r="15" spans="1:16" s="1" customFormat="1" x14ac:dyDescent="0.3">
      <c r="F15" s="10"/>
      <c r="G15" s="11"/>
      <c r="H15" s="19"/>
      <c r="I15" s="65"/>
    </row>
    <row r="16" spans="1:16" s="1" customFormat="1" x14ac:dyDescent="0.3">
      <c r="C16" s="21"/>
      <c r="D16" s="21"/>
      <c r="E16" s="21"/>
      <c r="F16" s="21"/>
      <c r="G16" s="32"/>
      <c r="H16" s="17"/>
      <c r="I16" s="33"/>
    </row>
    <row r="17" spans="3:9" s="1" customFormat="1" x14ac:dyDescent="0.3">
      <c r="C17" s="21"/>
      <c r="D17" s="21"/>
      <c r="E17" s="21"/>
      <c r="F17" s="21"/>
      <c r="H17" s="17"/>
      <c r="I17" s="33"/>
    </row>
  </sheetData>
  <mergeCells count="2">
    <mergeCell ref="M1:N1"/>
    <mergeCell ref="A11:B1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30CF-0272-47FD-9A0F-6CF43DF0DC4C}">
  <dimension ref="A1:S44"/>
  <sheetViews>
    <sheetView topLeftCell="E1" zoomScale="80" zoomScaleNormal="80" workbookViewId="0">
      <pane ySplit="1" topLeftCell="A20" activePane="bottomLeft" state="frozen"/>
      <selection pane="bottomLeft" activeCell="Q38" sqref="Q38"/>
    </sheetView>
  </sheetViews>
  <sheetFormatPr defaultRowHeight="14.4" x14ac:dyDescent="0.3"/>
  <cols>
    <col min="1" max="1" width="16.109375" customWidth="1"/>
    <col min="2" max="2" width="11.44140625" bestFit="1" customWidth="1"/>
    <col min="3" max="3" width="13.21875" customWidth="1"/>
    <col min="4" max="4" width="12.77734375" bestFit="1" customWidth="1"/>
    <col min="5" max="5" width="9.109375" bestFit="1" customWidth="1"/>
    <col min="6" max="6" width="14" bestFit="1" customWidth="1"/>
    <col min="7" max="7" width="16.44140625" bestFit="1" customWidth="1"/>
    <col min="8" max="8" width="12.44140625" bestFit="1" customWidth="1"/>
    <col min="9" max="9" width="14.77734375" bestFit="1" customWidth="1"/>
    <col min="10" max="10" width="16.109375" bestFit="1" customWidth="1"/>
    <col min="11" max="11" width="5.5546875" bestFit="1" customWidth="1"/>
    <col min="12" max="12" width="9.109375" bestFit="1" customWidth="1"/>
    <col min="13" max="13" width="10.88671875" bestFit="1" customWidth="1"/>
    <col min="14" max="14" width="14.77734375" bestFit="1" customWidth="1"/>
    <col min="15" max="15" width="13.5546875" bestFit="1" customWidth="1"/>
    <col min="16" max="16" width="9.77734375" bestFit="1" customWidth="1"/>
    <col min="17" max="17" width="14.77734375" style="30" bestFit="1" customWidth="1"/>
    <col min="18" max="18" width="10.88671875" bestFit="1" customWidth="1"/>
    <col min="19" max="19" width="13.5546875" bestFit="1" customWidth="1"/>
  </cols>
  <sheetData>
    <row r="1" spans="1:19" s="7" customFormat="1" x14ac:dyDescent="0.3">
      <c r="A1" s="7" t="s">
        <v>0</v>
      </c>
      <c r="B1" s="7" t="s">
        <v>1</v>
      </c>
      <c r="C1" s="7" t="s">
        <v>11</v>
      </c>
      <c r="D1" s="7" t="s">
        <v>13</v>
      </c>
      <c r="E1" s="7" t="s">
        <v>2</v>
      </c>
      <c r="F1" s="7" t="s">
        <v>3</v>
      </c>
      <c r="G1" s="7" t="s">
        <v>4</v>
      </c>
      <c r="H1" s="7" t="s">
        <v>5</v>
      </c>
      <c r="J1" s="7" t="s">
        <v>6</v>
      </c>
      <c r="K1" s="7" t="s">
        <v>7</v>
      </c>
      <c r="L1" s="7" t="s">
        <v>2</v>
      </c>
      <c r="M1" s="208" t="s">
        <v>8</v>
      </c>
      <c r="N1" s="208"/>
      <c r="O1" s="7" t="s">
        <v>70</v>
      </c>
      <c r="P1" s="7" t="s">
        <v>5</v>
      </c>
      <c r="Q1" s="29" t="s">
        <v>29</v>
      </c>
      <c r="R1" s="7" t="s">
        <v>5</v>
      </c>
      <c r="S1" s="7" t="s">
        <v>30</v>
      </c>
    </row>
    <row r="2" spans="1:19" s="1" customFormat="1" x14ac:dyDescent="0.3">
      <c r="A2" s="2">
        <v>39961</v>
      </c>
      <c r="B2" s="1" t="s">
        <v>10</v>
      </c>
      <c r="C2" s="3" t="s">
        <v>12</v>
      </c>
      <c r="D2" s="1" t="s">
        <v>9</v>
      </c>
      <c r="E2" s="1">
        <v>15</v>
      </c>
      <c r="F2" s="41">
        <v>840</v>
      </c>
      <c r="G2" s="52">
        <f t="shared" ref="G2:G15" si="0">E2*F2*-1</f>
        <v>-12600</v>
      </c>
      <c r="H2" s="52">
        <v>-60</v>
      </c>
      <c r="I2" s="52"/>
      <c r="J2" s="2">
        <v>40392</v>
      </c>
      <c r="K2" s="1">
        <v>2009</v>
      </c>
      <c r="L2" s="1">
        <v>27</v>
      </c>
      <c r="M2" s="77">
        <v>53</v>
      </c>
      <c r="N2" s="77">
        <f t="shared" ref="N2:N17" si="1">L2*M2</f>
        <v>1431</v>
      </c>
      <c r="O2" s="41">
        <f t="shared" ref="O2:O17" si="2">N2/100*15*-1</f>
        <v>-214.65</v>
      </c>
      <c r="P2" s="41"/>
      <c r="Q2" s="78">
        <f t="shared" ref="Q2:Q15" si="3">N2+O2</f>
        <v>1216.3499999999999</v>
      </c>
      <c r="R2" s="41"/>
      <c r="S2" s="77">
        <v>51204</v>
      </c>
    </row>
    <row r="3" spans="1:19" s="1" customFormat="1" x14ac:dyDescent="0.3">
      <c r="A3" s="2">
        <v>40143</v>
      </c>
      <c r="B3" s="1" t="s">
        <v>10</v>
      </c>
      <c r="C3" s="3"/>
      <c r="D3" s="1" t="s">
        <v>9</v>
      </c>
      <c r="E3" s="1">
        <v>12</v>
      </c>
      <c r="F3" s="41">
        <v>859.9</v>
      </c>
      <c r="G3" s="52">
        <f t="shared" si="0"/>
        <v>-10318.799999999999</v>
      </c>
      <c r="H3" s="52">
        <v>-60</v>
      </c>
      <c r="I3" s="52"/>
      <c r="J3" s="2">
        <v>40756</v>
      </c>
      <c r="K3" s="1">
        <v>2010</v>
      </c>
      <c r="L3" s="1">
        <v>130</v>
      </c>
      <c r="M3" s="77">
        <v>50</v>
      </c>
      <c r="N3" s="77">
        <f t="shared" si="1"/>
        <v>6500</v>
      </c>
      <c r="O3" s="41">
        <f t="shared" si="2"/>
        <v>-975</v>
      </c>
      <c r="P3" s="41"/>
      <c r="Q3" s="78">
        <f t="shared" si="3"/>
        <v>5525</v>
      </c>
      <c r="R3" s="41">
        <v>-16</v>
      </c>
      <c r="S3" s="77">
        <f>-3000+450-R3</f>
        <v>-2534</v>
      </c>
    </row>
    <row r="4" spans="1:19" s="1" customFormat="1" x14ac:dyDescent="0.3">
      <c r="A4" s="2">
        <v>40491</v>
      </c>
      <c r="B4" s="1" t="s">
        <v>10</v>
      </c>
      <c r="C4" s="3"/>
      <c r="D4" s="1" t="s">
        <v>9</v>
      </c>
      <c r="E4" s="1">
        <v>52</v>
      </c>
      <c r="F4" s="41">
        <v>780</v>
      </c>
      <c r="G4" s="52">
        <f t="shared" si="0"/>
        <v>-40560</v>
      </c>
      <c r="H4" s="52">
        <v>-162.24</v>
      </c>
      <c r="I4" s="52"/>
      <c r="J4" s="2">
        <v>41122</v>
      </c>
      <c r="K4" s="1">
        <v>2011</v>
      </c>
      <c r="L4" s="1">
        <v>130</v>
      </c>
      <c r="M4" s="77">
        <v>45</v>
      </c>
      <c r="N4" s="77">
        <f t="shared" si="1"/>
        <v>5850</v>
      </c>
      <c r="O4" s="41">
        <f t="shared" si="2"/>
        <v>-877.5</v>
      </c>
      <c r="P4" s="41"/>
      <c r="Q4" s="78">
        <f t="shared" si="3"/>
        <v>4972.5</v>
      </c>
      <c r="R4" s="41">
        <v>-14</v>
      </c>
      <c r="S4" s="77">
        <f>-2700+405-R4</f>
        <v>-2281</v>
      </c>
    </row>
    <row r="5" spans="1:19" s="1" customFormat="1" x14ac:dyDescent="0.3">
      <c r="A5" s="2">
        <v>40492</v>
      </c>
      <c r="B5" s="1" t="s">
        <v>10</v>
      </c>
      <c r="C5" s="3"/>
      <c r="D5" s="1" t="s">
        <v>9</v>
      </c>
      <c r="E5" s="1">
        <v>26</v>
      </c>
      <c r="F5" s="41">
        <v>777.5</v>
      </c>
      <c r="G5" s="52">
        <f t="shared" si="0"/>
        <v>-20215</v>
      </c>
      <c r="H5" s="52">
        <v>-80.86</v>
      </c>
      <c r="I5" s="52"/>
      <c r="J5" s="2">
        <v>41487</v>
      </c>
      <c r="K5" s="1">
        <v>2012</v>
      </c>
      <c r="L5" s="1">
        <v>245</v>
      </c>
      <c r="M5" s="77">
        <v>40</v>
      </c>
      <c r="N5" s="77">
        <f t="shared" si="1"/>
        <v>9800</v>
      </c>
      <c r="O5" s="41">
        <f t="shared" si="2"/>
        <v>-1470</v>
      </c>
      <c r="P5" s="41"/>
      <c r="Q5" s="78">
        <f t="shared" si="3"/>
        <v>8330</v>
      </c>
      <c r="R5" s="41">
        <v>-12</v>
      </c>
      <c r="S5" s="77">
        <f>-2400+360-R5</f>
        <v>-2028</v>
      </c>
    </row>
    <row r="6" spans="1:19" s="1" customFormat="1" x14ac:dyDescent="0.3">
      <c r="A6" s="2">
        <v>40492</v>
      </c>
      <c r="B6" s="1" t="s">
        <v>10</v>
      </c>
      <c r="C6" s="3"/>
      <c r="D6" s="1" t="s">
        <v>9</v>
      </c>
      <c r="E6" s="1">
        <v>25</v>
      </c>
      <c r="F6" s="41">
        <v>777.5</v>
      </c>
      <c r="G6" s="52">
        <f t="shared" si="0"/>
        <v>-19437.5</v>
      </c>
      <c r="H6" s="52">
        <v>-77.75</v>
      </c>
      <c r="I6" s="52"/>
      <c r="J6" s="2">
        <v>41852</v>
      </c>
      <c r="K6" s="1">
        <v>2013</v>
      </c>
      <c r="L6" s="1">
        <v>311</v>
      </c>
      <c r="M6" s="77">
        <v>40</v>
      </c>
      <c r="N6" s="77">
        <f t="shared" si="1"/>
        <v>12440</v>
      </c>
      <c r="O6" s="41">
        <f t="shared" si="2"/>
        <v>-1866</v>
      </c>
      <c r="P6" s="41"/>
      <c r="Q6" s="78">
        <f t="shared" si="3"/>
        <v>10574</v>
      </c>
      <c r="R6" s="41">
        <v>-12</v>
      </c>
      <c r="S6" s="77">
        <f>-2400+360-R6</f>
        <v>-2028</v>
      </c>
    </row>
    <row r="7" spans="1:19" s="1" customFormat="1" x14ac:dyDescent="0.3">
      <c r="A7" s="2">
        <v>41220</v>
      </c>
      <c r="B7" s="1" t="s">
        <v>10</v>
      </c>
      <c r="C7" s="3"/>
      <c r="D7" s="1" t="s">
        <v>9</v>
      </c>
      <c r="E7" s="1">
        <v>70</v>
      </c>
      <c r="F7" s="41">
        <v>725</v>
      </c>
      <c r="G7" s="52">
        <f t="shared" si="0"/>
        <v>-50750</v>
      </c>
      <c r="H7" s="52">
        <v>-203</v>
      </c>
      <c r="I7" s="52"/>
      <c r="J7" s="2">
        <v>42219</v>
      </c>
      <c r="K7" s="1">
        <v>2014</v>
      </c>
      <c r="L7" s="1">
        <v>311</v>
      </c>
      <c r="M7" s="77">
        <v>40</v>
      </c>
      <c r="N7" s="77">
        <f t="shared" si="1"/>
        <v>12440</v>
      </c>
      <c r="O7" s="41">
        <f t="shared" si="2"/>
        <v>-1866</v>
      </c>
      <c r="P7" s="41"/>
      <c r="Q7" s="78">
        <f t="shared" si="3"/>
        <v>10574</v>
      </c>
      <c r="R7" s="41">
        <v>-12</v>
      </c>
      <c r="S7" s="77">
        <f>-2400+360-R7</f>
        <v>-2028</v>
      </c>
    </row>
    <row r="8" spans="1:19" s="1" customFormat="1" x14ac:dyDescent="0.3">
      <c r="A8" s="2">
        <v>41235</v>
      </c>
      <c r="B8" s="1" t="s">
        <v>10</v>
      </c>
      <c r="C8" s="3"/>
      <c r="D8" s="1" t="s">
        <v>9</v>
      </c>
      <c r="E8" s="1">
        <v>10</v>
      </c>
      <c r="F8" s="41">
        <v>655</v>
      </c>
      <c r="G8" s="52">
        <f t="shared" si="0"/>
        <v>-6550</v>
      </c>
      <c r="H8" s="52">
        <v>-40</v>
      </c>
      <c r="I8" s="52"/>
      <c r="J8" s="2">
        <v>42583</v>
      </c>
      <c r="K8" s="1">
        <v>2015</v>
      </c>
      <c r="L8" s="1">
        <v>311</v>
      </c>
      <c r="M8" s="77">
        <v>40</v>
      </c>
      <c r="N8" s="77">
        <f t="shared" si="1"/>
        <v>12440</v>
      </c>
      <c r="O8" s="77">
        <f t="shared" si="2"/>
        <v>-1866</v>
      </c>
      <c r="P8" s="77"/>
      <c r="Q8" s="79">
        <f t="shared" si="3"/>
        <v>10574</v>
      </c>
      <c r="R8" s="41">
        <v>-12</v>
      </c>
      <c r="S8" s="77">
        <f>-2400+360-R8</f>
        <v>-2028</v>
      </c>
    </row>
    <row r="9" spans="1:19" s="1" customFormat="1" x14ac:dyDescent="0.3">
      <c r="A9" s="2">
        <v>41248</v>
      </c>
      <c r="B9" s="1" t="s">
        <v>10</v>
      </c>
      <c r="C9" s="3"/>
      <c r="D9" s="1" t="s">
        <v>9</v>
      </c>
      <c r="E9" s="1">
        <v>10</v>
      </c>
      <c r="F9" s="41">
        <v>645.4</v>
      </c>
      <c r="G9" s="52">
        <f t="shared" si="0"/>
        <v>-6454</v>
      </c>
      <c r="H9" s="52">
        <v>-40</v>
      </c>
      <c r="I9" s="52"/>
      <c r="J9" s="2">
        <v>42948</v>
      </c>
      <c r="K9" s="1">
        <v>2016</v>
      </c>
      <c r="L9" s="1">
        <v>320</v>
      </c>
      <c r="M9" s="77">
        <v>33</v>
      </c>
      <c r="N9" s="77">
        <f t="shared" si="1"/>
        <v>10560</v>
      </c>
      <c r="O9" s="77">
        <f t="shared" si="2"/>
        <v>-1584</v>
      </c>
      <c r="P9" s="77"/>
      <c r="Q9" s="79">
        <f t="shared" si="3"/>
        <v>8976</v>
      </c>
      <c r="R9" s="77">
        <v>-17.95</v>
      </c>
      <c r="S9" s="77">
        <v>-1671</v>
      </c>
    </row>
    <row r="10" spans="1:19" s="1" customFormat="1" x14ac:dyDescent="0.3">
      <c r="A10" s="2">
        <v>41304</v>
      </c>
      <c r="B10" s="1" t="s">
        <v>10</v>
      </c>
      <c r="C10" s="3"/>
      <c r="D10" s="1" t="s">
        <v>9</v>
      </c>
      <c r="E10" s="1">
        <v>9</v>
      </c>
      <c r="F10" s="41">
        <v>615</v>
      </c>
      <c r="G10" s="52">
        <f t="shared" si="0"/>
        <v>-5535</v>
      </c>
      <c r="H10" s="52">
        <v>-40</v>
      </c>
      <c r="I10" s="52"/>
      <c r="J10" s="2">
        <v>43313</v>
      </c>
      <c r="K10" s="1">
        <v>2017</v>
      </c>
      <c r="L10" s="1">
        <v>290</v>
      </c>
      <c r="M10" s="80">
        <v>33</v>
      </c>
      <c r="N10" s="80">
        <f t="shared" si="1"/>
        <v>9570</v>
      </c>
      <c r="O10" s="77">
        <f t="shared" si="2"/>
        <v>-1435.5</v>
      </c>
      <c r="P10" s="77"/>
      <c r="Q10" s="79">
        <f t="shared" si="3"/>
        <v>8134.5</v>
      </c>
      <c r="R10" s="77">
        <v>-16.27</v>
      </c>
      <c r="S10" s="77">
        <v>-1667</v>
      </c>
    </row>
    <row r="11" spans="1:19" s="1" customFormat="1" x14ac:dyDescent="0.3">
      <c r="A11" s="2">
        <v>41348</v>
      </c>
      <c r="B11" s="1" t="s">
        <v>10</v>
      </c>
      <c r="C11" s="3"/>
      <c r="D11" s="1" t="s">
        <v>9</v>
      </c>
      <c r="E11" s="1">
        <v>16</v>
      </c>
      <c r="F11" s="41">
        <v>590</v>
      </c>
      <c r="G11" s="52">
        <f t="shared" si="0"/>
        <v>-9440</v>
      </c>
      <c r="H11" s="52">
        <v>-40</v>
      </c>
      <c r="I11" s="52"/>
      <c r="J11" s="2">
        <v>43679</v>
      </c>
      <c r="K11" s="1">
        <v>2018</v>
      </c>
      <c r="L11" s="1">
        <v>290</v>
      </c>
      <c r="M11" s="80">
        <v>24</v>
      </c>
      <c r="N11" s="80">
        <f t="shared" si="1"/>
        <v>6960</v>
      </c>
      <c r="O11" s="77">
        <f t="shared" si="2"/>
        <v>-1044</v>
      </c>
      <c r="P11" s="77"/>
      <c r="Q11" s="79">
        <f t="shared" si="3"/>
        <v>5916</v>
      </c>
      <c r="R11" s="77">
        <v>-11.83</v>
      </c>
      <c r="S11" s="77">
        <v>-1208</v>
      </c>
    </row>
    <row r="12" spans="1:19" s="1" customFormat="1" x14ac:dyDescent="0.3">
      <c r="A12" s="2">
        <v>41493</v>
      </c>
      <c r="B12" s="1" t="s">
        <v>10</v>
      </c>
      <c r="C12" s="3"/>
      <c r="D12" s="1" t="s">
        <v>9</v>
      </c>
      <c r="E12" s="1">
        <v>20</v>
      </c>
      <c r="F12" s="41">
        <v>455</v>
      </c>
      <c r="G12" s="52">
        <f t="shared" si="0"/>
        <v>-9100</v>
      </c>
      <c r="H12" s="52">
        <v>-40</v>
      </c>
      <c r="I12" s="52"/>
      <c r="J12" s="2">
        <v>44046</v>
      </c>
      <c r="K12" s="1">
        <v>2019</v>
      </c>
      <c r="L12" s="1">
        <v>291</v>
      </c>
      <c r="M12" s="77">
        <v>34</v>
      </c>
      <c r="N12" s="77">
        <f t="shared" si="1"/>
        <v>9894</v>
      </c>
      <c r="O12" s="77">
        <f t="shared" si="2"/>
        <v>-1484.1</v>
      </c>
      <c r="P12" s="77"/>
      <c r="Q12" s="79">
        <f t="shared" si="3"/>
        <v>8409.9</v>
      </c>
      <c r="R12" s="77">
        <v>-16.82</v>
      </c>
      <c r="S12" s="77">
        <v>-1718</v>
      </c>
    </row>
    <row r="13" spans="1:19" s="1" customFormat="1" x14ac:dyDescent="0.3">
      <c r="A13" s="2">
        <v>41558</v>
      </c>
      <c r="B13" s="1" t="s">
        <v>10</v>
      </c>
      <c r="C13" s="3"/>
      <c r="D13" s="1" t="s">
        <v>9</v>
      </c>
      <c r="E13" s="1">
        <v>46</v>
      </c>
      <c r="F13" s="41">
        <v>482</v>
      </c>
      <c r="G13" s="52">
        <f t="shared" si="0"/>
        <v>-22172</v>
      </c>
      <c r="H13" s="52">
        <v>-77.599999999999994</v>
      </c>
      <c r="I13" s="52"/>
      <c r="J13" s="2">
        <v>44410</v>
      </c>
      <c r="K13" s="1">
        <v>2020</v>
      </c>
      <c r="L13" s="1">
        <v>792</v>
      </c>
      <c r="M13" s="77">
        <v>52</v>
      </c>
      <c r="N13" s="77">
        <f t="shared" si="1"/>
        <v>41184</v>
      </c>
      <c r="O13" s="77">
        <f t="shared" si="2"/>
        <v>-6177.5999999999995</v>
      </c>
      <c r="P13" s="77"/>
      <c r="Q13" s="79">
        <f t="shared" si="3"/>
        <v>35006.400000000001</v>
      </c>
      <c r="R13" s="77">
        <v>-35</v>
      </c>
      <c r="S13" s="77">
        <f>-2652-R13</f>
        <v>-2617</v>
      </c>
    </row>
    <row r="14" spans="1:19" s="1" customFormat="1" x14ac:dyDescent="0.3">
      <c r="A14" s="53">
        <v>42544</v>
      </c>
      <c r="B14" s="54" t="s">
        <v>10</v>
      </c>
      <c r="C14" s="55"/>
      <c r="D14" s="54" t="s">
        <v>9</v>
      </c>
      <c r="E14" s="54">
        <v>9</v>
      </c>
      <c r="F14" s="83">
        <v>427</v>
      </c>
      <c r="G14" s="88">
        <f t="shared" si="0"/>
        <v>-3843</v>
      </c>
      <c r="H14" s="88">
        <v>-100</v>
      </c>
      <c r="I14" s="52"/>
      <c r="J14" s="2">
        <v>44866</v>
      </c>
      <c r="K14" s="1">
        <v>2021</v>
      </c>
      <c r="L14" s="1">
        <v>790</v>
      </c>
      <c r="M14" s="77">
        <v>48</v>
      </c>
      <c r="N14" s="77">
        <f t="shared" si="1"/>
        <v>37920</v>
      </c>
      <c r="O14" s="77">
        <f t="shared" si="2"/>
        <v>-5688</v>
      </c>
      <c r="P14" s="77"/>
      <c r="Q14" s="79">
        <f t="shared" si="3"/>
        <v>32232</v>
      </c>
      <c r="R14" s="77">
        <f>(N14+O14)/1000*-2</f>
        <v>-64.463999999999999</v>
      </c>
      <c r="S14" s="77">
        <f>-2880+432-35</f>
        <v>-2483</v>
      </c>
    </row>
    <row r="15" spans="1:19" s="1" customFormat="1" x14ac:dyDescent="0.3">
      <c r="A15" s="2">
        <v>42744</v>
      </c>
      <c r="B15" s="1" t="s">
        <v>10</v>
      </c>
      <c r="C15" s="3"/>
      <c r="D15" s="1" t="s">
        <v>9</v>
      </c>
      <c r="E15" s="1">
        <v>20</v>
      </c>
      <c r="F15" s="41">
        <v>420</v>
      </c>
      <c r="G15" s="52">
        <f t="shared" si="0"/>
        <v>-8400</v>
      </c>
      <c r="H15" s="52">
        <v>-100</v>
      </c>
      <c r="I15" s="52"/>
      <c r="J15" s="2">
        <v>45139</v>
      </c>
      <c r="K15" s="1">
        <v>2022</v>
      </c>
      <c r="L15" s="1">
        <v>810</v>
      </c>
      <c r="M15" s="77">
        <v>145</v>
      </c>
      <c r="N15" s="77">
        <f t="shared" si="1"/>
        <v>117450</v>
      </c>
      <c r="O15" s="77">
        <f t="shared" si="2"/>
        <v>-17617.5</v>
      </c>
      <c r="P15" s="77"/>
      <c r="Q15" s="79">
        <f t="shared" si="3"/>
        <v>99832.5</v>
      </c>
      <c r="R15" s="77">
        <v>-65</v>
      </c>
      <c r="S15" s="77">
        <f>(60*M15)*0.85*-1-R15</f>
        <v>-7330</v>
      </c>
    </row>
    <row r="16" spans="1:19" s="1" customFormat="1" x14ac:dyDescent="0.3">
      <c r="A16" s="2">
        <v>42776</v>
      </c>
      <c r="B16" s="1" t="s">
        <v>10</v>
      </c>
      <c r="C16" s="3"/>
      <c r="D16" s="1" t="s">
        <v>14</v>
      </c>
      <c r="E16" s="1">
        <v>-300</v>
      </c>
      <c r="F16" s="41">
        <v>440</v>
      </c>
      <c r="G16" s="52">
        <f>E16*F16*-1</f>
        <v>132000</v>
      </c>
      <c r="H16" s="52">
        <v>-330</v>
      </c>
      <c r="I16" s="52"/>
      <c r="J16" s="2">
        <v>45505</v>
      </c>
      <c r="K16" s="1">
        <v>2023</v>
      </c>
      <c r="L16" s="1">
        <v>555</v>
      </c>
      <c r="M16" s="77">
        <v>52</v>
      </c>
      <c r="N16" s="77">
        <f t="shared" si="1"/>
        <v>28860</v>
      </c>
      <c r="O16" s="77">
        <f t="shared" si="2"/>
        <v>-4329</v>
      </c>
      <c r="P16" s="77">
        <f>-37.57-11.49</f>
        <v>-49.06</v>
      </c>
      <c r="Q16" s="79">
        <f>N16+O16+P16</f>
        <v>24481.94</v>
      </c>
      <c r="R16" s="77"/>
      <c r="S16" s="77">
        <v>0</v>
      </c>
    </row>
    <row r="17" spans="1:19" s="1" customFormat="1" x14ac:dyDescent="0.3">
      <c r="A17" s="2">
        <v>42902</v>
      </c>
      <c r="B17" s="1" t="s">
        <v>15</v>
      </c>
      <c r="C17" s="1" t="s">
        <v>16</v>
      </c>
      <c r="D17" s="1" t="s">
        <v>19</v>
      </c>
      <c r="F17" s="41"/>
      <c r="G17" s="52"/>
      <c r="H17" s="52">
        <v>-785</v>
      </c>
      <c r="I17" s="52"/>
      <c r="J17" s="2"/>
      <c r="K17" s="1">
        <v>2024</v>
      </c>
      <c r="M17" s="77">
        <v>47</v>
      </c>
      <c r="N17" s="77">
        <f t="shared" si="1"/>
        <v>0</v>
      </c>
      <c r="O17" s="77">
        <f t="shared" si="2"/>
        <v>0</v>
      </c>
      <c r="P17" s="77"/>
      <c r="Q17" s="79">
        <f>N17+O17+P17</f>
        <v>0</v>
      </c>
      <c r="R17" s="77"/>
      <c r="S17" s="77"/>
    </row>
    <row r="18" spans="1:19" s="1" customFormat="1" x14ac:dyDescent="0.3">
      <c r="A18" s="2">
        <v>42908</v>
      </c>
      <c r="B18" s="1" t="s">
        <v>10</v>
      </c>
      <c r="D18" s="1" t="s">
        <v>9</v>
      </c>
      <c r="E18" s="1">
        <v>280</v>
      </c>
      <c r="F18" s="77">
        <v>438</v>
      </c>
      <c r="G18" s="52">
        <f>E18*F18*-1</f>
        <v>-122640</v>
      </c>
      <c r="H18" s="52">
        <v>-441.5</v>
      </c>
      <c r="I18" s="52"/>
      <c r="M18" s="77"/>
      <c r="N18" s="77"/>
      <c r="O18" s="77"/>
      <c r="P18" s="77"/>
      <c r="Q18" s="79"/>
      <c r="R18" s="77"/>
      <c r="S18" s="77"/>
    </row>
    <row r="19" spans="1:19" s="1" customFormat="1" x14ac:dyDescent="0.3">
      <c r="A19" s="2">
        <v>43084</v>
      </c>
      <c r="B19" s="1" t="s">
        <v>10</v>
      </c>
      <c r="D19" s="1" t="s">
        <v>14</v>
      </c>
      <c r="E19" s="1">
        <v>-320</v>
      </c>
      <c r="F19" s="77">
        <v>500</v>
      </c>
      <c r="G19" s="52">
        <f>E19*F19*-1</f>
        <v>160000</v>
      </c>
      <c r="H19" s="52">
        <v>-576</v>
      </c>
      <c r="I19" s="52"/>
      <c r="M19" s="77"/>
      <c r="N19" s="77"/>
      <c r="O19" s="77"/>
      <c r="P19" s="77"/>
      <c r="Q19" s="79"/>
      <c r="R19" s="77"/>
      <c r="S19" s="77"/>
    </row>
    <row r="20" spans="1:19" s="1" customFormat="1" x14ac:dyDescent="0.3">
      <c r="A20" s="53">
        <v>43100</v>
      </c>
      <c r="B20" s="54" t="s">
        <v>10</v>
      </c>
      <c r="C20" s="54"/>
      <c r="D20" s="54" t="s">
        <v>17</v>
      </c>
      <c r="E20" s="54"/>
      <c r="F20" s="84"/>
      <c r="G20" s="88"/>
      <c r="H20" s="88">
        <v>-2642.1</v>
      </c>
      <c r="I20" s="52"/>
      <c r="M20" s="77"/>
      <c r="N20" s="77"/>
      <c r="O20" s="77"/>
      <c r="P20" s="77"/>
      <c r="Q20" s="79"/>
      <c r="R20" s="77"/>
      <c r="S20" s="77"/>
    </row>
    <row r="21" spans="1:19" s="1" customFormat="1" x14ac:dyDescent="0.3">
      <c r="A21" s="2">
        <v>43178</v>
      </c>
      <c r="B21" s="1" t="s">
        <v>10</v>
      </c>
      <c r="D21" s="1" t="s">
        <v>9</v>
      </c>
      <c r="E21" s="1">
        <v>290</v>
      </c>
      <c r="F21" s="77">
        <v>511</v>
      </c>
      <c r="G21" s="89">
        <f t="shared" ref="G21:G33" si="4">E21*F21*-1</f>
        <v>-148190</v>
      </c>
      <c r="H21" s="52">
        <f>-533.49+100</f>
        <v>-433.49</v>
      </c>
      <c r="I21" s="52"/>
      <c r="M21" s="77"/>
      <c r="N21" s="77"/>
      <c r="O21" s="77"/>
      <c r="P21" s="77"/>
      <c r="Q21" s="79"/>
      <c r="R21" s="77"/>
      <c r="S21" s="77"/>
    </row>
    <row r="22" spans="1:19" s="1" customFormat="1" x14ac:dyDescent="0.3">
      <c r="A22" s="2">
        <v>43704</v>
      </c>
      <c r="B22" s="1" t="s">
        <v>10</v>
      </c>
      <c r="D22" s="1" t="s">
        <v>9</v>
      </c>
      <c r="E22" s="1">
        <v>1</v>
      </c>
      <c r="F22" s="77">
        <v>509</v>
      </c>
      <c r="G22" s="89">
        <f t="shared" si="4"/>
        <v>-509</v>
      </c>
      <c r="H22" s="52">
        <v>-50</v>
      </c>
      <c r="I22" s="52"/>
      <c r="M22" s="77"/>
      <c r="N22" s="77"/>
      <c r="O22" s="77"/>
      <c r="P22" s="77"/>
      <c r="Q22" s="79"/>
      <c r="R22" s="77"/>
      <c r="S22" s="77"/>
    </row>
    <row r="23" spans="1:19" s="1" customFormat="1" x14ac:dyDescent="0.3">
      <c r="A23" s="2">
        <v>44119</v>
      </c>
      <c r="B23" s="1" t="s">
        <v>10</v>
      </c>
      <c r="D23" s="1" t="s">
        <v>9</v>
      </c>
      <c r="E23" s="1">
        <v>24</v>
      </c>
      <c r="F23" s="77">
        <v>438</v>
      </c>
      <c r="G23" s="89">
        <f t="shared" si="4"/>
        <v>-10512</v>
      </c>
      <c r="H23" s="52">
        <v>-50</v>
      </c>
      <c r="I23" s="90"/>
      <c r="M23" s="77"/>
      <c r="N23" s="77"/>
      <c r="O23" s="77"/>
      <c r="P23" s="77"/>
      <c r="Q23" s="79"/>
      <c r="R23" s="77"/>
      <c r="S23" s="77"/>
    </row>
    <row r="24" spans="1:19" s="1" customFormat="1" x14ac:dyDescent="0.3">
      <c r="A24" s="2">
        <v>44354</v>
      </c>
      <c r="B24" s="1" t="s">
        <v>10</v>
      </c>
      <c r="D24" s="1" t="s">
        <v>9</v>
      </c>
      <c r="E24" s="1">
        <v>21</v>
      </c>
      <c r="F24" s="77">
        <v>641.5</v>
      </c>
      <c r="G24" s="89">
        <f t="shared" si="4"/>
        <v>-13471.5</v>
      </c>
      <c r="H24" s="52">
        <v>-57.15</v>
      </c>
      <c r="I24" s="90"/>
      <c r="M24" s="77"/>
      <c r="N24" s="77"/>
      <c r="O24" s="77"/>
      <c r="P24" s="77"/>
      <c r="Q24" s="79"/>
      <c r="R24" s="77"/>
      <c r="S24" s="77"/>
    </row>
    <row r="25" spans="1:19" s="1" customFormat="1" x14ac:dyDescent="0.3">
      <c r="A25" s="2">
        <v>44364</v>
      </c>
      <c r="B25" s="1" t="s">
        <v>10</v>
      </c>
      <c r="D25" s="1" t="s">
        <v>9</v>
      </c>
      <c r="E25" s="1">
        <v>31</v>
      </c>
      <c r="F25" s="77">
        <v>633</v>
      </c>
      <c r="G25" s="89">
        <f t="shared" si="4"/>
        <v>-19623</v>
      </c>
      <c r="H25" s="52">
        <v>-78.680000000000007</v>
      </c>
      <c r="I25" s="90"/>
      <c r="M25" s="77"/>
      <c r="N25" s="77"/>
      <c r="O25" s="77"/>
      <c r="P25" s="77"/>
      <c r="Q25" s="79"/>
      <c r="R25" s="77"/>
      <c r="S25" s="77"/>
    </row>
    <row r="26" spans="1:19" s="1" customFormat="1" x14ac:dyDescent="0.3">
      <c r="A26" s="2">
        <v>44369</v>
      </c>
      <c r="B26" s="1" t="s">
        <v>10</v>
      </c>
      <c r="D26" s="1" t="s">
        <v>9</v>
      </c>
      <c r="E26" s="1">
        <v>425</v>
      </c>
      <c r="F26" s="77">
        <v>632.5</v>
      </c>
      <c r="G26" s="89">
        <f t="shared" si="4"/>
        <v>-268812.5</v>
      </c>
      <c r="H26" s="52">
        <f>G26/100*0.4</f>
        <v>-1075.25</v>
      </c>
      <c r="I26" s="52"/>
      <c r="M26" s="77"/>
      <c r="N26" s="77"/>
      <c r="O26" s="77"/>
      <c r="P26" s="77"/>
      <c r="Q26" s="79"/>
      <c r="R26" s="77"/>
      <c r="S26" s="77"/>
    </row>
    <row r="27" spans="1:19" s="1" customFormat="1" x14ac:dyDescent="0.3">
      <c r="A27" s="2">
        <v>44592</v>
      </c>
      <c r="B27" s="1" t="s">
        <v>10</v>
      </c>
      <c r="D27" s="1" t="s">
        <v>9</v>
      </c>
      <c r="E27" s="1">
        <v>8</v>
      </c>
      <c r="F27" s="77">
        <v>806.5</v>
      </c>
      <c r="G27" s="89">
        <f t="shared" si="4"/>
        <v>-6452</v>
      </c>
      <c r="H27" s="52">
        <v>-50</v>
      </c>
      <c r="I27" s="52"/>
      <c r="M27" s="77"/>
      <c r="N27" s="77"/>
      <c r="O27" s="77"/>
      <c r="P27" s="77"/>
      <c r="Q27" s="79"/>
      <c r="R27" s="77"/>
      <c r="S27" s="77"/>
    </row>
    <row r="28" spans="1:19" s="1" customFormat="1" x14ac:dyDescent="0.3">
      <c r="A28" s="2">
        <v>44616</v>
      </c>
      <c r="B28" s="1" t="s">
        <v>10</v>
      </c>
      <c r="D28" s="1" t="s">
        <v>9</v>
      </c>
      <c r="E28" s="1">
        <v>50</v>
      </c>
      <c r="F28" s="77">
        <v>838</v>
      </c>
      <c r="G28" s="89">
        <f t="shared" si="4"/>
        <v>-41900</v>
      </c>
      <c r="H28" s="52">
        <v>-156.65</v>
      </c>
      <c r="I28" s="52"/>
      <c r="M28" s="77"/>
      <c r="N28" s="77"/>
      <c r="O28" s="77"/>
      <c r="P28" s="77"/>
      <c r="Q28" s="79"/>
      <c r="R28" s="77"/>
      <c r="S28" s="77"/>
    </row>
    <row r="29" spans="1:19" s="1" customFormat="1" x14ac:dyDescent="0.3">
      <c r="A29" s="2">
        <v>44721</v>
      </c>
      <c r="B29" s="1" t="s">
        <v>10</v>
      </c>
      <c r="D29" s="1" t="s">
        <v>14</v>
      </c>
      <c r="E29" s="1">
        <v>-60</v>
      </c>
      <c r="F29" s="77">
        <v>1200</v>
      </c>
      <c r="G29" s="90">
        <f t="shared" si="4"/>
        <v>72000</v>
      </c>
      <c r="H29" s="52">
        <v>-262</v>
      </c>
      <c r="I29" s="52"/>
      <c r="M29" s="77"/>
      <c r="N29" s="77"/>
      <c r="O29" s="77"/>
      <c r="P29" s="77"/>
      <c r="Q29" s="79"/>
      <c r="R29" s="77"/>
      <c r="S29" s="77"/>
    </row>
    <row r="30" spans="1:19" s="1" customFormat="1" x14ac:dyDescent="0.3">
      <c r="A30" s="2">
        <v>44818</v>
      </c>
      <c r="B30" s="1" t="s">
        <v>10</v>
      </c>
      <c r="D30" s="1" t="s">
        <v>9</v>
      </c>
      <c r="E30" s="1">
        <v>20</v>
      </c>
      <c r="F30" s="77">
        <v>965</v>
      </c>
      <c r="G30" s="90">
        <f t="shared" si="4"/>
        <v>-19300</v>
      </c>
      <c r="H30" s="52">
        <v>-77.55</v>
      </c>
      <c r="I30" s="52"/>
      <c r="M30" s="77"/>
      <c r="N30" s="77"/>
      <c r="O30" s="77"/>
      <c r="P30" s="77"/>
      <c r="Q30" s="79"/>
      <c r="R30" s="77"/>
      <c r="S30" s="77"/>
    </row>
    <row r="31" spans="1:19" s="1" customFormat="1" x14ac:dyDescent="0.3">
      <c r="A31" s="2">
        <v>45125</v>
      </c>
      <c r="B31" s="1" t="s">
        <v>10</v>
      </c>
      <c r="D31" s="1" t="s">
        <v>81</v>
      </c>
      <c r="E31" s="1">
        <v>-60</v>
      </c>
      <c r="F31" s="77">
        <v>1002</v>
      </c>
      <c r="G31" s="90">
        <f t="shared" si="4"/>
        <v>60120</v>
      </c>
      <c r="H31" s="52">
        <f>-490</f>
        <v>-490</v>
      </c>
      <c r="I31" s="52"/>
      <c r="M31" s="77"/>
      <c r="N31" s="77"/>
      <c r="O31" s="77"/>
      <c r="P31" s="77"/>
      <c r="Q31" s="79"/>
      <c r="R31" s="77"/>
      <c r="S31" s="77"/>
    </row>
    <row r="32" spans="1:19" s="1" customFormat="1" x14ac:dyDescent="0.3">
      <c r="A32" s="2">
        <v>45348</v>
      </c>
      <c r="B32" s="1" t="s">
        <v>10</v>
      </c>
      <c r="D32" s="1" t="s">
        <v>9</v>
      </c>
      <c r="E32" s="1">
        <v>60</v>
      </c>
      <c r="F32" s="77">
        <v>844</v>
      </c>
      <c r="G32" s="90">
        <f t="shared" si="4"/>
        <v>-50640</v>
      </c>
      <c r="H32" s="52">
        <v>-187.24</v>
      </c>
      <c r="I32" s="52"/>
      <c r="M32" s="77"/>
      <c r="N32" s="77"/>
      <c r="O32" s="77"/>
      <c r="P32" s="77"/>
      <c r="Q32" s="79"/>
      <c r="R32" s="77"/>
      <c r="S32" s="77"/>
    </row>
    <row r="33" spans="1:19" s="1" customFormat="1" x14ac:dyDescent="0.3">
      <c r="A33" s="2">
        <v>45371</v>
      </c>
      <c r="B33" s="1" t="s">
        <v>10</v>
      </c>
      <c r="D33" s="1" t="s">
        <v>14</v>
      </c>
      <c r="E33" s="1">
        <v>-255</v>
      </c>
      <c r="F33" s="77">
        <v>885.5</v>
      </c>
      <c r="G33" s="90">
        <f t="shared" si="4"/>
        <v>225802.5</v>
      </c>
      <c r="H33" s="52">
        <v>-812.89</v>
      </c>
      <c r="I33" s="52"/>
      <c r="M33" s="77"/>
      <c r="N33" s="77"/>
      <c r="O33" s="77"/>
      <c r="P33" s="77"/>
      <c r="Q33" s="79"/>
      <c r="R33" s="77"/>
      <c r="S33" s="77"/>
    </row>
    <row r="34" spans="1:19" s="1" customFormat="1" x14ac:dyDescent="0.3">
      <c r="A34" s="2"/>
      <c r="F34" s="77"/>
      <c r="G34" s="90"/>
      <c r="H34" s="52"/>
      <c r="I34" s="52"/>
      <c r="M34" s="77"/>
      <c r="N34" s="77"/>
      <c r="O34" s="77"/>
      <c r="P34" s="77"/>
      <c r="Q34" s="79"/>
      <c r="R34" s="77"/>
      <c r="S34" s="77"/>
    </row>
    <row r="35" spans="1:19" s="1" customFormat="1" x14ac:dyDescent="0.3">
      <c r="A35" s="2"/>
      <c r="F35" s="77"/>
      <c r="G35" s="52"/>
      <c r="H35" s="52"/>
      <c r="I35" s="52"/>
      <c r="M35" s="77"/>
      <c r="N35" s="77"/>
      <c r="O35" s="77"/>
      <c r="P35" s="77"/>
      <c r="Q35" s="79"/>
      <c r="R35" s="77"/>
      <c r="S35" s="77"/>
    </row>
    <row r="36" spans="1:19" s="1" customFormat="1" ht="15" thickBot="1" x14ac:dyDescent="0.35">
      <c r="A36" s="2"/>
      <c r="F36" s="77"/>
      <c r="G36" s="41"/>
      <c r="H36" s="41"/>
      <c r="I36" s="41"/>
      <c r="M36" s="77"/>
      <c r="N36" s="77"/>
      <c r="O36" s="77"/>
      <c r="P36" s="77"/>
      <c r="Q36" s="79"/>
      <c r="R36" s="77"/>
      <c r="S36" s="77"/>
    </row>
    <row r="37" spans="1:19" s="1" customFormat="1" ht="15" thickBot="1" x14ac:dyDescent="0.35">
      <c r="A37" s="26" t="s">
        <v>27</v>
      </c>
      <c r="C37" s="2">
        <f>Bilance!C37</f>
        <v>45790</v>
      </c>
      <c r="E37" s="1">
        <f>SUM(E2:E36)</f>
        <v>555</v>
      </c>
      <c r="F37" s="60">
        <f>Bilance!C3</f>
        <v>1189</v>
      </c>
      <c r="G37" s="41">
        <f>E37*F37</f>
        <v>659895</v>
      </c>
      <c r="H37" s="85"/>
      <c r="I37" s="85"/>
      <c r="M37" s="77"/>
      <c r="N37" s="77"/>
      <c r="O37" s="77"/>
      <c r="P37" s="77"/>
      <c r="Q37" s="79"/>
      <c r="R37" s="77"/>
      <c r="S37" s="77"/>
    </row>
    <row r="38" spans="1:19" s="7" customFormat="1" x14ac:dyDescent="0.3">
      <c r="E38" s="7" t="s">
        <v>42</v>
      </c>
      <c r="F38" s="86">
        <f>(SUM(G21:G36))/E37*-1</f>
        <v>399.0765765765766</v>
      </c>
      <c r="G38" s="86">
        <f>SUM(G2:G37)</f>
        <v>382392.19999999995</v>
      </c>
      <c r="H38" s="86">
        <f>SUM(H2:H37)</f>
        <v>-9676.9499999999989</v>
      </c>
      <c r="I38" s="87">
        <f>G38+H38+Q38</f>
        <v>615849.33999999985</v>
      </c>
      <c r="M38" s="81"/>
      <c r="N38" s="81"/>
      <c r="O38" s="81"/>
      <c r="P38" s="81"/>
      <c r="Q38" s="82">
        <f>SUM(Q2:Q37)+S38</f>
        <v>243134.08999999997</v>
      </c>
      <c r="R38" s="81"/>
      <c r="S38" s="81">
        <f>SUM(S3:S37)</f>
        <v>-31621</v>
      </c>
    </row>
    <row r="39" spans="1:19" s="1" customFormat="1" x14ac:dyDescent="0.3">
      <c r="J39"/>
      <c r="K39"/>
      <c r="L39"/>
      <c r="M39"/>
      <c r="N39"/>
      <c r="Q39" s="29"/>
    </row>
    <row r="44" spans="1:19" x14ac:dyDescent="0.3">
      <c r="E44" t="s">
        <v>18</v>
      </c>
    </row>
  </sheetData>
  <sortState xmlns:xlrd2="http://schemas.microsoft.com/office/spreadsheetml/2017/richdata2" ref="A2:H12">
    <sortCondition ref="A2:A12"/>
  </sortState>
  <mergeCells count="1">
    <mergeCell ref="M1:N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011BE-D110-4EAC-A4BC-407CE646B6D2}">
  <dimension ref="A1:R25"/>
  <sheetViews>
    <sheetView workbookViewId="0">
      <pane ySplit="1" topLeftCell="A2" activePane="bottomLeft" state="frozen"/>
      <selection pane="bottomLeft" activeCell="L7" sqref="L7"/>
    </sheetView>
  </sheetViews>
  <sheetFormatPr defaultRowHeight="14.4" x14ac:dyDescent="0.3"/>
  <cols>
    <col min="1" max="1" width="10.109375" bestFit="1" customWidth="1"/>
    <col min="2" max="2" width="11.109375" bestFit="1" customWidth="1"/>
    <col min="3" max="3" width="13.109375" bestFit="1" customWidth="1"/>
    <col min="4" max="4" width="7.44140625" bestFit="1" customWidth="1"/>
    <col min="5" max="5" width="8.6640625" bestFit="1" customWidth="1"/>
    <col min="6" max="6" width="12.109375" bestFit="1" customWidth="1"/>
    <col min="7" max="7" width="13.6640625" bestFit="1" customWidth="1"/>
    <col min="8" max="8" width="11.109375" bestFit="1" customWidth="1"/>
    <col min="9" max="9" width="12.44140625" bestFit="1" customWidth="1"/>
    <col min="10" max="10" width="15.5546875" bestFit="1" customWidth="1"/>
    <col min="11" max="11" width="5" bestFit="1" customWidth="1"/>
    <col min="12" max="12" width="8.6640625" bestFit="1" customWidth="1"/>
    <col min="13" max="13" width="9.109375" bestFit="1" customWidth="1"/>
    <col min="14" max="14" width="12.5546875" bestFit="1" customWidth="1"/>
    <col min="15" max="15" width="11.5546875" bestFit="1" customWidth="1"/>
    <col min="16" max="16" width="9.109375" bestFit="1" customWidth="1"/>
    <col min="17" max="17" width="12.77734375" bestFit="1" customWidth="1"/>
  </cols>
  <sheetData>
    <row r="1" spans="1:18" s="7" customFormat="1" x14ac:dyDescent="0.3">
      <c r="A1" s="37" t="s">
        <v>0</v>
      </c>
      <c r="B1" s="37" t="s">
        <v>1</v>
      </c>
      <c r="C1" s="37" t="s">
        <v>11</v>
      </c>
      <c r="D1" s="37" t="s">
        <v>13</v>
      </c>
      <c r="E1" s="37" t="s">
        <v>2</v>
      </c>
      <c r="F1" s="37" t="s">
        <v>3</v>
      </c>
      <c r="G1" s="37" t="s">
        <v>4</v>
      </c>
      <c r="H1" s="37" t="s">
        <v>5</v>
      </c>
      <c r="I1" s="37"/>
      <c r="J1" s="37" t="s">
        <v>6</v>
      </c>
      <c r="K1" s="37" t="s">
        <v>7</v>
      </c>
      <c r="L1" s="37" t="s">
        <v>2</v>
      </c>
      <c r="M1" s="209" t="s">
        <v>8</v>
      </c>
      <c r="N1" s="209"/>
      <c r="O1" s="37" t="s">
        <v>70</v>
      </c>
      <c r="P1" s="37" t="s">
        <v>5</v>
      </c>
      <c r="Q1" s="37" t="s">
        <v>29</v>
      </c>
      <c r="R1" s="37"/>
    </row>
    <row r="2" spans="1:18" s="1" customFormat="1" x14ac:dyDescent="0.3">
      <c r="A2" s="2">
        <v>43684</v>
      </c>
      <c r="B2" s="1" t="s">
        <v>31</v>
      </c>
      <c r="C2" s="3" t="s">
        <v>32</v>
      </c>
      <c r="D2" s="1" t="s">
        <v>9</v>
      </c>
      <c r="E2" s="1">
        <v>8</v>
      </c>
      <c r="F2" s="4">
        <v>840</v>
      </c>
      <c r="G2" s="4">
        <f t="shared" ref="G2:G3" si="0">E2*F2*-1</f>
        <v>-6720</v>
      </c>
      <c r="H2" s="4">
        <v>-50</v>
      </c>
      <c r="I2" s="4"/>
      <c r="J2" s="2">
        <v>44533</v>
      </c>
      <c r="K2" s="1">
        <v>2020</v>
      </c>
      <c r="L2" s="1">
        <v>24</v>
      </c>
      <c r="M2" s="47">
        <v>23.86</v>
      </c>
      <c r="N2" s="47">
        <f t="shared" ref="N2:N7" si="1">L2*M2</f>
        <v>572.64</v>
      </c>
      <c r="O2" s="47">
        <f t="shared" ref="O2:O7" si="2">N2/100*15*-1</f>
        <v>-85.896000000000001</v>
      </c>
      <c r="P2" s="47">
        <f t="shared" ref="P2:P7" si="3">(N2+O2)/1000*-2</f>
        <v>-0.97348799999999991</v>
      </c>
      <c r="Q2" s="72">
        <f t="shared" ref="Q2:Q7" si="4">N2+O2+P2</f>
        <v>485.770512</v>
      </c>
    </row>
    <row r="3" spans="1:18" s="1" customFormat="1" x14ac:dyDescent="0.3">
      <c r="A3" s="2">
        <v>44117</v>
      </c>
      <c r="B3" s="1" t="s">
        <v>31</v>
      </c>
      <c r="C3" s="3"/>
      <c r="D3" s="1" t="s">
        <v>9</v>
      </c>
      <c r="E3" s="1">
        <v>7</v>
      </c>
      <c r="F3" s="4">
        <v>480</v>
      </c>
      <c r="G3" s="4">
        <f t="shared" si="0"/>
        <v>-3360</v>
      </c>
      <c r="H3" s="4">
        <v>-50</v>
      </c>
      <c r="I3" s="4"/>
      <c r="J3" s="2">
        <v>44704</v>
      </c>
      <c r="K3" s="1">
        <v>2021</v>
      </c>
      <c r="L3" s="1">
        <v>75</v>
      </c>
      <c r="M3" s="10">
        <v>43.8</v>
      </c>
      <c r="N3" s="47">
        <f t="shared" si="1"/>
        <v>3285</v>
      </c>
      <c r="O3" s="47">
        <f t="shared" si="2"/>
        <v>-492.75</v>
      </c>
      <c r="P3" s="47">
        <f t="shared" si="3"/>
        <v>-5.5845000000000002</v>
      </c>
      <c r="Q3" s="72">
        <f t="shared" si="4"/>
        <v>2786.6655000000001</v>
      </c>
    </row>
    <row r="4" spans="1:18" s="1" customFormat="1" x14ac:dyDescent="0.3">
      <c r="A4" s="53">
        <v>44354</v>
      </c>
      <c r="B4" s="54" t="s">
        <v>31</v>
      </c>
      <c r="C4" s="55"/>
      <c r="D4" s="54" t="s">
        <v>14</v>
      </c>
      <c r="E4" s="54">
        <v>-15</v>
      </c>
      <c r="F4" s="205">
        <v>792</v>
      </c>
      <c r="G4" s="205">
        <f t="shared" ref="G4:G15" si="5">E4*F4*-1</f>
        <v>11880</v>
      </c>
      <c r="H4" s="205">
        <v>-51.63</v>
      </c>
      <c r="I4" s="4"/>
      <c r="J4" s="2">
        <v>44917</v>
      </c>
      <c r="K4" s="1">
        <v>2021</v>
      </c>
      <c r="L4" s="1">
        <v>75</v>
      </c>
      <c r="M4" s="10">
        <v>55.5</v>
      </c>
      <c r="N4" s="47">
        <f t="shared" si="1"/>
        <v>4162.5</v>
      </c>
      <c r="O4" s="47">
        <f t="shared" si="2"/>
        <v>-624.375</v>
      </c>
      <c r="P4" s="47">
        <f t="shared" si="3"/>
        <v>-7.0762499999999999</v>
      </c>
      <c r="Q4" s="72">
        <f t="shared" si="4"/>
        <v>3531.0487499999999</v>
      </c>
    </row>
    <row r="5" spans="1:18" s="1" customFormat="1" x14ac:dyDescent="0.3">
      <c r="A5" s="2">
        <v>44452</v>
      </c>
      <c r="B5" s="1" t="s">
        <v>31</v>
      </c>
      <c r="C5" s="3" t="s">
        <v>48</v>
      </c>
      <c r="D5" s="1" t="s">
        <v>9</v>
      </c>
      <c r="E5" s="1">
        <v>24</v>
      </c>
      <c r="F5" s="4">
        <v>824.5</v>
      </c>
      <c r="G5" s="4">
        <f t="shared" si="5"/>
        <v>-19788</v>
      </c>
      <c r="H5" s="4">
        <f>-79.26-100</f>
        <v>-179.26</v>
      </c>
      <c r="I5" s="4"/>
      <c r="J5" s="2">
        <v>45068</v>
      </c>
      <c r="K5" s="1">
        <v>2022</v>
      </c>
      <c r="L5" s="1">
        <v>80</v>
      </c>
      <c r="M5" s="10">
        <v>60.42</v>
      </c>
      <c r="N5" s="47">
        <f t="shared" si="1"/>
        <v>4833.6000000000004</v>
      </c>
      <c r="O5" s="47">
        <f t="shared" si="2"/>
        <v>-725.04000000000008</v>
      </c>
      <c r="P5" s="47">
        <f t="shared" si="3"/>
        <v>-8.2171200000000013</v>
      </c>
      <c r="Q5" s="72">
        <f t="shared" si="4"/>
        <v>4100.3428800000002</v>
      </c>
    </row>
    <row r="6" spans="1:18" s="1" customFormat="1" x14ac:dyDescent="0.3">
      <c r="A6" s="53">
        <v>44601</v>
      </c>
      <c r="B6" s="54" t="s">
        <v>31</v>
      </c>
      <c r="C6" s="54" t="s">
        <v>48</v>
      </c>
      <c r="D6" s="54" t="s">
        <v>14</v>
      </c>
      <c r="E6" s="54">
        <v>-24</v>
      </c>
      <c r="F6" s="205">
        <v>1000</v>
      </c>
      <c r="G6" s="205">
        <f t="shared" si="5"/>
        <v>24000</v>
      </c>
      <c r="H6" s="205">
        <v>-94</v>
      </c>
      <c r="I6" s="4"/>
      <c r="J6" s="2">
        <v>45440</v>
      </c>
      <c r="K6" s="1">
        <v>2023</v>
      </c>
      <c r="L6" s="1">
        <v>530</v>
      </c>
      <c r="M6" s="10">
        <v>82.66</v>
      </c>
      <c r="N6" s="10">
        <f t="shared" si="1"/>
        <v>43809.799999999996</v>
      </c>
      <c r="O6" s="10">
        <f t="shared" si="2"/>
        <v>-6571.4699999999993</v>
      </c>
      <c r="P6" s="10">
        <f t="shared" si="3"/>
        <v>-74.476659999999995</v>
      </c>
      <c r="Q6" s="31">
        <f t="shared" si="4"/>
        <v>37163.853339999994</v>
      </c>
    </row>
    <row r="7" spans="1:18" s="1" customFormat="1" ht="15" customHeight="1" x14ac:dyDescent="0.3">
      <c r="A7" s="2">
        <v>44606</v>
      </c>
      <c r="B7" s="1" t="s">
        <v>31</v>
      </c>
      <c r="C7" s="3" t="s">
        <v>48</v>
      </c>
      <c r="D7" s="1" t="s">
        <v>9</v>
      </c>
      <c r="E7" s="1">
        <v>25</v>
      </c>
      <c r="F7" s="4">
        <v>955</v>
      </c>
      <c r="G7" s="4">
        <f t="shared" si="5"/>
        <v>-23875</v>
      </c>
      <c r="H7" s="4">
        <v>-93.56</v>
      </c>
      <c r="I7" s="4"/>
      <c r="J7" s="2"/>
      <c r="K7" s="1">
        <v>2024</v>
      </c>
      <c r="M7" s="10">
        <v>91.3</v>
      </c>
      <c r="N7" s="10">
        <f t="shared" si="1"/>
        <v>0</v>
      </c>
      <c r="O7" s="10">
        <f t="shared" si="2"/>
        <v>0</v>
      </c>
      <c r="P7" s="10">
        <f t="shared" si="3"/>
        <v>0</v>
      </c>
      <c r="Q7" s="10">
        <f t="shared" si="4"/>
        <v>0</v>
      </c>
    </row>
    <row r="8" spans="1:18" s="1" customFormat="1" ht="15" customHeight="1" x14ac:dyDescent="0.3">
      <c r="A8" s="2">
        <v>44614</v>
      </c>
      <c r="B8" s="1" t="s">
        <v>31</v>
      </c>
      <c r="C8" s="3"/>
      <c r="D8" s="1" t="s">
        <v>9</v>
      </c>
      <c r="E8" s="1">
        <v>10</v>
      </c>
      <c r="F8" s="4">
        <v>920</v>
      </c>
      <c r="G8" s="4">
        <f t="shared" si="5"/>
        <v>-9200</v>
      </c>
      <c r="H8" s="4">
        <v>-50</v>
      </c>
      <c r="I8" s="4"/>
      <c r="J8" s="2"/>
      <c r="M8" s="10"/>
      <c r="N8" s="10"/>
      <c r="O8" s="10"/>
      <c r="P8" s="10"/>
      <c r="Q8" s="10"/>
    </row>
    <row r="9" spans="1:18" s="1" customFormat="1" ht="15" customHeight="1" x14ac:dyDescent="0.3">
      <c r="A9" s="2">
        <v>44615</v>
      </c>
      <c r="B9" s="1" t="s">
        <v>31</v>
      </c>
      <c r="C9" s="3"/>
      <c r="D9" s="1" t="s">
        <v>9</v>
      </c>
      <c r="E9" s="1">
        <v>15</v>
      </c>
      <c r="F9" s="4">
        <v>935</v>
      </c>
      <c r="G9" s="4">
        <f t="shared" si="5"/>
        <v>-14025</v>
      </c>
      <c r="H9" s="4">
        <f>-59.09</f>
        <v>-59.09</v>
      </c>
      <c r="I9" s="4"/>
      <c r="J9" s="2"/>
      <c r="M9" s="10"/>
      <c r="N9" s="10"/>
      <c r="O9" s="10"/>
      <c r="P9" s="10"/>
      <c r="Q9" s="10"/>
    </row>
    <row r="10" spans="1:18" s="1" customFormat="1" ht="15" customHeight="1" x14ac:dyDescent="0.3">
      <c r="A10" s="2">
        <v>44662</v>
      </c>
      <c r="B10" s="1" t="s">
        <v>31</v>
      </c>
      <c r="C10" s="3"/>
      <c r="D10" s="1" t="s">
        <v>9</v>
      </c>
      <c r="E10" s="1">
        <v>25</v>
      </c>
      <c r="F10" s="4">
        <v>833</v>
      </c>
      <c r="G10" s="4">
        <f t="shared" si="5"/>
        <v>-20825</v>
      </c>
      <c r="H10" s="4">
        <v>-82.89</v>
      </c>
      <c r="I10" s="4"/>
      <c r="J10" s="2"/>
      <c r="M10" s="10"/>
      <c r="N10" s="10"/>
      <c r="O10" s="10"/>
      <c r="P10" s="10"/>
      <c r="Q10" s="10"/>
    </row>
    <row r="11" spans="1:18" s="1" customFormat="1" ht="15" customHeight="1" x14ac:dyDescent="0.3">
      <c r="A11" s="2">
        <v>44563</v>
      </c>
      <c r="B11" s="1" t="s">
        <v>31</v>
      </c>
      <c r="C11" s="3"/>
      <c r="D11" s="1" t="s">
        <v>9</v>
      </c>
      <c r="E11" s="1">
        <v>5</v>
      </c>
      <c r="F11" s="4">
        <v>662</v>
      </c>
      <c r="G11" s="4">
        <f t="shared" si="5"/>
        <v>-3310</v>
      </c>
      <c r="H11" s="4">
        <v>-50</v>
      </c>
      <c r="I11" s="4"/>
      <c r="J11" s="2"/>
      <c r="M11" s="10"/>
      <c r="N11" s="10"/>
      <c r="O11" s="10"/>
      <c r="P11" s="10"/>
      <c r="Q11" s="10"/>
    </row>
    <row r="12" spans="1:18" s="1" customFormat="1" ht="15" customHeight="1" x14ac:dyDescent="0.3">
      <c r="A12" s="2">
        <v>45335</v>
      </c>
      <c r="B12" s="1" t="s">
        <v>31</v>
      </c>
      <c r="C12" s="3"/>
      <c r="D12" s="1" t="s">
        <v>9</v>
      </c>
      <c r="E12" s="1">
        <v>60</v>
      </c>
      <c r="F12" s="4">
        <v>811</v>
      </c>
      <c r="G12" s="4">
        <f t="shared" si="5"/>
        <v>-48660</v>
      </c>
      <c r="H12" s="4">
        <v>-180.31</v>
      </c>
      <c r="I12" s="4"/>
      <c r="J12" s="2"/>
      <c r="M12" s="10"/>
      <c r="N12" s="10"/>
      <c r="O12" s="10"/>
      <c r="P12" s="10"/>
      <c r="Q12" s="10"/>
    </row>
    <row r="13" spans="1:18" s="1" customFormat="1" ht="15" customHeight="1" x14ac:dyDescent="0.3">
      <c r="A13" s="2">
        <v>45358</v>
      </c>
      <c r="B13" s="1" t="s">
        <v>31</v>
      </c>
      <c r="C13" s="3"/>
      <c r="D13" s="1" t="s">
        <v>9</v>
      </c>
      <c r="E13" s="1">
        <v>100</v>
      </c>
      <c r="F13" s="4">
        <v>806</v>
      </c>
      <c r="G13" s="4">
        <f t="shared" si="5"/>
        <v>-80600</v>
      </c>
      <c r="H13" s="4">
        <v>-292.10000000000002</v>
      </c>
      <c r="I13" s="4"/>
      <c r="J13" s="2"/>
      <c r="M13" s="10"/>
      <c r="N13" s="10"/>
      <c r="O13" s="10"/>
      <c r="P13" s="10"/>
      <c r="Q13" s="10"/>
    </row>
    <row r="14" spans="1:18" s="1" customFormat="1" ht="15" customHeight="1" x14ac:dyDescent="0.3">
      <c r="A14" s="2">
        <v>45362</v>
      </c>
      <c r="B14" s="1" t="s">
        <v>31</v>
      </c>
      <c r="C14" s="3"/>
      <c r="D14" s="1" t="s">
        <v>9</v>
      </c>
      <c r="E14" s="1">
        <v>15</v>
      </c>
      <c r="F14" s="4">
        <v>808.5</v>
      </c>
      <c r="G14" s="4">
        <f t="shared" si="5"/>
        <v>-12127.5</v>
      </c>
      <c r="H14" s="4">
        <v>-52.45</v>
      </c>
      <c r="I14" s="4"/>
      <c r="J14" s="2"/>
      <c r="M14" s="10"/>
      <c r="N14" s="10"/>
      <c r="O14" s="10"/>
      <c r="P14" s="10"/>
      <c r="Q14" s="10"/>
    </row>
    <row r="15" spans="1:18" s="1" customFormat="1" ht="15" customHeight="1" x14ac:dyDescent="0.3">
      <c r="A15" s="2">
        <v>45371</v>
      </c>
      <c r="B15" s="1" t="s">
        <v>31</v>
      </c>
      <c r="C15" s="3"/>
      <c r="D15" s="1" t="s">
        <v>9</v>
      </c>
      <c r="E15" s="1">
        <v>275</v>
      </c>
      <c r="F15" s="4">
        <v>809.5</v>
      </c>
      <c r="G15" s="4">
        <f t="shared" si="5"/>
        <v>-222612.5</v>
      </c>
      <c r="H15" s="4">
        <v>-801.4</v>
      </c>
      <c r="I15" s="4"/>
      <c r="J15" s="2"/>
      <c r="M15" s="10"/>
      <c r="N15" s="10"/>
      <c r="O15" s="10"/>
      <c r="P15" s="10"/>
      <c r="Q15" s="10"/>
    </row>
    <row r="16" spans="1:18" s="1" customFormat="1" ht="15" customHeight="1" x14ac:dyDescent="0.3">
      <c r="A16" s="2"/>
      <c r="C16" s="3"/>
      <c r="F16" s="4"/>
      <c r="G16" s="4"/>
      <c r="H16" s="4"/>
      <c r="I16" s="4"/>
      <c r="J16" s="2"/>
      <c r="M16" s="10"/>
      <c r="N16" s="10"/>
      <c r="O16" s="10"/>
      <c r="P16" s="10"/>
      <c r="Q16" s="10"/>
    </row>
    <row r="17" spans="1:17" s="1" customFormat="1" x14ac:dyDescent="0.3">
      <c r="A17" s="2"/>
      <c r="C17" s="3"/>
      <c r="F17" s="4"/>
      <c r="G17" s="4"/>
      <c r="H17" s="4"/>
      <c r="I17" s="4"/>
      <c r="M17" s="10"/>
      <c r="N17" s="10"/>
      <c r="O17" s="10"/>
      <c r="P17" s="10"/>
      <c r="Q17" s="10"/>
    </row>
    <row r="18" spans="1:17" s="1" customFormat="1" ht="15" thickBot="1" x14ac:dyDescent="0.35">
      <c r="A18" s="2"/>
      <c r="C18" s="3"/>
      <c r="F18" s="4"/>
      <c r="G18" s="4"/>
      <c r="H18" s="4"/>
      <c r="I18" s="4"/>
      <c r="M18" s="10"/>
      <c r="N18" s="10"/>
      <c r="O18" s="10"/>
      <c r="P18" s="10"/>
      <c r="Q18" s="10"/>
    </row>
    <row r="19" spans="1:17" s="1" customFormat="1" ht="15" thickBot="1" x14ac:dyDescent="0.35">
      <c r="A19" s="207" t="s">
        <v>27</v>
      </c>
      <c r="B19" s="207"/>
      <c r="C19" s="2">
        <f>Bilance!C37</f>
        <v>45790</v>
      </c>
      <c r="E19" s="1">
        <f>SUM(E2:E18)</f>
        <v>530</v>
      </c>
      <c r="F19" s="63">
        <f>Bilance!C5</f>
        <v>1060</v>
      </c>
      <c r="G19" s="28">
        <f>E19*F19</f>
        <v>561800</v>
      </c>
      <c r="H19" s="19"/>
      <c r="I19" s="19"/>
      <c r="M19" s="10"/>
      <c r="N19" s="10"/>
      <c r="O19" s="10"/>
      <c r="P19" s="10"/>
      <c r="Q19" s="10"/>
    </row>
    <row r="20" spans="1:17" s="7" customFormat="1" x14ac:dyDescent="0.3">
      <c r="A20" s="6"/>
      <c r="C20" s="8"/>
      <c r="E20" s="7" t="s">
        <v>42</v>
      </c>
      <c r="F20" s="9">
        <f>(SUM(G7:G18))/E19*-1</f>
        <v>821.19811320754718</v>
      </c>
      <c r="G20" s="69">
        <f>SUM(G2:G19)</f>
        <v>132577</v>
      </c>
      <c r="H20" s="9">
        <f>SUM(H2:H19)</f>
        <v>-2086.69</v>
      </c>
      <c r="I20" s="56">
        <f>G20+H20+Q20</f>
        <v>178557.99098199999</v>
      </c>
      <c r="M20" s="31"/>
      <c r="N20" s="31"/>
      <c r="O20" s="31"/>
      <c r="P20" s="31"/>
      <c r="Q20" s="71">
        <f>SUM(Q2:Q19)</f>
        <v>48067.680981999991</v>
      </c>
    </row>
    <row r="21" spans="1:17" s="1" customFormat="1" x14ac:dyDescent="0.3">
      <c r="A21" s="2"/>
      <c r="B21" s="5"/>
      <c r="F21" s="4"/>
      <c r="G21" s="4"/>
    </row>
    <row r="22" spans="1:17" s="1" customFormat="1" x14ac:dyDescent="0.3">
      <c r="A22" s="2"/>
      <c r="F22" s="10"/>
      <c r="G22" s="4"/>
      <c r="H22" s="4"/>
      <c r="I22" s="4"/>
      <c r="J22" s="2"/>
      <c r="N22" s="10"/>
    </row>
    <row r="23" spans="1:17" s="1" customFormat="1" x14ac:dyDescent="0.3">
      <c r="F23" s="10"/>
      <c r="G23" s="11"/>
      <c r="H23" s="4"/>
      <c r="I23" s="4"/>
    </row>
    <row r="24" spans="1:17" s="1" customFormat="1" x14ac:dyDescent="0.3">
      <c r="G24" s="4"/>
    </row>
    <row r="25" spans="1:17" s="1" customFormat="1" x14ac:dyDescent="0.3"/>
  </sheetData>
  <mergeCells count="2">
    <mergeCell ref="M1:N1"/>
    <mergeCell ref="A19:B1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D439-7394-48C6-8F2C-087F45638EF7}">
  <dimension ref="A1:R25"/>
  <sheetViews>
    <sheetView workbookViewId="0">
      <selection activeCell="F20" sqref="F20"/>
    </sheetView>
  </sheetViews>
  <sheetFormatPr defaultRowHeight="14.4" x14ac:dyDescent="0.3"/>
  <cols>
    <col min="1" max="1" width="10.109375" bestFit="1" customWidth="1"/>
    <col min="2" max="2" width="11.109375" bestFit="1" customWidth="1"/>
    <col min="3" max="3" width="13.109375" bestFit="1" customWidth="1"/>
    <col min="4" max="4" width="7.44140625" bestFit="1" customWidth="1"/>
    <col min="5" max="5" width="8.6640625" bestFit="1" customWidth="1"/>
    <col min="6" max="6" width="12.109375" bestFit="1" customWidth="1"/>
    <col min="7" max="7" width="13.6640625" bestFit="1" customWidth="1"/>
    <col min="8" max="8" width="11.109375" bestFit="1" customWidth="1"/>
    <col min="9" max="9" width="12.44140625" bestFit="1" customWidth="1"/>
    <col min="10" max="10" width="15.5546875" bestFit="1" customWidth="1"/>
    <col min="11" max="11" width="5" bestFit="1" customWidth="1"/>
    <col min="12" max="12" width="8.6640625" bestFit="1" customWidth="1"/>
    <col min="13" max="13" width="9.109375" bestFit="1" customWidth="1"/>
    <col min="14" max="14" width="12.5546875" bestFit="1" customWidth="1"/>
    <col min="15" max="15" width="11.5546875" bestFit="1" customWidth="1"/>
    <col min="16" max="16" width="9.109375" bestFit="1" customWidth="1"/>
    <col min="17" max="17" width="12.77734375" bestFit="1" customWidth="1"/>
  </cols>
  <sheetData>
    <row r="1" spans="1:18" s="7" customFormat="1" x14ac:dyDescent="0.3">
      <c r="A1" s="37" t="s">
        <v>0</v>
      </c>
      <c r="B1" s="37" t="s">
        <v>1</v>
      </c>
      <c r="C1" s="37" t="s">
        <v>11</v>
      </c>
      <c r="D1" s="37" t="s">
        <v>13</v>
      </c>
      <c r="E1" s="37" t="s">
        <v>2</v>
      </c>
      <c r="F1" s="37" t="s">
        <v>3</v>
      </c>
      <c r="G1" s="37" t="s">
        <v>4</v>
      </c>
      <c r="H1" s="37" t="s">
        <v>5</v>
      </c>
      <c r="I1" s="37"/>
      <c r="J1" s="37" t="s">
        <v>6</v>
      </c>
      <c r="K1" s="37" t="s">
        <v>7</v>
      </c>
      <c r="L1" s="37" t="s">
        <v>2</v>
      </c>
      <c r="M1" s="209" t="s">
        <v>8</v>
      </c>
      <c r="N1" s="209"/>
      <c r="O1" s="37" t="s">
        <v>70</v>
      </c>
      <c r="P1" s="37" t="s">
        <v>5</v>
      </c>
      <c r="Q1" s="37" t="s">
        <v>29</v>
      </c>
      <c r="R1" s="37"/>
    </row>
    <row r="2" spans="1:18" s="1" customFormat="1" x14ac:dyDescent="0.3">
      <c r="A2" s="2">
        <v>45328</v>
      </c>
      <c r="B2" s="1" t="s">
        <v>93</v>
      </c>
      <c r="C2" s="3" t="s">
        <v>94</v>
      </c>
      <c r="D2" s="1" t="s">
        <v>9</v>
      </c>
      <c r="E2" s="1">
        <v>16</v>
      </c>
      <c r="F2" s="4">
        <v>240</v>
      </c>
      <c r="G2" s="4">
        <f t="shared" ref="G2:G4" si="0">E2*F2*-1</f>
        <v>-3840</v>
      </c>
      <c r="H2" s="4">
        <v>-100</v>
      </c>
      <c r="I2" s="4"/>
      <c r="J2" s="2"/>
      <c r="M2" s="47"/>
      <c r="N2" s="47"/>
      <c r="O2" s="47"/>
      <c r="P2" s="47"/>
      <c r="Q2" s="72"/>
    </row>
    <row r="3" spans="1:18" s="1" customFormat="1" x14ac:dyDescent="0.3">
      <c r="A3" s="2">
        <v>45328</v>
      </c>
      <c r="B3" s="1" t="s">
        <v>93</v>
      </c>
      <c r="C3" s="3"/>
      <c r="D3" s="1" t="s">
        <v>9</v>
      </c>
      <c r="E3" s="1">
        <v>11</v>
      </c>
      <c r="F3" s="4">
        <v>240</v>
      </c>
      <c r="G3" s="4">
        <f t="shared" si="0"/>
        <v>-2640</v>
      </c>
      <c r="H3" s="4">
        <v>-100</v>
      </c>
      <c r="I3" s="4"/>
      <c r="J3" s="2"/>
      <c r="M3" s="10"/>
      <c r="N3" s="47"/>
      <c r="O3" s="47"/>
      <c r="P3" s="47"/>
      <c r="Q3" s="72"/>
    </row>
    <row r="4" spans="1:18" s="1" customFormat="1" x14ac:dyDescent="0.3">
      <c r="A4" s="2">
        <v>45328</v>
      </c>
      <c r="B4" s="1" t="s">
        <v>93</v>
      </c>
      <c r="C4" s="204"/>
      <c r="D4" s="1" t="s">
        <v>14</v>
      </c>
      <c r="E4" s="1">
        <v>97</v>
      </c>
      <c r="F4" s="4">
        <v>240</v>
      </c>
      <c r="G4" s="4">
        <f t="shared" si="0"/>
        <v>-23280</v>
      </c>
      <c r="H4" s="4">
        <v>-100</v>
      </c>
      <c r="I4" s="4"/>
      <c r="J4" s="2"/>
      <c r="M4" s="10"/>
      <c r="N4" s="47"/>
      <c r="O4" s="47"/>
      <c r="P4" s="47"/>
      <c r="Q4" s="72"/>
    </row>
    <row r="5" spans="1:18" s="1" customFormat="1" x14ac:dyDescent="0.3">
      <c r="A5" s="2"/>
      <c r="C5" s="3"/>
      <c r="F5" s="4"/>
      <c r="G5" s="4"/>
      <c r="H5" s="4"/>
      <c r="I5" s="4"/>
      <c r="J5" s="2"/>
      <c r="M5" s="10"/>
      <c r="N5" s="47"/>
      <c r="O5" s="47"/>
      <c r="P5" s="47"/>
      <c r="Q5" s="72"/>
    </row>
    <row r="6" spans="1:18" s="1" customFormat="1" x14ac:dyDescent="0.3">
      <c r="A6" s="2"/>
      <c r="F6" s="4"/>
      <c r="G6" s="4"/>
      <c r="H6" s="4"/>
      <c r="I6" s="4"/>
      <c r="J6" s="2"/>
      <c r="M6" s="10"/>
      <c r="N6" s="10"/>
      <c r="O6" s="10"/>
      <c r="P6" s="10"/>
      <c r="Q6" s="31"/>
    </row>
    <row r="7" spans="1:18" s="1" customFormat="1" ht="15" customHeight="1" x14ac:dyDescent="0.3">
      <c r="A7" s="2"/>
      <c r="C7" s="3"/>
      <c r="F7" s="4"/>
      <c r="G7" s="4"/>
      <c r="H7" s="4"/>
      <c r="I7" s="4"/>
      <c r="J7" s="2"/>
      <c r="M7" s="10"/>
      <c r="N7" s="10"/>
      <c r="O7" s="10"/>
      <c r="P7" s="10"/>
      <c r="Q7" s="10"/>
    </row>
    <row r="8" spans="1:18" s="1" customFormat="1" ht="15" customHeight="1" x14ac:dyDescent="0.3">
      <c r="A8" s="2"/>
      <c r="C8" s="3"/>
      <c r="F8" s="4"/>
      <c r="G8" s="4"/>
      <c r="H8" s="4"/>
      <c r="I8" s="4"/>
      <c r="J8" s="2"/>
      <c r="M8" s="10"/>
      <c r="N8" s="10"/>
      <c r="O8" s="10"/>
      <c r="P8" s="10"/>
      <c r="Q8" s="10"/>
    </row>
    <row r="9" spans="1:18" s="1" customFormat="1" ht="15" customHeight="1" x14ac:dyDescent="0.3">
      <c r="A9" s="2"/>
      <c r="C9" s="3"/>
      <c r="F9" s="4"/>
      <c r="G9" s="4"/>
      <c r="H9" s="4"/>
      <c r="I9" s="4"/>
      <c r="J9" s="2"/>
      <c r="M9" s="10"/>
      <c r="N9" s="10"/>
      <c r="O9" s="10"/>
      <c r="P9" s="10"/>
      <c r="Q9" s="10"/>
    </row>
    <row r="10" spans="1:18" s="1" customFormat="1" ht="15" customHeight="1" x14ac:dyDescent="0.3">
      <c r="A10" s="2"/>
      <c r="C10" s="3"/>
      <c r="F10" s="4"/>
      <c r="G10" s="4"/>
      <c r="H10" s="4"/>
      <c r="I10" s="4"/>
      <c r="J10" s="2"/>
      <c r="M10" s="10"/>
      <c r="N10" s="10"/>
      <c r="O10" s="10"/>
      <c r="P10" s="10"/>
      <c r="Q10" s="10"/>
    </row>
    <row r="11" spans="1:18" s="1" customFormat="1" ht="15" customHeight="1" x14ac:dyDescent="0.3">
      <c r="A11" s="2"/>
      <c r="C11" s="3"/>
      <c r="F11" s="4"/>
      <c r="G11" s="4"/>
      <c r="H11" s="4"/>
      <c r="I11" s="4"/>
      <c r="J11" s="2"/>
      <c r="M11" s="10"/>
      <c r="N11" s="10"/>
      <c r="O11" s="10"/>
      <c r="P11" s="10"/>
      <c r="Q11" s="10"/>
    </row>
    <row r="12" spans="1:18" s="1" customFormat="1" ht="15" customHeight="1" x14ac:dyDescent="0.3">
      <c r="A12" s="2"/>
      <c r="C12" s="3"/>
      <c r="F12" s="4"/>
      <c r="G12" s="4"/>
      <c r="H12" s="4"/>
      <c r="I12" s="4"/>
      <c r="J12" s="2"/>
      <c r="M12" s="10"/>
      <c r="N12" s="10"/>
      <c r="O12" s="10"/>
      <c r="P12" s="10"/>
      <c r="Q12" s="10"/>
    </row>
    <row r="13" spans="1:18" s="1" customFormat="1" ht="15" customHeight="1" x14ac:dyDescent="0.3">
      <c r="A13" s="2"/>
      <c r="C13" s="3"/>
      <c r="F13" s="4"/>
      <c r="G13" s="4"/>
      <c r="H13" s="4"/>
      <c r="I13" s="4"/>
      <c r="J13" s="2"/>
      <c r="M13" s="10"/>
      <c r="N13" s="10"/>
      <c r="O13" s="10"/>
      <c r="P13" s="10"/>
      <c r="Q13" s="10"/>
    </row>
    <row r="14" spans="1:18" s="1" customFormat="1" ht="15" customHeight="1" x14ac:dyDescent="0.3">
      <c r="A14" s="2"/>
      <c r="C14" s="3"/>
      <c r="F14" s="4"/>
      <c r="G14" s="4"/>
      <c r="H14" s="4"/>
      <c r="I14" s="4"/>
      <c r="J14" s="2"/>
      <c r="M14" s="10"/>
      <c r="N14" s="10"/>
      <c r="O14" s="10"/>
      <c r="P14" s="10"/>
      <c r="Q14" s="10"/>
    </row>
    <row r="15" spans="1:18" s="1" customFormat="1" ht="15" customHeight="1" x14ac:dyDescent="0.3">
      <c r="A15" s="2"/>
      <c r="C15" s="3"/>
      <c r="F15" s="4"/>
      <c r="G15" s="4"/>
      <c r="H15" s="4"/>
      <c r="I15" s="4"/>
      <c r="J15" s="2"/>
      <c r="M15" s="10"/>
      <c r="N15" s="10"/>
      <c r="O15" s="10"/>
      <c r="P15" s="10"/>
      <c r="Q15" s="10"/>
    </row>
    <row r="16" spans="1:18" s="1" customFormat="1" ht="15" customHeight="1" x14ac:dyDescent="0.3">
      <c r="A16" s="2"/>
      <c r="C16" s="3"/>
      <c r="F16" s="4"/>
      <c r="G16" s="4"/>
      <c r="H16" s="4"/>
      <c r="I16" s="4"/>
      <c r="J16" s="2"/>
      <c r="M16" s="10"/>
      <c r="N16" s="10"/>
      <c r="O16" s="10"/>
      <c r="P16" s="10"/>
      <c r="Q16" s="10"/>
    </row>
    <row r="17" spans="1:17" s="1" customFormat="1" x14ac:dyDescent="0.3">
      <c r="A17" s="2"/>
      <c r="C17" s="3"/>
      <c r="F17" s="4"/>
      <c r="G17" s="4"/>
      <c r="H17" s="4"/>
      <c r="I17" s="4"/>
      <c r="M17" s="10"/>
      <c r="N17" s="10"/>
      <c r="O17" s="10"/>
      <c r="P17" s="10"/>
      <c r="Q17" s="10"/>
    </row>
    <row r="18" spans="1:17" s="1" customFormat="1" ht="15" thickBot="1" x14ac:dyDescent="0.35">
      <c r="A18" s="2"/>
      <c r="C18" s="3"/>
      <c r="F18" s="4"/>
      <c r="G18" s="4"/>
      <c r="H18" s="4"/>
      <c r="I18" s="4"/>
      <c r="M18" s="10"/>
      <c r="N18" s="10"/>
      <c r="O18" s="10"/>
      <c r="P18" s="10"/>
      <c r="Q18" s="10"/>
    </row>
    <row r="19" spans="1:17" s="1" customFormat="1" ht="15" thickBot="1" x14ac:dyDescent="0.35">
      <c r="A19" s="207" t="s">
        <v>27</v>
      </c>
      <c r="B19" s="207"/>
      <c r="C19" s="2">
        <f>Bilance!C37</f>
        <v>45790</v>
      </c>
      <c r="E19" s="1">
        <f>SUM(E2:E18)</f>
        <v>124</v>
      </c>
      <c r="F19" s="63">
        <f>Bilance!C6</f>
        <v>338</v>
      </c>
      <c r="G19" s="28">
        <f>E19*F19</f>
        <v>41912</v>
      </c>
      <c r="H19" s="19"/>
      <c r="I19" s="19"/>
      <c r="M19" s="10"/>
      <c r="N19" s="10"/>
      <c r="O19" s="10"/>
      <c r="P19" s="10"/>
      <c r="Q19" s="10"/>
    </row>
    <row r="20" spans="1:17" s="7" customFormat="1" x14ac:dyDescent="0.3">
      <c r="A20" s="6"/>
      <c r="C20" s="8"/>
      <c r="E20" s="7" t="s">
        <v>42</v>
      </c>
      <c r="F20" s="9">
        <f>(SUM(G2:G18))/E19*-1</f>
        <v>240</v>
      </c>
      <c r="G20" s="69">
        <f>SUM(G2:G19)</f>
        <v>12152</v>
      </c>
      <c r="H20" s="9">
        <f>SUM(H2:H19)</f>
        <v>-300</v>
      </c>
      <c r="I20" s="56">
        <f>G20+H20+Q20</f>
        <v>11852</v>
      </c>
      <c r="M20" s="31"/>
      <c r="N20" s="31"/>
      <c r="O20" s="31"/>
      <c r="P20" s="31"/>
      <c r="Q20" s="71">
        <f>SUM(Q2:Q19)</f>
        <v>0</v>
      </c>
    </row>
    <row r="21" spans="1:17" s="1" customFormat="1" x14ac:dyDescent="0.3">
      <c r="A21" s="2"/>
      <c r="B21" s="5"/>
      <c r="F21" s="4"/>
      <c r="G21" s="4"/>
    </row>
    <row r="22" spans="1:17" s="1" customFormat="1" x14ac:dyDescent="0.3">
      <c r="A22" s="2"/>
      <c r="F22" s="10"/>
      <c r="G22" s="4"/>
      <c r="H22" s="4"/>
      <c r="I22" s="4"/>
      <c r="J22" s="2"/>
      <c r="N22" s="10"/>
    </row>
    <row r="23" spans="1:17" s="1" customFormat="1" x14ac:dyDescent="0.3">
      <c r="F23" s="10"/>
      <c r="G23" s="11"/>
      <c r="H23" s="4"/>
      <c r="I23" s="4"/>
    </row>
    <row r="24" spans="1:17" s="1" customFormat="1" x14ac:dyDescent="0.3">
      <c r="G24" s="4"/>
    </row>
    <row r="25" spans="1:17" s="1" customFormat="1" x14ac:dyDescent="0.3"/>
  </sheetData>
  <mergeCells count="2">
    <mergeCell ref="M1:N1"/>
    <mergeCell ref="A19:B19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CFEDE-6724-46C6-9AC6-24FAB4EA573C}">
  <dimension ref="A1:S20"/>
  <sheetViews>
    <sheetView workbookViewId="0">
      <selection activeCell="H18" sqref="H18"/>
    </sheetView>
  </sheetViews>
  <sheetFormatPr defaultRowHeight="14.4" x14ac:dyDescent="0.3"/>
  <cols>
    <col min="1" max="1" width="10.109375" bestFit="1" customWidth="1"/>
    <col min="2" max="2" width="11.109375" bestFit="1" customWidth="1"/>
    <col min="3" max="3" width="13.109375" bestFit="1" customWidth="1"/>
    <col min="4" max="4" width="7.44140625" bestFit="1" customWidth="1"/>
    <col min="5" max="5" width="8.6640625" bestFit="1" customWidth="1"/>
    <col min="6" max="6" width="13.44140625" style="1" bestFit="1" customWidth="1"/>
    <col min="7" max="7" width="10.33203125" bestFit="1" customWidth="1"/>
    <col min="8" max="8" width="13.6640625" bestFit="1" customWidth="1"/>
    <col min="9" max="9" width="11.5546875" style="48" bestFit="1" customWidth="1"/>
    <col min="10" max="10" width="12.77734375" bestFit="1" customWidth="1"/>
    <col min="11" max="11" width="15.5546875" bestFit="1" customWidth="1"/>
    <col min="12" max="12" width="5" bestFit="1" customWidth="1"/>
    <col min="13" max="13" width="8.6640625" bestFit="1" customWidth="1"/>
    <col min="14" max="14" width="10.109375" bestFit="1" customWidth="1"/>
    <col min="15" max="15" width="11.5546875" bestFit="1" customWidth="1"/>
    <col min="16" max="16" width="10.109375" bestFit="1" customWidth="1"/>
    <col min="17" max="17" width="8.44140625" bestFit="1" customWidth="1"/>
    <col min="18" max="18" width="12.77734375" bestFit="1" customWidth="1"/>
  </cols>
  <sheetData>
    <row r="1" spans="1:19" s="7" customFormat="1" x14ac:dyDescent="0.3">
      <c r="A1" s="37" t="s">
        <v>0</v>
      </c>
      <c r="B1" s="37" t="s">
        <v>1</v>
      </c>
      <c r="C1" s="37" t="s">
        <v>11</v>
      </c>
      <c r="D1" s="37" t="s">
        <v>13</v>
      </c>
      <c r="E1" s="37" t="s">
        <v>2</v>
      </c>
      <c r="F1" s="37" t="s">
        <v>77</v>
      </c>
      <c r="G1" s="37" t="s">
        <v>3</v>
      </c>
      <c r="H1" s="37" t="s">
        <v>4</v>
      </c>
      <c r="I1" s="150" t="s">
        <v>76</v>
      </c>
      <c r="J1" s="37"/>
      <c r="K1" s="37" t="s">
        <v>6</v>
      </c>
      <c r="L1" s="37" t="s">
        <v>7</v>
      </c>
      <c r="M1" s="37" t="s">
        <v>2</v>
      </c>
      <c r="N1" s="209" t="s">
        <v>8</v>
      </c>
      <c r="O1" s="209"/>
      <c r="P1" s="37" t="s">
        <v>70</v>
      </c>
      <c r="Q1" s="37" t="s">
        <v>5</v>
      </c>
      <c r="R1" s="37" t="s">
        <v>29</v>
      </c>
      <c r="S1" s="37"/>
    </row>
    <row r="2" spans="1:19" s="1" customFormat="1" x14ac:dyDescent="0.3">
      <c r="A2" s="2">
        <v>43636</v>
      </c>
      <c r="B2" s="1" t="s">
        <v>74</v>
      </c>
      <c r="C2" s="3"/>
      <c r="D2" s="1" t="s">
        <v>9</v>
      </c>
      <c r="E2" s="1">
        <v>10</v>
      </c>
      <c r="F2" s="10">
        <v>20</v>
      </c>
      <c r="G2" s="4">
        <v>400</v>
      </c>
      <c r="H2" s="4">
        <f>E2*F2*G2*-1</f>
        <v>-80000</v>
      </c>
      <c r="I2" s="40">
        <f>E2*F2</f>
        <v>200</v>
      </c>
      <c r="J2" s="4"/>
      <c r="K2" s="2">
        <v>43738</v>
      </c>
      <c r="L2" s="1">
        <v>2018</v>
      </c>
      <c r="M2" s="1">
        <v>200</v>
      </c>
      <c r="N2" s="47">
        <v>1.77</v>
      </c>
      <c r="O2" s="47">
        <f t="shared" ref="O2:O9" si="0">M2*N2</f>
        <v>354</v>
      </c>
      <c r="P2" s="47">
        <f t="shared" ref="P2:P9" si="1">O2/100*15*-1</f>
        <v>-53.1</v>
      </c>
      <c r="Q2" s="47">
        <v>-0.92</v>
      </c>
      <c r="R2" s="72">
        <f t="shared" ref="R2:R9" si="2">O2+P2+Q2</f>
        <v>299.97999999999996</v>
      </c>
    </row>
    <row r="3" spans="1:19" s="1" customFormat="1" x14ac:dyDescent="0.3">
      <c r="A3" s="2">
        <v>44114</v>
      </c>
      <c r="B3" s="1" t="s">
        <v>74</v>
      </c>
      <c r="C3" s="3"/>
      <c r="D3" s="1" t="s">
        <v>75</v>
      </c>
      <c r="E3" s="1">
        <v>1</v>
      </c>
      <c r="F3" s="10">
        <v>19</v>
      </c>
      <c r="G3" s="4"/>
      <c r="H3" s="4"/>
      <c r="I3" s="40">
        <f>E3*F3</f>
        <v>19</v>
      </c>
      <c r="J3" s="4"/>
      <c r="K3" s="2">
        <v>44028</v>
      </c>
      <c r="L3" s="1">
        <v>2019</v>
      </c>
      <c r="M3" s="1">
        <v>200</v>
      </c>
      <c r="N3" s="10">
        <v>0.86</v>
      </c>
      <c r="O3" s="47">
        <f t="shared" si="0"/>
        <v>172</v>
      </c>
      <c r="P3" s="47">
        <f t="shared" si="1"/>
        <v>-25.8</v>
      </c>
      <c r="Q3" s="47">
        <v>-0.28000000000000003</v>
      </c>
      <c r="R3" s="72">
        <f t="shared" si="2"/>
        <v>145.91999999999999</v>
      </c>
    </row>
    <row r="4" spans="1:19" s="1" customFormat="1" x14ac:dyDescent="0.3">
      <c r="A4" s="2">
        <v>44459</v>
      </c>
      <c r="B4" s="1" t="s">
        <v>74</v>
      </c>
      <c r="C4" s="3"/>
      <c r="D4" s="1" t="s">
        <v>75</v>
      </c>
      <c r="E4" s="1">
        <v>1</v>
      </c>
      <c r="F4" s="10">
        <v>18</v>
      </c>
      <c r="G4" s="4"/>
      <c r="H4" s="4"/>
      <c r="I4" s="40">
        <f>E4*F4</f>
        <v>18</v>
      </c>
      <c r="J4" s="4"/>
      <c r="K4" s="2">
        <v>44167</v>
      </c>
      <c r="L4" s="1">
        <v>2019</v>
      </c>
      <c r="M4" s="1">
        <v>200</v>
      </c>
      <c r="N4" s="10">
        <v>0.86</v>
      </c>
      <c r="O4" s="47">
        <f t="shared" si="0"/>
        <v>172</v>
      </c>
      <c r="P4" s="47">
        <f t="shared" si="1"/>
        <v>-25.8</v>
      </c>
      <c r="Q4" s="47">
        <v>-0.28000000000000003</v>
      </c>
      <c r="R4" s="72">
        <f t="shared" si="2"/>
        <v>145.91999999999999</v>
      </c>
    </row>
    <row r="5" spans="1:19" s="1" customFormat="1" x14ac:dyDescent="0.3">
      <c r="A5" s="2">
        <v>44823</v>
      </c>
      <c r="B5" s="1" t="s">
        <v>74</v>
      </c>
      <c r="C5" s="3"/>
      <c r="D5" s="1" t="s">
        <v>75</v>
      </c>
      <c r="E5" s="1">
        <v>1</v>
      </c>
      <c r="F5" s="10">
        <v>15</v>
      </c>
      <c r="G5" s="4"/>
      <c r="H5" s="4"/>
      <c r="I5" s="40">
        <f>E5*F5</f>
        <v>15</v>
      </c>
      <c r="J5" s="4"/>
      <c r="K5" s="2">
        <v>44474</v>
      </c>
      <c r="L5" s="1">
        <v>2020</v>
      </c>
      <c r="M5" s="1">
        <v>219</v>
      </c>
      <c r="N5" s="10">
        <v>1.18</v>
      </c>
      <c r="O5" s="47">
        <f t="shared" si="0"/>
        <v>258.41999999999996</v>
      </c>
      <c r="P5" s="47">
        <f t="shared" si="1"/>
        <v>-38.762999999999991</v>
      </c>
      <c r="Q5" s="47">
        <v>-0.24</v>
      </c>
      <c r="R5" s="72">
        <f t="shared" si="2"/>
        <v>219.41699999999997</v>
      </c>
    </row>
    <row r="6" spans="1:19" s="1" customFormat="1" x14ac:dyDescent="0.3">
      <c r="A6" s="2">
        <v>45261</v>
      </c>
      <c r="B6" s="1" t="s">
        <v>74</v>
      </c>
      <c r="D6" s="1" t="s">
        <v>75</v>
      </c>
      <c r="E6" s="1">
        <v>1</v>
      </c>
      <c r="F6" s="10">
        <v>65</v>
      </c>
      <c r="G6" s="4"/>
      <c r="H6" s="4"/>
      <c r="I6" s="40">
        <f>E6*F6</f>
        <v>65</v>
      </c>
      <c r="J6" s="4"/>
      <c r="K6" s="2">
        <v>44474</v>
      </c>
      <c r="L6" s="1">
        <v>2021</v>
      </c>
      <c r="M6" s="1">
        <v>237</v>
      </c>
      <c r="N6" s="10">
        <v>27.04</v>
      </c>
      <c r="O6" s="10">
        <f t="shared" si="0"/>
        <v>6408.48</v>
      </c>
      <c r="P6" s="10">
        <f t="shared" si="1"/>
        <v>-961.27200000000005</v>
      </c>
      <c r="Q6" s="10">
        <v>-0.46</v>
      </c>
      <c r="R6" s="72">
        <f t="shared" si="2"/>
        <v>5446.7479999999996</v>
      </c>
    </row>
    <row r="7" spans="1:19" s="1" customFormat="1" ht="15" customHeight="1" x14ac:dyDescent="0.3">
      <c r="A7" s="2"/>
      <c r="C7" s="3"/>
      <c r="G7" s="4"/>
      <c r="H7" s="149"/>
      <c r="I7" s="40"/>
      <c r="J7" s="4"/>
      <c r="K7" s="2">
        <v>44547</v>
      </c>
      <c r="L7" s="1">
        <v>2021</v>
      </c>
      <c r="M7" s="1">
        <v>237</v>
      </c>
      <c r="N7" s="10">
        <v>6.76</v>
      </c>
      <c r="O7" s="10">
        <f t="shared" si="0"/>
        <v>1602.12</v>
      </c>
      <c r="P7" s="10">
        <f t="shared" si="1"/>
        <v>-240.31800000000001</v>
      </c>
      <c r="Q7" s="10">
        <v>-0.11</v>
      </c>
      <c r="R7" s="72">
        <f t="shared" si="2"/>
        <v>1361.692</v>
      </c>
    </row>
    <row r="8" spans="1:19" s="1" customFormat="1" ht="15" customHeight="1" x14ac:dyDescent="0.3">
      <c r="A8" s="2"/>
      <c r="C8" s="3"/>
      <c r="G8" s="4"/>
      <c r="H8" s="4"/>
      <c r="I8" s="40"/>
      <c r="J8" s="4"/>
      <c r="K8" s="2">
        <v>45174</v>
      </c>
      <c r="L8" s="1">
        <v>2022</v>
      </c>
      <c r="M8" s="1">
        <v>252</v>
      </c>
      <c r="N8" s="10">
        <v>2.2599999999999998</v>
      </c>
      <c r="O8" s="10">
        <f t="shared" si="0"/>
        <v>569.52</v>
      </c>
      <c r="P8" s="10">
        <f t="shared" si="1"/>
        <v>-85.427999999999997</v>
      </c>
      <c r="Q8" s="10">
        <v>-0.19</v>
      </c>
      <c r="R8" s="72">
        <f t="shared" si="2"/>
        <v>483.90199999999999</v>
      </c>
    </row>
    <row r="9" spans="1:19" s="1" customFormat="1" ht="15" customHeight="1" x14ac:dyDescent="0.3">
      <c r="A9" s="2"/>
      <c r="C9" s="3"/>
      <c r="G9" s="4"/>
      <c r="H9" s="4"/>
      <c r="I9" s="40"/>
      <c r="J9" s="4"/>
      <c r="K9" s="2"/>
      <c r="L9" s="1">
        <v>2022</v>
      </c>
      <c r="N9" s="10">
        <v>2.2599999999999998</v>
      </c>
      <c r="O9" s="10">
        <f t="shared" si="0"/>
        <v>0</v>
      </c>
      <c r="P9" s="10">
        <f t="shared" si="1"/>
        <v>0</v>
      </c>
      <c r="Q9" s="10"/>
      <c r="R9" s="72">
        <f t="shared" si="2"/>
        <v>0</v>
      </c>
    </row>
    <row r="10" spans="1:19" s="1" customFormat="1" ht="15" customHeight="1" x14ac:dyDescent="0.3">
      <c r="A10" s="2"/>
      <c r="C10" s="3"/>
      <c r="G10" s="4"/>
      <c r="H10" s="4"/>
      <c r="I10" s="40"/>
      <c r="J10" s="4"/>
      <c r="K10" s="2"/>
      <c r="N10" s="10"/>
      <c r="O10" s="10"/>
      <c r="P10" s="10"/>
      <c r="Q10" s="10"/>
      <c r="R10" s="72"/>
    </row>
    <row r="11" spans="1:19" s="1" customFormat="1" ht="15" customHeight="1" x14ac:dyDescent="0.3">
      <c r="A11" s="2"/>
      <c r="C11" s="3"/>
      <c r="G11" s="4"/>
      <c r="H11" s="4"/>
      <c r="I11" s="40"/>
      <c r="J11" s="4"/>
      <c r="K11" s="2"/>
      <c r="N11" s="10"/>
      <c r="O11" s="10"/>
      <c r="P11" s="10"/>
      <c r="Q11" s="10"/>
      <c r="R11" s="10"/>
    </row>
    <row r="12" spans="1:19" s="1" customFormat="1" x14ac:dyDescent="0.3">
      <c r="A12" s="2"/>
      <c r="C12" s="3"/>
      <c r="G12" s="4"/>
      <c r="H12" s="4"/>
      <c r="I12" s="40"/>
      <c r="J12" s="4"/>
      <c r="N12" s="10"/>
      <c r="O12" s="10"/>
      <c r="P12" s="10"/>
      <c r="Q12" s="10"/>
      <c r="R12" s="10"/>
    </row>
    <row r="13" spans="1:19" s="1" customFormat="1" ht="15" thickBot="1" x14ac:dyDescent="0.35">
      <c r="A13" s="2"/>
      <c r="C13" s="3"/>
      <c r="G13" s="4"/>
      <c r="H13" s="4"/>
      <c r="I13" s="40"/>
      <c r="J13" s="4"/>
      <c r="N13" s="10"/>
      <c r="O13" s="10"/>
      <c r="P13" s="10"/>
      <c r="Q13" s="10"/>
      <c r="R13" s="10"/>
    </row>
    <row r="14" spans="1:19" s="1" customFormat="1" ht="15" thickBot="1" x14ac:dyDescent="0.35">
      <c r="A14" s="207" t="s">
        <v>27</v>
      </c>
      <c r="B14" s="207"/>
      <c r="C14" s="2">
        <f>Bilance!C37</f>
        <v>45790</v>
      </c>
      <c r="E14" s="4">
        <v>384</v>
      </c>
      <c r="G14" s="63">
        <f>Bilance!C9</f>
        <v>200</v>
      </c>
      <c r="H14" s="28">
        <f>E14*G14</f>
        <v>76800</v>
      </c>
      <c r="I14" s="42"/>
      <c r="J14" s="151"/>
      <c r="N14" s="10"/>
      <c r="O14" s="10"/>
      <c r="P14" s="10"/>
      <c r="Q14" s="10"/>
      <c r="R14" s="10"/>
    </row>
    <row r="15" spans="1:19" s="7" customFormat="1" x14ac:dyDescent="0.3">
      <c r="A15" s="6"/>
      <c r="C15" s="8"/>
      <c r="G15" s="9"/>
      <c r="H15" s="69">
        <f>SUM(H2:H14)</f>
        <v>-3200</v>
      </c>
      <c r="I15" s="43"/>
      <c r="J15" s="59">
        <f>H15+R15</f>
        <v>4903.5789999999997</v>
      </c>
      <c r="N15" s="31"/>
      <c r="O15" s="31"/>
      <c r="P15" s="31"/>
      <c r="Q15" s="31"/>
      <c r="R15" s="71">
        <f>SUM(R2:R14)</f>
        <v>8103.5789999999997</v>
      </c>
    </row>
    <row r="16" spans="1:19" s="1" customFormat="1" x14ac:dyDescent="0.3">
      <c r="A16" s="2"/>
      <c r="B16" s="5"/>
      <c r="G16" s="4"/>
      <c r="H16" s="4"/>
      <c r="I16" s="48"/>
    </row>
    <row r="17" spans="1:15" s="1" customFormat="1" x14ac:dyDescent="0.3">
      <c r="A17" s="2"/>
      <c r="G17" s="10"/>
      <c r="H17" s="4"/>
      <c r="I17" s="40"/>
      <c r="J17" s="4"/>
      <c r="K17" s="2"/>
      <c r="O17" s="10"/>
    </row>
    <row r="18" spans="1:15" s="1" customFormat="1" x14ac:dyDescent="0.3">
      <c r="G18" s="10"/>
      <c r="H18" s="11"/>
      <c r="I18" s="40"/>
      <c r="J18" s="4"/>
    </row>
    <row r="19" spans="1:15" s="1" customFormat="1" x14ac:dyDescent="0.3">
      <c r="H19" s="4"/>
      <c r="I19" s="48"/>
    </row>
    <row r="20" spans="1:15" s="1" customFormat="1" x14ac:dyDescent="0.3">
      <c r="I20" s="48"/>
    </row>
  </sheetData>
  <mergeCells count="2">
    <mergeCell ref="N1:O1"/>
    <mergeCell ref="A14:B14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4480F-9161-4E06-995A-FEDC2191DDE0}">
  <dimension ref="A1:S19"/>
  <sheetViews>
    <sheetView workbookViewId="0">
      <pane ySplit="1" topLeftCell="A2" activePane="bottomLeft" state="frozen"/>
      <selection pane="bottomLeft" activeCell="N19" sqref="N19"/>
    </sheetView>
  </sheetViews>
  <sheetFormatPr defaultRowHeight="14.4" x14ac:dyDescent="0.3"/>
  <cols>
    <col min="1" max="1" width="10.109375" bestFit="1" customWidth="1"/>
    <col min="2" max="2" width="11.109375" bestFit="1" customWidth="1"/>
    <col min="3" max="3" width="13.44140625" bestFit="1" customWidth="1"/>
    <col min="4" max="4" width="11.21875" bestFit="1" customWidth="1"/>
    <col min="5" max="5" width="8.6640625" bestFit="1" customWidth="1"/>
    <col min="6" max="6" width="10.77734375" bestFit="1" customWidth="1"/>
    <col min="7" max="7" width="12" bestFit="1" customWidth="1"/>
    <col min="8" max="8" width="8.44140625" style="20" bestFit="1" customWidth="1"/>
    <col min="9" max="9" width="10.77734375" style="34" bestFit="1" customWidth="1"/>
    <col min="10" max="10" width="15.5546875" bestFit="1" customWidth="1"/>
    <col min="11" max="11" width="5" bestFit="1" customWidth="1"/>
    <col min="12" max="12" width="8.6640625" bestFit="1" customWidth="1"/>
    <col min="13" max="13" width="7.21875" bestFit="1" customWidth="1"/>
    <col min="14" max="14" width="8.21875" bestFit="1" customWidth="1"/>
    <col min="15" max="15" width="12.33203125" bestFit="1" customWidth="1"/>
    <col min="16" max="16" width="7.21875" bestFit="1" customWidth="1"/>
    <col min="17" max="17" width="9.88671875" bestFit="1" customWidth="1"/>
    <col min="18" max="18" width="9.33203125" bestFit="1" customWidth="1"/>
    <col min="19" max="19" width="11.77734375" bestFit="1" customWidth="1"/>
  </cols>
  <sheetData>
    <row r="1" spans="1:19" s="7" customFormat="1" x14ac:dyDescent="0.3">
      <c r="A1" s="7" t="s">
        <v>0</v>
      </c>
      <c r="B1" s="7" t="s">
        <v>1</v>
      </c>
      <c r="C1" s="7" t="s">
        <v>11</v>
      </c>
      <c r="D1" s="7" t="s">
        <v>13</v>
      </c>
      <c r="E1" s="7" t="s">
        <v>2</v>
      </c>
      <c r="F1" s="7" t="s">
        <v>3</v>
      </c>
      <c r="G1" s="7" t="s">
        <v>23</v>
      </c>
      <c r="H1" s="29" t="s">
        <v>5</v>
      </c>
      <c r="I1" s="29"/>
      <c r="J1" s="7" t="s">
        <v>6</v>
      </c>
      <c r="K1" s="7" t="s">
        <v>7</v>
      </c>
      <c r="L1" s="7" t="s">
        <v>2</v>
      </c>
      <c r="M1" s="208" t="s">
        <v>8</v>
      </c>
      <c r="N1" s="208"/>
      <c r="O1" s="7" t="s">
        <v>47</v>
      </c>
      <c r="P1" s="7" t="s">
        <v>36</v>
      </c>
      <c r="Q1" s="7" t="s">
        <v>29</v>
      </c>
      <c r="R1" s="37" t="s">
        <v>3</v>
      </c>
      <c r="S1" s="37" t="s">
        <v>39</v>
      </c>
    </row>
    <row r="2" spans="1:19" s="1" customFormat="1" x14ac:dyDescent="0.3">
      <c r="A2" s="2">
        <v>41493</v>
      </c>
      <c r="B2" s="1" t="s">
        <v>20</v>
      </c>
      <c r="C2" s="3" t="s">
        <v>21</v>
      </c>
      <c r="D2" s="1" t="s">
        <v>9</v>
      </c>
      <c r="E2" s="1">
        <v>30</v>
      </c>
      <c r="F2" s="27">
        <v>20.774999999999999</v>
      </c>
      <c r="G2" s="18">
        <f t="shared" ref="G2:G3" si="0">E2*F2*-1</f>
        <v>-623.25</v>
      </c>
      <c r="H2" s="18">
        <v>-10.95</v>
      </c>
      <c r="I2" s="64"/>
      <c r="J2" s="2">
        <v>41746</v>
      </c>
      <c r="K2" s="1">
        <v>2013</v>
      </c>
      <c r="L2" s="1">
        <v>30</v>
      </c>
      <c r="M2" s="12">
        <v>1</v>
      </c>
      <c r="N2" s="12">
        <f t="shared" ref="N2:N11" si="1">L2*M2</f>
        <v>30</v>
      </c>
      <c r="O2" s="12">
        <v>-7.91</v>
      </c>
      <c r="P2" s="12">
        <v>-0.08</v>
      </c>
      <c r="Q2" s="12">
        <f>N2+O2+P2</f>
        <v>22.01</v>
      </c>
      <c r="R2" s="10">
        <v>25</v>
      </c>
      <c r="S2" s="10">
        <f t="shared" ref="S2:S11" si="2">Q2*R2</f>
        <v>550.25</v>
      </c>
    </row>
    <row r="3" spans="1:19" s="1" customFormat="1" x14ac:dyDescent="0.3">
      <c r="A3" s="2">
        <v>42240</v>
      </c>
      <c r="B3" s="1" t="s">
        <v>20</v>
      </c>
      <c r="C3" s="3"/>
      <c r="D3" s="1" t="s">
        <v>9</v>
      </c>
      <c r="E3" s="1">
        <v>30</v>
      </c>
      <c r="F3" s="27">
        <v>13.3</v>
      </c>
      <c r="G3" s="18">
        <f t="shared" si="0"/>
        <v>-399</v>
      </c>
      <c r="H3" s="18">
        <v>-10.95</v>
      </c>
      <c r="I3" s="66"/>
      <c r="J3" s="2">
        <v>42118</v>
      </c>
      <c r="K3" s="1">
        <v>2014</v>
      </c>
      <c r="L3" s="1">
        <v>30</v>
      </c>
      <c r="M3" s="12">
        <v>1</v>
      </c>
      <c r="N3" s="12">
        <f t="shared" si="1"/>
        <v>30</v>
      </c>
      <c r="O3" s="12">
        <v>-7.91</v>
      </c>
      <c r="P3" s="12">
        <v>-0.08</v>
      </c>
      <c r="Q3" s="12">
        <f>N3+O3+P3</f>
        <v>22.01</v>
      </c>
      <c r="R3" s="10">
        <v>25</v>
      </c>
      <c r="S3" s="10">
        <f t="shared" si="2"/>
        <v>550.25</v>
      </c>
    </row>
    <row r="4" spans="1:19" s="1" customFormat="1" x14ac:dyDescent="0.3">
      <c r="A4" s="2">
        <v>42908</v>
      </c>
      <c r="B4" s="1" t="s">
        <v>15</v>
      </c>
      <c r="C4" s="1" t="s">
        <v>16</v>
      </c>
      <c r="D4" s="1" t="s">
        <v>22</v>
      </c>
      <c r="F4" s="4"/>
      <c r="G4" s="14"/>
      <c r="H4" s="14">
        <v>-25</v>
      </c>
      <c r="I4" s="66"/>
      <c r="J4" s="2">
        <v>43222</v>
      </c>
      <c r="K4" s="1">
        <v>2017</v>
      </c>
      <c r="L4" s="1">
        <v>60</v>
      </c>
      <c r="M4" s="12">
        <v>1.5</v>
      </c>
      <c r="N4" s="12">
        <f t="shared" si="1"/>
        <v>90</v>
      </c>
      <c r="O4" s="12">
        <v>-23.74</v>
      </c>
      <c r="P4" s="12"/>
      <c r="Q4" s="12">
        <f t="shared" ref="Q4:Q11" si="3">N4+O4</f>
        <v>66.260000000000005</v>
      </c>
      <c r="R4" s="10">
        <v>24.9909</v>
      </c>
      <c r="S4" s="31">
        <f t="shared" si="2"/>
        <v>1655.8970340000001</v>
      </c>
    </row>
    <row r="5" spans="1:19" s="1" customFormat="1" x14ac:dyDescent="0.3">
      <c r="A5" s="2"/>
      <c r="F5" s="4"/>
      <c r="G5" s="14"/>
      <c r="H5" s="14"/>
      <c r="I5" s="66"/>
      <c r="J5" s="2">
        <v>43593</v>
      </c>
      <c r="K5" s="1">
        <v>2018</v>
      </c>
      <c r="L5" s="1">
        <v>60</v>
      </c>
      <c r="M5" s="12">
        <v>0.7</v>
      </c>
      <c r="N5" s="12">
        <f t="shared" si="1"/>
        <v>42</v>
      </c>
      <c r="O5" s="12">
        <v>-11.08</v>
      </c>
      <c r="P5" s="12"/>
      <c r="Q5" s="12">
        <f t="shared" si="3"/>
        <v>30.92</v>
      </c>
      <c r="R5" s="10">
        <v>24.939399999999999</v>
      </c>
      <c r="S5" s="31">
        <f t="shared" si="2"/>
        <v>771.12624800000003</v>
      </c>
    </row>
    <row r="6" spans="1:19" s="1" customFormat="1" x14ac:dyDescent="0.3">
      <c r="A6" s="2"/>
      <c r="F6" s="4"/>
      <c r="G6" s="14"/>
      <c r="H6" s="14"/>
      <c r="I6" s="66"/>
      <c r="J6" s="2">
        <v>44013</v>
      </c>
      <c r="K6" s="1">
        <v>2019</v>
      </c>
      <c r="L6" s="1">
        <v>60</v>
      </c>
      <c r="M6" s="12">
        <v>0.8</v>
      </c>
      <c r="N6" s="12">
        <f t="shared" si="1"/>
        <v>48</v>
      </c>
      <c r="O6" s="12">
        <v>-12.66</v>
      </c>
      <c r="Q6" s="12">
        <f t="shared" si="3"/>
        <v>35.340000000000003</v>
      </c>
      <c r="R6" s="10">
        <v>26.452999999999999</v>
      </c>
      <c r="S6" s="31">
        <f t="shared" si="2"/>
        <v>934.84902000000011</v>
      </c>
    </row>
    <row r="7" spans="1:19" s="7" customFormat="1" x14ac:dyDescent="0.3">
      <c r="A7" s="2"/>
      <c r="B7" s="1"/>
      <c r="C7" s="1"/>
      <c r="D7" s="1"/>
      <c r="E7" s="1"/>
      <c r="F7" s="4"/>
      <c r="G7" s="14"/>
      <c r="H7" s="14"/>
      <c r="I7" s="66"/>
      <c r="J7" s="2">
        <v>44319</v>
      </c>
      <c r="K7" s="1">
        <v>2020</v>
      </c>
      <c r="L7" s="1">
        <v>60</v>
      </c>
      <c r="M7" s="12">
        <v>0.85</v>
      </c>
      <c r="N7" s="12">
        <f t="shared" si="1"/>
        <v>51</v>
      </c>
      <c r="O7" s="12">
        <v>-13.45</v>
      </c>
      <c r="P7" s="1"/>
      <c r="Q7" s="12">
        <f t="shared" si="3"/>
        <v>37.549999999999997</v>
      </c>
      <c r="R7" s="10">
        <v>24.7501997</v>
      </c>
      <c r="S7" s="31">
        <f t="shared" si="2"/>
        <v>929.36999873499997</v>
      </c>
    </row>
    <row r="8" spans="1:19" s="7" customFormat="1" x14ac:dyDescent="0.3">
      <c r="A8" s="2"/>
      <c r="B8" s="1"/>
      <c r="C8" s="1"/>
      <c r="D8" s="1"/>
      <c r="E8" s="1"/>
      <c r="F8" s="4"/>
      <c r="G8" s="14"/>
      <c r="H8" s="14"/>
      <c r="I8" s="66"/>
      <c r="J8" s="2">
        <v>44684</v>
      </c>
      <c r="K8" s="1">
        <v>2021</v>
      </c>
      <c r="L8" s="1">
        <v>60</v>
      </c>
      <c r="M8" s="12">
        <v>0.9</v>
      </c>
      <c r="N8" s="12">
        <f t="shared" si="1"/>
        <v>54</v>
      </c>
      <c r="O8" s="12">
        <v>-14.24</v>
      </c>
      <c r="P8" s="1"/>
      <c r="Q8" s="12">
        <f t="shared" si="3"/>
        <v>39.76</v>
      </c>
      <c r="R8" s="126">
        <v>24.066649900000002</v>
      </c>
      <c r="S8" s="31">
        <f t="shared" si="2"/>
        <v>956.89000002399996</v>
      </c>
    </row>
    <row r="9" spans="1:19" s="7" customFormat="1" x14ac:dyDescent="0.3">
      <c r="A9" s="2"/>
      <c r="B9" s="1"/>
      <c r="C9" s="1"/>
      <c r="D9" s="1"/>
      <c r="E9" s="1"/>
      <c r="F9" s="4"/>
      <c r="G9" s="12"/>
      <c r="H9" s="14"/>
      <c r="I9" s="66"/>
      <c r="J9" s="2">
        <v>45055</v>
      </c>
      <c r="K9" s="1">
        <v>2022</v>
      </c>
      <c r="L9" s="1">
        <v>60</v>
      </c>
      <c r="M9" s="12">
        <v>0.9</v>
      </c>
      <c r="N9" s="12">
        <f t="shared" si="1"/>
        <v>54</v>
      </c>
      <c r="O9" s="12">
        <f>N9/100*26.37*-1</f>
        <v>-14.239800000000001</v>
      </c>
      <c r="P9" s="1"/>
      <c r="Q9" s="12">
        <f t="shared" si="3"/>
        <v>39.760199999999998</v>
      </c>
      <c r="R9" s="126">
        <v>22.806000000000001</v>
      </c>
      <c r="S9" s="31">
        <f t="shared" si="2"/>
        <v>906.77112119999993</v>
      </c>
    </row>
    <row r="10" spans="1:19" s="7" customFormat="1" x14ac:dyDescent="0.3">
      <c r="A10" s="2"/>
      <c r="B10" s="1"/>
      <c r="C10" s="1"/>
      <c r="D10" s="1"/>
      <c r="E10" s="1"/>
      <c r="F10" s="4"/>
      <c r="G10" s="12"/>
      <c r="H10" s="14"/>
      <c r="I10" s="66"/>
      <c r="J10" s="2">
        <v>45420</v>
      </c>
      <c r="K10" s="1">
        <v>2023</v>
      </c>
      <c r="L10" s="1">
        <v>60</v>
      </c>
      <c r="M10" s="12">
        <v>1</v>
      </c>
      <c r="N10" s="12">
        <f t="shared" si="1"/>
        <v>60</v>
      </c>
      <c r="O10" s="12">
        <f>(N10/100*26.37*-1)-0.01</f>
        <v>-15.831999999999999</v>
      </c>
      <c r="P10" s="1"/>
      <c r="Q10" s="12">
        <f t="shared" si="3"/>
        <v>44.167999999999999</v>
      </c>
      <c r="R10" s="126">
        <v>24.12</v>
      </c>
      <c r="S10" s="31">
        <f t="shared" si="2"/>
        <v>1065.3321599999999</v>
      </c>
    </row>
    <row r="11" spans="1:19" s="7" customFormat="1" x14ac:dyDescent="0.3">
      <c r="A11" s="2"/>
      <c r="B11" s="1"/>
      <c r="C11" s="1"/>
      <c r="D11" s="1"/>
      <c r="E11" s="1"/>
      <c r="F11" s="4"/>
      <c r="G11" s="12"/>
      <c r="H11" s="14"/>
      <c r="I11" s="66"/>
      <c r="J11" s="2"/>
      <c r="K11" s="1">
        <v>2024</v>
      </c>
      <c r="L11" s="1">
        <v>60</v>
      </c>
      <c r="M11" s="12">
        <v>1.1000000000000001</v>
      </c>
      <c r="N11" s="12">
        <f t="shared" si="1"/>
        <v>66</v>
      </c>
      <c r="O11" s="12">
        <f>(N11/100*26.37*-1)-0.01</f>
        <v>-17.414200000000005</v>
      </c>
      <c r="P11" s="1"/>
      <c r="Q11" s="12">
        <f t="shared" si="3"/>
        <v>48.585799999999992</v>
      </c>
      <c r="R11" s="126">
        <v>24.2</v>
      </c>
      <c r="S11" s="31">
        <f t="shared" si="2"/>
        <v>1175.7763599999998</v>
      </c>
    </row>
    <row r="12" spans="1:19" s="1" customFormat="1" ht="15" thickBot="1" x14ac:dyDescent="0.35">
      <c r="A12" s="2"/>
      <c r="C12" s="3"/>
      <c r="F12" s="4"/>
      <c r="G12" s="12"/>
      <c r="H12" s="14"/>
      <c r="I12" s="66"/>
    </row>
    <row r="13" spans="1:19" s="1" customFormat="1" ht="15" thickBot="1" x14ac:dyDescent="0.35">
      <c r="A13" s="207" t="s">
        <v>27</v>
      </c>
      <c r="B13" s="207"/>
      <c r="C13" s="2">
        <f>Bilance!C37</f>
        <v>45790</v>
      </c>
      <c r="E13" s="1">
        <f>SUM(E1:E12)</f>
        <v>60</v>
      </c>
      <c r="F13" s="61">
        <f>Bilance!C15</f>
        <v>32.549999999999997</v>
      </c>
      <c r="G13" s="12">
        <f>E13*F13</f>
        <v>1952.9999999999998</v>
      </c>
      <c r="H13" s="14"/>
      <c r="I13" s="66"/>
    </row>
    <row r="14" spans="1:19" s="1" customFormat="1" x14ac:dyDescent="0.3">
      <c r="A14" s="6"/>
      <c r="B14" s="7"/>
      <c r="C14" s="8"/>
      <c r="D14" s="7"/>
      <c r="E14" s="7" t="s">
        <v>42</v>
      </c>
      <c r="F14" s="15">
        <f>(SUM(G2:G12))/E13*-1</f>
        <v>17.037500000000001</v>
      </c>
      <c r="G14" s="15">
        <f>SUM(G2:G13)</f>
        <v>930.74999999999977</v>
      </c>
      <c r="H14" s="16">
        <f>SUM(H2:H13)</f>
        <v>-46.9</v>
      </c>
      <c r="I14" s="57">
        <f>G14+H14+Q14</f>
        <v>1270.2139999999997</v>
      </c>
      <c r="Q14" s="62">
        <f>SUM(Q2:Q13)</f>
        <v>386.36399999999998</v>
      </c>
      <c r="S14" s="59">
        <f>SUM(S2:S13)</f>
        <v>9496.5119419589992</v>
      </c>
    </row>
    <row r="15" spans="1:19" s="7" customFormat="1" x14ac:dyDescent="0.3">
      <c r="A15" s="2"/>
      <c r="B15" s="5"/>
      <c r="C15" s="1"/>
      <c r="D15" s="1"/>
      <c r="E15" s="1"/>
      <c r="F15" s="4"/>
      <c r="G15" s="4"/>
      <c r="H15" s="17"/>
      <c r="I15" s="33"/>
      <c r="J15" s="50"/>
      <c r="K15" s="50"/>
      <c r="L15" s="50"/>
      <c r="M15" s="50"/>
      <c r="N15" s="50"/>
      <c r="O15" s="50"/>
      <c r="P15" s="50"/>
      <c r="Q15"/>
      <c r="R15" s="1"/>
    </row>
    <row r="16" spans="1:19" s="1" customFormat="1" x14ac:dyDescent="0.3">
      <c r="A16" s="2"/>
      <c r="F16" s="10"/>
      <c r="G16" s="4"/>
      <c r="H16" s="19"/>
      <c r="I16" s="65"/>
      <c r="J16"/>
      <c r="K16"/>
      <c r="L16"/>
      <c r="M16"/>
      <c r="N16"/>
      <c r="O16"/>
      <c r="P16"/>
      <c r="Q16"/>
    </row>
    <row r="17" spans="1:9" x14ac:dyDescent="0.3">
      <c r="A17" s="1"/>
      <c r="B17" s="1"/>
      <c r="C17" s="1"/>
      <c r="D17" s="1"/>
      <c r="E17" s="1"/>
      <c r="F17" s="10"/>
      <c r="G17" s="11"/>
      <c r="H17" s="19"/>
      <c r="I17" s="91"/>
    </row>
    <row r="18" spans="1:9" x14ac:dyDescent="0.3">
      <c r="A18" s="7"/>
      <c r="B18" s="7"/>
      <c r="C18" s="7"/>
      <c r="D18" s="7"/>
      <c r="E18" s="7"/>
      <c r="F18" s="7"/>
      <c r="G18" s="9"/>
      <c r="H18" s="36"/>
      <c r="I18" s="29"/>
    </row>
    <row r="19" spans="1:9" x14ac:dyDescent="0.3">
      <c r="A19" s="1"/>
      <c r="B19" s="1"/>
      <c r="C19" s="1"/>
      <c r="D19" s="1"/>
      <c r="E19" s="1"/>
      <c r="F19" s="1"/>
      <c r="G19" s="1"/>
      <c r="H19" s="17"/>
      <c r="I19" s="33"/>
    </row>
  </sheetData>
  <mergeCells count="2">
    <mergeCell ref="M1:N1"/>
    <mergeCell ref="A13:B13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22390-AA6E-48C3-B387-6DD36A448477}">
  <dimension ref="A1:P16"/>
  <sheetViews>
    <sheetView workbookViewId="0">
      <pane ySplit="1" topLeftCell="A2" activePane="bottomLeft" state="frozen"/>
      <selection pane="bottomLeft" activeCell="J18" sqref="J18"/>
    </sheetView>
  </sheetViews>
  <sheetFormatPr defaultRowHeight="14.4" x14ac:dyDescent="0.3"/>
  <cols>
    <col min="1" max="1" width="10.109375" bestFit="1" customWidth="1"/>
    <col min="2" max="2" width="11.109375" bestFit="1" customWidth="1"/>
    <col min="3" max="3" width="13.44140625" bestFit="1" customWidth="1"/>
    <col min="4" max="4" width="12.21875" bestFit="1" customWidth="1"/>
    <col min="5" max="5" width="8.6640625" bestFit="1" customWidth="1"/>
    <col min="6" max="6" width="9.33203125" bestFit="1" customWidth="1"/>
    <col min="7" max="7" width="12.109375" bestFit="1" customWidth="1"/>
    <col min="8" max="8" width="8.44140625" style="20" bestFit="1" customWidth="1"/>
    <col min="9" max="9" width="15.109375" style="34" bestFit="1" customWidth="1"/>
    <col min="10" max="10" width="15.5546875" bestFit="1" customWidth="1"/>
    <col min="11" max="11" width="4.21875" bestFit="1" customWidth="1"/>
    <col min="12" max="12" width="8.6640625" bestFit="1" customWidth="1"/>
    <col min="14" max="14" width="15.33203125" bestFit="1" customWidth="1"/>
  </cols>
  <sheetData>
    <row r="1" spans="1:16" s="7" customFormat="1" x14ac:dyDescent="0.3">
      <c r="A1" s="37" t="s">
        <v>0</v>
      </c>
      <c r="B1" s="37" t="s">
        <v>1</v>
      </c>
      <c r="C1" s="37" t="s">
        <v>11</v>
      </c>
      <c r="D1" s="37" t="s">
        <v>13</v>
      </c>
      <c r="E1" s="37" t="s">
        <v>2</v>
      </c>
      <c r="F1" s="37" t="s">
        <v>3</v>
      </c>
      <c r="G1" s="37" t="s">
        <v>33</v>
      </c>
      <c r="H1" s="38" t="s">
        <v>5</v>
      </c>
      <c r="I1" s="39" t="s">
        <v>53</v>
      </c>
      <c r="J1" s="37" t="s">
        <v>6</v>
      </c>
      <c r="K1" s="37" t="s">
        <v>7</v>
      </c>
      <c r="L1" s="37" t="s">
        <v>2</v>
      </c>
      <c r="M1" s="209" t="s">
        <v>8</v>
      </c>
      <c r="N1" s="209"/>
      <c r="O1" s="37"/>
      <c r="P1" s="37"/>
    </row>
    <row r="2" spans="1:16" s="1" customFormat="1" x14ac:dyDescent="0.3">
      <c r="A2" s="2">
        <v>39923</v>
      </c>
      <c r="B2" s="1" t="s">
        <v>24</v>
      </c>
      <c r="C2" s="3" t="s">
        <v>25</v>
      </c>
      <c r="D2" s="1" t="s">
        <v>9</v>
      </c>
      <c r="E2" s="1">
        <v>200</v>
      </c>
      <c r="F2" s="21">
        <v>0.8</v>
      </c>
      <c r="G2" s="49">
        <f t="shared" ref="G2:G6" si="0">E2*F2*-1</f>
        <v>-160</v>
      </c>
      <c r="H2" s="22">
        <v>-11.95</v>
      </c>
      <c r="I2" s="128"/>
      <c r="K2" s="4"/>
    </row>
    <row r="3" spans="1:16" s="1" customFormat="1" x14ac:dyDescent="0.3">
      <c r="A3" s="2">
        <v>40067</v>
      </c>
      <c r="B3" s="1" t="s">
        <v>24</v>
      </c>
      <c r="C3" s="3"/>
      <c r="D3" s="1" t="s">
        <v>14</v>
      </c>
      <c r="E3" s="1">
        <v>-100</v>
      </c>
      <c r="F3" s="21">
        <v>1.7</v>
      </c>
      <c r="G3" s="21">
        <f t="shared" si="0"/>
        <v>170</v>
      </c>
      <c r="H3" s="22">
        <v>-11.95</v>
      </c>
      <c r="I3" s="65"/>
    </row>
    <row r="4" spans="1:16" s="1" customFormat="1" x14ac:dyDescent="0.3">
      <c r="A4" s="2">
        <v>42902</v>
      </c>
      <c r="B4" s="1" t="s">
        <v>15</v>
      </c>
      <c r="C4" s="1" t="s">
        <v>16</v>
      </c>
      <c r="D4" s="1" t="s">
        <v>26</v>
      </c>
      <c r="F4" s="21">
        <v>0</v>
      </c>
      <c r="G4" s="21">
        <f t="shared" si="0"/>
        <v>0</v>
      </c>
      <c r="H4" s="23">
        <v>-2.5</v>
      </c>
      <c r="I4" s="66"/>
    </row>
    <row r="5" spans="1:16" s="1" customFormat="1" x14ac:dyDescent="0.3">
      <c r="A5" s="2">
        <v>44739</v>
      </c>
      <c r="B5" s="1" t="s">
        <v>24</v>
      </c>
      <c r="D5" s="1" t="s">
        <v>9</v>
      </c>
      <c r="E5" s="1">
        <v>1050</v>
      </c>
      <c r="F5" s="35">
        <v>0.48499999999999999</v>
      </c>
      <c r="G5" s="23">
        <f t="shared" si="0"/>
        <v>-509.25</v>
      </c>
      <c r="H5" s="23">
        <v>-19.95</v>
      </c>
      <c r="I5" s="133">
        <v>24.0369426</v>
      </c>
      <c r="J5" s="10">
        <v>12720.35</v>
      </c>
    </row>
    <row r="6" spans="1:16" s="1" customFormat="1" x14ac:dyDescent="0.3">
      <c r="A6" s="2">
        <v>44742</v>
      </c>
      <c r="B6" s="1" t="s">
        <v>24</v>
      </c>
      <c r="D6" s="1" t="s">
        <v>9</v>
      </c>
      <c r="E6" s="1">
        <v>450</v>
      </c>
      <c r="F6" s="35">
        <v>0.4</v>
      </c>
      <c r="G6" s="23">
        <f t="shared" si="0"/>
        <v>-180</v>
      </c>
      <c r="H6" s="23">
        <v>-19.95</v>
      </c>
      <c r="I6" s="133">
        <v>24.03655414</v>
      </c>
      <c r="J6" s="10">
        <v>4874.8900000000003</v>
      </c>
    </row>
    <row r="7" spans="1:16" s="1" customFormat="1" x14ac:dyDescent="0.3">
      <c r="A7" s="2"/>
      <c r="F7" s="35"/>
      <c r="G7" s="23"/>
      <c r="H7" s="23"/>
      <c r="I7" s="133"/>
      <c r="J7" s="10"/>
    </row>
    <row r="8" spans="1:16" s="1" customFormat="1" x14ac:dyDescent="0.3">
      <c r="A8" s="2"/>
      <c r="C8" s="3"/>
      <c r="F8" s="4"/>
      <c r="G8" s="21"/>
      <c r="H8" s="23"/>
      <c r="I8" s="65"/>
    </row>
    <row r="9" spans="1:16" s="1" customFormat="1" ht="15" thickBot="1" x14ac:dyDescent="0.35">
      <c r="A9" s="2"/>
      <c r="C9" s="3"/>
      <c r="F9" s="4"/>
      <c r="G9" s="21"/>
      <c r="H9" s="23"/>
      <c r="I9" s="65"/>
    </row>
    <row r="10" spans="1:16" s="1" customFormat="1" ht="15" thickBot="1" x14ac:dyDescent="0.35">
      <c r="A10" s="207" t="s">
        <v>27</v>
      </c>
      <c r="B10" s="207"/>
      <c r="C10" s="2">
        <f>Bilance!C37</f>
        <v>45790</v>
      </c>
      <c r="E10" s="1">
        <f>SUM(E2:E9)</f>
        <v>1600</v>
      </c>
      <c r="F10" s="67">
        <f>Bilance!C22</f>
        <v>6.62</v>
      </c>
      <c r="G10" s="21">
        <f>E10*F10</f>
        <v>10592</v>
      </c>
      <c r="H10" s="19"/>
      <c r="I10" s="65">
        <v>25</v>
      </c>
    </row>
    <row r="11" spans="1:16" s="7" customFormat="1" x14ac:dyDescent="0.3">
      <c r="A11" s="6"/>
      <c r="C11" s="8"/>
      <c r="E11" s="7" t="s">
        <v>42</v>
      </c>
      <c r="F11" s="129">
        <f>(G2+G3+G5+G6)/E10*-1</f>
        <v>0.42453125000000003</v>
      </c>
      <c r="G11" s="25">
        <f>SUM(G2:G10)</f>
        <v>9912.75</v>
      </c>
      <c r="H11" s="24">
        <f>SUM(H2:H10)</f>
        <v>-66.3</v>
      </c>
      <c r="I11" s="125">
        <f>G11+H11</f>
        <v>9846.4500000000007</v>
      </c>
    </row>
    <row r="12" spans="1:16" s="1" customFormat="1" x14ac:dyDescent="0.3">
      <c r="A12" s="2"/>
      <c r="B12" s="5"/>
      <c r="F12" s="4"/>
      <c r="G12" s="4"/>
      <c r="H12" s="17"/>
      <c r="I12" s="132">
        <f>I10*I11</f>
        <v>246161.25000000003</v>
      </c>
    </row>
    <row r="13" spans="1:16" s="1" customFormat="1" x14ac:dyDescent="0.3">
      <c r="A13" s="2"/>
      <c r="F13" s="10"/>
      <c r="G13" s="4"/>
      <c r="H13" s="19"/>
      <c r="I13" s="65"/>
      <c r="J13" s="2"/>
      <c r="N13" s="10"/>
    </row>
    <row r="14" spans="1:16" s="1" customFormat="1" x14ac:dyDescent="0.3">
      <c r="F14" s="10"/>
      <c r="G14" s="11"/>
      <c r="H14" s="19"/>
      <c r="I14" s="65"/>
    </row>
    <row r="15" spans="1:16" s="1" customFormat="1" x14ac:dyDescent="0.3">
      <c r="G15" s="4"/>
      <c r="H15" s="17"/>
      <c r="I15" s="33"/>
    </row>
    <row r="16" spans="1:16" s="1" customFormat="1" x14ac:dyDescent="0.3">
      <c r="H16" s="17"/>
      <c r="I16" s="33"/>
    </row>
  </sheetData>
  <mergeCells count="2">
    <mergeCell ref="M1:N1"/>
    <mergeCell ref="A10:B10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904F-9992-4967-A806-649C15379F7B}">
  <dimension ref="A1:S21"/>
  <sheetViews>
    <sheetView workbookViewId="0">
      <selection activeCell="F16" sqref="F16"/>
    </sheetView>
  </sheetViews>
  <sheetFormatPr defaultRowHeight="14.4" x14ac:dyDescent="0.3"/>
  <cols>
    <col min="1" max="1" width="10.109375" bestFit="1" customWidth="1"/>
    <col min="2" max="2" width="11.109375" bestFit="1" customWidth="1"/>
    <col min="3" max="3" width="13.44140625" bestFit="1" customWidth="1"/>
    <col min="4" max="4" width="12.21875" bestFit="1" customWidth="1"/>
    <col min="5" max="5" width="8.6640625" bestFit="1" customWidth="1"/>
    <col min="6" max="6" width="9.5546875" bestFit="1" customWidth="1"/>
    <col min="7" max="7" width="12.109375" bestFit="1" customWidth="1"/>
    <col min="8" max="8" width="8.44140625" style="20" bestFit="1" customWidth="1"/>
    <col min="9" max="9" width="14.21875" style="34" bestFit="1" customWidth="1"/>
    <col min="10" max="10" width="15.5546875" bestFit="1" customWidth="1"/>
    <col min="11" max="11" width="7.77734375" bestFit="1" customWidth="1"/>
    <col min="12" max="12" width="8.6640625" bestFit="1" customWidth="1"/>
    <col min="13" max="13" width="9.5546875" bestFit="1" customWidth="1"/>
    <col min="14" max="14" width="6.5546875" bestFit="1" customWidth="1"/>
    <col min="17" max="17" width="9.88671875" bestFit="1" customWidth="1"/>
    <col min="18" max="18" width="9.109375" bestFit="1" customWidth="1"/>
    <col min="19" max="19" width="11.33203125" bestFit="1" customWidth="1"/>
  </cols>
  <sheetData>
    <row r="1" spans="1:19" s="7" customFormat="1" x14ac:dyDescent="0.3">
      <c r="A1" s="37" t="s">
        <v>0</v>
      </c>
      <c r="B1" s="37" t="s">
        <v>1</v>
      </c>
      <c r="C1" s="37" t="s">
        <v>11</v>
      </c>
      <c r="D1" s="37" t="s">
        <v>13</v>
      </c>
      <c r="E1" s="37" t="s">
        <v>2</v>
      </c>
      <c r="F1" s="37" t="s">
        <v>3</v>
      </c>
      <c r="G1" s="37" t="s">
        <v>33</v>
      </c>
      <c r="H1" s="38" t="s">
        <v>5</v>
      </c>
      <c r="I1" s="39" t="s">
        <v>53</v>
      </c>
      <c r="J1" s="37" t="s">
        <v>6</v>
      </c>
      <c r="K1" s="37" t="s">
        <v>7</v>
      </c>
      <c r="L1" s="37" t="s">
        <v>2</v>
      </c>
      <c r="M1" s="209" t="s">
        <v>8</v>
      </c>
      <c r="N1" s="209"/>
      <c r="O1" s="37" t="s">
        <v>66</v>
      </c>
      <c r="P1" s="37" t="s">
        <v>36</v>
      </c>
      <c r="Q1" s="37" t="s">
        <v>29</v>
      </c>
      <c r="R1" s="37" t="s">
        <v>3</v>
      </c>
      <c r="S1" s="37" t="s">
        <v>39</v>
      </c>
    </row>
    <row r="2" spans="1:19" s="1" customFormat="1" x14ac:dyDescent="0.3">
      <c r="A2" s="2">
        <v>44775</v>
      </c>
      <c r="B2" s="1" t="s">
        <v>54</v>
      </c>
      <c r="C2" s="3" t="s">
        <v>52</v>
      </c>
      <c r="D2" s="1" t="s">
        <v>9</v>
      </c>
      <c r="E2" s="1">
        <v>10</v>
      </c>
      <c r="F2" s="51">
        <v>30</v>
      </c>
      <c r="G2" s="49">
        <f t="shared" ref="G2" si="0">E2*F2*-1</f>
        <v>-300</v>
      </c>
      <c r="H2" s="22">
        <v>-7.95</v>
      </c>
      <c r="I2" s="133">
        <v>24.738352899999999</v>
      </c>
      <c r="J2" s="2">
        <v>44827</v>
      </c>
      <c r="K2" s="1" t="s">
        <v>67</v>
      </c>
      <c r="L2" s="1">
        <v>10</v>
      </c>
      <c r="M2" s="189">
        <v>0.36036000000000001</v>
      </c>
      <c r="N2" s="21">
        <f t="shared" ref="N2" si="1">L2*M2</f>
        <v>3.6036000000000001</v>
      </c>
      <c r="O2" s="21">
        <v>0</v>
      </c>
      <c r="P2" s="21">
        <v>-0.05</v>
      </c>
      <c r="Q2" s="145">
        <f t="shared" ref="Q2:Q12" si="2">N2+O2+P2</f>
        <v>3.5536000000000003</v>
      </c>
      <c r="R2" s="10"/>
      <c r="S2" s="10">
        <f t="shared" ref="S2" si="3">Q2*R2</f>
        <v>0</v>
      </c>
    </row>
    <row r="3" spans="1:19" s="1" customFormat="1" x14ac:dyDescent="0.3">
      <c r="A3" s="2"/>
      <c r="C3" s="3"/>
      <c r="F3" s="51"/>
      <c r="G3" s="49"/>
      <c r="H3" s="22"/>
      <c r="I3" s="130"/>
      <c r="J3" s="2">
        <v>44911</v>
      </c>
      <c r="K3" s="1" t="s">
        <v>68</v>
      </c>
      <c r="L3" s="1">
        <v>10</v>
      </c>
      <c r="M3" s="189">
        <v>0.36036000000000001</v>
      </c>
      <c r="N3" s="21">
        <f t="shared" ref="N3:N12" si="4">L3*M3</f>
        <v>3.6036000000000001</v>
      </c>
      <c r="O3" s="21">
        <v>0</v>
      </c>
      <c r="P3" s="21">
        <v>-0.05</v>
      </c>
      <c r="Q3" s="145">
        <f t="shared" si="2"/>
        <v>3.5536000000000003</v>
      </c>
      <c r="R3" s="10"/>
      <c r="S3" s="10">
        <f t="shared" ref="S3:S5" si="5">Q3*R3</f>
        <v>0</v>
      </c>
    </row>
    <row r="4" spans="1:19" s="1" customFormat="1" x14ac:dyDescent="0.3">
      <c r="A4" s="2"/>
      <c r="F4" s="21"/>
      <c r="G4" s="21"/>
      <c r="H4" s="23"/>
      <c r="I4" s="66"/>
      <c r="J4" s="2">
        <v>45016</v>
      </c>
      <c r="K4" s="1" t="s">
        <v>71</v>
      </c>
      <c r="L4" s="1">
        <v>10</v>
      </c>
      <c r="M4" s="51">
        <v>0.39660000000000001</v>
      </c>
      <c r="N4" s="21">
        <f t="shared" si="4"/>
        <v>3.9660000000000002</v>
      </c>
      <c r="O4" s="21">
        <v>0</v>
      </c>
      <c r="P4" s="21">
        <v>-0.05</v>
      </c>
      <c r="Q4" s="145">
        <f t="shared" si="2"/>
        <v>3.9160000000000004</v>
      </c>
      <c r="S4" s="10">
        <f t="shared" si="5"/>
        <v>0</v>
      </c>
    </row>
    <row r="5" spans="1:19" s="1" customFormat="1" x14ac:dyDescent="0.3">
      <c r="A5" s="2"/>
      <c r="F5" s="21"/>
      <c r="G5" s="21"/>
      <c r="H5" s="23"/>
      <c r="I5" s="66"/>
      <c r="J5" s="2">
        <v>45100</v>
      </c>
      <c r="K5" s="1" t="s">
        <v>83</v>
      </c>
      <c r="L5" s="1">
        <v>10</v>
      </c>
      <c r="M5" s="51">
        <v>0.39660000000000001</v>
      </c>
      <c r="N5" s="21">
        <f t="shared" si="4"/>
        <v>3.9660000000000002</v>
      </c>
      <c r="O5" s="21">
        <v>0</v>
      </c>
      <c r="P5" s="21">
        <v>-0.05</v>
      </c>
      <c r="Q5" s="145">
        <f t="shared" si="2"/>
        <v>3.9160000000000004</v>
      </c>
      <c r="S5" s="10">
        <f t="shared" si="5"/>
        <v>0</v>
      </c>
    </row>
    <row r="6" spans="1:19" s="1" customFormat="1" x14ac:dyDescent="0.3">
      <c r="A6" s="2"/>
      <c r="F6" s="21"/>
      <c r="G6" s="21"/>
      <c r="H6" s="23"/>
      <c r="I6" s="66"/>
      <c r="J6" s="2">
        <v>45191</v>
      </c>
      <c r="K6" s="1" t="s">
        <v>84</v>
      </c>
      <c r="L6" s="1">
        <v>10</v>
      </c>
      <c r="M6" s="51">
        <v>0.43619999999999998</v>
      </c>
      <c r="N6" s="21">
        <f t="shared" si="4"/>
        <v>4.3620000000000001</v>
      </c>
      <c r="O6" s="21">
        <v>0</v>
      </c>
      <c r="P6" s="21">
        <v>-0.05</v>
      </c>
      <c r="Q6" s="145">
        <f t="shared" si="2"/>
        <v>4.3120000000000003</v>
      </c>
      <c r="S6" s="10"/>
    </row>
    <row r="7" spans="1:19" s="1" customFormat="1" x14ac:dyDescent="0.3">
      <c r="A7" s="2"/>
      <c r="F7" s="21"/>
      <c r="G7" s="21"/>
      <c r="H7" s="23"/>
      <c r="I7" s="66"/>
      <c r="J7" s="2">
        <v>45279</v>
      </c>
      <c r="K7" s="1" t="s">
        <v>86</v>
      </c>
      <c r="L7" s="1">
        <v>10</v>
      </c>
      <c r="M7" s="51">
        <v>0.43619999999999998</v>
      </c>
      <c r="N7" s="21">
        <f t="shared" si="4"/>
        <v>4.3620000000000001</v>
      </c>
      <c r="O7" s="21">
        <v>0</v>
      </c>
      <c r="P7" s="21">
        <v>-0.05</v>
      </c>
      <c r="Q7" s="145">
        <f t="shared" si="2"/>
        <v>4.3120000000000003</v>
      </c>
      <c r="S7" s="10"/>
    </row>
    <row r="8" spans="1:19" s="1" customFormat="1" x14ac:dyDescent="0.3">
      <c r="A8" s="2"/>
      <c r="F8" s="21"/>
      <c r="G8" s="21"/>
      <c r="H8" s="23"/>
      <c r="I8" s="66"/>
      <c r="J8" s="2">
        <v>45379</v>
      </c>
      <c r="K8" s="1" t="s">
        <v>88</v>
      </c>
      <c r="L8" s="1">
        <v>10</v>
      </c>
      <c r="M8" s="51">
        <v>0.43619999999999998</v>
      </c>
      <c r="N8" s="21">
        <f t="shared" si="4"/>
        <v>4.3620000000000001</v>
      </c>
      <c r="O8" s="21">
        <v>0</v>
      </c>
      <c r="P8" s="21">
        <v>-0.05</v>
      </c>
      <c r="Q8" s="145">
        <f t="shared" si="2"/>
        <v>4.3120000000000003</v>
      </c>
      <c r="S8" s="10"/>
    </row>
    <row r="9" spans="1:19" s="1" customFormat="1" x14ac:dyDescent="0.3">
      <c r="A9" s="2"/>
      <c r="F9" s="21"/>
      <c r="G9" s="21"/>
      <c r="H9" s="23"/>
      <c r="I9" s="66"/>
      <c r="J9" s="2">
        <v>45471</v>
      </c>
      <c r="K9" s="1" t="s">
        <v>90</v>
      </c>
      <c r="L9" s="1">
        <v>10</v>
      </c>
      <c r="M9" s="51">
        <v>0.43619999999999998</v>
      </c>
      <c r="N9" s="21">
        <f t="shared" si="4"/>
        <v>4.3620000000000001</v>
      </c>
      <c r="O9" s="21">
        <v>0</v>
      </c>
      <c r="P9" s="21">
        <v>-0.05</v>
      </c>
      <c r="Q9" s="145">
        <f t="shared" si="2"/>
        <v>4.3120000000000003</v>
      </c>
      <c r="S9" s="10"/>
    </row>
    <row r="10" spans="1:19" s="1" customFormat="1" x14ac:dyDescent="0.3">
      <c r="A10" s="2"/>
      <c r="F10" s="21"/>
      <c r="G10" s="21"/>
      <c r="H10" s="23"/>
      <c r="I10" s="66"/>
      <c r="J10" s="2">
        <v>45555</v>
      </c>
      <c r="K10" s="1" t="s">
        <v>91</v>
      </c>
      <c r="L10" s="1">
        <v>10</v>
      </c>
      <c r="M10" s="51">
        <v>0.48</v>
      </c>
      <c r="N10" s="21">
        <f t="shared" si="4"/>
        <v>4.8</v>
      </c>
      <c r="O10" s="21">
        <v>0</v>
      </c>
      <c r="P10" s="21">
        <v>-0.05</v>
      </c>
      <c r="Q10" s="145">
        <f t="shared" si="2"/>
        <v>4.75</v>
      </c>
      <c r="S10" s="10"/>
    </row>
    <row r="11" spans="1:19" s="1" customFormat="1" x14ac:dyDescent="0.3">
      <c r="A11" s="2"/>
      <c r="F11" s="21"/>
      <c r="G11" s="21"/>
      <c r="H11" s="23"/>
      <c r="I11" s="66"/>
      <c r="J11" s="2">
        <v>45646</v>
      </c>
      <c r="K11" s="1" t="s">
        <v>92</v>
      </c>
      <c r="L11" s="1">
        <v>10</v>
      </c>
      <c r="M11" s="51">
        <v>0.48</v>
      </c>
      <c r="N11" s="21">
        <f t="shared" si="4"/>
        <v>4.8</v>
      </c>
      <c r="O11" s="21">
        <v>0</v>
      </c>
      <c r="P11" s="21">
        <v>-0.05</v>
      </c>
      <c r="Q11" s="145">
        <f t="shared" si="2"/>
        <v>4.75</v>
      </c>
      <c r="S11" s="10"/>
    </row>
    <row r="12" spans="1:19" s="1" customFormat="1" x14ac:dyDescent="0.3">
      <c r="A12" s="2"/>
      <c r="F12" s="21"/>
      <c r="G12" s="21"/>
      <c r="H12" s="23"/>
      <c r="I12" s="66"/>
      <c r="J12" s="2">
        <v>45744</v>
      </c>
      <c r="K12" s="1" t="s">
        <v>95</v>
      </c>
      <c r="L12" s="1">
        <v>10</v>
      </c>
      <c r="M12" s="51">
        <v>0.48</v>
      </c>
      <c r="N12" s="21">
        <f t="shared" si="4"/>
        <v>4.8</v>
      </c>
      <c r="O12" s="21">
        <v>0</v>
      </c>
      <c r="P12" s="21">
        <v>-0.05</v>
      </c>
      <c r="Q12" s="145">
        <f t="shared" si="2"/>
        <v>4.75</v>
      </c>
      <c r="S12" s="10"/>
    </row>
    <row r="13" spans="1:19" s="1" customFormat="1" x14ac:dyDescent="0.3">
      <c r="A13" s="2"/>
      <c r="C13" s="3"/>
      <c r="F13" s="4"/>
      <c r="G13" s="21"/>
      <c r="H13" s="23"/>
      <c r="I13" s="65"/>
    </row>
    <row r="14" spans="1:19" s="1" customFormat="1" ht="15" thickBot="1" x14ac:dyDescent="0.35">
      <c r="A14" s="2"/>
      <c r="C14" s="3"/>
      <c r="F14" s="4"/>
      <c r="G14" s="21"/>
      <c r="H14" s="23"/>
      <c r="I14" s="65"/>
    </row>
    <row r="15" spans="1:19" s="1" customFormat="1" ht="15" thickBot="1" x14ac:dyDescent="0.35">
      <c r="A15" s="207" t="s">
        <v>27</v>
      </c>
      <c r="B15" s="207"/>
      <c r="C15" s="2">
        <f>Bilance!C37</f>
        <v>45790</v>
      </c>
      <c r="E15" s="1">
        <f>SUM(E2:E14)</f>
        <v>10</v>
      </c>
      <c r="F15" s="67">
        <f>Bilance!C24</f>
        <v>30.19</v>
      </c>
      <c r="G15" s="21">
        <f>E15*F15</f>
        <v>301.90000000000003</v>
      </c>
      <c r="H15" s="19"/>
      <c r="I15" s="65"/>
    </row>
    <row r="16" spans="1:19" s="7" customFormat="1" x14ac:dyDescent="0.3">
      <c r="A16" s="6"/>
      <c r="C16" s="8"/>
      <c r="E16" s="7" t="s">
        <v>42</v>
      </c>
      <c r="F16" s="25">
        <f>(G2+G3)/E15*-1</f>
        <v>30</v>
      </c>
      <c r="G16" s="25">
        <f>SUM(G2:G15)</f>
        <v>1.9000000000000341</v>
      </c>
      <c r="H16" s="24">
        <f>SUM(H2:H15)</f>
        <v>-7.95</v>
      </c>
      <c r="I16" s="125">
        <f>G16+H16+Q16</f>
        <v>40.387200000000036</v>
      </c>
      <c r="Q16" s="58">
        <f>SUM(Q2:Q15)</f>
        <v>46.437200000000004</v>
      </c>
      <c r="S16" s="59">
        <f>SUM(S2:S15)</f>
        <v>0</v>
      </c>
    </row>
    <row r="17" spans="1:14" s="1" customFormat="1" x14ac:dyDescent="0.3">
      <c r="A17" s="2"/>
      <c r="B17" s="5"/>
      <c r="F17" s="4"/>
      <c r="G17" s="4"/>
      <c r="H17" s="17"/>
      <c r="I17" s="33"/>
    </row>
    <row r="18" spans="1:14" s="1" customFormat="1" x14ac:dyDescent="0.3">
      <c r="A18" s="2"/>
      <c r="F18" s="10"/>
      <c r="G18" s="4"/>
      <c r="H18" s="19"/>
      <c r="I18" s="65"/>
      <c r="J18" s="2"/>
      <c r="N18" s="10"/>
    </row>
    <row r="19" spans="1:14" s="1" customFormat="1" x14ac:dyDescent="0.3">
      <c r="F19" s="10"/>
      <c r="G19" s="11"/>
      <c r="H19" s="19"/>
      <c r="I19" s="65"/>
    </row>
    <row r="20" spans="1:14" s="1" customFormat="1" x14ac:dyDescent="0.3">
      <c r="G20" s="4"/>
      <c r="H20" s="17"/>
      <c r="I20" s="33"/>
    </row>
    <row r="21" spans="1:14" s="1" customFormat="1" x14ac:dyDescent="0.3">
      <c r="H21" s="17"/>
      <c r="I21" s="33"/>
    </row>
  </sheetData>
  <mergeCells count="2">
    <mergeCell ref="M1:N1"/>
    <mergeCell ref="A15:B15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0E54B-AB9A-4D7B-8935-DE36C5AD03C7}">
  <dimension ref="A1:S18"/>
  <sheetViews>
    <sheetView workbookViewId="0">
      <selection activeCell="Q10" sqref="Q10"/>
    </sheetView>
  </sheetViews>
  <sheetFormatPr defaultRowHeight="14.4" x14ac:dyDescent="0.3"/>
  <cols>
    <col min="1" max="1" width="10.109375" bestFit="1" customWidth="1"/>
    <col min="2" max="2" width="11.109375" bestFit="1" customWidth="1"/>
    <col min="3" max="3" width="13.44140625" bestFit="1" customWidth="1"/>
    <col min="4" max="4" width="12.21875" bestFit="1" customWidth="1"/>
    <col min="5" max="5" width="8.6640625" bestFit="1" customWidth="1"/>
    <col min="6" max="6" width="9.5546875" bestFit="1" customWidth="1"/>
    <col min="7" max="7" width="12.109375" bestFit="1" customWidth="1"/>
    <col min="8" max="8" width="8.44140625" style="20" bestFit="1" customWidth="1"/>
    <col min="9" max="9" width="14.21875" style="34" bestFit="1" customWidth="1"/>
    <col min="10" max="10" width="15.5546875" bestFit="1" customWidth="1"/>
    <col min="11" max="11" width="7.77734375" bestFit="1" customWidth="1"/>
    <col min="12" max="12" width="8.6640625" bestFit="1" customWidth="1"/>
    <col min="13" max="13" width="8.5546875" bestFit="1" customWidth="1"/>
    <col min="14" max="14" width="12.109375" bestFit="1" customWidth="1"/>
    <col min="17" max="17" width="9.88671875" bestFit="1" customWidth="1"/>
    <col min="18" max="18" width="9.109375" bestFit="1" customWidth="1"/>
    <col min="19" max="19" width="11.33203125" bestFit="1" customWidth="1"/>
  </cols>
  <sheetData>
    <row r="1" spans="1:19" s="7" customFormat="1" x14ac:dyDescent="0.3">
      <c r="A1" s="37" t="s">
        <v>0</v>
      </c>
      <c r="B1" s="37" t="s">
        <v>1</v>
      </c>
      <c r="C1" s="37" t="s">
        <v>11</v>
      </c>
      <c r="D1" s="37" t="s">
        <v>13</v>
      </c>
      <c r="E1" s="37" t="s">
        <v>2</v>
      </c>
      <c r="F1" s="37" t="s">
        <v>3</v>
      </c>
      <c r="G1" s="37" t="s">
        <v>33</v>
      </c>
      <c r="H1" s="38" t="s">
        <v>5</v>
      </c>
      <c r="I1" s="39" t="s">
        <v>53</v>
      </c>
      <c r="J1" s="37" t="s">
        <v>6</v>
      </c>
      <c r="K1" s="37" t="s">
        <v>7</v>
      </c>
      <c r="L1" s="37" t="s">
        <v>2</v>
      </c>
      <c r="M1" s="209" t="s">
        <v>8</v>
      </c>
      <c r="N1" s="209"/>
      <c r="O1" s="37" t="s">
        <v>66</v>
      </c>
      <c r="P1" s="37" t="s">
        <v>36</v>
      </c>
      <c r="Q1" s="37" t="s">
        <v>29</v>
      </c>
      <c r="R1" s="37" t="s">
        <v>3</v>
      </c>
      <c r="S1" s="37" t="s">
        <v>39</v>
      </c>
    </row>
    <row r="2" spans="1:19" s="1" customFormat="1" x14ac:dyDescent="0.3">
      <c r="A2" s="2">
        <v>45085</v>
      </c>
      <c r="B2" s="1" t="s">
        <v>73</v>
      </c>
      <c r="C2" s="3"/>
      <c r="D2" s="1" t="s">
        <v>9</v>
      </c>
      <c r="E2" s="1">
        <v>15</v>
      </c>
      <c r="F2" s="51">
        <v>32.5</v>
      </c>
      <c r="G2" s="49">
        <f t="shared" ref="G2" si="0">E2*F2*-1</f>
        <v>-487.5</v>
      </c>
      <c r="H2" s="22">
        <v>-7.95</v>
      </c>
      <c r="I2" s="133">
        <v>22.677188699999999</v>
      </c>
      <c r="J2" s="2">
        <v>45110</v>
      </c>
      <c r="K2" s="1" t="s">
        <v>83</v>
      </c>
      <c r="L2" s="1">
        <v>15</v>
      </c>
      <c r="M2" s="35">
        <v>0.49859999999999999</v>
      </c>
      <c r="N2" s="21">
        <f t="shared" ref="N2" si="1">L2*M2</f>
        <v>7.4790000000000001</v>
      </c>
      <c r="O2" s="21">
        <v>-1.1200000000000001</v>
      </c>
      <c r="P2" s="21">
        <v>0</v>
      </c>
      <c r="Q2" s="145">
        <f t="shared" ref="Q2:Q9" si="2">N2+O2+P2</f>
        <v>6.359</v>
      </c>
      <c r="R2" s="10"/>
      <c r="S2" s="10">
        <f t="shared" ref="S2" si="3">Q2*R2</f>
        <v>0</v>
      </c>
    </row>
    <row r="3" spans="1:19" s="1" customFormat="1" x14ac:dyDescent="0.3">
      <c r="A3" s="2"/>
      <c r="C3" s="3"/>
      <c r="F3" s="51"/>
      <c r="G3" s="49"/>
      <c r="H3" s="22"/>
      <c r="I3" s="130"/>
      <c r="J3" s="2">
        <v>45201</v>
      </c>
      <c r="K3" s="1" t="s">
        <v>84</v>
      </c>
      <c r="L3" s="1">
        <v>15</v>
      </c>
      <c r="M3" s="35">
        <v>0.48699999999999999</v>
      </c>
      <c r="N3" s="21">
        <v>7.3</v>
      </c>
      <c r="O3" s="21">
        <v>-1.0900000000000001</v>
      </c>
      <c r="P3" s="21">
        <v>0</v>
      </c>
      <c r="Q3" s="145">
        <f t="shared" si="2"/>
        <v>6.21</v>
      </c>
      <c r="R3" s="10"/>
      <c r="S3" s="10"/>
    </row>
    <row r="4" spans="1:19" s="1" customFormat="1" x14ac:dyDescent="0.3">
      <c r="A4" s="2"/>
      <c r="C4" s="3"/>
      <c r="F4" s="51"/>
      <c r="G4" s="49"/>
      <c r="H4" s="22"/>
      <c r="I4" s="130"/>
      <c r="J4" s="2">
        <v>45289</v>
      </c>
      <c r="K4" s="1" t="s">
        <v>86</v>
      </c>
      <c r="L4" s="1">
        <v>15</v>
      </c>
      <c r="M4" s="35">
        <v>0.5</v>
      </c>
      <c r="N4" s="21">
        <v>7.51</v>
      </c>
      <c r="O4" s="21">
        <v>-1.1299999999999999</v>
      </c>
      <c r="P4" s="21">
        <v>0</v>
      </c>
      <c r="Q4" s="145">
        <f t="shared" si="2"/>
        <v>6.38</v>
      </c>
      <c r="R4" s="10"/>
      <c r="S4" s="10"/>
    </row>
    <row r="5" spans="1:19" s="1" customFormat="1" x14ac:dyDescent="0.3">
      <c r="A5" s="2"/>
      <c r="C5" s="3"/>
      <c r="F5" s="51"/>
      <c r="G5" s="49"/>
      <c r="H5" s="22"/>
      <c r="I5" s="130"/>
      <c r="J5" s="2">
        <v>45383</v>
      </c>
      <c r="K5" s="1" t="s">
        <v>88</v>
      </c>
      <c r="L5" s="1">
        <v>15</v>
      </c>
      <c r="M5" s="35">
        <f>N5/L5</f>
        <v>0.48800000000000004</v>
      </c>
      <c r="N5" s="21">
        <v>7.32</v>
      </c>
      <c r="O5" s="21">
        <v>-1.1000000000000001</v>
      </c>
      <c r="P5" s="21">
        <v>0</v>
      </c>
      <c r="Q5" s="145">
        <f t="shared" si="2"/>
        <v>6.2200000000000006</v>
      </c>
      <c r="R5" s="10"/>
      <c r="S5" s="10"/>
    </row>
    <row r="6" spans="1:19" s="1" customFormat="1" x14ac:dyDescent="0.3">
      <c r="A6" s="2"/>
      <c r="F6" s="21"/>
      <c r="G6" s="21"/>
      <c r="H6" s="23"/>
      <c r="I6" s="66"/>
      <c r="J6" s="2">
        <v>45474</v>
      </c>
      <c r="K6" s="1" t="s">
        <v>90</v>
      </c>
      <c r="L6" s="1">
        <v>15</v>
      </c>
      <c r="M6" s="35">
        <v>0.499</v>
      </c>
      <c r="N6" s="21">
        <v>7.49</v>
      </c>
      <c r="O6" s="21">
        <v>-1.1200000000000001</v>
      </c>
      <c r="P6" s="21">
        <v>0</v>
      </c>
      <c r="Q6" s="145">
        <f t="shared" si="2"/>
        <v>6.37</v>
      </c>
      <c r="S6" s="10"/>
    </row>
    <row r="7" spans="1:19" s="1" customFormat="1" x14ac:dyDescent="0.3">
      <c r="A7" s="2"/>
      <c r="F7" s="21"/>
      <c r="G7" s="21"/>
      <c r="H7" s="23"/>
      <c r="I7" s="66"/>
      <c r="J7" s="2">
        <v>45565</v>
      </c>
      <c r="K7" s="1" t="s">
        <v>91</v>
      </c>
      <c r="L7" s="1">
        <v>15</v>
      </c>
      <c r="M7" s="35">
        <v>0.51</v>
      </c>
      <c r="N7" s="21">
        <f>L7*M7</f>
        <v>7.65</v>
      </c>
      <c r="O7" s="21">
        <v>-1.1499999999999999</v>
      </c>
      <c r="P7" s="21">
        <v>0</v>
      </c>
      <c r="Q7" s="145">
        <f t="shared" si="2"/>
        <v>6.5</v>
      </c>
      <c r="S7" s="10"/>
    </row>
    <row r="8" spans="1:19" s="1" customFormat="1" x14ac:dyDescent="0.3">
      <c r="A8" s="2"/>
      <c r="F8" s="21"/>
      <c r="G8" s="21"/>
      <c r="H8" s="23"/>
      <c r="I8" s="66"/>
      <c r="J8" s="2">
        <v>45657</v>
      </c>
      <c r="K8" s="1" t="s">
        <v>92</v>
      </c>
      <c r="L8" s="1">
        <v>15</v>
      </c>
      <c r="M8" s="35">
        <v>0.47599999999999998</v>
      </c>
      <c r="N8" s="21">
        <f>L8*M8</f>
        <v>7.14</v>
      </c>
      <c r="O8" s="21">
        <v>-1.07</v>
      </c>
      <c r="P8" s="21">
        <v>0</v>
      </c>
      <c r="Q8" s="145">
        <f t="shared" si="2"/>
        <v>6.0699999999999994</v>
      </c>
      <c r="S8" s="10"/>
    </row>
    <row r="9" spans="1:19" s="1" customFormat="1" x14ac:dyDescent="0.3">
      <c r="A9" s="2"/>
      <c r="F9" s="21"/>
      <c r="G9" s="21"/>
      <c r="H9" s="23"/>
      <c r="I9" s="66"/>
      <c r="J9" s="2">
        <v>45748</v>
      </c>
      <c r="K9" s="1" t="s">
        <v>96</v>
      </c>
      <c r="L9" s="1">
        <v>15</v>
      </c>
      <c r="M9" s="35">
        <v>0.47449999999999998</v>
      </c>
      <c r="N9" s="21">
        <f>L9*M9</f>
        <v>7.1174999999999997</v>
      </c>
      <c r="O9" s="21">
        <v>-1.07</v>
      </c>
      <c r="P9" s="21">
        <v>0</v>
      </c>
      <c r="Q9" s="145">
        <f t="shared" si="2"/>
        <v>6.0474999999999994</v>
      </c>
      <c r="S9" s="10"/>
    </row>
    <row r="10" spans="1:19" s="1" customFormat="1" x14ac:dyDescent="0.3">
      <c r="A10" s="2"/>
      <c r="C10" s="3"/>
      <c r="F10" s="4"/>
      <c r="G10" s="21"/>
      <c r="H10" s="23"/>
      <c r="I10" s="65"/>
    </row>
    <row r="11" spans="1:19" s="1" customFormat="1" ht="15" thickBot="1" x14ac:dyDescent="0.35">
      <c r="A11" s="2"/>
      <c r="C11" s="3"/>
      <c r="F11" s="4"/>
      <c r="G11" s="21"/>
      <c r="H11" s="23"/>
      <c r="I11" s="65"/>
    </row>
    <row r="12" spans="1:19" s="1" customFormat="1" ht="15" thickBot="1" x14ac:dyDescent="0.35">
      <c r="A12" s="207" t="s">
        <v>27</v>
      </c>
      <c r="B12" s="207"/>
      <c r="C12" s="2">
        <f>Bilance!C37</f>
        <v>45790</v>
      </c>
      <c r="E12" s="1">
        <f>SUM(E2:E11)</f>
        <v>15</v>
      </c>
      <c r="F12" s="67">
        <f>Bilance!C25</f>
        <v>37.03</v>
      </c>
      <c r="G12" s="21">
        <f>E12*F12</f>
        <v>555.45000000000005</v>
      </c>
      <c r="H12" s="19"/>
      <c r="I12" s="65"/>
    </row>
    <row r="13" spans="1:19" s="7" customFormat="1" x14ac:dyDescent="0.3">
      <c r="A13" s="6"/>
      <c r="C13" s="8"/>
      <c r="E13" s="7" t="s">
        <v>42</v>
      </c>
      <c r="F13" s="25">
        <f>(G2+G3)/E12*-1</f>
        <v>32.5</v>
      </c>
      <c r="G13" s="25">
        <f>SUM(G2:G12)</f>
        <v>67.950000000000045</v>
      </c>
      <c r="H13" s="24">
        <f>SUM(H2:H12)</f>
        <v>-7.95</v>
      </c>
      <c r="I13" s="125">
        <f>G13+H13+Q13</f>
        <v>110.15650000000005</v>
      </c>
      <c r="Q13" s="58">
        <f>SUM(Q2:Q12)</f>
        <v>50.156500000000001</v>
      </c>
      <c r="S13" s="59">
        <f>SUM(S2:S12)</f>
        <v>0</v>
      </c>
    </row>
    <row r="14" spans="1:19" s="1" customFormat="1" x14ac:dyDescent="0.3">
      <c r="A14" s="2"/>
      <c r="B14" s="5"/>
      <c r="F14" s="4"/>
      <c r="G14" s="4"/>
      <c r="H14" s="17"/>
      <c r="I14" s="33"/>
    </row>
    <row r="15" spans="1:19" s="1" customFormat="1" x14ac:dyDescent="0.3">
      <c r="A15" s="2"/>
      <c r="F15" s="10"/>
      <c r="G15" s="4"/>
      <c r="H15" s="19"/>
      <c r="I15" s="65"/>
      <c r="J15" s="2"/>
      <c r="N15" s="188"/>
    </row>
    <row r="16" spans="1:19" s="1" customFormat="1" x14ac:dyDescent="0.3">
      <c r="F16" s="10"/>
      <c r="G16" s="11"/>
      <c r="H16" s="19"/>
      <c r="I16" s="65"/>
    </row>
    <row r="17" spans="7:9" s="1" customFormat="1" x14ac:dyDescent="0.3">
      <c r="G17" s="4"/>
      <c r="H17" s="17"/>
      <c r="I17" s="33"/>
    </row>
    <row r="18" spans="7:9" s="1" customFormat="1" x14ac:dyDescent="0.3">
      <c r="H18" s="17"/>
      <c r="I18" s="33"/>
    </row>
  </sheetData>
  <mergeCells count="2">
    <mergeCell ref="M1:N1"/>
    <mergeCell ref="A12:B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16</vt:i4>
      </vt:variant>
    </vt:vector>
  </HeadingPairs>
  <TitlesOfParts>
    <vt:vector size="16" baseType="lpstr">
      <vt:lpstr>Bilance</vt:lpstr>
      <vt:lpstr>ČEZ</vt:lpstr>
      <vt:lpstr>KB</vt:lpstr>
      <vt:lpstr>DSPW</vt:lpstr>
      <vt:lpstr>OE</vt:lpstr>
      <vt:lpstr>RWE</vt:lpstr>
      <vt:lpstr>FNMA</vt:lpstr>
      <vt:lpstr>BP</vt:lpstr>
      <vt:lpstr>PBA</vt:lpstr>
      <vt:lpstr>NLY</vt:lpstr>
      <vt:lpstr>PFE</vt:lpstr>
      <vt:lpstr>NVDA</vt:lpstr>
      <vt:lpstr>ERSTE + 57 748 Kč</vt:lpstr>
      <vt:lpstr>MMB + 10 674 Kč</vt:lpstr>
      <vt:lpstr>FIX - 26 867 Kč</vt:lpstr>
      <vt:lpstr>VNTR -2 455,93 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Jaroslav Luks</dc:creator>
  <cp:lastModifiedBy>Jaroslav Luks</cp:lastModifiedBy>
  <cp:lastPrinted>2023-02-08T14:28:17Z</cp:lastPrinted>
  <dcterms:created xsi:type="dcterms:W3CDTF">2017-10-03T10:34:27Z</dcterms:created>
  <dcterms:modified xsi:type="dcterms:W3CDTF">2025-05-13T11:03:41Z</dcterms:modified>
</cp:coreProperties>
</file>