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 defaultThemeVersion="124226"/>
  <xr:revisionPtr revIDLastSave="0" documentId="13_ncr:1_{37B83978-7420-4382-AFF0-04CEDAFB898D}" xr6:coauthVersionLast="45" xr6:coauthVersionMax="45" xr10:uidLastSave="{00000000-0000-0000-0000-000000000000}"/>
  <bookViews>
    <workbookView xWindow="-108" yWindow="-108" windowWidth="23256" windowHeight="12576" tabRatio="855" xr2:uid="{00000000-000D-0000-FFFF-FFFF00000000}"/>
  </bookViews>
  <sheets>
    <sheet name="Wage Lookup Table" sheetId="12" r:id="rId1"/>
    <sheet name="Sunday" sheetId="8" r:id="rId2"/>
    <sheet name="Monday" sheetId="4" r:id="rId3"/>
    <sheet name="Tuesday" sheetId="9" r:id="rId4"/>
    <sheet name="Wed" sheetId="5" r:id="rId5"/>
    <sheet name="Thursday" sheetId="6" r:id="rId6"/>
    <sheet name="Friday" sheetId="7" r:id="rId7"/>
    <sheet name="Saturday" sheetId="11" r:id="rId8"/>
    <sheet name="Weekly Report" sheetId="13" r:id="rId9"/>
    <sheet name="Department,Commission,Sales" sheetId="17" r:id="rId10"/>
    <sheet name="Employee Commission Depart" sheetId="18" r:id="rId11"/>
    <sheet name="Department,Commission" sheetId="20" r:id="rId12"/>
    <sheet name="Department,Commission Chart" sheetId="21" r:id="rId13"/>
    <sheet name="Representative's Sales Depart" sheetId="22" r:id="rId14"/>
    <sheet name="Representative's Chart" sheetId="23" r:id="rId15"/>
    <sheet name="Top 5 Sales Commissions" sheetId="26" r:id="rId16"/>
    <sheet name="Above Average Commission" sheetId="24" r:id="rId17"/>
    <sheet name="Above Average Except Furniture" sheetId="29" r:id="rId18"/>
    <sheet name="Sales Staff Below Quota Goal" sheetId="32" r:id="rId19"/>
    <sheet name="Highest Sales by Department" sheetId="34" r:id="rId20"/>
    <sheet name="Percentage of Quota Met" sheetId="35" r:id="rId21"/>
    <sheet name="Sales &amp; Commission" sheetId="36" r:id="rId22"/>
    <sheet name="Base Pay, Commission, Gross Pay" sheetId="38" r:id="rId23"/>
    <sheet name="Hours Worked &amp; Gross Pay" sheetId="39" r:id="rId24"/>
    <sheet name="Quotas Met Most Least" sheetId="40" r:id="rId25"/>
    <sheet name="Salesperson&gt;1500 &amp; 0" sheetId="42" r:id="rId26"/>
    <sheet name="Dept Commission, % Commission" sheetId="43" r:id="rId27"/>
  </sheets>
  <definedNames>
    <definedName name="_xlnm._FilterDatabase" localSheetId="16" hidden="1">'Above Average Commission'!$A$10:$C$10</definedName>
    <definedName name="_xlnm._FilterDatabase" localSheetId="6" hidden="1">Friday!$A$4:$K$4</definedName>
    <definedName name="_xlnm._FilterDatabase" localSheetId="2" hidden="1">Monday!$A$4:$K$4</definedName>
    <definedName name="_xlnm._FilterDatabase" localSheetId="7" hidden="1">Saturday!$A$4:$K$4</definedName>
    <definedName name="_xlnm._FilterDatabase" localSheetId="1" hidden="1">Sunday!$A$4:$K$4</definedName>
    <definedName name="_xlnm._FilterDatabase" localSheetId="5" hidden="1">Thursday!$A$4:$K$4</definedName>
    <definedName name="_xlnm._FilterDatabase" localSheetId="3" hidden="1">Tuesday!$A$4:$K$4</definedName>
    <definedName name="_xlnm._FilterDatabase" localSheetId="0" hidden="1">'Wage Lookup Table'!$A$1:$E$8</definedName>
    <definedName name="_xlnm._FilterDatabase" localSheetId="4" hidden="1">Wed!$A$4:$K$4</definedName>
    <definedName name="_xlnm._FilterDatabase" localSheetId="8" hidden="1">'Weekly Report'!$A$9:$L$61</definedName>
    <definedName name="_xlnm.Database">#REF!</definedName>
    <definedName name="Weekly_Report">'Weekly Report'!$A$9:$L$61</definedName>
  </definedNames>
  <calcPr calcId="191029"/>
  <pivotCaches>
    <pivotCache cacheId="0" r:id="rId28"/>
    <pivotCache cacheId="1" r:id="rId29"/>
    <pivotCache cacheId="2" r:id="rId30"/>
    <pivotCache cacheId="3" r:id="rId31"/>
    <pivotCache cacheId="4" r:id="rId3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3" l="1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F10" i="13"/>
  <c r="E10" i="13"/>
  <c r="E62" i="8"/>
  <c r="E62" i="4"/>
  <c r="E62" i="9"/>
  <c r="E62" i="5"/>
  <c r="E62" i="6"/>
  <c r="E62" i="7"/>
  <c r="E61" i="8"/>
  <c r="E61" i="4"/>
  <c r="E61" i="9"/>
  <c r="E61" i="5"/>
  <c r="E61" i="6"/>
  <c r="E61" i="7"/>
  <c r="E60" i="8"/>
  <c r="E60" i="4"/>
  <c r="E60" i="9"/>
  <c r="E60" i="5"/>
  <c r="E60" i="6"/>
  <c r="E60" i="7"/>
  <c r="E59" i="8"/>
  <c r="E59" i="4"/>
  <c r="E59" i="9"/>
  <c r="E59" i="5"/>
  <c r="E59" i="6"/>
  <c r="E59" i="7"/>
  <c r="E62" i="11"/>
  <c r="E61" i="11"/>
  <c r="E60" i="11"/>
  <c r="E59" i="11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" i="7"/>
  <c r="K59" i="7" s="1"/>
  <c r="K5" i="11"/>
  <c r="K5" i="6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6" i="8"/>
  <c r="K11" i="13" s="1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" i="4"/>
  <c r="K5" i="9"/>
  <c r="K5" i="5"/>
  <c r="K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" i="8"/>
  <c r="H6" i="11"/>
  <c r="J6" i="11" s="1"/>
  <c r="H7" i="11"/>
  <c r="J7" i="11" s="1"/>
  <c r="H8" i="11"/>
  <c r="J8" i="11" s="1"/>
  <c r="H9" i="11"/>
  <c r="J9" i="11" s="1"/>
  <c r="H10" i="11"/>
  <c r="J10" i="11" s="1"/>
  <c r="H11" i="11"/>
  <c r="J11" i="11" s="1"/>
  <c r="H12" i="11"/>
  <c r="J12" i="11" s="1"/>
  <c r="H13" i="11"/>
  <c r="J13" i="11" s="1"/>
  <c r="H14" i="11"/>
  <c r="J14" i="11" s="1"/>
  <c r="H15" i="11"/>
  <c r="J15" i="11" s="1"/>
  <c r="H16" i="11"/>
  <c r="J16" i="11" s="1"/>
  <c r="H17" i="11"/>
  <c r="J17" i="11" s="1"/>
  <c r="H18" i="11"/>
  <c r="J18" i="11" s="1"/>
  <c r="H19" i="11"/>
  <c r="J19" i="11" s="1"/>
  <c r="H20" i="11"/>
  <c r="J20" i="11" s="1"/>
  <c r="H21" i="11"/>
  <c r="J21" i="11" s="1"/>
  <c r="H22" i="11"/>
  <c r="J22" i="11" s="1"/>
  <c r="H23" i="11"/>
  <c r="J23" i="11" s="1"/>
  <c r="H24" i="11"/>
  <c r="J24" i="11" s="1"/>
  <c r="H25" i="11"/>
  <c r="J25" i="11" s="1"/>
  <c r="H26" i="11"/>
  <c r="J26" i="11" s="1"/>
  <c r="H27" i="11"/>
  <c r="J27" i="11" s="1"/>
  <c r="H28" i="11"/>
  <c r="J28" i="11" s="1"/>
  <c r="H29" i="11"/>
  <c r="J29" i="11" s="1"/>
  <c r="H30" i="11"/>
  <c r="J30" i="11" s="1"/>
  <c r="H31" i="11"/>
  <c r="J31" i="11" s="1"/>
  <c r="H32" i="11"/>
  <c r="J32" i="11" s="1"/>
  <c r="H33" i="11"/>
  <c r="J33" i="11" s="1"/>
  <c r="H34" i="11"/>
  <c r="J34" i="11" s="1"/>
  <c r="H35" i="11"/>
  <c r="J35" i="11" s="1"/>
  <c r="H36" i="11"/>
  <c r="J36" i="11" s="1"/>
  <c r="H37" i="11"/>
  <c r="J37" i="11" s="1"/>
  <c r="H38" i="11"/>
  <c r="J38" i="11" s="1"/>
  <c r="H39" i="11"/>
  <c r="J39" i="11" s="1"/>
  <c r="H40" i="11"/>
  <c r="J40" i="11" s="1"/>
  <c r="H41" i="11"/>
  <c r="J41" i="11" s="1"/>
  <c r="H42" i="11"/>
  <c r="J42" i="11" s="1"/>
  <c r="H43" i="11"/>
  <c r="J43" i="11" s="1"/>
  <c r="H44" i="11"/>
  <c r="J44" i="11" s="1"/>
  <c r="H45" i="11"/>
  <c r="J45" i="11" s="1"/>
  <c r="H46" i="11"/>
  <c r="J46" i="11" s="1"/>
  <c r="H47" i="11"/>
  <c r="J47" i="11" s="1"/>
  <c r="H48" i="11"/>
  <c r="J48" i="11" s="1"/>
  <c r="H49" i="11"/>
  <c r="J49" i="11" s="1"/>
  <c r="H50" i="11"/>
  <c r="J50" i="11" s="1"/>
  <c r="H51" i="11"/>
  <c r="J51" i="11" s="1"/>
  <c r="H52" i="11"/>
  <c r="J52" i="11" s="1"/>
  <c r="H53" i="11"/>
  <c r="J53" i="11" s="1"/>
  <c r="H54" i="11"/>
  <c r="J54" i="11" s="1"/>
  <c r="H55" i="11"/>
  <c r="J55" i="11" s="1"/>
  <c r="H56" i="11"/>
  <c r="J56" i="11" s="1"/>
  <c r="H5" i="11"/>
  <c r="H6" i="7"/>
  <c r="J6" i="7" s="1"/>
  <c r="H7" i="7"/>
  <c r="J7" i="7" s="1"/>
  <c r="H8" i="7"/>
  <c r="J8" i="7" s="1"/>
  <c r="H9" i="7"/>
  <c r="J9" i="7" s="1"/>
  <c r="H10" i="7"/>
  <c r="J10" i="7" s="1"/>
  <c r="H11" i="7"/>
  <c r="J11" i="7" s="1"/>
  <c r="H12" i="7"/>
  <c r="J12" i="7" s="1"/>
  <c r="H13" i="7"/>
  <c r="J13" i="7" s="1"/>
  <c r="H14" i="7"/>
  <c r="J14" i="7" s="1"/>
  <c r="H15" i="7"/>
  <c r="J15" i="7" s="1"/>
  <c r="H16" i="7"/>
  <c r="J16" i="7" s="1"/>
  <c r="H17" i="7"/>
  <c r="J17" i="7" s="1"/>
  <c r="H18" i="7"/>
  <c r="J18" i="7" s="1"/>
  <c r="H19" i="7"/>
  <c r="J19" i="7" s="1"/>
  <c r="H20" i="7"/>
  <c r="J20" i="7" s="1"/>
  <c r="H21" i="7"/>
  <c r="J21" i="7" s="1"/>
  <c r="H22" i="7"/>
  <c r="J22" i="7" s="1"/>
  <c r="H23" i="7"/>
  <c r="J23" i="7" s="1"/>
  <c r="H24" i="7"/>
  <c r="J24" i="7" s="1"/>
  <c r="H25" i="7"/>
  <c r="J25" i="7" s="1"/>
  <c r="H26" i="7"/>
  <c r="J26" i="7" s="1"/>
  <c r="H27" i="7"/>
  <c r="J27" i="7" s="1"/>
  <c r="H28" i="7"/>
  <c r="J28" i="7" s="1"/>
  <c r="H29" i="7"/>
  <c r="J29" i="7" s="1"/>
  <c r="H30" i="7"/>
  <c r="J30" i="7" s="1"/>
  <c r="H31" i="7"/>
  <c r="J31" i="7" s="1"/>
  <c r="H32" i="7"/>
  <c r="J32" i="7" s="1"/>
  <c r="H33" i="7"/>
  <c r="J33" i="7" s="1"/>
  <c r="H34" i="7"/>
  <c r="J34" i="7" s="1"/>
  <c r="H35" i="7"/>
  <c r="J35" i="7" s="1"/>
  <c r="H36" i="7"/>
  <c r="J36" i="7" s="1"/>
  <c r="H37" i="7"/>
  <c r="J37" i="7" s="1"/>
  <c r="H38" i="7"/>
  <c r="J38" i="7" s="1"/>
  <c r="H39" i="7"/>
  <c r="J39" i="7" s="1"/>
  <c r="H40" i="7"/>
  <c r="J40" i="7" s="1"/>
  <c r="H41" i="7"/>
  <c r="J41" i="7" s="1"/>
  <c r="H42" i="7"/>
  <c r="J42" i="7" s="1"/>
  <c r="H43" i="7"/>
  <c r="J43" i="7" s="1"/>
  <c r="H44" i="7"/>
  <c r="J44" i="7" s="1"/>
  <c r="H45" i="7"/>
  <c r="J45" i="7" s="1"/>
  <c r="H46" i="7"/>
  <c r="J46" i="7" s="1"/>
  <c r="H47" i="7"/>
  <c r="J47" i="7" s="1"/>
  <c r="H48" i="7"/>
  <c r="J48" i="7" s="1"/>
  <c r="H49" i="7"/>
  <c r="J49" i="7" s="1"/>
  <c r="H50" i="7"/>
  <c r="J50" i="7" s="1"/>
  <c r="H51" i="7"/>
  <c r="J51" i="7" s="1"/>
  <c r="H52" i="7"/>
  <c r="J52" i="7" s="1"/>
  <c r="H53" i="7"/>
  <c r="J53" i="7" s="1"/>
  <c r="H54" i="7"/>
  <c r="J54" i="7" s="1"/>
  <c r="H55" i="7"/>
  <c r="J55" i="7" s="1"/>
  <c r="H56" i="7"/>
  <c r="J56" i="7" s="1"/>
  <c r="H5" i="7"/>
  <c r="H6" i="6"/>
  <c r="J6" i="6" s="1"/>
  <c r="H7" i="6"/>
  <c r="J7" i="6" s="1"/>
  <c r="H8" i="6"/>
  <c r="J8" i="6" s="1"/>
  <c r="H9" i="6"/>
  <c r="J9" i="6" s="1"/>
  <c r="H10" i="6"/>
  <c r="J10" i="6" s="1"/>
  <c r="H11" i="6"/>
  <c r="J11" i="6" s="1"/>
  <c r="H12" i="6"/>
  <c r="J12" i="6" s="1"/>
  <c r="H13" i="6"/>
  <c r="J13" i="6" s="1"/>
  <c r="H14" i="6"/>
  <c r="J14" i="6" s="1"/>
  <c r="H15" i="6"/>
  <c r="J15" i="6" s="1"/>
  <c r="H16" i="6"/>
  <c r="J16" i="6" s="1"/>
  <c r="H17" i="6"/>
  <c r="J17" i="6" s="1"/>
  <c r="H18" i="6"/>
  <c r="J18" i="6" s="1"/>
  <c r="H19" i="6"/>
  <c r="J19" i="6" s="1"/>
  <c r="H20" i="6"/>
  <c r="J20" i="6" s="1"/>
  <c r="H21" i="6"/>
  <c r="J21" i="6" s="1"/>
  <c r="H22" i="6"/>
  <c r="J22" i="6" s="1"/>
  <c r="H23" i="6"/>
  <c r="J23" i="6" s="1"/>
  <c r="H24" i="6"/>
  <c r="J24" i="6" s="1"/>
  <c r="H25" i="6"/>
  <c r="J25" i="6" s="1"/>
  <c r="H26" i="6"/>
  <c r="J26" i="6" s="1"/>
  <c r="H27" i="6"/>
  <c r="J27" i="6" s="1"/>
  <c r="H28" i="6"/>
  <c r="J28" i="6" s="1"/>
  <c r="H29" i="6"/>
  <c r="J29" i="6" s="1"/>
  <c r="H30" i="6"/>
  <c r="J30" i="6" s="1"/>
  <c r="H31" i="6"/>
  <c r="J31" i="6" s="1"/>
  <c r="H32" i="6"/>
  <c r="J32" i="6" s="1"/>
  <c r="H33" i="6"/>
  <c r="J33" i="6" s="1"/>
  <c r="H34" i="6"/>
  <c r="J34" i="6" s="1"/>
  <c r="H35" i="6"/>
  <c r="J35" i="6" s="1"/>
  <c r="H36" i="6"/>
  <c r="J36" i="6" s="1"/>
  <c r="H37" i="6"/>
  <c r="J37" i="6" s="1"/>
  <c r="H38" i="6"/>
  <c r="J38" i="6" s="1"/>
  <c r="H39" i="6"/>
  <c r="J39" i="6" s="1"/>
  <c r="H40" i="6"/>
  <c r="J40" i="6" s="1"/>
  <c r="H41" i="6"/>
  <c r="J41" i="6" s="1"/>
  <c r="H42" i="6"/>
  <c r="J42" i="6" s="1"/>
  <c r="H43" i="6"/>
  <c r="J43" i="6" s="1"/>
  <c r="H44" i="6"/>
  <c r="J44" i="6" s="1"/>
  <c r="H45" i="6"/>
  <c r="J45" i="6" s="1"/>
  <c r="H46" i="6"/>
  <c r="J46" i="6" s="1"/>
  <c r="H47" i="6"/>
  <c r="J47" i="6" s="1"/>
  <c r="H48" i="6"/>
  <c r="J48" i="6" s="1"/>
  <c r="H49" i="6"/>
  <c r="J49" i="6" s="1"/>
  <c r="H50" i="6"/>
  <c r="J50" i="6" s="1"/>
  <c r="H51" i="6"/>
  <c r="J51" i="6" s="1"/>
  <c r="H52" i="6"/>
  <c r="J52" i="6" s="1"/>
  <c r="H53" i="6"/>
  <c r="J53" i="6" s="1"/>
  <c r="H54" i="6"/>
  <c r="J54" i="6" s="1"/>
  <c r="H55" i="6"/>
  <c r="J55" i="6" s="1"/>
  <c r="H56" i="6"/>
  <c r="J56" i="6" s="1"/>
  <c r="H5" i="6"/>
  <c r="H6" i="5"/>
  <c r="J6" i="5" s="1"/>
  <c r="H7" i="5"/>
  <c r="J7" i="5" s="1"/>
  <c r="H8" i="5"/>
  <c r="J8" i="5" s="1"/>
  <c r="H9" i="5"/>
  <c r="J9" i="5" s="1"/>
  <c r="H10" i="5"/>
  <c r="J10" i="5" s="1"/>
  <c r="H11" i="5"/>
  <c r="J11" i="5" s="1"/>
  <c r="H12" i="5"/>
  <c r="J12" i="5" s="1"/>
  <c r="H13" i="5"/>
  <c r="J13" i="5" s="1"/>
  <c r="H14" i="5"/>
  <c r="J14" i="5" s="1"/>
  <c r="H15" i="5"/>
  <c r="J15" i="5" s="1"/>
  <c r="H16" i="5"/>
  <c r="J16" i="5" s="1"/>
  <c r="H17" i="5"/>
  <c r="J17" i="5" s="1"/>
  <c r="H18" i="5"/>
  <c r="J18" i="5" s="1"/>
  <c r="H19" i="5"/>
  <c r="J19" i="5" s="1"/>
  <c r="H20" i="5"/>
  <c r="J20" i="5" s="1"/>
  <c r="H21" i="5"/>
  <c r="J21" i="5" s="1"/>
  <c r="H22" i="5"/>
  <c r="J22" i="5" s="1"/>
  <c r="H23" i="5"/>
  <c r="J23" i="5" s="1"/>
  <c r="H24" i="5"/>
  <c r="J24" i="5" s="1"/>
  <c r="H25" i="5"/>
  <c r="J25" i="5" s="1"/>
  <c r="H26" i="5"/>
  <c r="J26" i="5" s="1"/>
  <c r="H27" i="5"/>
  <c r="J27" i="5" s="1"/>
  <c r="H28" i="5"/>
  <c r="J28" i="5" s="1"/>
  <c r="H29" i="5"/>
  <c r="J29" i="5" s="1"/>
  <c r="H30" i="5"/>
  <c r="J30" i="5" s="1"/>
  <c r="H31" i="5"/>
  <c r="J31" i="5" s="1"/>
  <c r="H32" i="5"/>
  <c r="J32" i="5" s="1"/>
  <c r="H33" i="5"/>
  <c r="J33" i="5" s="1"/>
  <c r="H34" i="5"/>
  <c r="J34" i="5" s="1"/>
  <c r="H35" i="5"/>
  <c r="J35" i="5" s="1"/>
  <c r="H36" i="5"/>
  <c r="J36" i="5" s="1"/>
  <c r="H37" i="5"/>
  <c r="J37" i="5" s="1"/>
  <c r="H38" i="5"/>
  <c r="J38" i="5" s="1"/>
  <c r="H39" i="5"/>
  <c r="J39" i="5" s="1"/>
  <c r="H40" i="5"/>
  <c r="J40" i="5" s="1"/>
  <c r="H41" i="5"/>
  <c r="J41" i="5" s="1"/>
  <c r="H42" i="5"/>
  <c r="J42" i="5" s="1"/>
  <c r="H43" i="5"/>
  <c r="J43" i="5" s="1"/>
  <c r="H44" i="5"/>
  <c r="J44" i="5" s="1"/>
  <c r="H45" i="5"/>
  <c r="J45" i="5" s="1"/>
  <c r="H46" i="5"/>
  <c r="J46" i="5" s="1"/>
  <c r="H47" i="5"/>
  <c r="J47" i="5" s="1"/>
  <c r="H48" i="5"/>
  <c r="J48" i="5" s="1"/>
  <c r="H49" i="5"/>
  <c r="J49" i="5" s="1"/>
  <c r="H50" i="5"/>
  <c r="J50" i="5" s="1"/>
  <c r="H51" i="5"/>
  <c r="J51" i="5" s="1"/>
  <c r="H52" i="5"/>
  <c r="J52" i="5" s="1"/>
  <c r="H53" i="5"/>
  <c r="J53" i="5" s="1"/>
  <c r="H54" i="5"/>
  <c r="J54" i="5" s="1"/>
  <c r="H55" i="5"/>
  <c r="J55" i="5" s="1"/>
  <c r="H56" i="5"/>
  <c r="J56" i="5" s="1"/>
  <c r="H5" i="5"/>
  <c r="H26" i="9"/>
  <c r="J26" i="9" s="1"/>
  <c r="H27" i="9"/>
  <c r="J27" i="9" s="1"/>
  <c r="H28" i="9"/>
  <c r="J28" i="9" s="1"/>
  <c r="H29" i="9"/>
  <c r="J29" i="9" s="1"/>
  <c r="H30" i="9"/>
  <c r="J30" i="9" s="1"/>
  <c r="H31" i="9"/>
  <c r="J31" i="9" s="1"/>
  <c r="H32" i="9"/>
  <c r="J32" i="9" s="1"/>
  <c r="H33" i="9"/>
  <c r="J33" i="9" s="1"/>
  <c r="H34" i="9"/>
  <c r="J34" i="9" s="1"/>
  <c r="H35" i="9"/>
  <c r="J35" i="9" s="1"/>
  <c r="H36" i="9"/>
  <c r="J36" i="9" s="1"/>
  <c r="H37" i="9"/>
  <c r="J37" i="9" s="1"/>
  <c r="H38" i="9"/>
  <c r="J38" i="9" s="1"/>
  <c r="H39" i="9"/>
  <c r="J39" i="9" s="1"/>
  <c r="H40" i="9"/>
  <c r="J40" i="9" s="1"/>
  <c r="H41" i="9"/>
  <c r="J41" i="9" s="1"/>
  <c r="H42" i="9"/>
  <c r="J42" i="9" s="1"/>
  <c r="H43" i="9"/>
  <c r="J43" i="9" s="1"/>
  <c r="H44" i="9"/>
  <c r="J44" i="9" s="1"/>
  <c r="H45" i="9"/>
  <c r="J45" i="9" s="1"/>
  <c r="H46" i="9"/>
  <c r="J46" i="9" s="1"/>
  <c r="H47" i="9"/>
  <c r="J47" i="9" s="1"/>
  <c r="H48" i="9"/>
  <c r="J48" i="9" s="1"/>
  <c r="H49" i="9"/>
  <c r="J49" i="9" s="1"/>
  <c r="H50" i="9"/>
  <c r="J50" i="9" s="1"/>
  <c r="H51" i="9"/>
  <c r="J51" i="9" s="1"/>
  <c r="H52" i="9"/>
  <c r="J52" i="9" s="1"/>
  <c r="H53" i="9"/>
  <c r="J53" i="9" s="1"/>
  <c r="H54" i="9"/>
  <c r="J54" i="9" s="1"/>
  <c r="H55" i="9"/>
  <c r="J55" i="9" s="1"/>
  <c r="H56" i="9"/>
  <c r="J56" i="9" s="1"/>
  <c r="H6" i="9"/>
  <c r="J6" i="9" s="1"/>
  <c r="H7" i="9"/>
  <c r="J7" i="9" s="1"/>
  <c r="H8" i="9"/>
  <c r="J8" i="9" s="1"/>
  <c r="H9" i="9"/>
  <c r="J9" i="9" s="1"/>
  <c r="H10" i="9"/>
  <c r="J10" i="9" s="1"/>
  <c r="H11" i="9"/>
  <c r="J11" i="9" s="1"/>
  <c r="H12" i="9"/>
  <c r="J12" i="9" s="1"/>
  <c r="H13" i="9"/>
  <c r="J13" i="9" s="1"/>
  <c r="H14" i="9"/>
  <c r="J14" i="9" s="1"/>
  <c r="H15" i="9"/>
  <c r="J15" i="9" s="1"/>
  <c r="H16" i="9"/>
  <c r="J16" i="9" s="1"/>
  <c r="H17" i="9"/>
  <c r="J17" i="9" s="1"/>
  <c r="H18" i="9"/>
  <c r="J18" i="9" s="1"/>
  <c r="H19" i="9"/>
  <c r="J19" i="9" s="1"/>
  <c r="H20" i="9"/>
  <c r="J20" i="9" s="1"/>
  <c r="H21" i="9"/>
  <c r="J21" i="9" s="1"/>
  <c r="H22" i="9"/>
  <c r="J22" i="9" s="1"/>
  <c r="H23" i="9"/>
  <c r="J23" i="9" s="1"/>
  <c r="H24" i="9"/>
  <c r="J24" i="9" s="1"/>
  <c r="H25" i="9"/>
  <c r="J25" i="9" s="1"/>
  <c r="H5" i="9"/>
  <c r="H50" i="4"/>
  <c r="J50" i="4" s="1"/>
  <c r="H51" i="4"/>
  <c r="J51" i="4" s="1"/>
  <c r="H52" i="4"/>
  <c r="J52" i="4" s="1"/>
  <c r="H53" i="4"/>
  <c r="J53" i="4" s="1"/>
  <c r="H54" i="4"/>
  <c r="J54" i="4" s="1"/>
  <c r="H55" i="4"/>
  <c r="J55" i="4" s="1"/>
  <c r="H56" i="4"/>
  <c r="J56" i="4" s="1"/>
  <c r="H28" i="4"/>
  <c r="J28" i="4" s="1"/>
  <c r="H29" i="4"/>
  <c r="J29" i="4" s="1"/>
  <c r="H30" i="4"/>
  <c r="J30" i="4" s="1"/>
  <c r="H31" i="4"/>
  <c r="J31" i="4" s="1"/>
  <c r="H32" i="4"/>
  <c r="J32" i="4" s="1"/>
  <c r="H33" i="4"/>
  <c r="J33" i="4" s="1"/>
  <c r="H34" i="4"/>
  <c r="J34" i="4" s="1"/>
  <c r="H35" i="4"/>
  <c r="J35" i="4" s="1"/>
  <c r="H36" i="4"/>
  <c r="J36" i="4" s="1"/>
  <c r="H37" i="4"/>
  <c r="J37" i="4" s="1"/>
  <c r="H38" i="4"/>
  <c r="J38" i="4" s="1"/>
  <c r="H39" i="4"/>
  <c r="J39" i="4" s="1"/>
  <c r="H40" i="4"/>
  <c r="J40" i="4" s="1"/>
  <c r="H41" i="4"/>
  <c r="J41" i="4" s="1"/>
  <c r="H42" i="4"/>
  <c r="J42" i="4" s="1"/>
  <c r="H43" i="4"/>
  <c r="J43" i="4" s="1"/>
  <c r="H44" i="4"/>
  <c r="J44" i="4" s="1"/>
  <c r="H45" i="4"/>
  <c r="J45" i="4" s="1"/>
  <c r="H46" i="4"/>
  <c r="J46" i="4" s="1"/>
  <c r="H47" i="4"/>
  <c r="J47" i="4" s="1"/>
  <c r="H48" i="4"/>
  <c r="J48" i="4" s="1"/>
  <c r="H49" i="4"/>
  <c r="J49" i="4" s="1"/>
  <c r="H6" i="4"/>
  <c r="J6" i="4" s="1"/>
  <c r="H7" i="4"/>
  <c r="J7" i="4" s="1"/>
  <c r="H8" i="4"/>
  <c r="J8" i="4" s="1"/>
  <c r="H9" i="4"/>
  <c r="J9" i="4" s="1"/>
  <c r="H10" i="4"/>
  <c r="J10" i="4" s="1"/>
  <c r="H11" i="4"/>
  <c r="J11" i="4" s="1"/>
  <c r="H12" i="4"/>
  <c r="J12" i="4" s="1"/>
  <c r="H13" i="4"/>
  <c r="J13" i="4" s="1"/>
  <c r="H14" i="4"/>
  <c r="J14" i="4" s="1"/>
  <c r="H15" i="4"/>
  <c r="J15" i="4" s="1"/>
  <c r="H16" i="4"/>
  <c r="J16" i="4" s="1"/>
  <c r="H17" i="4"/>
  <c r="J17" i="4" s="1"/>
  <c r="H18" i="4"/>
  <c r="J18" i="4" s="1"/>
  <c r="H19" i="4"/>
  <c r="J19" i="4" s="1"/>
  <c r="H20" i="4"/>
  <c r="J20" i="4" s="1"/>
  <c r="H21" i="4"/>
  <c r="J21" i="4" s="1"/>
  <c r="H22" i="4"/>
  <c r="J22" i="4" s="1"/>
  <c r="H23" i="4"/>
  <c r="J23" i="4" s="1"/>
  <c r="H24" i="4"/>
  <c r="J24" i="4" s="1"/>
  <c r="H25" i="4"/>
  <c r="J25" i="4" s="1"/>
  <c r="H26" i="4"/>
  <c r="J26" i="4" s="1"/>
  <c r="H27" i="4"/>
  <c r="J27" i="4" s="1"/>
  <c r="H5" i="4"/>
  <c r="E69" i="13" l="1"/>
  <c r="E68" i="13"/>
  <c r="E67" i="13"/>
  <c r="E66" i="13"/>
  <c r="K59" i="9"/>
  <c r="K59" i="13"/>
  <c r="K55" i="13"/>
  <c r="K51" i="13"/>
  <c r="K47" i="13"/>
  <c r="K43" i="13"/>
  <c r="K39" i="13"/>
  <c r="K35" i="13"/>
  <c r="K31" i="13"/>
  <c r="K27" i="13"/>
  <c r="K23" i="13"/>
  <c r="K19" i="13"/>
  <c r="K15" i="13"/>
  <c r="H62" i="4"/>
  <c r="H60" i="4"/>
  <c r="H61" i="4"/>
  <c r="H59" i="4"/>
  <c r="J5" i="4"/>
  <c r="J59" i="4" s="1"/>
  <c r="H62" i="9"/>
  <c r="H61" i="9"/>
  <c r="H59" i="9"/>
  <c r="H60" i="9"/>
  <c r="J5" i="9"/>
  <c r="J59" i="9" s="1"/>
  <c r="K60" i="9" s="1"/>
  <c r="H61" i="5"/>
  <c r="H59" i="5"/>
  <c r="H62" i="5"/>
  <c r="H60" i="5"/>
  <c r="J5" i="5"/>
  <c r="J59" i="5" s="1"/>
  <c r="H62" i="6"/>
  <c r="H60" i="6"/>
  <c r="H59" i="6"/>
  <c r="H61" i="6"/>
  <c r="J5" i="6"/>
  <c r="J59" i="6" s="1"/>
  <c r="H62" i="7"/>
  <c r="H60" i="7"/>
  <c r="H59" i="7"/>
  <c r="H61" i="7"/>
  <c r="J5" i="7"/>
  <c r="J59" i="7" s="1"/>
  <c r="K60" i="7" s="1"/>
  <c r="H62" i="11"/>
  <c r="H60" i="11"/>
  <c r="H59" i="11"/>
  <c r="H61" i="11"/>
  <c r="J5" i="11"/>
  <c r="J59" i="11" s="1"/>
  <c r="H10" i="13"/>
  <c r="H61" i="8"/>
  <c r="H62" i="8"/>
  <c r="H60" i="8"/>
  <c r="H59" i="8"/>
  <c r="J5" i="8"/>
  <c r="H58" i="13"/>
  <c r="J53" i="8"/>
  <c r="J58" i="13" s="1"/>
  <c r="H54" i="13"/>
  <c r="J49" i="8"/>
  <c r="J54" i="13" s="1"/>
  <c r="H61" i="13"/>
  <c r="J56" i="8"/>
  <c r="J61" i="13" s="1"/>
  <c r="H57" i="13"/>
  <c r="J52" i="8"/>
  <c r="J57" i="13" s="1"/>
  <c r="H53" i="13"/>
  <c r="J48" i="8"/>
  <c r="J53" i="13" s="1"/>
  <c r="H60" i="13"/>
  <c r="J55" i="8"/>
  <c r="J60" i="13" s="1"/>
  <c r="H56" i="13"/>
  <c r="J51" i="8"/>
  <c r="J56" i="13" s="1"/>
  <c r="H52" i="13"/>
  <c r="J47" i="8"/>
  <c r="J52" i="13" s="1"/>
  <c r="H48" i="13"/>
  <c r="J43" i="8"/>
  <c r="J48" i="13" s="1"/>
  <c r="H44" i="13"/>
  <c r="J39" i="8"/>
  <c r="J44" i="13" s="1"/>
  <c r="H40" i="13"/>
  <c r="J35" i="8"/>
  <c r="J40" i="13" s="1"/>
  <c r="L40" i="13" s="1"/>
  <c r="H59" i="13"/>
  <c r="J54" i="8"/>
  <c r="J59" i="13" s="1"/>
  <c r="L59" i="13" s="1"/>
  <c r="J50" i="8"/>
  <c r="J55" i="13" s="1"/>
  <c r="H55" i="13"/>
  <c r="J46" i="8"/>
  <c r="J51" i="13" s="1"/>
  <c r="L51" i="13" s="1"/>
  <c r="H51" i="13"/>
  <c r="J42" i="8"/>
  <c r="J47" i="13" s="1"/>
  <c r="H47" i="13"/>
  <c r="H50" i="13"/>
  <c r="J45" i="8"/>
  <c r="J50" i="13" s="1"/>
  <c r="H46" i="13"/>
  <c r="J41" i="8"/>
  <c r="J46" i="13" s="1"/>
  <c r="L46" i="13" s="1"/>
  <c r="H42" i="13"/>
  <c r="J37" i="8"/>
  <c r="J42" i="13" s="1"/>
  <c r="H38" i="13"/>
  <c r="J33" i="8"/>
  <c r="J38" i="13" s="1"/>
  <c r="H34" i="13"/>
  <c r="J29" i="8"/>
  <c r="J34" i="13" s="1"/>
  <c r="H30" i="13"/>
  <c r="J25" i="8"/>
  <c r="J30" i="13" s="1"/>
  <c r="L30" i="13" s="1"/>
  <c r="H26" i="13"/>
  <c r="J21" i="8"/>
  <c r="J26" i="13" s="1"/>
  <c r="H22" i="13"/>
  <c r="J17" i="8"/>
  <c r="J22" i="13" s="1"/>
  <c r="H18" i="13"/>
  <c r="J13" i="8"/>
  <c r="J18" i="13" s="1"/>
  <c r="H14" i="13"/>
  <c r="J9" i="8"/>
  <c r="J14" i="13" s="1"/>
  <c r="H49" i="13"/>
  <c r="J44" i="8"/>
  <c r="J49" i="13" s="1"/>
  <c r="H45" i="13"/>
  <c r="J40" i="8"/>
  <c r="J45" i="13" s="1"/>
  <c r="L45" i="13" s="1"/>
  <c r="H41" i="13"/>
  <c r="J36" i="8"/>
  <c r="J41" i="13" s="1"/>
  <c r="H37" i="13"/>
  <c r="J32" i="8"/>
  <c r="J37" i="13" s="1"/>
  <c r="H33" i="13"/>
  <c r="J28" i="8"/>
  <c r="J33" i="13" s="1"/>
  <c r="H29" i="13"/>
  <c r="J24" i="8"/>
  <c r="J29" i="13" s="1"/>
  <c r="L29" i="13" s="1"/>
  <c r="H25" i="13"/>
  <c r="J20" i="8"/>
  <c r="J25" i="13" s="1"/>
  <c r="H21" i="13"/>
  <c r="J16" i="8"/>
  <c r="J21" i="13" s="1"/>
  <c r="H17" i="13"/>
  <c r="J12" i="8"/>
  <c r="J17" i="13" s="1"/>
  <c r="H13" i="13"/>
  <c r="J8" i="8"/>
  <c r="J13" i="13" s="1"/>
  <c r="L13" i="13" s="1"/>
  <c r="H36" i="13"/>
  <c r="J31" i="8"/>
  <c r="J36" i="13" s="1"/>
  <c r="H32" i="13"/>
  <c r="H28" i="13"/>
  <c r="J23" i="8"/>
  <c r="J28" i="13" s="1"/>
  <c r="H24" i="13"/>
  <c r="J19" i="8"/>
  <c r="J24" i="13" s="1"/>
  <c r="H20" i="13"/>
  <c r="J15" i="8"/>
  <c r="J20" i="13" s="1"/>
  <c r="H16" i="13"/>
  <c r="H12" i="13"/>
  <c r="J7" i="8"/>
  <c r="J12" i="13" s="1"/>
  <c r="L12" i="13" s="1"/>
  <c r="J27" i="8"/>
  <c r="J32" i="13" s="1"/>
  <c r="H43" i="13"/>
  <c r="J38" i="8"/>
  <c r="J43" i="13" s="1"/>
  <c r="J34" i="8"/>
  <c r="J39" i="13" s="1"/>
  <c r="L39" i="13" s="1"/>
  <c r="H39" i="13"/>
  <c r="J30" i="8"/>
  <c r="J35" i="13" s="1"/>
  <c r="L35" i="13" s="1"/>
  <c r="H35" i="13"/>
  <c r="J26" i="8"/>
  <c r="J31" i="13" s="1"/>
  <c r="L31" i="13" s="1"/>
  <c r="H31" i="13"/>
  <c r="H27" i="13"/>
  <c r="J22" i="8"/>
  <c r="J27" i="13" s="1"/>
  <c r="J18" i="8"/>
  <c r="J23" i="13" s="1"/>
  <c r="H23" i="13"/>
  <c r="J14" i="8"/>
  <c r="J19" i="13" s="1"/>
  <c r="L19" i="13" s="1"/>
  <c r="H19" i="13"/>
  <c r="J10" i="8"/>
  <c r="J15" i="13" s="1"/>
  <c r="L15" i="13" s="1"/>
  <c r="H15" i="13"/>
  <c r="H11" i="13"/>
  <c r="J6" i="8"/>
  <c r="J11" i="13" s="1"/>
  <c r="J11" i="8"/>
  <c r="J16" i="13" s="1"/>
  <c r="K10" i="13"/>
  <c r="K59" i="6"/>
  <c r="K59" i="11"/>
  <c r="K61" i="13"/>
  <c r="K57" i="13"/>
  <c r="K53" i="13"/>
  <c r="K49" i="13"/>
  <c r="K45" i="13"/>
  <c r="K41" i="13"/>
  <c r="K37" i="13"/>
  <c r="K33" i="13"/>
  <c r="K29" i="13"/>
  <c r="K25" i="13"/>
  <c r="K21" i="13"/>
  <c r="K17" i="13"/>
  <c r="K13" i="13"/>
  <c r="K59" i="8"/>
  <c r="K59" i="5"/>
  <c r="K60" i="13"/>
  <c r="K56" i="13"/>
  <c r="K52" i="13"/>
  <c r="K48" i="13"/>
  <c r="K44" i="13"/>
  <c r="K40" i="13"/>
  <c r="K36" i="13"/>
  <c r="K32" i="13"/>
  <c r="L32" i="13" s="1"/>
  <c r="K28" i="13"/>
  <c r="K24" i="13"/>
  <c r="L24" i="13" s="1"/>
  <c r="K20" i="13"/>
  <c r="L20" i="13" s="1"/>
  <c r="K16" i="13"/>
  <c r="K12" i="13"/>
  <c r="K59" i="4"/>
  <c r="K58" i="13"/>
  <c r="K54" i="13"/>
  <c r="K50" i="13"/>
  <c r="K46" i="13"/>
  <c r="K42" i="13"/>
  <c r="K38" i="13"/>
  <c r="K34" i="13"/>
  <c r="K30" i="13"/>
  <c r="K26" i="13"/>
  <c r="K22" i="13"/>
  <c r="K18" i="13"/>
  <c r="K14" i="13"/>
  <c r="L43" i="13"/>
  <c r="L27" i="13"/>
  <c r="L11" i="13"/>
  <c r="L61" i="13"/>
  <c r="L56" i="13"/>
  <c r="L55" i="13"/>
  <c r="L47" i="13"/>
  <c r="L23" i="13"/>
  <c r="L14" i="13"/>
  <c r="G6" i="4"/>
  <c r="I6" i="4" s="1"/>
  <c r="G7" i="4"/>
  <c r="I7" i="4" s="1"/>
  <c r="G8" i="4"/>
  <c r="I8" i="4" s="1"/>
  <c r="G9" i="4"/>
  <c r="I9" i="4" s="1"/>
  <c r="G10" i="4"/>
  <c r="I10" i="4" s="1"/>
  <c r="G11" i="4"/>
  <c r="I11" i="4" s="1"/>
  <c r="G12" i="4"/>
  <c r="I12" i="4" s="1"/>
  <c r="G13" i="4"/>
  <c r="I13" i="4" s="1"/>
  <c r="G14" i="4"/>
  <c r="I14" i="4" s="1"/>
  <c r="G15" i="4"/>
  <c r="I15" i="4" s="1"/>
  <c r="G16" i="4"/>
  <c r="I16" i="4" s="1"/>
  <c r="G17" i="4"/>
  <c r="I17" i="4" s="1"/>
  <c r="G18" i="4"/>
  <c r="I18" i="4" s="1"/>
  <c r="G19" i="4"/>
  <c r="I19" i="4" s="1"/>
  <c r="G20" i="4"/>
  <c r="I20" i="4" s="1"/>
  <c r="G21" i="4"/>
  <c r="I21" i="4" s="1"/>
  <c r="G22" i="4"/>
  <c r="I22" i="4" s="1"/>
  <c r="G23" i="4"/>
  <c r="I23" i="4" s="1"/>
  <c r="G24" i="4"/>
  <c r="I24" i="4" s="1"/>
  <c r="G25" i="4"/>
  <c r="I25" i="4" s="1"/>
  <c r="G26" i="4"/>
  <c r="I26" i="4" s="1"/>
  <c r="G27" i="4"/>
  <c r="I27" i="4" s="1"/>
  <c r="G28" i="4"/>
  <c r="I28" i="4" s="1"/>
  <c r="G29" i="4"/>
  <c r="I29" i="4" s="1"/>
  <c r="G30" i="4"/>
  <c r="I30" i="4" s="1"/>
  <c r="G31" i="4"/>
  <c r="I31" i="4" s="1"/>
  <c r="G32" i="4"/>
  <c r="I32" i="4" s="1"/>
  <c r="G33" i="4"/>
  <c r="I33" i="4" s="1"/>
  <c r="G34" i="4"/>
  <c r="I34" i="4" s="1"/>
  <c r="G35" i="4"/>
  <c r="I35" i="4" s="1"/>
  <c r="G36" i="4"/>
  <c r="I36" i="4" s="1"/>
  <c r="G37" i="4"/>
  <c r="I37" i="4" s="1"/>
  <c r="G38" i="4"/>
  <c r="I38" i="4" s="1"/>
  <c r="G39" i="4"/>
  <c r="I39" i="4" s="1"/>
  <c r="G40" i="4"/>
  <c r="I40" i="4" s="1"/>
  <c r="G41" i="4"/>
  <c r="I41" i="4" s="1"/>
  <c r="G42" i="4"/>
  <c r="I42" i="4" s="1"/>
  <c r="G43" i="4"/>
  <c r="I43" i="4" s="1"/>
  <c r="G44" i="4"/>
  <c r="I44" i="4" s="1"/>
  <c r="G45" i="4"/>
  <c r="I45" i="4" s="1"/>
  <c r="G46" i="4"/>
  <c r="I46" i="4" s="1"/>
  <c r="G47" i="4"/>
  <c r="I47" i="4" s="1"/>
  <c r="G48" i="4"/>
  <c r="I48" i="4" s="1"/>
  <c r="G49" i="4"/>
  <c r="I49" i="4" s="1"/>
  <c r="G50" i="4"/>
  <c r="I50" i="4" s="1"/>
  <c r="G51" i="4"/>
  <c r="I51" i="4" s="1"/>
  <c r="G52" i="4"/>
  <c r="I52" i="4" s="1"/>
  <c r="G53" i="4"/>
  <c r="I53" i="4" s="1"/>
  <c r="G54" i="4"/>
  <c r="I54" i="4" s="1"/>
  <c r="G55" i="4"/>
  <c r="I55" i="4" s="1"/>
  <c r="G56" i="4"/>
  <c r="I56" i="4" s="1"/>
  <c r="G6" i="9"/>
  <c r="I6" i="9" s="1"/>
  <c r="G7" i="9"/>
  <c r="I7" i="9" s="1"/>
  <c r="G8" i="9"/>
  <c r="I8" i="9" s="1"/>
  <c r="G9" i="9"/>
  <c r="I9" i="9" s="1"/>
  <c r="G10" i="9"/>
  <c r="I10" i="9" s="1"/>
  <c r="G11" i="9"/>
  <c r="I11" i="9" s="1"/>
  <c r="G12" i="9"/>
  <c r="I12" i="9" s="1"/>
  <c r="G13" i="9"/>
  <c r="I13" i="9" s="1"/>
  <c r="G14" i="9"/>
  <c r="I14" i="9" s="1"/>
  <c r="G15" i="9"/>
  <c r="I15" i="9" s="1"/>
  <c r="G16" i="9"/>
  <c r="I16" i="9" s="1"/>
  <c r="G17" i="9"/>
  <c r="I17" i="9" s="1"/>
  <c r="G18" i="9"/>
  <c r="I18" i="9" s="1"/>
  <c r="G19" i="9"/>
  <c r="I19" i="9" s="1"/>
  <c r="G20" i="9"/>
  <c r="I20" i="9" s="1"/>
  <c r="G21" i="9"/>
  <c r="I21" i="9" s="1"/>
  <c r="G22" i="9"/>
  <c r="I22" i="9" s="1"/>
  <c r="G23" i="9"/>
  <c r="I23" i="9" s="1"/>
  <c r="G24" i="9"/>
  <c r="I24" i="9" s="1"/>
  <c r="G25" i="9"/>
  <c r="I25" i="9" s="1"/>
  <c r="G26" i="9"/>
  <c r="I26" i="9" s="1"/>
  <c r="G27" i="9"/>
  <c r="I27" i="9" s="1"/>
  <c r="G28" i="9"/>
  <c r="I28" i="9" s="1"/>
  <c r="G29" i="9"/>
  <c r="I29" i="9" s="1"/>
  <c r="G30" i="9"/>
  <c r="I30" i="9" s="1"/>
  <c r="G31" i="9"/>
  <c r="I31" i="9" s="1"/>
  <c r="G32" i="9"/>
  <c r="I32" i="9" s="1"/>
  <c r="G33" i="9"/>
  <c r="I33" i="9" s="1"/>
  <c r="G34" i="9"/>
  <c r="I34" i="9" s="1"/>
  <c r="G35" i="9"/>
  <c r="I35" i="9" s="1"/>
  <c r="G36" i="9"/>
  <c r="I36" i="9" s="1"/>
  <c r="G37" i="9"/>
  <c r="I37" i="9" s="1"/>
  <c r="G38" i="9"/>
  <c r="I38" i="9" s="1"/>
  <c r="G39" i="9"/>
  <c r="I39" i="9" s="1"/>
  <c r="G40" i="9"/>
  <c r="I40" i="9" s="1"/>
  <c r="G41" i="9"/>
  <c r="I41" i="9" s="1"/>
  <c r="G42" i="9"/>
  <c r="I42" i="9" s="1"/>
  <c r="G43" i="9"/>
  <c r="I43" i="9" s="1"/>
  <c r="G44" i="9"/>
  <c r="I44" i="9" s="1"/>
  <c r="G45" i="9"/>
  <c r="I45" i="9" s="1"/>
  <c r="G46" i="9"/>
  <c r="I46" i="9" s="1"/>
  <c r="G47" i="9"/>
  <c r="I47" i="9" s="1"/>
  <c r="G48" i="9"/>
  <c r="I48" i="9" s="1"/>
  <c r="G49" i="9"/>
  <c r="I49" i="9" s="1"/>
  <c r="G50" i="9"/>
  <c r="I50" i="9" s="1"/>
  <c r="G51" i="9"/>
  <c r="I51" i="9" s="1"/>
  <c r="G52" i="9"/>
  <c r="I52" i="9" s="1"/>
  <c r="G53" i="9"/>
  <c r="I53" i="9" s="1"/>
  <c r="G54" i="9"/>
  <c r="I54" i="9" s="1"/>
  <c r="G55" i="9"/>
  <c r="I55" i="9" s="1"/>
  <c r="G56" i="9"/>
  <c r="I56" i="9" s="1"/>
  <c r="G6" i="5"/>
  <c r="I6" i="5" s="1"/>
  <c r="G7" i="5"/>
  <c r="I7" i="5" s="1"/>
  <c r="G8" i="5"/>
  <c r="I8" i="5" s="1"/>
  <c r="G9" i="5"/>
  <c r="I9" i="5" s="1"/>
  <c r="G10" i="5"/>
  <c r="I10" i="5" s="1"/>
  <c r="G11" i="5"/>
  <c r="I11" i="5" s="1"/>
  <c r="G12" i="5"/>
  <c r="I12" i="5" s="1"/>
  <c r="G13" i="5"/>
  <c r="I13" i="5" s="1"/>
  <c r="G14" i="5"/>
  <c r="I14" i="5" s="1"/>
  <c r="G15" i="5"/>
  <c r="I15" i="5" s="1"/>
  <c r="G16" i="5"/>
  <c r="I16" i="5" s="1"/>
  <c r="G17" i="5"/>
  <c r="I17" i="5" s="1"/>
  <c r="G18" i="5"/>
  <c r="I18" i="5" s="1"/>
  <c r="G19" i="5"/>
  <c r="I19" i="5" s="1"/>
  <c r="G20" i="5"/>
  <c r="I20" i="5" s="1"/>
  <c r="G21" i="5"/>
  <c r="I21" i="5" s="1"/>
  <c r="G22" i="5"/>
  <c r="I22" i="5" s="1"/>
  <c r="G23" i="5"/>
  <c r="I23" i="5" s="1"/>
  <c r="G24" i="5"/>
  <c r="I24" i="5" s="1"/>
  <c r="G25" i="5"/>
  <c r="I25" i="5" s="1"/>
  <c r="G26" i="5"/>
  <c r="I26" i="5" s="1"/>
  <c r="G27" i="5"/>
  <c r="I27" i="5" s="1"/>
  <c r="G28" i="5"/>
  <c r="I28" i="5" s="1"/>
  <c r="G29" i="5"/>
  <c r="I29" i="5" s="1"/>
  <c r="G30" i="5"/>
  <c r="I30" i="5" s="1"/>
  <c r="G31" i="5"/>
  <c r="I31" i="5" s="1"/>
  <c r="G32" i="5"/>
  <c r="I32" i="5" s="1"/>
  <c r="G33" i="5"/>
  <c r="I33" i="5" s="1"/>
  <c r="G34" i="5"/>
  <c r="I34" i="5" s="1"/>
  <c r="G35" i="5"/>
  <c r="I35" i="5" s="1"/>
  <c r="G36" i="5"/>
  <c r="I36" i="5" s="1"/>
  <c r="G37" i="5"/>
  <c r="I37" i="5" s="1"/>
  <c r="G38" i="5"/>
  <c r="I38" i="5" s="1"/>
  <c r="G39" i="5"/>
  <c r="I39" i="5" s="1"/>
  <c r="G40" i="5"/>
  <c r="I40" i="5" s="1"/>
  <c r="G41" i="5"/>
  <c r="I41" i="5" s="1"/>
  <c r="G42" i="5"/>
  <c r="I42" i="5" s="1"/>
  <c r="G43" i="5"/>
  <c r="I43" i="5" s="1"/>
  <c r="G44" i="5"/>
  <c r="I44" i="5" s="1"/>
  <c r="G45" i="5"/>
  <c r="I45" i="5" s="1"/>
  <c r="G46" i="5"/>
  <c r="I46" i="5" s="1"/>
  <c r="G47" i="5"/>
  <c r="I47" i="5" s="1"/>
  <c r="G48" i="5"/>
  <c r="I48" i="5" s="1"/>
  <c r="G49" i="5"/>
  <c r="I49" i="5" s="1"/>
  <c r="G50" i="5"/>
  <c r="I50" i="5" s="1"/>
  <c r="G51" i="5"/>
  <c r="I51" i="5" s="1"/>
  <c r="G52" i="5"/>
  <c r="I52" i="5" s="1"/>
  <c r="G53" i="5"/>
  <c r="I53" i="5" s="1"/>
  <c r="G54" i="5"/>
  <c r="I54" i="5" s="1"/>
  <c r="G55" i="5"/>
  <c r="I55" i="5" s="1"/>
  <c r="G56" i="5"/>
  <c r="I56" i="5" s="1"/>
  <c r="G6" i="6"/>
  <c r="I6" i="6" s="1"/>
  <c r="G7" i="6"/>
  <c r="I7" i="6" s="1"/>
  <c r="G8" i="6"/>
  <c r="I8" i="6" s="1"/>
  <c r="G9" i="6"/>
  <c r="I9" i="6" s="1"/>
  <c r="G10" i="6"/>
  <c r="I10" i="6" s="1"/>
  <c r="G11" i="6"/>
  <c r="I11" i="6" s="1"/>
  <c r="G12" i="6"/>
  <c r="I12" i="6" s="1"/>
  <c r="G13" i="6"/>
  <c r="I13" i="6" s="1"/>
  <c r="G14" i="6"/>
  <c r="I14" i="6" s="1"/>
  <c r="G15" i="6"/>
  <c r="I15" i="6" s="1"/>
  <c r="G16" i="6"/>
  <c r="I16" i="6" s="1"/>
  <c r="G17" i="6"/>
  <c r="I17" i="6" s="1"/>
  <c r="G18" i="6"/>
  <c r="I18" i="6" s="1"/>
  <c r="G19" i="6"/>
  <c r="I19" i="6" s="1"/>
  <c r="G20" i="6"/>
  <c r="I20" i="6" s="1"/>
  <c r="G21" i="6"/>
  <c r="I21" i="6" s="1"/>
  <c r="G22" i="6"/>
  <c r="I22" i="6" s="1"/>
  <c r="G23" i="6"/>
  <c r="I23" i="6" s="1"/>
  <c r="G24" i="6"/>
  <c r="I24" i="6" s="1"/>
  <c r="G25" i="6"/>
  <c r="I25" i="6" s="1"/>
  <c r="G26" i="6"/>
  <c r="I26" i="6" s="1"/>
  <c r="G27" i="6"/>
  <c r="I27" i="6" s="1"/>
  <c r="G28" i="6"/>
  <c r="I28" i="6" s="1"/>
  <c r="G29" i="6"/>
  <c r="I29" i="6" s="1"/>
  <c r="G30" i="6"/>
  <c r="I30" i="6" s="1"/>
  <c r="G31" i="6"/>
  <c r="I31" i="6" s="1"/>
  <c r="G32" i="6"/>
  <c r="I32" i="6" s="1"/>
  <c r="G33" i="6"/>
  <c r="I33" i="6" s="1"/>
  <c r="G34" i="6"/>
  <c r="I34" i="6" s="1"/>
  <c r="G35" i="6"/>
  <c r="I35" i="6" s="1"/>
  <c r="G36" i="6"/>
  <c r="I36" i="6" s="1"/>
  <c r="G37" i="6"/>
  <c r="I37" i="6" s="1"/>
  <c r="G38" i="6"/>
  <c r="I38" i="6" s="1"/>
  <c r="G39" i="6"/>
  <c r="I39" i="6" s="1"/>
  <c r="G40" i="6"/>
  <c r="I40" i="6" s="1"/>
  <c r="G41" i="6"/>
  <c r="I41" i="6" s="1"/>
  <c r="G42" i="6"/>
  <c r="I42" i="6" s="1"/>
  <c r="G43" i="6"/>
  <c r="I43" i="6" s="1"/>
  <c r="G44" i="6"/>
  <c r="I44" i="6" s="1"/>
  <c r="G45" i="6"/>
  <c r="I45" i="6" s="1"/>
  <c r="G46" i="6"/>
  <c r="I46" i="6" s="1"/>
  <c r="G47" i="6"/>
  <c r="I47" i="6" s="1"/>
  <c r="G48" i="6"/>
  <c r="I48" i="6" s="1"/>
  <c r="G49" i="6"/>
  <c r="I49" i="6" s="1"/>
  <c r="G50" i="6"/>
  <c r="I50" i="6" s="1"/>
  <c r="G51" i="6"/>
  <c r="I51" i="6" s="1"/>
  <c r="G52" i="6"/>
  <c r="I52" i="6" s="1"/>
  <c r="G53" i="6"/>
  <c r="I53" i="6" s="1"/>
  <c r="G54" i="6"/>
  <c r="I54" i="6" s="1"/>
  <c r="G55" i="6"/>
  <c r="I55" i="6" s="1"/>
  <c r="G56" i="6"/>
  <c r="I56" i="6" s="1"/>
  <c r="G6" i="7"/>
  <c r="I6" i="7" s="1"/>
  <c r="G7" i="7"/>
  <c r="I7" i="7" s="1"/>
  <c r="G8" i="7"/>
  <c r="I8" i="7" s="1"/>
  <c r="G9" i="7"/>
  <c r="I9" i="7" s="1"/>
  <c r="G10" i="7"/>
  <c r="I10" i="7" s="1"/>
  <c r="G11" i="7"/>
  <c r="I11" i="7" s="1"/>
  <c r="G12" i="7"/>
  <c r="I12" i="7" s="1"/>
  <c r="G13" i="7"/>
  <c r="I13" i="7" s="1"/>
  <c r="G14" i="7"/>
  <c r="I14" i="7" s="1"/>
  <c r="G15" i="7"/>
  <c r="I15" i="7" s="1"/>
  <c r="G16" i="7"/>
  <c r="I16" i="7" s="1"/>
  <c r="G17" i="7"/>
  <c r="I17" i="7" s="1"/>
  <c r="G18" i="7"/>
  <c r="I18" i="7" s="1"/>
  <c r="G19" i="7"/>
  <c r="I19" i="7" s="1"/>
  <c r="G20" i="7"/>
  <c r="I20" i="7" s="1"/>
  <c r="G21" i="7"/>
  <c r="I21" i="7" s="1"/>
  <c r="G22" i="7"/>
  <c r="I22" i="7" s="1"/>
  <c r="G23" i="7"/>
  <c r="I23" i="7" s="1"/>
  <c r="G24" i="7"/>
  <c r="I24" i="7" s="1"/>
  <c r="G25" i="7"/>
  <c r="I25" i="7" s="1"/>
  <c r="G26" i="7"/>
  <c r="I26" i="7" s="1"/>
  <c r="G27" i="7"/>
  <c r="I27" i="7" s="1"/>
  <c r="G28" i="7"/>
  <c r="I28" i="7" s="1"/>
  <c r="G29" i="7"/>
  <c r="I29" i="7" s="1"/>
  <c r="G30" i="7"/>
  <c r="I30" i="7" s="1"/>
  <c r="G31" i="7"/>
  <c r="I31" i="7" s="1"/>
  <c r="G32" i="7"/>
  <c r="I32" i="7" s="1"/>
  <c r="G33" i="7"/>
  <c r="I33" i="7" s="1"/>
  <c r="G34" i="7"/>
  <c r="I34" i="7" s="1"/>
  <c r="G35" i="7"/>
  <c r="I35" i="7" s="1"/>
  <c r="G36" i="7"/>
  <c r="I36" i="7" s="1"/>
  <c r="G37" i="7"/>
  <c r="I37" i="7" s="1"/>
  <c r="G38" i="7"/>
  <c r="I38" i="7" s="1"/>
  <c r="G39" i="7"/>
  <c r="I39" i="7" s="1"/>
  <c r="G40" i="7"/>
  <c r="I40" i="7" s="1"/>
  <c r="G41" i="7"/>
  <c r="I41" i="7" s="1"/>
  <c r="G42" i="7"/>
  <c r="I42" i="7" s="1"/>
  <c r="G43" i="7"/>
  <c r="I43" i="7" s="1"/>
  <c r="G44" i="7"/>
  <c r="I44" i="7" s="1"/>
  <c r="G45" i="7"/>
  <c r="I45" i="7" s="1"/>
  <c r="G46" i="7"/>
  <c r="I46" i="7" s="1"/>
  <c r="G47" i="7"/>
  <c r="I47" i="7" s="1"/>
  <c r="G48" i="7"/>
  <c r="I48" i="7" s="1"/>
  <c r="G49" i="7"/>
  <c r="I49" i="7" s="1"/>
  <c r="G50" i="7"/>
  <c r="I50" i="7" s="1"/>
  <c r="G51" i="7"/>
  <c r="I51" i="7" s="1"/>
  <c r="G52" i="7"/>
  <c r="I52" i="7" s="1"/>
  <c r="G53" i="7"/>
  <c r="I53" i="7" s="1"/>
  <c r="G54" i="7"/>
  <c r="I54" i="7" s="1"/>
  <c r="G55" i="7"/>
  <c r="I55" i="7" s="1"/>
  <c r="G56" i="7"/>
  <c r="I56" i="7" s="1"/>
  <c r="G6" i="11"/>
  <c r="I6" i="11" s="1"/>
  <c r="G7" i="11"/>
  <c r="I7" i="11" s="1"/>
  <c r="G8" i="11"/>
  <c r="I8" i="11" s="1"/>
  <c r="G9" i="11"/>
  <c r="I9" i="11" s="1"/>
  <c r="G10" i="11"/>
  <c r="I10" i="11" s="1"/>
  <c r="G11" i="11"/>
  <c r="I11" i="11" s="1"/>
  <c r="G12" i="11"/>
  <c r="I12" i="11" s="1"/>
  <c r="G13" i="11"/>
  <c r="I13" i="11" s="1"/>
  <c r="G14" i="11"/>
  <c r="I14" i="11" s="1"/>
  <c r="G15" i="11"/>
  <c r="I15" i="11" s="1"/>
  <c r="G16" i="11"/>
  <c r="I16" i="11" s="1"/>
  <c r="G17" i="11"/>
  <c r="I17" i="11" s="1"/>
  <c r="G18" i="11"/>
  <c r="I18" i="11" s="1"/>
  <c r="G19" i="11"/>
  <c r="I19" i="11" s="1"/>
  <c r="G20" i="11"/>
  <c r="I20" i="11" s="1"/>
  <c r="G21" i="11"/>
  <c r="I21" i="11" s="1"/>
  <c r="G22" i="11"/>
  <c r="I22" i="11" s="1"/>
  <c r="G23" i="11"/>
  <c r="I23" i="11" s="1"/>
  <c r="G24" i="11"/>
  <c r="I24" i="11" s="1"/>
  <c r="G25" i="11"/>
  <c r="I25" i="11" s="1"/>
  <c r="G26" i="11"/>
  <c r="I26" i="11" s="1"/>
  <c r="G27" i="11"/>
  <c r="I27" i="11" s="1"/>
  <c r="G28" i="11"/>
  <c r="I28" i="11" s="1"/>
  <c r="G29" i="11"/>
  <c r="I29" i="11" s="1"/>
  <c r="G30" i="11"/>
  <c r="I30" i="11" s="1"/>
  <c r="G31" i="11"/>
  <c r="I31" i="11" s="1"/>
  <c r="G32" i="11"/>
  <c r="I32" i="11" s="1"/>
  <c r="G33" i="11"/>
  <c r="I33" i="11" s="1"/>
  <c r="G34" i="11"/>
  <c r="I34" i="11" s="1"/>
  <c r="G35" i="11"/>
  <c r="I35" i="11" s="1"/>
  <c r="G36" i="11"/>
  <c r="I36" i="11" s="1"/>
  <c r="G37" i="11"/>
  <c r="I37" i="11" s="1"/>
  <c r="G38" i="11"/>
  <c r="I38" i="11" s="1"/>
  <c r="G39" i="11"/>
  <c r="I39" i="11" s="1"/>
  <c r="G40" i="11"/>
  <c r="I40" i="11" s="1"/>
  <c r="G41" i="11"/>
  <c r="I41" i="11" s="1"/>
  <c r="G42" i="11"/>
  <c r="I42" i="11" s="1"/>
  <c r="G43" i="11"/>
  <c r="I43" i="11" s="1"/>
  <c r="G44" i="11"/>
  <c r="I44" i="11" s="1"/>
  <c r="G45" i="11"/>
  <c r="I45" i="11" s="1"/>
  <c r="G46" i="11"/>
  <c r="I46" i="11" s="1"/>
  <c r="G47" i="11"/>
  <c r="I47" i="11" s="1"/>
  <c r="G48" i="11"/>
  <c r="I48" i="11" s="1"/>
  <c r="G49" i="11"/>
  <c r="I49" i="11" s="1"/>
  <c r="G50" i="11"/>
  <c r="I50" i="11" s="1"/>
  <c r="G51" i="11"/>
  <c r="I51" i="11" s="1"/>
  <c r="G52" i="11"/>
  <c r="I52" i="11" s="1"/>
  <c r="G53" i="11"/>
  <c r="I53" i="11" s="1"/>
  <c r="G54" i="11"/>
  <c r="I54" i="11" s="1"/>
  <c r="G55" i="11"/>
  <c r="I55" i="11" s="1"/>
  <c r="G56" i="11"/>
  <c r="I56" i="11" s="1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" i="4"/>
  <c r="G5" i="9"/>
  <c r="G5" i="5"/>
  <c r="G5" i="6"/>
  <c r="G5" i="7"/>
  <c r="G5" i="11"/>
  <c r="I5" i="11" s="1"/>
  <c r="G5" i="8"/>
  <c r="A3" i="4"/>
  <c r="A3" i="9"/>
  <c r="A3" i="5"/>
  <c r="A3" i="6"/>
  <c r="A3" i="7"/>
  <c r="A3" i="11"/>
  <c r="A3" i="8"/>
  <c r="L58" i="13" l="1"/>
  <c r="K66" i="13"/>
  <c r="H69" i="13"/>
  <c r="H68" i="13"/>
  <c r="H67" i="13"/>
  <c r="H66" i="13"/>
  <c r="L22" i="13"/>
  <c r="L38" i="13"/>
  <c r="L16" i="13"/>
  <c r="L48" i="13"/>
  <c r="L21" i="13"/>
  <c r="L37" i="13"/>
  <c r="L53" i="13"/>
  <c r="L36" i="13"/>
  <c r="L17" i="13"/>
  <c r="L25" i="13"/>
  <c r="L33" i="13"/>
  <c r="L41" i="13"/>
  <c r="L49" i="13"/>
  <c r="L18" i="13"/>
  <c r="L26" i="13"/>
  <c r="L34" i="13"/>
  <c r="L42" i="13"/>
  <c r="L50" i="13"/>
  <c r="L44" i="13"/>
  <c r="L52" i="13"/>
  <c r="L60" i="13"/>
  <c r="L57" i="13"/>
  <c r="L28" i="13"/>
  <c r="L54" i="13"/>
  <c r="G62" i="8"/>
  <c r="G60" i="8"/>
  <c r="G61" i="8"/>
  <c r="G10" i="13"/>
  <c r="G59" i="8"/>
  <c r="I5" i="8"/>
  <c r="G60" i="13"/>
  <c r="I55" i="8"/>
  <c r="I60" i="13" s="1"/>
  <c r="G56" i="13"/>
  <c r="I51" i="8"/>
  <c r="I56" i="13" s="1"/>
  <c r="G52" i="13"/>
  <c r="I47" i="8"/>
  <c r="I52" i="13" s="1"/>
  <c r="G48" i="13"/>
  <c r="I43" i="8"/>
  <c r="I48" i="13" s="1"/>
  <c r="G44" i="13"/>
  <c r="I39" i="8"/>
  <c r="I44" i="13" s="1"/>
  <c r="G40" i="13"/>
  <c r="I35" i="8"/>
  <c r="I40" i="13" s="1"/>
  <c r="G36" i="13"/>
  <c r="I31" i="8"/>
  <c r="I36" i="13" s="1"/>
  <c r="G32" i="13"/>
  <c r="I27" i="8"/>
  <c r="I32" i="13" s="1"/>
  <c r="G28" i="13"/>
  <c r="I23" i="8"/>
  <c r="I28" i="13" s="1"/>
  <c r="G24" i="13"/>
  <c r="I19" i="8"/>
  <c r="I24" i="13" s="1"/>
  <c r="G20" i="13"/>
  <c r="I15" i="8"/>
  <c r="I20" i="13" s="1"/>
  <c r="G16" i="13"/>
  <c r="I11" i="8"/>
  <c r="I16" i="13" s="1"/>
  <c r="G12" i="13"/>
  <c r="I7" i="8"/>
  <c r="I12" i="13" s="1"/>
  <c r="J59" i="8"/>
  <c r="K60" i="8" s="1"/>
  <c r="J10" i="13"/>
  <c r="J66" i="13" s="1"/>
  <c r="K60" i="6"/>
  <c r="G61" i="5"/>
  <c r="G60" i="5"/>
  <c r="G59" i="5"/>
  <c r="G62" i="5"/>
  <c r="I5" i="5"/>
  <c r="I62" i="11"/>
  <c r="I60" i="11"/>
  <c r="I59" i="11"/>
  <c r="I61" i="11"/>
  <c r="G61" i="9"/>
  <c r="G60" i="9"/>
  <c r="G59" i="9"/>
  <c r="G62" i="9"/>
  <c r="I5" i="9"/>
  <c r="G59" i="13"/>
  <c r="I54" i="8"/>
  <c r="I59" i="13" s="1"/>
  <c r="G55" i="13"/>
  <c r="I50" i="8"/>
  <c r="I55" i="13" s="1"/>
  <c r="G51" i="13"/>
  <c r="I46" i="8"/>
  <c r="I51" i="13" s="1"/>
  <c r="G47" i="13"/>
  <c r="I42" i="8"/>
  <c r="I47" i="13" s="1"/>
  <c r="G43" i="13"/>
  <c r="I38" i="8"/>
  <c r="I43" i="13" s="1"/>
  <c r="G39" i="13"/>
  <c r="I34" i="8"/>
  <c r="I39" i="13" s="1"/>
  <c r="G35" i="13"/>
  <c r="I30" i="8"/>
  <c r="I35" i="13" s="1"/>
  <c r="G31" i="13"/>
  <c r="I26" i="8"/>
  <c r="I31" i="13" s="1"/>
  <c r="G27" i="13"/>
  <c r="I22" i="8"/>
  <c r="I27" i="13" s="1"/>
  <c r="G23" i="13"/>
  <c r="I18" i="8"/>
  <c r="I23" i="13" s="1"/>
  <c r="G19" i="13"/>
  <c r="I14" i="8"/>
  <c r="I19" i="13" s="1"/>
  <c r="G15" i="13"/>
  <c r="I10" i="8"/>
  <c r="I15" i="13" s="1"/>
  <c r="G11" i="13"/>
  <c r="I6" i="8"/>
  <c r="I11" i="13" s="1"/>
  <c r="K60" i="5"/>
  <c r="G62" i="7"/>
  <c r="G60" i="7"/>
  <c r="G59" i="7"/>
  <c r="G61" i="7"/>
  <c r="I5" i="7"/>
  <c r="G62" i="4"/>
  <c r="G60" i="4"/>
  <c r="G59" i="4"/>
  <c r="G61" i="4"/>
  <c r="I5" i="4"/>
  <c r="G58" i="13"/>
  <c r="I53" i="8"/>
  <c r="I58" i="13" s="1"/>
  <c r="G54" i="13"/>
  <c r="I49" i="8"/>
  <c r="I54" i="13" s="1"/>
  <c r="G50" i="13"/>
  <c r="I45" i="8"/>
  <c r="I50" i="13" s="1"/>
  <c r="G46" i="13"/>
  <c r="I41" i="8"/>
  <c r="I46" i="13" s="1"/>
  <c r="G42" i="13"/>
  <c r="I37" i="8"/>
  <c r="I42" i="13" s="1"/>
  <c r="G38" i="13"/>
  <c r="I33" i="8"/>
  <c r="I38" i="13" s="1"/>
  <c r="G34" i="13"/>
  <c r="I29" i="8"/>
  <c r="I34" i="13" s="1"/>
  <c r="G30" i="13"/>
  <c r="I25" i="8"/>
  <c r="I30" i="13" s="1"/>
  <c r="G26" i="13"/>
  <c r="I21" i="8"/>
  <c r="I26" i="13" s="1"/>
  <c r="G22" i="13"/>
  <c r="I17" i="8"/>
  <c r="I22" i="13" s="1"/>
  <c r="G18" i="13"/>
  <c r="I13" i="8"/>
  <c r="I18" i="13" s="1"/>
  <c r="G14" i="13"/>
  <c r="I9" i="8"/>
  <c r="I14" i="13" s="1"/>
  <c r="K60" i="11"/>
  <c r="G62" i="6"/>
  <c r="G61" i="6"/>
  <c r="G60" i="6"/>
  <c r="G59" i="6"/>
  <c r="I5" i="6"/>
  <c r="G61" i="13"/>
  <c r="I56" i="8"/>
  <c r="I61" i="13" s="1"/>
  <c r="G57" i="13"/>
  <c r="I52" i="8"/>
  <c r="I57" i="13" s="1"/>
  <c r="G53" i="13"/>
  <c r="I48" i="8"/>
  <c r="I53" i="13" s="1"/>
  <c r="G49" i="13"/>
  <c r="I44" i="8"/>
  <c r="I49" i="13" s="1"/>
  <c r="G45" i="13"/>
  <c r="I40" i="8"/>
  <c r="I45" i="13" s="1"/>
  <c r="G41" i="13"/>
  <c r="I36" i="8"/>
  <c r="I41" i="13" s="1"/>
  <c r="G37" i="13"/>
  <c r="I32" i="8"/>
  <c r="I37" i="13" s="1"/>
  <c r="G33" i="13"/>
  <c r="I28" i="8"/>
  <c r="I33" i="13" s="1"/>
  <c r="G29" i="13"/>
  <c r="I24" i="8"/>
  <c r="I29" i="13" s="1"/>
  <c r="G25" i="13"/>
  <c r="I20" i="8"/>
  <c r="I25" i="13" s="1"/>
  <c r="G21" i="13"/>
  <c r="I16" i="8"/>
  <c r="I21" i="13" s="1"/>
  <c r="G17" i="13"/>
  <c r="I12" i="8"/>
  <c r="I17" i="13" s="1"/>
  <c r="G13" i="13"/>
  <c r="I8" i="8"/>
  <c r="I13" i="13" s="1"/>
  <c r="K60" i="4"/>
  <c r="G66" i="13" l="1"/>
  <c r="G69" i="13"/>
  <c r="G68" i="13"/>
  <c r="G67" i="13"/>
  <c r="I61" i="6"/>
  <c r="I59" i="6"/>
  <c r="I62" i="6"/>
  <c r="I60" i="6"/>
  <c r="I61" i="5"/>
  <c r="I59" i="5"/>
  <c r="I60" i="5"/>
  <c r="I62" i="5"/>
  <c r="I62" i="4"/>
  <c r="I60" i="4"/>
  <c r="I61" i="4"/>
  <c r="I59" i="4"/>
  <c r="L10" i="13"/>
  <c r="I61" i="8"/>
  <c r="I59" i="8"/>
  <c r="I62" i="8"/>
  <c r="I60" i="8"/>
  <c r="I10" i="13"/>
  <c r="I62" i="7"/>
  <c r="I60" i="7"/>
  <c r="I61" i="7"/>
  <c r="I59" i="7"/>
  <c r="I62" i="9"/>
  <c r="I60" i="9"/>
  <c r="I61" i="9"/>
  <c r="I59" i="9"/>
  <c r="I69" i="13" l="1"/>
  <c r="I68" i="13"/>
  <c r="I67" i="13"/>
  <c r="I66" i="13"/>
  <c r="L68" i="13"/>
  <c r="L69" i="13"/>
  <c r="L67" i="13"/>
</calcChain>
</file>

<file path=xl/sharedStrings.xml><?xml version="1.0" encoding="utf-8"?>
<sst xmlns="http://schemas.openxmlformats.org/spreadsheetml/2006/main" count="2257" uniqueCount="195">
  <si>
    <t>Last Name</t>
  </si>
  <si>
    <t>First Name</t>
  </si>
  <si>
    <t>Department</t>
  </si>
  <si>
    <t>Allbaugh</t>
  </si>
  <si>
    <t>Joshua</t>
  </si>
  <si>
    <t>AM</t>
  </si>
  <si>
    <t>Bourque</t>
  </si>
  <si>
    <t>Elizabeth</t>
  </si>
  <si>
    <t>Linens</t>
  </si>
  <si>
    <t>Mazza</t>
  </si>
  <si>
    <t>Pamela</t>
  </si>
  <si>
    <t>Furniture</t>
  </si>
  <si>
    <t>Reyes</t>
  </si>
  <si>
    <t>Rayna</t>
  </si>
  <si>
    <t>Stone</t>
  </si>
  <si>
    <t>David</t>
  </si>
  <si>
    <t>Cosmetics</t>
  </si>
  <si>
    <t>Freeman</t>
  </si>
  <si>
    <t>Jerry</t>
  </si>
  <si>
    <t>S1</t>
  </si>
  <si>
    <t>Housewares</t>
  </si>
  <si>
    <t>Henning</t>
  </si>
  <si>
    <t>Patricia</t>
  </si>
  <si>
    <t>Jwang</t>
  </si>
  <si>
    <t>Buyung</t>
  </si>
  <si>
    <t>Monac</t>
  </si>
  <si>
    <t>Levitica</t>
  </si>
  <si>
    <t>Stanton</t>
  </si>
  <si>
    <t>Catrina</t>
  </si>
  <si>
    <t>Watts</t>
  </si>
  <si>
    <t>Kelly</t>
  </si>
  <si>
    <t>Blake</t>
  </si>
  <si>
    <t>Barney</t>
  </si>
  <si>
    <t>S2</t>
  </si>
  <si>
    <t>Bolyard</t>
  </si>
  <si>
    <t>Pat</t>
  </si>
  <si>
    <t>Lessert</t>
  </si>
  <si>
    <t>Linda</t>
  </si>
  <si>
    <t>Ruaz</t>
  </si>
  <si>
    <t>Monica</t>
  </si>
  <si>
    <t>Walker</t>
  </si>
  <si>
    <t>Donny</t>
  </si>
  <si>
    <t>Bibb</t>
  </si>
  <si>
    <t>Robin</t>
  </si>
  <si>
    <t>PT2</t>
  </si>
  <si>
    <t>Huang</t>
  </si>
  <si>
    <t>Woody</t>
  </si>
  <si>
    <t>Rodman</t>
  </si>
  <si>
    <t>Johnny</t>
  </si>
  <si>
    <t>Roselius</t>
  </si>
  <si>
    <t>Reginald</t>
  </si>
  <si>
    <t>Yu</t>
  </si>
  <si>
    <t>William</t>
  </si>
  <si>
    <t>Sales</t>
  </si>
  <si>
    <t>Men's</t>
  </si>
  <si>
    <t>Women's</t>
  </si>
  <si>
    <t>Children's</t>
  </si>
  <si>
    <t>PT1</t>
  </si>
  <si>
    <t>Classification</t>
  </si>
  <si>
    <t>Hulsman</t>
  </si>
  <si>
    <t>Russell</t>
  </si>
  <si>
    <t>Crouse</t>
  </si>
  <si>
    <t>Aleta</t>
  </si>
  <si>
    <t>Cronk</t>
  </si>
  <si>
    <t>June</t>
  </si>
  <si>
    <t>Duarte</t>
  </si>
  <si>
    <t>Shawn</t>
  </si>
  <si>
    <t>Duck</t>
  </si>
  <si>
    <t>Kelee</t>
  </si>
  <si>
    <t>Dubben</t>
  </si>
  <si>
    <t>Fiddes</t>
  </si>
  <si>
    <t>Rick</t>
  </si>
  <si>
    <t>Porterfield</t>
  </si>
  <si>
    <t>Jimmy</t>
  </si>
  <si>
    <t>Fetchik</t>
  </si>
  <si>
    <t>Vearl</t>
  </si>
  <si>
    <t>Harpole</t>
  </si>
  <si>
    <t>Frank</t>
  </si>
  <si>
    <t>Hauch</t>
  </si>
  <si>
    <t>Joann</t>
  </si>
  <si>
    <t>Hornbeek</t>
  </si>
  <si>
    <t>Kent</t>
  </si>
  <si>
    <t>Lax</t>
  </si>
  <si>
    <t>Rafael</t>
  </si>
  <si>
    <t>Mallouf</t>
  </si>
  <si>
    <t>Pedro</t>
  </si>
  <si>
    <t>McMath</t>
  </si>
  <si>
    <t>Olivia</t>
  </si>
  <si>
    <t>Pomales</t>
  </si>
  <si>
    <t>Oseas</t>
  </si>
  <si>
    <t>Pomura</t>
  </si>
  <si>
    <t>Joaquin</t>
  </si>
  <si>
    <t>Nigel</t>
  </si>
  <si>
    <t>Emmett</t>
  </si>
  <si>
    <t>Plumbtree</t>
  </si>
  <si>
    <t>Leslie</t>
  </si>
  <si>
    <t>Stephens</t>
  </si>
  <si>
    <t>Lacretia</t>
  </si>
  <si>
    <t>Vandrey</t>
  </si>
  <si>
    <t>Yvonne</t>
  </si>
  <si>
    <t>Craddock</t>
  </si>
  <si>
    <t>Deyoe</t>
  </si>
  <si>
    <t>Rayundo</t>
  </si>
  <si>
    <t>Gauger</t>
  </si>
  <si>
    <t>Samone</t>
  </si>
  <si>
    <t>Hughes</t>
  </si>
  <si>
    <t>Ketakea</t>
  </si>
  <si>
    <t>Loraine</t>
  </si>
  <si>
    <t>Lenfestey</t>
  </si>
  <si>
    <t>Kionna</t>
  </si>
  <si>
    <t>Montague</t>
  </si>
  <si>
    <t>Carmen</t>
  </si>
  <si>
    <t>Picazo</t>
  </si>
  <si>
    <t>Luciano</t>
  </si>
  <si>
    <t>Schoemann</t>
  </si>
  <si>
    <t>Dale</t>
  </si>
  <si>
    <t>Wilson</t>
  </si>
  <si>
    <t>Jay</t>
  </si>
  <si>
    <t>Hours Worked</t>
  </si>
  <si>
    <t>Madison's Department Store</t>
  </si>
  <si>
    <t>Productivity Report</t>
  </si>
  <si>
    <t>Base Pay</t>
  </si>
  <si>
    <t>Wage Lookup Table</t>
  </si>
  <si>
    <t>Sales Code</t>
  </si>
  <si>
    <t>Sales Title</t>
  </si>
  <si>
    <t>Hourly Wage</t>
  </si>
  <si>
    <t>Quota</t>
  </si>
  <si>
    <t>Commission Rate</t>
  </si>
  <si>
    <t>Assistant Manager</t>
  </si>
  <si>
    <t>Sales Assistant</t>
  </si>
  <si>
    <t>Sales Partner</t>
  </si>
  <si>
    <t>Sales Associate</t>
  </si>
  <si>
    <t>Sales Consultant</t>
  </si>
  <si>
    <t>Commission</t>
  </si>
  <si>
    <t>Gross Pay</t>
  </si>
  <si>
    <t>Quota Met?</t>
  </si>
  <si>
    <t>Worked Today</t>
  </si>
  <si>
    <t>Total</t>
  </si>
  <si>
    <t>Average</t>
  </si>
  <si>
    <t>Minimum</t>
  </si>
  <si>
    <t>Maximum</t>
  </si>
  <si>
    <t>Quota Average</t>
  </si>
  <si>
    <t>Madison Department Store</t>
  </si>
  <si>
    <t>Productivity Summary Report</t>
  </si>
  <si>
    <t>For the Week of</t>
  </si>
  <si>
    <t>August 3-9, 2008</t>
  </si>
  <si>
    <t>Grand Total</t>
  </si>
  <si>
    <t xml:space="preserve">Commission </t>
  </si>
  <si>
    <t xml:space="preserve">Sales </t>
  </si>
  <si>
    <t>Commission and Sales by Department</t>
  </si>
  <si>
    <t>Employee Commission by Department</t>
  </si>
  <si>
    <t>Name</t>
  </si>
  <si>
    <t>Commission by Department</t>
  </si>
  <si>
    <t>Representatives' Sales by Department</t>
  </si>
  <si>
    <t>Last Name, First Name</t>
  </si>
  <si>
    <t>Top Five Sales Commissions</t>
  </si>
  <si>
    <t>&gt;174.49</t>
  </si>
  <si>
    <t>Above Average Commission</t>
  </si>
  <si>
    <t>For Week of</t>
  </si>
  <si>
    <t>&lt;&gt;Furniture</t>
  </si>
  <si>
    <t>Above Average Commission Except Furniture</t>
  </si>
  <si>
    <t>&lt;60%</t>
  </si>
  <si>
    <t>Sales Staff Below Quota Goal</t>
  </si>
  <si>
    <t>Highest Sales by Department</t>
  </si>
  <si>
    <t>Department    Last Name</t>
  </si>
  <si>
    <t>Days Worked</t>
  </si>
  <si>
    <t>Quota Met</t>
  </si>
  <si>
    <t>Average of Quota Met</t>
  </si>
  <si>
    <t>Percentage of Quota Met</t>
  </si>
  <si>
    <t>Department/Position</t>
  </si>
  <si>
    <t xml:space="preserve">Commission  </t>
  </si>
  <si>
    <t xml:space="preserve">Sales  </t>
  </si>
  <si>
    <t>Children's Total</t>
  </si>
  <si>
    <t>Cosmetics Total</t>
  </si>
  <si>
    <t>Furniture Total</t>
  </si>
  <si>
    <t>Housewares Total</t>
  </si>
  <si>
    <t>Linens Total</t>
  </si>
  <si>
    <t>Men's Total</t>
  </si>
  <si>
    <t>Women's Total</t>
  </si>
  <si>
    <t>Sales &amp; Commissions by Department/Position</t>
  </si>
  <si>
    <t>Sum of Gross Pay</t>
  </si>
  <si>
    <t xml:space="preserve">Base Pay </t>
  </si>
  <si>
    <t xml:space="preserve">Gross Pay </t>
  </si>
  <si>
    <t>Sales Position Base Pay, Commission, and Gross Pay</t>
  </si>
  <si>
    <t>Sum of Hours Worked</t>
  </si>
  <si>
    <t>Hours Worked &amp; Gross Pay by Department</t>
  </si>
  <si>
    <t>Department Quotas Met Most</t>
  </si>
  <si>
    <t xml:space="preserve">Quota Met </t>
  </si>
  <si>
    <t>Department Quotas Met Least</t>
  </si>
  <si>
    <t>Salesperson &gt; $1500 Commission</t>
  </si>
  <si>
    <t>None</t>
  </si>
  <si>
    <t>Salesperson No Commission</t>
  </si>
  <si>
    <t>Dept Commission, % Commission, Sales</t>
  </si>
  <si>
    <t>Commission Percentages</t>
  </si>
  <si>
    <t>Last Name/First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</si>
</sst>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"/>
    <numFmt numFmtId="165" formatCode="&quot;$&quot;#,##0.00"/>
  </numFmts>
  <fonts count="8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0" fontId="3" fillId="0" borderId="1" xfId="0" applyFont="1" applyBorder="1"/>
    <xf numFmtId="0" fontId="0" fillId="0" borderId="0" xfId="0" applyProtection="1">
      <protection locked="0"/>
    </xf>
    <xf numFmtId="0" fontId="3" fillId="0" borderId="0" xfId="0" applyFont="1" applyBorder="1" applyProtection="1">
      <protection locked="0"/>
    </xf>
    <xf numFmtId="0" fontId="3" fillId="0" borderId="0" xfId="0" applyFont="1" applyProtection="1">
      <protection locked="0"/>
    </xf>
    <xf numFmtId="44" fontId="0" fillId="0" borderId="0" xfId="1" applyFont="1"/>
    <xf numFmtId="0" fontId="0" fillId="2" borderId="0" xfId="0" applyFill="1"/>
    <xf numFmtId="0" fontId="3" fillId="2" borderId="0" xfId="0" applyFont="1" applyFill="1"/>
    <xf numFmtId="0" fontId="3" fillId="3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6" borderId="0" xfId="0" applyFont="1" applyFill="1" applyAlignment="1">
      <alignment horizontal="center"/>
    </xf>
    <xf numFmtId="44" fontId="0" fillId="6" borderId="0" xfId="1" applyNumberFormat="1" applyFont="1" applyFill="1" applyAlignment="1">
      <alignment horizontal="center"/>
    </xf>
    <xf numFmtId="44" fontId="0" fillId="6" borderId="0" xfId="1" applyFont="1" applyFill="1"/>
    <xf numFmtId="0" fontId="3" fillId="3" borderId="0" xfId="0" applyFont="1" applyFill="1" applyAlignment="1">
      <alignment horizontal="center"/>
    </xf>
    <xf numFmtId="44" fontId="0" fillId="3" borderId="0" xfId="1" applyNumberFormat="1" applyFont="1" applyFill="1" applyAlignment="1">
      <alignment horizontal="center"/>
    </xf>
    <xf numFmtId="44" fontId="0" fillId="3" borderId="0" xfId="1" applyFont="1" applyFill="1"/>
    <xf numFmtId="0" fontId="3" fillId="5" borderId="0" xfId="0" applyFont="1" applyFill="1" applyAlignment="1">
      <alignment horizontal="center"/>
    </xf>
    <xf numFmtId="44" fontId="0" fillId="5" borderId="0" xfId="1" applyNumberFormat="1" applyFont="1" applyFill="1" applyAlignment="1">
      <alignment horizontal="center"/>
    </xf>
    <xf numFmtId="44" fontId="0" fillId="5" borderId="0" xfId="1" applyFont="1" applyFill="1"/>
    <xf numFmtId="0" fontId="6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164" fontId="0" fillId="6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44" fontId="3" fillId="0" borderId="0" xfId="1" applyFont="1"/>
    <xf numFmtId="44" fontId="3" fillId="0" borderId="0" xfId="0" applyNumberFormat="1" applyFont="1"/>
    <xf numFmtId="44" fontId="3" fillId="2" borderId="0" xfId="0" applyNumberFormat="1" applyFont="1" applyFill="1"/>
    <xf numFmtId="44" fontId="0" fillId="0" borderId="0" xfId="0" applyNumberFormat="1"/>
    <xf numFmtId="10" fontId="3" fillId="0" borderId="0" xfId="0" applyNumberFormat="1" applyFont="1"/>
    <xf numFmtId="37" fontId="3" fillId="0" borderId="0" xfId="0" applyNumberFormat="1" applyFont="1"/>
    <xf numFmtId="165" fontId="0" fillId="0" borderId="0" xfId="0" applyNumberFormat="1"/>
    <xf numFmtId="0" fontId="0" fillId="2" borderId="0" xfId="0" applyFont="1" applyFill="1"/>
    <xf numFmtId="10" fontId="0" fillId="0" borderId="0" xfId="0" applyNumberFormat="1"/>
    <xf numFmtId="3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4" borderId="0" xfId="0" applyFill="1" applyAlignment="1">
      <alignment horizontal="left"/>
    </xf>
    <xf numFmtId="165" fontId="0" fillId="4" borderId="0" xfId="0" applyNumberFormat="1" applyFill="1"/>
    <xf numFmtId="0" fontId="0" fillId="7" borderId="0" xfId="0" applyFill="1"/>
    <xf numFmtId="0" fontId="0" fillId="3" borderId="0" xfId="0" applyFill="1"/>
    <xf numFmtId="0" fontId="0" fillId="0" borderId="0" xfId="0" applyFont="1" applyFill="1"/>
    <xf numFmtId="0" fontId="3" fillId="0" borderId="0" xfId="0" applyFont="1" applyFill="1"/>
    <xf numFmtId="0" fontId="3" fillId="8" borderId="0" xfId="0" applyFont="1" applyFill="1"/>
    <xf numFmtId="10" fontId="0" fillId="8" borderId="0" xfId="0" applyNumberFormat="1" applyFill="1"/>
    <xf numFmtId="0" fontId="3" fillId="9" borderId="0" xfId="0" applyFont="1" applyFill="1"/>
    <xf numFmtId="10" fontId="0" fillId="9" borderId="0" xfId="0" applyNumberFormat="1" applyFill="1"/>
    <xf numFmtId="0" fontId="3" fillId="10" borderId="0" xfId="0" applyFont="1" applyFill="1"/>
    <xf numFmtId="10" fontId="0" fillId="10" borderId="0" xfId="0" applyNumberFormat="1" applyFill="1"/>
    <xf numFmtId="0" fontId="3" fillId="11" borderId="0" xfId="0" applyFont="1" applyFill="1"/>
    <xf numFmtId="10" fontId="0" fillId="11" borderId="0" xfId="0" applyNumberFormat="1" applyFill="1"/>
    <xf numFmtId="0" fontId="3" fillId="12" borderId="0" xfId="0" applyFont="1" applyFill="1"/>
    <xf numFmtId="10" fontId="0" fillId="12" borderId="0" xfId="0" applyNumberFormat="1" applyFill="1"/>
    <xf numFmtId="0" fontId="0" fillId="0" borderId="0" xfId="0" applyFill="1"/>
    <xf numFmtId="0" fontId="0" fillId="0" borderId="0" xfId="0" applyNumberFormat="1"/>
    <xf numFmtId="0" fontId="0" fillId="0" borderId="0" xfId="0" applyAlignment="1">
      <alignment horizontal="center"/>
    </xf>
    <xf numFmtId="0" fontId="0" fillId="5" borderId="0" xfId="0" applyFill="1" applyAlignment="1">
      <alignment horizontal="left"/>
    </xf>
    <xf numFmtId="165" fontId="0" fillId="5" borderId="0" xfId="0" applyNumberFormat="1" applyFill="1"/>
    <xf numFmtId="44" fontId="0" fillId="5" borderId="0" xfId="0" applyNumberFormat="1" applyFill="1"/>
    <xf numFmtId="10" fontId="0" fillId="0" borderId="0" xfId="0" applyNumberFormat="1" applyAlignment="1">
      <alignment horizontal="center"/>
    </xf>
    <xf numFmtId="0" fontId="0" fillId="13" borderId="0" xfId="0" applyFill="1" applyAlignment="1">
      <alignment horizontal="left"/>
    </xf>
    <xf numFmtId="0" fontId="0" fillId="13" borderId="0" xfId="0" applyNumberFormat="1" applyFill="1"/>
    <xf numFmtId="0" fontId="6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22" fontId="3" fillId="5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207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theme="4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theme="4" tint="-0.249977111117893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theme="4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theme="4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theme="4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theme="4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theme="4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theme="4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theme="4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4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1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pivotCacheDefinition" Target="pivotCache/pivotCacheDefinition3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[Madison's Department Store.xlsx]Department,Commission!PivotTable5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Madison's Department</a:t>
            </a:r>
            <a:r>
              <a:rPr lang="en-US" baseline="0"/>
              <a:t> Store</a:t>
            </a:r>
          </a:p>
          <a:p>
            <a:pPr>
              <a:defRPr/>
            </a:pPr>
            <a:r>
              <a:rPr lang="en-US" sz="1200" baseline="0"/>
              <a:t>Commission by Department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6889797400431665E-2"/>
              <c:y val="4.3330196932930554E-2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Children's, </a:t>
                </a:r>
                <a:fld id="{00A083B5-0D32-45A6-B295-CBEEA74F7ADF}" type="VALUE">
                  <a:rPr lang="en-US"/>
                  <a:pPr>
                    <a:defRPr/>
                  </a:pPr>
                  <a:t>[VALUE]</a:t>
                </a:fld>
                <a:r>
                  <a:rPr lang="en-US"/>
                  <a:t>, 6%</a:t>
                </a:r>
              </a:p>
            </c:rich>
          </c:tx>
          <c:spPr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1518521756087068E-2"/>
              <c:y val="2.7190321728651819E-2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Cosmetics,</a:t>
                </a:r>
                <a:r>
                  <a:rPr lang="en-US" baseline="0"/>
                  <a:t> </a:t>
                </a:r>
                <a:fld id="{D2B56602-8BE0-4008-9CC4-D2FAB06D1AC7}" type="VALUE">
                  <a:rPr lang="en-US"/>
                  <a:pPr>
                    <a:defRPr/>
                  </a:pPr>
                  <a:t>[VALUE]</a:t>
                </a:fld>
                <a:r>
                  <a:rPr lang="en-US"/>
                  <a:t>, 4%</a:t>
                </a:r>
              </a:p>
            </c:rich>
          </c:tx>
          <c:spPr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306928125292665"/>
              <c:y val="-0.16522490101108495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Furniture, </a:t>
                </a:r>
                <a:fld id="{946B28AA-9B9A-4493-999F-E01F56F7FCB6}" type="VALUE">
                  <a:rPr lang="en-US"/>
                  <a:pPr>
                    <a:defRPr/>
                  </a:pPr>
                  <a:t>[VALUE]</a:t>
                </a:fld>
                <a:r>
                  <a:rPr lang="en-US"/>
                  <a:t>, 60%</a:t>
                </a:r>
              </a:p>
            </c:rich>
          </c:tx>
          <c:spPr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0533384437107618E-3"/>
              <c:y val="2.0514534739761302E-2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Housewares, </a:t>
                </a:r>
                <a:fld id="{1EAAAC4E-91EC-473C-BEAB-05364CA90455}" type="VALUE">
                  <a:rPr lang="en-US"/>
                  <a:pPr>
                    <a:defRPr/>
                  </a:pPr>
                  <a:t>[VALUE]</a:t>
                </a:fld>
                <a:r>
                  <a:rPr lang="en-US"/>
                  <a:t>,</a:t>
                </a:r>
                <a:r>
                  <a:rPr lang="en-US" baseline="0"/>
                  <a:t> 4%</a:t>
                </a:r>
              </a:p>
            </c:rich>
          </c:tx>
          <c:spPr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0706827309236944"/>
                  <c:h val="7.8180039138943253E-2"/>
                </c:manualLayout>
              </c15:layout>
              <c15:dlblFieldTable/>
              <c15:showDataLabelsRange val="0"/>
            </c:ext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2462843297448596E-2"/>
              <c:y val="4.70909886264217E-2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Linens, </a:t>
                </a:r>
                <a:fld id="{7027BCF8-978D-4B1D-9A3A-C834876F9D2D}" type="VALUE">
                  <a:rPr lang="en-US"/>
                  <a:pPr>
                    <a:defRPr/>
                  </a:pPr>
                  <a:t>[VALUE]</a:t>
                </a:fld>
                <a:r>
                  <a:rPr lang="en-US"/>
                  <a:t>, 8%</a:t>
                </a:r>
              </a:p>
            </c:rich>
          </c:tx>
          <c:spPr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3494937812534292E-2"/>
              <c:y val="2.4784991498704171E-2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Men's, </a:t>
                </a:r>
                <a:fld id="{37CC86E8-8901-40CE-AC85-F878D0E6CE07}" type="VALUE">
                  <a:rPr lang="en-US"/>
                  <a:pPr>
                    <a:defRPr/>
                  </a:pPr>
                  <a:t>[VALUE]</a:t>
                </a:fld>
                <a:r>
                  <a:rPr lang="en-US"/>
                  <a:t>, 8%</a:t>
                </a:r>
              </a:p>
            </c:rich>
          </c:tx>
          <c:spPr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7481480485306543E-2"/>
              <c:y val="-5.3650398652998567E-2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Women's, </a:t>
                </a:r>
                <a:fld id="{194293DD-087D-439A-AB7C-580BE3F79F26}" type="VALUE">
                  <a:rPr lang="en-US"/>
                  <a:pPr>
                    <a:defRPr/>
                  </a:pPr>
                  <a:t>[VALUE]</a:t>
                </a:fld>
                <a:r>
                  <a:rPr lang="en-US"/>
                  <a:t>, %10</a:t>
                </a:r>
              </a:p>
            </c:rich>
          </c:tx>
          <c:spPr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'Department,Commission'!$B$14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13-4484-97C0-B90B0D8549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13-4484-97C0-B90B0D8549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13-4484-97C0-B90B0D8549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13-4484-97C0-B90B0D8549D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C13-4484-97C0-B90B0D8549D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C13-4484-97C0-B90B0D8549D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C13-4484-97C0-B90B0D8549DE}"/>
              </c:ext>
            </c:extLst>
          </c:dPt>
          <c:dLbls>
            <c:dLbl>
              <c:idx val="0"/>
              <c:layout>
                <c:manualLayout>
                  <c:x val="-0.15306928125292665"/>
                  <c:y val="-0.1652249010110849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Furniture, </a:t>
                    </a:r>
                    <a:fld id="{946B28AA-9B9A-4493-999F-E01F56F7FCB6}" type="VALUE">
                      <a:rPr lang="en-US"/>
                      <a:pPr/>
                      <a:t>[VALUE]</a:t>
                    </a:fld>
                    <a:r>
                      <a:rPr lang="en-US"/>
                      <a:t>, 60%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C13-4484-97C0-B90B0D8549DE}"/>
                </c:ext>
              </c:extLst>
            </c:dLbl>
            <c:dLbl>
              <c:idx val="1"/>
              <c:layout>
                <c:manualLayout>
                  <c:x val="3.7481480485306543E-2"/>
                  <c:y val="-5.365039865299856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Women's, </a:t>
                    </a:r>
                    <a:fld id="{194293DD-087D-439A-AB7C-580BE3F79F26}" type="VALUE">
                      <a:rPr lang="en-US"/>
                      <a:pPr/>
                      <a:t>[VALUE]</a:t>
                    </a:fld>
                    <a:r>
                      <a:rPr lang="en-US"/>
                      <a:t>, %10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C13-4484-97C0-B90B0D8549DE}"/>
                </c:ext>
              </c:extLst>
            </c:dLbl>
            <c:dLbl>
              <c:idx val="2"/>
              <c:layout>
                <c:manualLayout>
                  <c:x val="3.3494937812534292E-2"/>
                  <c:y val="2.478499149870417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Men's, </a:t>
                    </a:r>
                    <a:fld id="{37CC86E8-8901-40CE-AC85-F878D0E6CE07}" type="VALUE">
                      <a:rPr lang="en-US"/>
                      <a:pPr/>
                      <a:t>[VALUE]</a:t>
                    </a:fld>
                    <a:r>
                      <a:rPr lang="en-US"/>
                      <a:t>, 8%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C13-4484-97C0-B90B0D8549DE}"/>
                </c:ext>
              </c:extLst>
            </c:dLbl>
            <c:dLbl>
              <c:idx val="3"/>
              <c:layout>
                <c:manualLayout>
                  <c:x val="5.2462843297448596E-2"/>
                  <c:y val="4.7090988626421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Linens, </a:t>
                    </a:r>
                    <a:fld id="{7027BCF8-978D-4B1D-9A3A-C834876F9D2D}" type="VALUE">
                      <a:rPr lang="en-US"/>
                      <a:pPr/>
                      <a:t>[VALUE]</a:t>
                    </a:fld>
                    <a:r>
                      <a:rPr lang="en-US"/>
                      <a:t>, 8%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FC13-4484-97C0-B90B0D8549DE}"/>
                </c:ext>
              </c:extLst>
            </c:dLbl>
            <c:dLbl>
              <c:idx val="4"/>
              <c:layout>
                <c:manualLayout>
                  <c:x val="1.6889797400431665E-2"/>
                  <c:y val="4.333019693293055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Children's, </a:t>
                    </a:r>
                    <a:fld id="{00A083B5-0D32-45A6-B295-CBEEA74F7ADF}" type="VALUE">
                      <a:rPr lang="en-US"/>
                      <a:pPr/>
                      <a:t>[VALUE]</a:t>
                    </a:fld>
                    <a:r>
                      <a:rPr lang="en-US"/>
                      <a:t>, 6%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FC13-4484-97C0-B90B0D8549DE}"/>
                </c:ext>
              </c:extLst>
            </c:dLbl>
            <c:dLbl>
              <c:idx val="5"/>
              <c:layout>
                <c:manualLayout>
                  <c:x val="-3.0533384437107618E-3"/>
                  <c:y val="2.051453473976130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Housewares, </a:t>
                    </a:r>
                    <a:fld id="{1EAAAC4E-91EC-473C-BEAB-05364CA90455}" type="VALUE">
                      <a:rPr lang="en-US"/>
                      <a:pPr/>
                      <a:t>[VALUE]</a:t>
                    </a:fld>
                    <a:r>
                      <a:rPr lang="en-US"/>
                      <a:t>,</a:t>
                    </a:r>
                    <a:r>
                      <a:rPr lang="en-US" baseline="0"/>
                      <a:t> 4%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706827309236944"/>
                      <c:h val="7.8180039138943253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FC13-4484-97C0-B90B0D8549DE}"/>
                </c:ext>
              </c:extLst>
            </c:dLbl>
            <c:dLbl>
              <c:idx val="6"/>
              <c:layout>
                <c:manualLayout>
                  <c:x val="6.1518521756087068E-2"/>
                  <c:y val="2.719032172865181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Cosmetics,</a:t>
                    </a:r>
                    <a:r>
                      <a:rPr lang="en-US" baseline="0"/>
                      <a:t> </a:t>
                    </a:r>
                    <a:fld id="{D2B56602-8BE0-4008-9CC4-D2FAB06D1AC7}" type="VALUE">
                      <a:rPr lang="en-US"/>
                      <a:pPr/>
                      <a:t>[VALUE]</a:t>
                    </a:fld>
                    <a:r>
                      <a:rPr lang="en-US"/>
                      <a:t>, 4%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FC13-4484-97C0-B90B0D8549DE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'Department,Commission'!$A$15:$A$22</c:f>
              <c:strCache>
                <c:ptCount val="7"/>
                <c:pt idx="0">
                  <c:v>Furniture</c:v>
                </c:pt>
                <c:pt idx="1">
                  <c:v>Women's</c:v>
                </c:pt>
                <c:pt idx="2">
                  <c:v>Men's</c:v>
                </c:pt>
                <c:pt idx="3">
                  <c:v>Linens</c:v>
                </c:pt>
                <c:pt idx="4">
                  <c:v>Children's</c:v>
                </c:pt>
                <c:pt idx="5">
                  <c:v>Housewares</c:v>
                </c:pt>
                <c:pt idx="6">
                  <c:v>Cosmetics</c:v>
                </c:pt>
              </c:strCache>
            </c:strRef>
          </c:cat>
          <c:val>
            <c:numRef>
              <c:f>'Department,Commission'!$B$15:$B$22</c:f>
              <c:numCache>
                <c:formatCode>_("$"* #,##0.00_);_("$"* \(#,##0.00\);_("$"* "-"??_);_(@_)</c:formatCode>
                <c:ptCount val="7"/>
                <c:pt idx="0">
                  <c:v>5408.0689000000002</c:v>
                </c:pt>
                <c:pt idx="1">
                  <c:v>929.08184999999992</c:v>
                </c:pt>
                <c:pt idx="2">
                  <c:v>766.61348999999996</c:v>
                </c:pt>
                <c:pt idx="3">
                  <c:v>715.33865000000003</c:v>
                </c:pt>
                <c:pt idx="4">
                  <c:v>534.01245000000006</c:v>
                </c:pt>
                <c:pt idx="5">
                  <c:v>376.06439999999998</c:v>
                </c:pt>
                <c:pt idx="6">
                  <c:v>344.09324999999995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C13-4484-97C0-B90B0D854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[Madison's Department Store.xlsx]Representative's Sales Depart!PivotTable1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Madison's</a:t>
            </a:r>
            <a:r>
              <a:rPr lang="en-US" baseline="0"/>
              <a:t> Department Store</a:t>
            </a:r>
          </a:p>
          <a:p>
            <a:pPr>
              <a:defRPr/>
            </a:pPr>
            <a:r>
              <a:rPr lang="en-US" baseline="0"/>
              <a:t>Representatives Sales by Department</a:t>
            </a:r>
          </a:p>
          <a:p>
            <a:pPr>
              <a:defRPr/>
            </a:pPr>
            <a:r>
              <a:rPr lang="en-US" baseline="0"/>
              <a:t>Men's</a:t>
            </a:r>
            <a:endParaRPr lang="en-US"/>
          </a:p>
        </c:rich>
      </c:tx>
      <c:layout>
        <c:manualLayout>
          <c:xMode val="edge"/>
          <c:yMode val="edge"/>
          <c:x val="0.37843302407296331"/>
          <c:y val="6.452474023961798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6.1798155497985764E-2"/>
              <c:y val="-2.0052045414664581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Carmen</a:t>
                </a:r>
                <a:r>
                  <a:rPr lang="en-US" b="1" baseline="0"/>
                  <a:t> Montague, </a:t>
                </a:r>
                <a:fld id="{0ED9FFAC-1F35-4077-86EA-25CC9F15E891}" type="VALUE">
                  <a:rPr lang="en-US" b="1"/>
                  <a:pPr>
                    <a:defRPr/>
                  </a:pPr>
                  <a:t>[VALUE]</a:t>
                </a:fld>
                <a:r>
                  <a:rPr lang="en-US" b="1"/>
                  <a:t>, </a:t>
                </a:r>
              </a:p>
              <a:p>
                <a:pPr>
                  <a:defRPr/>
                </a:pPr>
                <a:r>
                  <a:rPr lang="en-US" b="1"/>
                  <a:t>4.5%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0.15088970263908358"/>
              <c:y val="7.5792067217013911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Donny Walker, </a:t>
                </a:r>
                <a:fld id="{2486C0F2-D8AB-47E9-910B-2E4D987FA297}" type="VALUE">
                  <a:rPr lang="en-US" b="1"/>
                  <a:pPr>
                    <a:defRPr/>
                  </a:pPr>
                  <a:t>[VALUE]</a:t>
                </a:fld>
                <a:r>
                  <a:rPr lang="en-US" b="1"/>
                  <a:t>, </a:t>
                </a:r>
              </a:p>
              <a:p>
                <a:pPr>
                  <a:defRPr/>
                </a:pPr>
                <a:r>
                  <a:rPr lang="en-US" b="1"/>
                  <a:t>14.7%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Johnny Rodman, </a:t>
                </a:r>
                <a:fld id="{BEF2066D-05A3-453C-A114-F4166752E214}" type="VALUE">
                  <a:rPr lang="en-US" b="1"/>
                  <a:pPr>
                    <a:defRPr/>
                  </a:pPr>
                  <a:t>[VALUE]</a:t>
                </a:fld>
                <a:r>
                  <a:rPr lang="en-US" b="1"/>
                  <a:t>, </a:t>
                </a:r>
              </a:p>
              <a:p>
                <a:pPr>
                  <a:defRPr/>
                </a:pPr>
                <a:r>
                  <a:rPr lang="en-US" b="1"/>
                  <a:t>8.1%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Joshua Allbaugh, </a:t>
                </a:r>
                <a:fld id="{EA240E7F-A5DD-47C3-B623-F589F35AFA18}" type="VALUE">
                  <a:rPr lang="en-US" b="1"/>
                  <a:pPr>
                    <a:defRPr/>
                  </a:pPr>
                  <a:t>[VALUE]</a:t>
                </a:fld>
                <a:r>
                  <a:rPr lang="en-US" b="1"/>
                  <a:t>,</a:t>
                </a:r>
              </a:p>
              <a:p>
                <a:pPr>
                  <a:defRPr/>
                </a:pPr>
                <a:r>
                  <a:rPr lang="en-US" b="1"/>
                  <a:t>14.1%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5.5642062005144481E-2"/>
              <c:y val="-0.24333647023320271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Levitica</a:t>
                </a:r>
                <a:r>
                  <a:rPr lang="en-US" b="1" baseline="0"/>
                  <a:t> Monac, </a:t>
                </a:r>
                <a:fld id="{69B709F1-E0A8-4706-AEFA-79FB32D68DB4}" type="VALUE">
                  <a:rPr lang="en-US" b="1"/>
                  <a:pPr>
                    <a:defRPr/>
                  </a:pPr>
                  <a:t>[VALUE]</a:t>
                </a:fld>
                <a:r>
                  <a:rPr lang="en-US" b="1"/>
                  <a:t>, </a:t>
                </a:r>
              </a:p>
              <a:p>
                <a:pPr>
                  <a:defRPr/>
                </a:pPr>
                <a:r>
                  <a:rPr lang="en-US" b="1"/>
                  <a:t>20.3%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2.3603159214083271E-2"/>
              <c:y val="1.658903832179837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Luciano Picazo, </a:t>
                </a:r>
                <a:fld id="{4302DD19-7690-4ADE-8B72-72BFE47CE60C}" type="VALUE">
                  <a:rPr lang="en-US" b="1"/>
                  <a:pPr>
                    <a:defRPr/>
                  </a:pPr>
                  <a:t>[VALUE]</a:t>
                </a:fld>
                <a:r>
                  <a:rPr lang="en-US" b="1"/>
                  <a:t>, </a:t>
                </a:r>
              </a:p>
              <a:p>
                <a:pPr>
                  <a:defRPr/>
                </a:pPr>
                <a:r>
                  <a:rPr lang="en-US" b="1"/>
                  <a:t>3.8%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8"/>
        <c:spPr>
          <a:solidFill>
            <a:schemeClr val="bg2">
              <a:lumMod val="5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Monica Ruaz, </a:t>
                </a:r>
                <a:fld id="{8CA83ADF-FC8F-46CD-8300-346AF1880EC9}" type="VALUE">
                  <a:rPr lang="en-US" b="1"/>
                  <a:pPr>
                    <a:defRPr/>
                  </a:pPr>
                  <a:t>[VALUE]</a:t>
                </a:fld>
                <a:r>
                  <a:rPr lang="en-US" b="1"/>
                  <a:t>, </a:t>
                </a:r>
              </a:p>
              <a:p>
                <a:pPr>
                  <a:defRPr/>
                </a:pPr>
                <a:r>
                  <a:rPr lang="en-US" b="1"/>
                  <a:t>14.2%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1.5252357182473655E-2"/>
              <c:y val="-8.714446813664177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Rayundo Deyoe, </a:t>
                </a:r>
                <a:fld id="{DCF50A0A-ECE5-4174-A9D2-3897FB432AFC}" type="VALUE">
                  <a:rPr lang="en-US" b="1"/>
                  <a:pPr>
                    <a:defRPr/>
                  </a:pPr>
                  <a:t>[VALUE]</a:t>
                </a:fld>
                <a:r>
                  <a:rPr lang="en-US" b="1"/>
                  <a:t>,</a:t>
                </a:r>
              </a:p>
              <a:p>
                <a:pPr>
                  <a:defRPr/>
                </a:pPr>
                <a:r>
                  <a:rPr lang="en-US" b="1"/>
                  <a:t> 3.3%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0.11437990488293791"/>
              <c:y val="0.10004943595363741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Robin Bibb, </a:t>
                </a:r>
                <a:fld id="{1490FAB1-C301-45E9-A48B-4B9A0BA2C063}" type="VALUE">
                  <a:rPr lang="en-US" b="1"/>
                  <a:pPr>
                    <a:defRPr/>
                  </a:pPr>
                  <a:t>[VALUE]</a:t>
                </a:fld>
                <a:r>
                  <a:rPr lang="en-US" b="1"/>
                  <a:t>, </a:t>
                </a:r>
              </a:p>
              <a:p>
                <a:pPr>
                  <a:defRPr/>
                </a:pPr>
                <a:r>
                  <a:rPr lang="en-US" b="1"/>
                  <a:t>17.0%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6539789327498788"/>
                  <c:h val="6.5519514296718956E-2"/>
                </c:manualLayout>
              </c15:layout>
              <c15:dlblFieldTable/>
              <c15:showDataLabelsRange val="0"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'Representative''s Sales Depart'!$B$14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C90-4DE8-AF14-34C6A0ADC7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C90-4DE8-AF14-34C6A0ADC7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C90-4DE8-AF14-34C6A0ADC7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C90-4DE8-AF14-34C6A0ADC7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C90-4DE8-AF14-34C6A0ADC76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EC90-4DE8-AF14-34C6A0ADC762}"/>
              </c:ext>
            </c:extLst>
          </c:dPt>
          <c:dPt>
            <c:idx val="6"/>
            <c:bubble3D val="0"/>
            <c:spPr>
              <a:solidFill>
                <a:schemeClr val="bg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EC90-4DE8-AF14-34C6A0ADC76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EC90-4DE8-AF14-34C6A0ADC76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EC90-4DE8-AF14-34C6A0ADC762}"/>
              </c:ext>
            </c:extLst>
          </c:dPt>
          <c:dLbls>
            <c:dLbl>
              <c:idx val="0"/>
              <c:layout>
                <c:manualLayout>
                  <c:x val="-6.1798155497985764E-2"/>
                  <c:y val="-2.0052045414664581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Carmen</a:t>
                    </a:r>
                    <a:r>
                      <a:rPr lang="en-US" b="1" baseline="0"/>
                      <a:t> Montague, </a:t>
                    </a:r>
                    <a:fld id="{0ED9FFAC-1F35-4077-86EA-25CC9F15E891}" type="VALUE">
                      <a:rPr lang="en-US" b="1"/>
                      <a:pPr/>
                      <a:t>[VALUE]</a:t>
                    </a:fld>
                    <a:r>
                      <a:rPr lang="en-US" b="1"/>
                      <a:t>, </a:t>
                    </a:r>
                  </a:p>
                  <a:p>
                    <a:r>
                      <a:rPr lang="en-US" b="1"/>
                      <a:t>4.5%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C90-4DE8-AF14-34C6A0ADC762}"/>
                </c:ext>
              </c:extLst>
            </c:dLbl>
            <c:dLbl>
              <c:idx val="1"/>
              <c:layout>
                <c:manualLayout>
                  <c:x val="-0.15088970263908358"/>
                  <c:y val="7.5792067217013911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Donny Walker, </a:t>
                    </a:r>
                    <a:fld id="{2486C0F2-D8AB-47E9-910B-2E4D987FA297}" type="VALUE">
                      <a:rPr lang="en-US" b="1"/>
                      <a:pPr/>
                      <a:t>[VALUE]</a:t>
                    </a:fld>
                    <a:r>
                      <a:rPr lang="en-US" b="1"/>
                      <a:t>, </a:t>
                    </a:r>
                  </a:p>
                  <a:p>
                    <a:r>
                      <a:rPr lang="en-US" b="1"/>
                      <a:t>14.7%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C90-4DE8-AF14-34C6A0ADC76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b="1"/>
                      <a:t>Johnny Rodman, </a:t>
                    </a:r>
                    <a:fld id="{BEF2066D-05A3-453C-A114-F4166752E214}" type="VALUE">
                      <a:rPr lang="en-US" b="1"/>
                      <a:pPr/>
                      <a:t>[VALUE]</a:t>
                    </a:fld>
                    <a:r>
                      <a:rPr lang="en-US" b="1"/>
                      <a:t>, </a:t>
                    </a:r>
                  </a:p>
                  <a:p>
                    <a:r>
                      <a:rPr lang="en-US" b="1"/>
                      <a:t>8.1%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EC90-4DE8-AF14-34C6A0ADC76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b="1"/>
                      <a:t>Joshua Allbaugh, </a:t>
                    </a:r>
                    <a:fld id="{EA240E7F-A5DD-47C3-B623-F589F35AFA18}" type="VALUE">
                      <a:rPr lang="en-US" b="1"/>
                      <a:pPr/>
                      <a:t>[VALUE]</a:t>
                    </a:fld>
                    <a:r>
                      <a:rPr lang="en-US" b="1"/>
                      <a:t>,</a:t>
                    </a:r>
                  </a:p>
                  <a:p>
                    <a:r>
                      <a:rPr lang="en-US" b="1"/>
                      <a:t>14.1%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EC90-4DE8-AF14-34C6A0ADC762}"/>
                </c:ext>
              </c:extLst>
            </c:dLbl>
            <c:dLbl>
              <c:idx val="4"/>
              <c:layout>
                <c:manualLayout>
                  <c:x val="5.5642062005144481E-2"/>
                  <c:y val="-0.24333647023320271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Levitica</a:t>
                    </a:r>
                    <a:r>
                      <a:rPr lang="en-US" b="1" baseline="0"/>
                      <a:t> Monac, </a:t>
                    </a:r>
                    <a:fld id="{69B709F1-E0A8-4706-AEFA-79FB32D68DB4}" type="VALUE">
                      <a:rPr lang="en-US" b="1"/>
                      <a:pPr/>
                      <a:t>[VALUE]</a:t>
                    </a:fld>
                    <a:r>
                      <a:rPr lang="en-US" b="1"/>
                      <a:t>, </a:t>
                    </a:r>
                  </a:p>
                  <a:p>
                    <a:r>
                      <a:rPr lang="en-US" b="1"/>
                      <a:t>20.3%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EC90-4DE8-AF14-34C6A0ADC762}"/>
                </c:ext>
              </c:extLst>
            </c:dLbl>
            <c:dLbl>
              <c:idx val="5"/>
              <c:layout>
                <c:manualLayout>
                  <c:x val="-2.3603159214083271E-2"/>
                  <c:y val="1.658903832179837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Luciano Picazo, </a:t>
                    </a:r>
                    <a:fld id="{4302DD19-7690-4ADE-8B72-72BFE47CE60C}" type="VALUE">
                      <a:rPr lang="en-US" b="1"/>
                      <a:pPr/>
                      <a:t>[VALUE]</a:t>
                    </a:fld>
                    <a:r>
                      <a:rPr lang="en-US" b="1"/>
                      <a:t>, </a:t>
                    </a:r>
                  </a:p>
                  <a:p>
                    <a:r>
                      <a:rPr lang="en-US" b="1"/>
                      <a:t>3.8%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EC90-4DE8-AF14-34C6A0ADC76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 b="1"/>
                      <a:t>Monica Ruaz, </a:t>
                    </a:r>
                    <a:fld id="{8CA83ADF-FC8F-46CD-8300-346AF1880EC9}" type="VALUE">
                      <a:rPr lang="en-US" b="1"/>
                      <a:pPr/>
                      <a:t>[VALUE]</a:t>
                    </a:fld>
                    <a:r>
                      <a:rPr lang="en-US" b="1"/>
                      <a:t>, </a:t>
                    </a:r>
                  </a:p>
                  <a:p>
                    <a:r>
                      <a:rPr lang="en-US" b="1"/>
                      <a:t>14.2%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EC90-4DE8-AF14-34C6A0ADC762}"/>
                </c:ext>
              </c:extLst>
            </c:dLbl>
            <c:dLbl>
              <c:idx val="7"/>
              <c:layout>
                <c:manualLayout>
                  <c:x val="1.5252357182473655E-2"/>
                  <c:y val="-8.714446813664177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Rayundo Deyoe, </a:t>
                    </a:r>
                    <a:fld id="{DCF50A0A-ECE5-4174-A9D2-3897FB432AFC}" type="VALUE">
                      <a:rPr lang="en-US" b="1"/>
                      <a:pPr/>
                      <a:t>[VALUE]</a:t>
                    </a:fld>
                    <a:r>
                      <a:rPr lang="en-US" b="1"/>
                      <a:t>,</a:t>
                    </a:r>
                  </a:p>
                  <a:p>
                    <a:r>
                      <a:rPr lang="en-US" b="1"/>
                      <a:t> 3.3%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EC90-4DE8-AF14-34C6A0ADC762}"/>
                </c:ext>
              </c:extLst>
            </c:dLbl>
            <c:dLbl>
              <c:idx val="8"/>
              <c:layout>
                <c:manualLayout>
                  <c:x val="0.11437990488293791"/>
                  <c:y val="0.1000494359536374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/>
                      <a:t>Robin Bibb, </a:t>
                    </a:r>
                    <a:fld id="{1490FAB1-C301-45E9-A48B-4B9A0BA2C063}" type="VALUE">
                      <a:rPr lang="en-US" b="1"/>
                      <a:pPr>
                        <a:defRPr/>
                      </a:pPr>
                      <a:t>[VALUE]</a:t>
                    </a:fld>
                    <a:r>
                      <a:rPr lang="en-US" b="1"/>
                      <a:t>, </a:t>
                    </a:r>
                  </a:p>
                  <a:p>
                    <a:pPr>
                      <a:defRPr/>
                    </a:pPr>
                    <a:r>
                      <a:rPr lang="en-US" b="1"/>
                      <a:t>17.0%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539789327498788"/>
                      <c:h val="6.551951429671895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EC90-4DE8-AF14-34C6A0ADC7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'Representative''s Sales Depart'!$A$15:$A$33</c:f>
              <c:multiLvlStrCache>
                <c:ptCount val="9"/>
                <c:lvl>
                  <c:pt idx="0">
                    <c:v>Montague</c:v>
                  </c:pt>
                  <c:pt idx="1">
                    <c:v>Walker</c:v>
                  </c:pt>
                  <c:pt idx="2">
                    <c:v>Rodman</c:v>
                  </c:pt>
                  <c:pt idx="3">
                    <c:v>Allbaugh</c:v>
                  </c:pt>
                  <c:pt idx="4">
                    <c:v>Monac</c:v>
                  </c:pt>
                  <c:pt idx="5">
                    <c:v>Picazo</c:v>
                  </c:pt>
                  <c:pt idx="6">
                    <c:v>Ruaz</c:v>
                  </c:pt>
                  <c:pt idx="7">
                    <c:v>Deyoe</c:v>
                  </c:pt>
                  <c:pt idx="8">
                    <c:v>Bibb</c:v>
                  </c:pt>
                </c:lvl>
                <c:lvl>
                  <c:pt idx="0">
                    <c:v>Carmen</c:v>
                  </c:pt>
                  <c:pt idx="1">
                    <c:v>Donny</c:v>
                  </c:pt>
                  <c:pt idx="2">
                    <c:v>Johnny</c:v>
                  </c:pt>
                  <c:pt idx="3">
                    <c:v>Joshua</c:v>
                  </c:pt>
                  <c:pt idx="4">
                    <c:v>Levitica</c:v>
                  </c:pt>
                  <c:pt idx="5">
                    <c:v>Luciano</c:v>
                  </c:pt>
                  <c:pt idx="6">
                    <c:v>Monica</c:v>
                  </c:pt>
                  <c:pt idx="7">
                    <c:v>Rayundo</c:v>
                  </c:pt>
                  <c:pt idx="8">
                    <c:v>Robin</c:v>
                  </c:pt>
                </c:lvl>
              </c:multiLvlStrCache>
            </c:multiLvlStrRef>
          </c:cat>
          <c:val>
            <c:numRef>
              <c:f>'Representative''s Sales Depart'!$B$15:$B$33</c:f>
              <c:numCache>
                <c:formatCode>_("$"* #,##0.00_);_("$"* \(#,##0.00\);_("$"* "-"??_);_(@_)</c:formatCode>
                <c:ptCount val="9"/>
                <c:pt idx="0">
                  <c:v>3420.68</c:v>
                </c:pt>
                <c:pt idx="1">
                  <c:v>11180</c:v>
                </c:pt>
                <c:pt idx="2">
                  <c:v>6161.32</c:v>
                </c:pt>
                <c:pt idx="3">
                  <c:v>10730.69</c:v>
                </c:pt>
                <c:pt idx="4">
                  <c:v>15463.781999999999</c:v>
                </c:pt>
                <c:pt idx="5">
                  <c:v>2900.73</c:v>
                </c:pt>
                <c:pt idx="6">
                  <c:v>10832.800000000001</c:v>
                </c:pt>
                <c:pt idx="7">
                  <c:v>2549.7599999999998</c:v>
                </c:pt>
                <c:pt idx="8">
                  <c:v>12972.86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C90-4DE8-AF14-34C6A0ADC76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388620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15240</xdr:rowOff>
    </xdr:from>
    <xdr:to>
      <xdr:col>15</xdr:col>
      <xdr:colOff>259080</xdr:colOff>
      <xdr:row>32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opy%20of%20Madison_student_input%20(version%201).xlsb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Copy%20of%20Madison_student_input%2023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Copy%20of%20Madison_student_input%2023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Copy%20of%20Madison_student_input%2023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microsoft.com/office/2006/relationships/xlExternalLinkPath/xlPathMissing" Target="Copy%20of%20Madison_student_input%2023.xlsx" TargetMode="External"/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2999.732110300924" createdVersion="5" refreshedVersion="5" minRefreshableVersion="3" recordCount="52" xr:uid="{00000000-000A-0000-FFFF-FFFF00000000}">
  <cacheSource type="worksheet">
    <worksheetSource ref="A9:L61" sheet="Weekly Report" r:id="rId2"/>
  </cacheSource>
  <cacheFields count="12">
    <cacheField name="Last Name" numFmtId="0">
      <sharedItems count="52">
        <s v="Allbaugh"/>
        <s v="Bibb"/>
        <s v="Blake"/>
        <s v="Bolyard"/>
        <s v="Bourque"/>
        <s v="Craddock"/>
        <s v="Cronk"/>
        <s v="Crouse"/>
        <s v="Deyoe"/>
        <s v="Duarte"/>
        <s v="Dubben"/>
        <s v="Duck"/>
        <s v="Fetchik"/>
        <s v="Fiddes"/>
        <s v="Freeman"/>
        <s v="Gauger"/>
        <s v="Harpole"/>
        <s v="Hauch"/>
        <s v="Henning"/>
        <s v="Hornbeek"/>
        <s v="Huang"/>
        <s v="Hughes"/>
        <s v="Hulsman"/>
        <s v="Jwang"/>
        <s v="Ketakea"/>
        <s v="Lax"/>
        <s v="Lenfestey"/>
        <s v="Lessert"/>
        <s v="Mallouf"/>
        <s v="Mazza"/>
        <s v="McMath"/>
        <s v="Monac"/>
        <s v="Montague"/>
        <s v="Nigel"/>
        <s v="Picazo"/>
        <s v="Plumbtree"/>
        <s v="Pomales"/>
        <s v="Pomura"/>
        <s v="Porterfield"/>
        <s v="Reyes"/>
        <s v="Rodman"/>
        <s v="Roselius"/>
        <s v="Ruaz"/>
        <s v="Schoemann"/>
        <s v="Stanton"/>
        <s v="Stephens"/>
        <s v="Stone"/>
        <s v="Vandrey"/>
        <s v="Walker"/>
        <s v="Watts"/>
        <s v="Wilson"/>
        <s v="Yu"/>
      </sharedItems>
    </cacheField>
    <cacheField name="First Name" numFmtId="0">
      <sharedItems count="49">
        <s v="Joshua"/>
        <s v="Robin"/>
        <s v="Barney"/>
        <s v="Pat"/>
        <s v="Elizabeth"/>
        <s v="David"/>
        <s v="June"/>
        <s v="Aleta"/>
        <s v="Rayundo"/>
        <s v="Shawn"/>
        <s v="Pamela"/>
        <s v="Kelee"/>
        <s v="Vearl"/>
        <s v="Rick"/>
        <s v="Jerry"/>
        <s v="Samone"/>
        <s v="Frank"/>
        <s v="Joann"/>
        <s v="Patricia"/>
        <s v="Kent"/>
        <s v="Woody"/>
        <s v="Russell"/>
        <s v="Buyung"/>
        <s v="Loraine"/>
        <s v="Rafael"/>
        <s v="Kionna"/>
        <s v="Linda"/>
        <s v="Pedro"/>
        <s v="Olivia"/>
        <s v="Levitica"/>
        <s v="Carmen"/>
        <s v="Emmett"/>
        <s v="Luciano"/>
        <s v="Leslie"/>
        <s v="Oseas"/>
        <s v="Joaquin"/>
        <s v="Jimmy"/>
        <s v="Rayna"/>
        <s v="Johnny"/>
        <s v="Reginald"/>
        <s v="Monica"/>
        <s v="Dale"/>
        <s v="Catrina"/>
        <s v="Lacretia"/>
        <s v="Yvonne"/>
        <s v="Donny"/>
        <s v="Kelly"/>
        <s v="Jay"/>
        <s v="William"/>
      </sharedItems>
    </cacheField>
    <cacheField name="Classification" numFmtId="0">
      <sharedItems count="5">
        <s v="AM"/>
        <s v="PT2"/>
        <s v="S2"/>
        <s v="PT1"/>
        <s v="S1"/>
      </sharedItems>
    </cacheField>
    <cacheField name="Department" numFmtId="0">
      <sharedItems count="7">
        <s v="Men's"/>
        <s v="Cosmetics"/>
        <s v="Housewares"/>
        <s v="Linens"/>
        <s v="Furniture"/>
        <s v="Children's"/>
        <s v="Women's"/>
      </sharedItems>
    </cacheField>
    <cacheField name="Sales" numFmtId="44">
      <sharedItems containsSemiMixedTypes="0" containsString="0" containsNumber="1" minValue="2549.7599999999998" maxValue="59984.310000000005"/>
    </cacheField>
    <cacheField name="Hours Worked" numFmtId="0">
      <sharedItems containsSemiMixedTypes="0" containsString="0" containsNumber="1" containsInteger="1" minValue="13" maxValue="40"/>
    </cacheField>
    <cacheField name="Base Pay" numFmtId="44">
      <sharedItems containsSemiMixedTypes="0" containsString="0" containsNumber="1" minValue="136.5" maxValue="940"/>
    </cacheField>
    <cacheField name="Commission" numFmtId="165">
      <sharedItems containsSemiMixedTypes="0" containsString="0" containsNumber="1" minValue="2.8064999999999998" maxValue="1520.5254"/>
    </cacheField>
    <cacheField name="Gross Pay" numFmtId="44">
      <sharedItems containsSemiMixedTypes="0" containsString="0" containsNumber="1" minValue="148.99760000000001" maxValue="2460.5254"/>
    </cacheField>
    <cacheField name="Quota Met?" numFmtId="0">
      <sharedItems containsSemiMixedTypes="0" containsString="0" containsNumber="1" containsInteger="1" minValue="1" maxValue="6"/>
    </cacheField>
    <cacheField name="Worked Today" numFmtId="0">
      <sharedItems containsSemiMixedTypes="0" containsString="0" containsNumber="1" containsInteger="1" minValue="3" maxValue="7"/>
    </cacheField>
    <cacheField name="Quota Average" numFmtId="10">
      <sharedItems containsSemiMixedTypes="0" containsString="0" containsNumber="1" minValue="0.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2999.901480671295" createdVersion="5" refreshedVersion="5" minRefreshableVersion="3" recordCount="52" xr:uid="{00000000-000A-0000-FFFF-FFFF01000000}">
  <cacheSource type="worksheet">
    <worksheetSource ref="A9:L61" sheet="Weekly Report" r:id="rId2"/>
  </cacheSource>
  <cacheFields count="12">
    <cacheField name="Last Name" numFmtId="0">
      <sharedItems count="52">
        <s v="Allbaugh"/>
        <s v="Bibb"/>
        <s v="Blake"/>
        <s v="Bolyard"/>
        <s v="Bourque"/>
        <s v="Craddock"/>
        <s v="Cronk"/>
        <s v="Crouse"/>
        <s v="Deyoe"/>
        <s v="Duarte"/>
        <s v="Dubben"/>
        <s v="Duck"/>
        <s v="Fetchik"/>
        <s v="Fiddes"/>
        <s v="Freeman"/>
        <s v="Gauger"/>
        <s v="Harpole"/>
        <s v="Hauch"/>
        <s v="Henning"/>
        <s v="Hornbeek"/>
        <s v="Huang"/>
        <s v="Hughes"/>
        <s v="Hulsman"/>
        <s v="Jwang"/>
        <s v="Ketakea"/>
        <s v="Lax"/>
        <s v="Lenfestey"/>
        <s v="Lessert"/>
        <s v="Mallouf"/>
        <s v="Mazza"/>
        <s v="McMath"/>
        <s v="Monac"/>
        <s v="Montague"/>
        <s v="Nigel"/>
        <s v="Picazo"/>
        <s v="Plumbtree"/>
        <s v="Pomales"/>
        <s v="Pomura"/>
        <s v="Porterfield"/>
        <s v="Reyes"/>
        <s v="Rodman"/>
        <s v="Roselius"/>
        <s v="Ruaz"/>
        <s v="Schoemann"/>
        <s v="Stanton"/>
        <s v="Stephens"/>
        <s v="Stone"/>
        <s v="Vandrey"/>
        <s v="Walker"/>
        <s v="Watts"/>
        <s v="Wilson"/>
        <s v="Yu"/>
      </sharedItems>
    </cacheField>
    <cacheField name="First Name" numFmtId="0">
      <sharedItems count="49">
        <s v="Joshua"/>
        <s v="Robin"/>
        <s v="Barney"/>
        <s v="Pat"/>
        <s v="Elizabeth"/>
        <s v="David"/>
        <s v="June"/>
        <s v="Aleta"/>
        <s v="Rayundo"/>
        <s v="Shawn"/>
        <s v="Pamela"/>
        <s v="Kelee"/>
        <s v="Vearl"/>
        <s v="Rick"/>
        <s v="Jerry"/>
        <s v="Samone"/>
        <s v="Frank"/>
        <s v="Joann"/>
        <s v="Patricia"/>
        <s v="Kent"/>
        <s v="Woody"/>
        <s v="Russell"/>
        <s v="Buyung"/>
        <s v="Loraine"/>
        <s v="Rafael"/>
        <s v="Kionna"/>
        <s v="Linda"/>
        <s v="Pedro"/>
        <s v="Olivia"/>
        <s v="Levitica"/>
        <s v="Carmen"/>
        <s v="Emmett"/>
        <s v="Luciano"/>
        <s v="Leslie"/>
        <s v="Oseas"/>
        <s v="Joaquin"/>
        <s v="Jimmy"/>
        <s v="Rayna"/>
        <s v="Johnny"/>
        <s v="Reginald"/>
        <s v="Monica"/>
        <s v="Dale"/>
        <s v="Catrina"/>
        <s v="Lacretia"/>
        <s v="Yvonne"/>
        <s v="Donny"/>
        <s v="Kelly"/>
        <s v="Jay"/>
        <s v="William"/>
      </sharedItems>
    </cacheField>
    <cacheField name="Classification" numFmtId="0">
      <sharedItems/>
    </cacheField>
    <cacheField name="Department" numFmtId="0">
      <sharedItems count="7">
        <s v="Men's"/>
        <s v="Cosmetics"/>
        <s v="Housewares"/>
        <s v="Linens"/>
        <s v="Furniture"/>
        <s v="Children's"/>
        <s v="Women's"/>
      </sharedItems>
    </cacheField>
    <cacheField name="Sales" numFmtId="44">
      <sharedItems containsSemiMixedTypes="0" containsString="0" containsNumber="1" minValue="2549.7599999999998" maxValue="59984.310000000005"/>
    </cacheField>
    <cacheField name="Hours Worked" numFmtId="0">
      <sharedItems containsSemiMixedTypes="0" containsString="0" containsNumber="1" containsInteger="1" minValue="13" maxValue="40"/>
    </cacheField>
    <cacheField name="Base Pay" numFmtId="44">
      <sharedItems containsSemiMixedTypes="0" containsString="0" containsNumber="1" minValue="136.5" maxValue="940"/>
    </cacheField>
    <cacheField name="Commission" numFmtId="165">
      <sharedItems containsSemiMixedTypes="0" containsString="0" containsNumber="1" minValue="2.8064999999999998" maxValue="1520.5254"/>
    </cacheField>
    <cacheField name="Gross Pay" numFmtId="44">
      <sharedItems containsSemiMixedTypes="0" containsString="0" containsNumber="1" minValue="148.99760000000001" maxValue="2460.5254"/>
    </cacheField>
    <cacheField name="Quota Met?" numFmtId="0">
      <sharedItems containsSemiMixedTypes="0" containsString="0" containsNumber="1" containsInteger="1" minValue="1" maxValue="6"/>
    </cacheField>
    <cacheField name="Worked Today" numFmtId="0">
      <sharedItems containsSemiMixedTypes="0" containsString="0" containsNumber="1" containsInteger="1" minValue="3" maxValue="7"/>
    </cacheField>
    <cacheField name="Quota Average" numFmtId="10">
      <sharedItems containsSemiMixedTypes="0" containsString="0" containsNumber="1" minValue="0.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000.642162847224" createdVersion="5" refreshedVersion="5" minRefreshableVersion="3" recordCount="52" xr:uid="{00000000-000A-0000-FFFF-FFFF02000000}">
  <cacheSource type="worksheet">
    <worksheetSource ref="A9:L61" sheet="Weekly Report" r:id="rId2"/>
  </cacheSource>
  <cacheFields count="12">
    <cacheField name="Last Name" numFmtId="0">
      <sharedItems count="52">
        <s v="Allbaugh"/>
        <s v="Bibb"/>
        <s v="Blake"/>
        <s v="Bolyard"/>
        <s v="Bourque"/>
        <s v="Craddock"/>
        <s v="Cronk"/>
        <s v="Crouse"/>
        <s v="Deyoe"/>
        <s v="Duarte"/>
        <s v="Dubben"/>
        <s v="Duck"/>
        <s v="Fetchik"/>
        <s v="Fiddes"/>
        <s v="Freeman"/>
        <s v="Gauger"/>
        <s v="Harpole"/>
        <s v="Hauch"/>
        <s v="Henning"/>
        <s v="Hornbeek"/>
        <s v="Huang"/>
        <s v="Hughes"/>
        <s v="Hulsman"/>
        <s v="Jwang"/>
        <s v="Ketakea"/>
        <s v="Lax"/>
        <s v="Lenfestey"/>
        <s v="Lessert"/>
        <s v="Mallouf"/>
        <s v="Mazza"/>
        <s v="McMath"/>
        <s v="Monac"/>
        <s v="Montague"/>
        <s v="Nigel"/>
        <s v="Picazo"/>
        <s v="Plumbtree"/>
        <s v="Pomales"/>
        <s v="Pomura"/>
        <s v="Porterfield"/>
        <s v="Reyes"/>
        <s v="Rodman"/>
        <s v="Roselius"/>
        <s v="Ruaz"/>
        <s v="Schoemann"/>
        <s v="Stanton"/>
        <s v="Stephens"/>
        <s v="Stone"/>
        <s v="Vandrey"/>
        <s v="Walker"/>
        <s v="Watts"/>
        <s v="Wilson"/>
        <s v="Yu"/>
      </sharedItems>
    </cacheField>
    <cacheField name="First Name" numFmtId="0">
      <sharedItems count="49">
        <s v="Joshua"/>
        <s v="Robin"/>
        <s v="Barney"/>
        <s v="Pat"/>
        <s v="Elizabeth"/>
        <s v="David"/>
        <s v="June"/>
        <s v="Aleta"/>
        <s v="Rayundo"/>
        <s v="Shawn"/>
        <s v="Pamela"/>
        <s v="Kelee"/>
        <s v="Vearl"/>
        <s v="Rick"/>
        <s v="Jerry"/>
        <s v="Samone"/>
        <s v="Frank"/>
        <s v="Joann"/>
        <s v="Patricia"/>
        <s v="Kent"/>
        <s v="Woody"/>
        <s v="Russell"/>
        <s v="Buyung"/>
        <s v="Loraine"/>
        <s v="Rafael"/>
        <s v="Kionna"/>
        <s v="Linda"/>
        <s v="Pedro"/>
        <s v="Olivia"/>
        <s v="Levitica"/>
        <s v="Carmen"/>
        <s v="Emmett"/>
        <s v="Luciano"/>
        <s v="Leslie"/>
        <s v="Oseas"/>
        <s v="Joaquin"/>
        <s v="Jimmy"/>
        <s v="Rayna"/>
        <s v="Johnny"/>
        <s v="Reginald"/>
        <s v="Monica"/>
        <s v="Dale"/>
        <s v="Catrina"/>
        <s v="Lacretia"/>
        <s v="Yvonne"/>
        <s v="Donny"/>
        <s v="Kelly"/>
        <s v="Jay"/>
        <s v="William"/>
      </sharedItems>
    </cacheField>
    <cacheField name="Classification" numFmtId="0">
      <sharedItems count="5">
        <s v="AM"/>
        <s v="PT2"/>
        <s v="S2"/>
        <s v="PT1"/>
        <s v="S1"/>
      </sharedItems>
    </cacheField>
    <cacheField name="Department" numFmtId="0">
      <sharedItems/>
    </cacheField>
    <cacheField name="Sales" numFmtId="44">
      <sharedItems containsSemiMixedTypes="0" containsString="0" containsNumber="1" minValue="2549.7599999999998" maxValue="59984.310000000005"/>
    </cacheField>
    <cacheField name="Hours Worked" numFmtId="0">
      <sharedItems containsSemiMixedTypes="0" containsString="0" containsNumber="1" containsInteger="1" minValue="13" maxValue="40"/>
    </cacheField>
    <cacheField name="Base Pay" numFmtId="44">
      <sharedItems containsSemiMixedTypes="0" containsString="0" containsNumber="1" minValue="136.5" maxValue="940"/>
    </cacheField>
    <cacheField name="Commission" numFmtId="165">
      <sharedItems containsSemiMixedTypes="0" containsString="0" containsNumber="1" minValue="2.8064999999999998" maxValue="1520.5254"/>
    </cacheField>
    <cacheField name="Gross Pay" numFmtId="44">
      <sharedItems containsSemiMixedTypes="0" containsString="0" containsNumber="1" minValue="148.99760000000001" maxValue="2460.5254"/>
    </cacheField>
    <cacheField name="Quota Met?" numFmtId="0">
      <sharedItems containsSemiMixedTypes="0" containsString="0" containsNumber="1" containsInteger="1" minValue="1" maxValue="6"/>
    </cacheField>
    <cacheField name="Worked Today" numFmtId="0">
      <sharedItems containsSemiMixedTypes="0" containsString="0" containsNumber="1" containsInteger="1" minValue="3" maxValue="7"/>
    </cacheField>
    <cacheField name="Quota Average" numFmtId="10">
      <sharedItems containsSemiMixedTypes="0" containsString="0" containsNumber="1" minValue="0.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001.945422569443" createdVersion="5" refreshedVersion="5" minRefreshableVersion="3" recordCount="52" xr:uid="{00000000-000A-0000-FFFF-FFFF03000000}">
  <cacheSource type="worksheet">
    <worksheetSource ref="A9:L61" sheet="Weekly Report" r:id="rId2"/>
  </cacheSource>
  <cacheFields count="12">
    <cacheField name="Last Name" numFmtId="0">
      <sharedItems count="52">
        <s v="Allbaugh"/>
        <s v="Bibb"/>
        <s v="Blake"/>
        <s v="Bolyard"/>
        <s v="Bourque"/>
        <s v="Craddock"/>
        <s v="Cronk"/>
        <s v="Crouse"/>
        <s v="Deyoe"/>
        <s v="Duarte"/>
        <s v="Dubben"/>
        <s v="Duck"/>
        <s v="Fetchik"/>
        <s v="Fiddes"/>
        <s v="Freeman"/>
        <s v="Gauger"/>
        <s v="Harpole"/>
        <s v="Hauch"/>
        <s v="Henning"/>
        <s v="Hornbeek"/>
        <s v="Huang"/>
        <s v="Hughes"/>
        <s v="Hulsman"/>
        <s v="Jwang"/>
        <s v="Ketakea"/>
        <s v="Lax"/>
        <s v="Lenfestey"/>
        <s v="Lessert"/>
        <s v="Mallouf"/>
        <s v="Mazza"/>
        <s v="McMath"/>
        <s v="Monac"/>
        <s v="Montague"/>
        <s v="Nigel"/>
        <s v="Picazo"/>
        <s v="Plumbtree"/>
        <s v="Pomales"/>
        <s v="Pomura"/>
        <s v="Porterfield"/>
        <s v="Reyes"/>
        <s v="Rodman"/>
        <s v="Roselius"/>
        <s v="Ruaz"/>
        <s v="Schoemann"/>
        <s v="Stanton"/>
        <s v="Stephens"/>
        <s v="Stone"/>
        <s v="Vandrey"/>
        <s v="Walker"/>
        <s v="Watts"/>
        <s v="Wilson"/>
        <s v="Yu"/>
      </sharedItems>
    </cacheField>
    <cacheField name="First Name" numFmtId="0">
      <sharedItems/>
    </cacheField>
    <cacheField name="Classification" numFmtId="0">
      <sharedItems count="5">
        <s v="AM"/>
        <s v="PT2"/>
        <s v="S2"/>
        <s v="PT1"/>
        <s v="S1"/>
      </sharedItems>
    </cacheField>
    <cacheField name="Department" numFmtId="0">
      <sharedItems count="7">
        <s v="Men's"/>
        <s v="Cosmetics"/>
        <s v="Housewares"/>
        <s v="Linens"/>
        <s v="Furniture"/>
        <s v="Children's"/>
        <s v="Women's"/>
      </sharedItems>
    </cacheField>
    <cacheField name="Sales" numFmtId="44">
      <sharedItems containsSemiMixedTypes="0" containsString="0" containsNumber="1" minValue="2549.7599999999998" maxValue="59984.310000000005" count="52">
        <n v="10730.69"/>
        <n v="12972.86"/>
        <n v="8023.6"/>
        <n v="6456.81"/>
        <n v="6404.3099999999995"/>
        <n v="30559.340000000004"/>
        <n v="7324.31"/>
        <n v="12448.050000000001"/>
        <n v="2549.7599999999998"/>
        <n v="7873.5700000000006"/>
        <n v="5417.1"/>
        <n v="9553.8700000000008"/>
        <n v="48346.81"/>
        <n v="4768.67"/>
        <n v="8966.32"/>
        <n v="9143.4900000000016"/>
        <n v="37859.29"/>
        <n v="45201.789999999994"/>
        <n v="7411.5899999999992"/>
        <n v="9289.89"/>
        <n v="59984.310000000005"/>
        <n v="8463.0499999999993"/>
        <n v="12057.629999999997"/>
        <n v="11957.08"/>
        <n v="3673.08"/>
        <n v="10655.25"/>
        <n v="6553.78"/>
        <n v="14154.630000000001"/>
        <n v="7606.25"/>
        <n v="58684.18"/>
        <n v="4502.29"/>
        <n v="15463.781999999999"/>
        <n v="3420.68"/>
        <n v="12352.46"/>
        <n v="2900.73"/>
        <n v="4695.0399999999991"/>
        <n v="13553.95"/>
        <n v="9025.85"/>
        <n v="49111.960000000006"/>
        <n v="9197.74"/>
        <n v="6161.32"/>
        <n v="5999.6"/>
        <n v="10832.800000000001"/>
        <n v="9661.91"/>
        <n v="16069.11"/>
        <n v="7849.9500000000007"/>
        <n v="8800.5400000000009"/>
        <n v="12195.070000000002"/>
        <n v="11180"/>
        <n v="10623.689999999999"/>
        <n v="2664"/>
        <n v="5704.88"/>
      </sharedItems>
    </cacheField>
    <cacheField name="Hours Worked" numFmtId="0">
      <sharedItems containsSemiMixedTypes="0" containsString="0" containsNumber="1" containsInteger="1" minValue="13" maxValue="40"/>
    </cacheField>
    <cacheField name="Base Pay" numFmtId="44">
      <sharedItems containsSemiMixedTypes="0" containsString="0" containsNumber="1" minValue="136.5" maxValue="940"/>
    </cacheField>
    <cacheField name="Commission" numFmtId="165">
      <sharedItems containsSemiMixedTypes="0" containsString="0" containsNumber="1" minValue="2.8064999999999998" maxValue="1520.5254"/>
    </cacheField>
    <cacheField name="Gross Pay" numFmtId="44">
      <sharedItems containsSemiMixedTypes="0" containsString="0" containsNumber="1" minValue="148.99760000000001" maxValue="2460.5254"/>
    </cacheField>
    <cacheField name="Quota Met?" numFmtId="0">
      <sharedItems containsSemiMixedTypes="0" containsString="0" containsNumber="1" containsInteger="1" minValue="1" maxValue="6"/>
    </cacheField>
    <cacheField name="Worked Today" numFmtId="0">
      <sharedItems containsSemiMixedTypes="0" containsString="0" containsNumber="1" containsInteger="1" minValue="3" maxValue="7"/>
    </cacheField>
    <cacheField name="Quota Average" numFmtId="10">
      <sharedItems containsSemiMixedTypes="0" containsString="0" containsNumber="1" minValue="0.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002.66866851852" createdVersion="5" refreshedVersion="5" minRefreshableVersion="3" recordCount="52" xr:uid="{00000000-000A-0000-FFFF-FFFF04000000}">
  <cacheSource type="worksheet">
    <worksheetSource ref="A9:L61" sheet="Weekly Report" r:id="rId2"/>
  </cacheSource>
  <cacheFields count="12">
    <cacheField name="Last Name" numFmtId="0">
      <sharedItems count="52">
        <s v="Allbaugh"/>
        <s v="Bibb"/>
        <s v="Blake"/>
        <s v="Bolyard"/>
        <s v="Bourque"/>
        <s v="Craddock"/>
        <s v="Cronk"/>
        <s v="Crouse"/>
        <s v="Deyoe"/>
        <s v="Duarte"/>
        <s v="Dubben"/>
        <s v="Duck"/>
        <s v="Fetchik"/>
        <s v="Fiddes"/>
        <s v="Freeman"/>
        <s v="Gauger"/>
        <s v="Harpole"/>
        <s v="Hauch"/>
        <s v="Henning"/>
        <s v="Hornbeek"/>
        <s v="Huang"/>
        <s v="Hughes"/>
        <s v="Hulsman"/>
        <s v="Jwang"/>
        <s v="Ketakea"/>
        <s v="Lax"/>
        <s v="Lenfestey"/>
        <s v="Lessert"/>
        <s v="Mallouf"/>
        <s v="Mazza"/>
        <s v="McMath"/>
        <s v="Monac"/>
        <s v="Montague"/>
        <s v="Nigel"/>
        <s v="Picazo"/>
        <s v="Plumbtree"/>
        <s v="Pomales"/>
        <s v="Pomura"/>
        <s v="Porterfield"/>
        <s v="Reyes"/>
        <s v="Rodman"/>
        <s v="Roselius"/>
        <s v="Ruaz"/>
        <s v="Schoemann"/>
        <s v="Stanton"/>
        <s v="Stephens"/>
        <s v="Stone"/>
        <s v="Vandrey"/>
        <s v="Walker"/>
        <s v="Watts"/>
        <s v="Wilson"/>
        <s v="Yu"/>
      </sharedItems>
    </cacheField>
    <cacheField name="First Name" numFmtId="0">
      <sharedItems count="49">
        <s v="Joshua"/>
        <s v="Robin"/>
        <s v="Barney"/>
        <s v="Pat"/>
        <s v="Elizabeth"/>
        <s v="David"/>
        <s v="June"/>
        <s v="Aleta"/>
        <s v="Rayundo"/>
        <s v="Shawn"/>
        <s v="Pamela"/>
        <s v="Kelee"/>
        <s v="Vearl"/>
        <s v="Rick"/>
        <s v="Jerry"/>
        <s v="Samone"/>
        <s v="Frank"/>
        <s v="Joann"/>
        <s v="Patricia"/>
        <s v="Kent"/>
        <s v="Woody"/>
        <s v="Russell"/>
        <s v="Buyung"/>
        <s v="Loraine"/>
        <s v="Rafael"/>
        <s v="Kionna"/>
        <s v="Linda"/>
        <s v="Pedro"/>
        <s v="Olivia"/>
        <s v="Levitica"/>
        <s v="Carmen"/>
        <s v="Emmett"/>
        <s v="Luciano"/>
        <s v="Leslie"/>
        <s v="Oseas"/>
        <s v="Joaquin"/>
        <s v="Jimmy"/>
        <s v="Rayna"/>
        <s v="Johnny"/>
        <s v="Reginald"/>
        <s v="Monica"/>
        <s v="Dale"/>
        <s v="Catrina"/>
        <s v="Lacretia"/>
        <s v="Yvonne"/>
        <s v="Donny"/>
        <s v="Kelly"/>
        <s v="Jay"/>
        <s v="William"/>
      </sharedItems>
    </cacheField>
    <cacheField name="Classification" numFmtId="0">
      <sharedItems count="5">
        <s v="AM"/>
        <s v="PT2"/>
        <s v="S2"/>
        <s v="PT1"/>
        <s v="S1"/>
      </sharedItems>
    </cacheField>
    <cacheField name="Department" numFmtId="0">
      <sharedItems count="7">
        <s v="Men's"/>
        <s v="Cosmetics"/>
        <s v="Housewares"/>
        <s v="Linens"/>
        <s v="Furniture"/>
        <s v="Children's"/>
        <s v="Women's"/>
      </sharedItems>
    </cacheField>
    <cacheField name="Sales" numFmtId="44">
      <sharedItems containsSemiMixedTypes="0" containsString="0" containsNumber="1" minValue="2549.7599999999998" maxValue="59984.310000000005"/>
    </cacheField>
    <cacheField name="Hours Worked" numFmtId="0">
      <sharedItems containsSemiMixedTypes="0" containsString="0" containsNumber="1" containsInteger="1" minValue="13" maxValue="40"/>
    </cacheField>
    <cacheField name="Base Pay" numFmtId="44">
      <sharedItems containsSemiMixedTypes="0" containsString="0" containsNumber="1" minValue="136.5" maxValue="940"/>
    </cacheField>
    <cacheField name="Commission" numFmtId="165">
      <sharedItems containsSemiMixedTypes="0" containsString="0" containsNumber="1" minValue="2.8064999999999998" maxValue="1520.5254"/>
    </cacheField>
    <cacheField name="Gross Pay" numFmtId="44">
      <sharedItems containsSemiMixedTypes="0" containsString="0" containsNumber="1" minValue="148.99760000000001" maxValue="2460.5254"/>
    </cacheField>
    <cacheField name="Quota Met?" numFmtId="0">
      <sharedItems containsSemiMixedTypes="0" containsString="0" containsNumber="1" containsInteger="1" minValue="1" maxValue="6"/>
    </cacheField>
    <cacheField name="Worked Today" numFmtId="0">
      <sharedItems containsSemiMixedTypes="0" containsString="0" containsNumber="1" containsInteger="1" minValue="3" maxValue="7"/>
    </cacheField>
    <cacheField name="Quota Average" numFmtId="10">
      <sharedItems containsSemiMixedTypes="0" containsString="0" containsNumber="1" minValue="0.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x v="0"/>
    <x v="0"/>
    <x v="0"/>
    <x v="0"/>
    <n v="10730.69"/>
    <n v="38"/>
    <n v="893"/>
    <n v="108.3111"/>
    <n v="1001.3111"/>
    <n v="4"/>
    <n v="5"/>
    <n v="0.8"/>
  </r>
  <r>
    <x v="1"/>
    <x v="1"/>
    <x v="1"/>
    <x v="0"/>
    <n v="12972.86"/>
    <n v="20"/>
    <n v="235"/>
    <n v="158.66759999999999"/>
    <n v="393.66759999999999"/>
    <n v="4"/>
    <n v="5"/>
    <n v="0.8"/>
  </r>
  <r>
    <x v="2"/>
    <x v="2"/>
    <x v="2"/>
    <x v="1"/>
    <n v="8023.6"/>
    <n v="40"/>
    <n v="600"/>
    <n v="50.0595"/>
    <n v="650.05949999999996"/>
    <n v="5"/>
    <n v="6"/>
    <n v="0.83333333333333337"/>
  </r>
  <r>
    <x v="3"/>
    <x v="3"/>
    <x v="2"/>
    <x v="2"/>
    <n v="6456.81"/>
    <n v="30"/>
    <n v="450"/>
    <n v="50.554250000000003"/>
    <n v="500.55425000000002"/>
    <n v="1"/>
    <n v="5"/>
    <n v="0.2"/>
  </r>
  <r>
    <x v="4"/>
    <x v="4"/>
    <x v="0"/>
    <x v="3"/>
    <n v="6404.3099999999995"/>
    <n v="40"/>
    <n v="940"/>
    <n v="14.0097"/>
    <n v="954.00970000000007"/>
    <n v="1"/>
    <n v="5"/>
    <n v="0.2"/>
  </r>
  <r>
    <x v="5"/>
    <x v="5"/>
    <x v="3"/>
    <x v="4"/>
    <n v="30559.340000000004"/>
    <n v="20"/>
    <n v="210"/>
    <n v="287.38690000000003"/>
    <n v="497.38690000000003"/>
    <n v="3"/>
    <n v="5"/>
    <n v="0.6"/>
  </r>
  <r>
    <x v="6"/>
    <x v="6"/>
    <x v="3"/>
    <x v="5"/>
    <n v="7324.31"/>
    <n v="20"/>
    <n v="210"/>
    <n v="53.243100000000005"/>
    <n v="263.24310000000003"/>
    <n v="3"/>
    <n v="3"/>
    <n v="1"/>
  </r>
  <r>
    <x v="7"/>
    <x v="7"/>
    <x v="4"/>
    <x v="5"/>
    <n v="12448.050000000001"/>
    <n v="40"/>
    <n v="540"/>
    <n v="139.97560000000001"/>
    <n v="679.97559999999999"/>
    <n v="4"/>
    <n v="5"/>
    <n v="0.8"/>
  </r>
  <r>
    <x v="8"/>
    <x v="8"/>
    <x v="3"/>
    <x v="0"/>
    <n v="2549.7599999999998"/>
    <n v="13"/>
    <n v="136.5"/>
    <n v="12.497599999999998"/>
    <n v="148.99760000000001"/>
    <n v="3"/>
    <n v="3"/>
    <n v="1"/>
  </r>
  <r>
    <x v="9"/>
    <x v="9"/>
    <x v="3"/>
    <x v="5"/>
    <n v="7873.5700000000006"/>
    <n v="20"/>
    <n v="210"/>
    <n v="58.735699999999994"/>
    <n v="268.73570000000001"/>
    <n v="4"/>
    <n v="4"/>
    <n v="1"/>
  </r>
  <r>
    <x v="10"/>
    <x v="10"/>
    <x v="1"/>
    <x v="1"/>
    <n v="5417.1"/>
    <n v="20"/>
    <n v="235"/>
    <n v="48.856200000000001"/>
    <n v="283.8562"/>
    <n v="3"/>
    <n v="4"/>
    <n v="0.75"/>
  </r>
  <r>
    <x v="11"/>
    <x v="11"/>
    <x v="2"/>
    <x v="5"/>
    <n v="9553.8700000000008"/>
    <n v="40"/>
    <n v="600"/>
    <n v="75.785250000000019"/>
    <n v="675.78524999999991"/>
    <n v="4"/>
    <n v="6"/>
    <n v="0.66666666666666663"/>
  </r>
  <r>
    <x v="12"/>
    <x v="12"/>
    <x v="4"/>
    <x v="4"/>
    <n v="48346.81"/>
    <n v="32"/>
    <n v="432"/>
    <n v="870.93619999999999"/>
    <n v="1302.9361999999999"/>
    <n v="5"/>
    <n v="5"/>
    <n v="1"/>
  </r>
  <r>
    <x v="13"/>
    <x v="13"/>
    <x v="4"/>
    <x v="1"/>
    <n v="4768.67"/>
    <n v="40"/>
    <n v="540"/>
    <n v="14.0062"/>
    <n v="554.00620000000004"/>
    <n v="2"/>
    <n v="5"/>
    <n v="0.4"/>
  </r>
  <r>
    <x v="14"/>
    <x v="14"/>
    <x v="4"/>
    <x v="2"/>
    <n v="8966.32"/>
    <n v="38"/>
    <n v="513"/>
    <n v="65.326399999999992"/>
    <n v="578.32640000000004"/>
    <n v="6"/>
    <n v="6"/>
    <n v="1"/>
  </r>
  <r>
    <x v="15"/>
    <x v="15"/>
    <x v="3"/>
    <x v="6"/>
    <n v="9143.4900000000016"/>
    <n v="22"/>
    <n v="231"/>
    <n v="70.934899999999999"/>
    <n v="301.93490000000003"/>
    <n v="4"/>
    <n v="5"/>
    <n v="0.8"/>
  </r>
  <r>
    <x v="16"/>
    <x v="16"/>
    <x v="3"/>
    <x v="4"/>
    <n v="37859.29"/>
    <n v="24"/>
    <n v="252"/>
    <n v="354.59290000000004"/>
    <n v="606.5929000000001"/>
    <n v="4"/>
    <n v="4"/>
    <n v="1"/>
  </r>
  <r>
    <x v="17"/>
    <x v="17"/>
    <x v="1"/>
    <x v="4"/>
    <n v="45201.789999999994"/>
    <n v="25"/>
    <n v="293.75"/>
    <n v="640.98404999999991"/>
    <n v="934.73404999999991"/>
    <n v="4"/>
    <n v="6"/>
    <n v="0.66666666666666663"/>
  </r>
  <r>
    <x v="18"/>
    <x v="18"/>
    <x v="4"/>
    <x v="1"/>
    <n v="7411.5899999999992"/>
    <n v="40"/>
    <n v="540"/>
    <n v="37.020200000000003"/>
    <n v="577.02019999999993"/>
    <n v="3"/>
    <n v="5"/>
    <n v="0.6"/>
  </r>
  <r>
    <x v="19"/>
    <x v="19"/>
    <x v="0"/>
    <x v="2"/>
    <n v="9289.89"/>
    <n v="40"/>
    <n v="940"/>
    <n v="59.982599999999998"/>
    <n v="999.98260000000005"/>
    <n v="4"/>
    <n v="5"/>
    <n v="0.8"/>
  </r>
  <r>
    <x v="20"/>
    <x v="20"/>
    <x v="1"/>
    <x v="4"/>
    <n v="59984.310000000005"/>
    <n v="20"/>
    <n v="235"/>
    <n v="862.26464999999996"/>
    <n v="1097.2646500000001"/>
    <n v="3"/>
    <n v="3"/>
    <n v="1"/>
  </r>
  <r>
    <x v="21"/>
    <x v="16"/>
    <x v="1"/>
    <x v="1"/>
    <n v="8463.0499999999993"/>
    <n v="23"/>
    <n v="270.25"/>
    <n v="85.687950000000001"/>
    <n v="355.93795"/>
    <n v="4"/>
    <n v="5"/>
    <n v="0.8"/>
  </r>
  <r>
    <x v="22"/>
    <x v="21"/>
    <x v="4"/>
    <x v="5"/>
    <n v="12057.629999999997"/>
    <n v="40"/>
    <n v="540"/>
    <n v="126.2448"/>
    <n v="666.24479999999994"/>
    <n v="6"/>
    <n v="7"/>
    <n v="0.8571428571428571"/>
  </r>
  <r>
    <x v="23"/>
    <x v="22"/>
    <x v="0"/>
    <x v="6"/>
    <n v="11957.08"/>
    <n v="40"/>
    <n v="940"/>
    <n v="172.91970000000001"/>
    <n v="1112.9196999999999"/>
    <n v="4"/>
    <n v="6"/>
    <n v="0.66666666666666663"/>
  </r>
  <r>
    <x v="24"/>
    <x v="23"/>
    <x v="1"/>
    <x v="5"/>
    <n v="3673.08"/>
    <n v="20"/>
    <n v="235"/>
    <n v="29.589599999999997"/>
    <n v="264.58960000000002"/>
    <n v="2"/>
    <n v="5"/>
    <n v="0.4"/>
  </r>
  <r>
    <x v="25"/>
    <x v="24"/>
    <x v="4"/>
    <x v="2"/>
    <n v="10655.25"/>
    <n v="40"/>
    <n v="540"/>
    <n v="101.2574"/>
    <n v="641.25739999999996"/>
    <n v="4"/>
    <n v="6"/>
    <n v="0.66666666666666663"/>
  </r>
  <r>
    <x v="26"/>
    <x v="25"/>
    <x v="4"/>
    <x v="3"/>
    <n v="6553.78"/>
    <n v="37"/>
    <n v="499.5"/>
    <n v="83.131399999999999"/>
    <n v="582.63139999999999"/>
    <n v="2"/>
    <n v="6"/>
    <n v="0.33333333333333331"/>
  </r>
  <r>
    <x v="27"/>
    <x v="26"/>
    <x v="2"/>
    <x v="3"/>
    <n v="14154.630000000001"/>
    <n v="40"/>
    <n v="600"/>
    <n v="195.25475"/>
    <n v="795.25475000000006"/>
    <n v="6"/>
    <n v="7"/>
    <n v="0.8571428571428571"/>
  </r>
  <r>
    <x v="28"/>
    <x v="27"/>
    <x v="3"/>
    <x v="2"/>
    <n v="7606.25"/>
    <n v="20"/>
    <n v="210"/>
    <n v="56.0625"/>
    <n v="266.0625"/>
    <n v="5"/>
    <n v="5"/>
    <n v="1"/>
  </r>
  <r>
    <x v="29"/>
    <x v="10"/>
    <x v="0"/>
    <x v="4"/>
    <n v="58684.18"/>
    <n v="40"/>
    <n v="940"/>
    <n v="1520.5254"/>
    <n v="2460.5254"/>
    <n v="5"/>
    <n v="5"/>
    <n v="1"/>
  </r>
  <r>
    <x v="30"/>
    <x v="28"/>
    <x v="1"/>
    <x v="2"/>
    <n v="4502.29"/>
    <n v="14"/>
    <n v="164.5"/>
    <n v="42.881249999999994"/>
    <n v="207.38124999999999"/>
    <n v="3"/>
    <n v="4"/>
    <n v="0.75"/>
  </r>
  <r>
    <x v="31"/>
    <x v="29"/>
    <x v="4"/>
    <x v="0"/>
    <n v="15463.781999999999"/>
    <n v="40"/>
    <n v="540"/>
    <n v="189.27564000000001"/>
    <n v="729.27563999999995"/>
    <n v="5"/>
    <n v="5"/>
    <n v="1"/>
  </r>
  <r>
    <x v="32"/>
    <x v="30"/>
    <x v="4"/>
    <x v="0"/>
    <n v="3420.68"/>
    <n v="29"/>
    <n v="391.5"/>
    <n v="22.2624"/>
    <n v="413.76239999999996"/>
    <n v="3"/>
    <n v="5"/>
    <n v="0.6"/>
  </r>
  <r>
    <x v="33"/>
    <x v="31"/>
    <x v="2"/>
    <x v="3"/>
    <n v="12352.46"/>
    <n v="40"/>
    <n v="600"/>
    <n v="142.13749999999999"/>
    <n v="742.13749999999993"/>
    <n v="4"/>
    <n v="6"/>
    <n v="0.66666666666666663"/>
  </r>
  <r>
    <x v="34"/>
    <x v="32"/>
    <x v="2"/>
    <x v="0"/>
    <n v="2900.73"/>
    <n v="21"/>
    <n v="315"/>
    <n v="2.8064999999999998"/>
    <n v="317.80650000000003"/>
    <n v="1"/>
    <n v="4"/>
    <n v="0.25"/>
  </r>
  <r>
    <x v="35"/>
    <x v="33"/>
    <x v="3"/>
    <x v="6"/>
    <n v="4695.0399999999991"/>
    <n v="20"/>
    <n v="210"/>
    <n v="26.950399999999998"/>
    <n v="236.95039999999997"/>
    <n v="4"/>
    <n v="4"/>
    <n v="1"/>
  </r>
  <r>
    <x v="36"/>
    <x v="34"/>
    <x v="4"/>
    <x v="3"/>
    <n v="13553.95"/>
    <n v="40"/>
    <n v="540"/>
    <n v="153.56640000000002"/>
    <n v="693.56639999999993"/>
    <n v="5"/>
    <n v="6"/>
    <n v="0.83333333333333337"/>
  </r>
  <r>
    <x v="37"/>
    <x v="35"/>
    <x v="3"/>
    <x v="3"/>
    <n v="9025.85"/>
    <n v="16"/>
    <n v="168"/>
    <n v="74.744900000000001"/>
    <n v="242.7449"/>
    <n v="2"/>
    <n v="3"/>
    <n v="0.66666666666666663"/>
  </r>
  <r>
    <x v="38"/>
    <x v="36"/>
    <x v="4"/>
    <x v="4"/>
    <n v="49111.960000000006"/>
    <n v="38"/>
    <n v="513"/>
    <n v="868.2392000000001"/>
    <n v="1381.2392"/>
    <n v="5"/>
    <n v="5"/>
    <n v="1"/>
  </r>
  <r>
    <x v="39"/>
    <x v="37"/>
    <x v="0"/>
    <x v="5"/>
    <n v="9197.74"/>
    <n v="40"/>
    <n v="940"/>
    <n v="50.438400000000001"/>
    <n v="990.4384"/>
    <n v="3"/>
    <n v="5"/>
    <n v="0.6"/>
  </r>
  <r>
    <x v="40"/>
    <x v="38"/>
    <x v="1"/>
    <x v="0"/>
    <n v="6161.32"/>
    <n v="20"/>
    <n v="235"/>
    <n v="55.671149999999997"/>
    <n v="290.67115000000001"/>
    <n v="4"/>
    <n v="5"/>
    <n v="0.8"/>
  </r>
  <r>
    <x v="41"/>
    <x v="39"/>
    <x v="1"/>
    <x v="3"/>
    <n v="5999.6"/>
    <n v="20"/>
    <n v="235"/>
    <n v="52.494"/>
    <n v="287.49400000000003"/>
    <n v="3"/>
    <n v="3"/>
    <n v="1"/>
  </r>
  <r>
    <x v="42"/>
    <x v="40"/>
    <x v="2"/>
    <x v="0"/>
    <n v="10832.800000000001"/>
    <n v="40"/>
    <n v="600"/>
    <n v="103.87150000000001"/>
    <n v="703.87149999999997"/>
    <n v="5"/>
    <n v="6"/>
    <n v="0.83333333333333337"/>
  </r>
  <r>
    <x v="43"/>
    <x v="41"/>
    <x v="2"/>
    <x v="6"/>
    <n v="9661.91"/>
    <n v="40"/>
    <n v="600"/>
    <n v="138.79974999999999"/>
    <n v="738.79975000000002"/>
    <n v="3"/>
    <n v="6"/>
    <n v="0.5"/>
  </r>
  <r>
    <x v="44"/>
    <x v="42"/>
    <x v="4"/>
    <x v="6"/>
    <n v="16069.11"/>
    <n v="40"/>
    <n v="540"/>
    <n v="205.95499999999998"/>
    <n v="745.95499999999993"/>
    <n v="5"/>
    <n v="6"/>
    <n v="0.83333333333333337"/>
  </r>
  <r>
    <x v="45"/>
    <x v="43"/>
    <x v="3"/>
    <x v="6"/>
    <n v="7849.9500000000007"/>
    <n v="20"/>
    <n v="210"/>
    <n v="58.499499999999998"/>
    <n v="268.49950000000001"/>
    <n v="3"/>
    <n v="3"/>
    <n v="1"/>
  </r>
  <r>
    <x v="46"/>
    <x v="5"/>
    <x v="0"/>
    <x v="1"/>
    <n v="8800.5400000000009"/>
    <n v="40"/>
    <n v="940"/>
    <n v="60.39"/>
    <n v="1000.39"/>
    <n v="2"/>
    <n v="5"/>
    <n v="0.4"/>
  </r>
  <r>
    <x v="47"/>
    <x v="44"/>
    <x v="2"/>
    <x v="6"/>
    <n v="12195.070000000002"/>
    <n v="40"/>
    <n v="600"/>
    <n v="139.58600000000001"/>
    <n v="739.58600000000001"/>
    <n v="5"/>
    <n v="6"/>
    <n v="0.83333333333333337"/>
  </r>
  <r>
    <x v="48"/>
    <x v="45"/>
    <x v="2"/>
    <x v="0"/>
    <n v="11180"/>
    <n v="38"/>
    <n v="570"/>
    <n v="113.25"/>
    <n v="683.25"/>
    <n v="5"/>
    <n v="5"/>
    <n v="1"/>
  </r>
  <r>
    <x v="49"/>
    <x v="46"/>
    <x v="4"/>
    <x v="6"/>
    <n v="10623.689999999999"/>
    <n v="40"/>
    <n v="540"/>
    <n v="115.4366"/>
    <n v="655.4366"/>
    <n v="4"/>
    <n v="6"/>
    <n v="0.66666666666666663"/>
  </r>
  <r>
    <x v="50"/>
    <x v="47"/>
    <x v="4"/>
    <x v="4"/>
    <n v="2664"/>
    <n v="21"/>
    <n v="283.5"/>
    <n v="3.1396000000000006"/>
    <n v="286.63959999999997"/>
    <n v="1"/>
    <n v="4"/>
    <n v="0.25"/>
  </r>
  <r>
    <x v="51"/>
    <x v="48"/>
    <x v="1"/>
    <x v="1"/>
    <n v="5704.88"/>
    <n v="20"/>
    <n v="235"/>
    <n v="48.0732"/>
    <n v="283.07319999999999"/>
    <n v="3"/>
    <n v="3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2">
  <r>
    <x v="0"/>
    <x v="0"/>
    <s v="AM"/>
    <x v="0"/>
    <n v="10730.69"/>
    <n v="38"/>
    <n v="893"/>
    <n v="108.3111"/>
    <n v="1001.3111"/>
    <n v="4"/>
    <n v="5"/>
    <n v="0.8"/>
  </r>
  <r>
    <x v="1"/>
    <x v="1"/>
    <s v="PT2"/>
    <x v="0"/>
    <n v="12972.86"/>
    <n v="20"/>
    <n v="235"/>
    <n v="158.66759999999999"/>
    <n v="393.66759999999999"/>
    <n v="4"/>
    <n v="5"/>
    <n v="0.8"/>
  </r>
  <r>
    <x v="2"/>
    <x v="2"/>
    <s v="S2"/>
    <x v="1"/>
    <n v="8023.6"/>
    <n v="40"/>
    <n v="600"/>
    <n v="50.0595"/>
    <n v="650.05949999999996"/>
    <n v="5"/>
    <n v="6"/>
    <n v="0.83333333333333337"/>
  </r>
  <r>
    <x v="3"/>
    <x v="3"/>
    <s v="S2"/>
    <x v="2"/>
    <n v="6456.81"/>
    <n v="30"/>
    <n v="450"/>
    <n v="50.554250000000003"/>
    <n v="500.55425000000002"/>
    <n v="1"/>
    <n v="5"/>
    <n v="0.2"/>
  </r>
  <r>
    <x v="4"/>
    <x v="4"/>
    <s v="AM"/>
    <x v="3"/>
    <n v="6404.3099999999995"/>
    <n v="40"/>
    <n v="940"/>
    <n v="14.0097"/>
    <n v="954.00970000000007"/>
    <n v="1"/>
    <n v="5"/>
    <n v="0.2"/>
  </r>
  <r>
    <x v="5"/>
    <x v="5"/>
    <s v="PT1"/>
    <x v="4"/>
    <n v="30559.340000000004"/>
    <n v="20"/>
    <n v="210"/>
    <n v="287.38690000000003"/>
    <n v="497.38690000000003"/>
    <n v="3"/>
    <n v="5"/>
    <n v="0.6"/>
  </r>
  <r>
    <x v="6"/>
    <x v="6"/>
    <s v="PT1"/>
    <x v="5"/>
    <n v="7324.31"/>
    <n v="20"/>
    <n v="210"/>
    <n v="53.243100000000005"/>
    <n v="263.24310000000003"/>
    <n v="3"/>
    <n v="3"/>
    <n v="1"/>
  </r>
  <r>
    <x v="7"/>
    <x v="7"/>
    <s v="S1"/>
    <x v="5"/>
    <n v="12448.050000000001"/>
    <n v="40"/>
    <n v="540"/>
    <n v="139.97560000000001"/>
    <n v="679.97559999999999"/>
    <n v="4"/>
    <n v="5"/>
    <n v="0.8"/>
  </r>
  <r>
    <x v="8"/>
    <x v="8"/>
    <s v="PT1"/>
    <x v="0"/>
    <n v="2549.7599999999998"/>
    <n v="13"/>
    <n v="136.5"/>
    <n v="12.497599999999998"/>
    <n v="148.99760000000001"/>
    <n v="3"/>
    <n v="3"/>
    <n v="1"/>
  </r>
  <r>
    <x v="9"/>
    <x v="9"/>
    <s v="PT1"/>
    <x v="5"/>
    <n v="7873.5700000000006"/>
    <n v="20"/>
    <n v="210"/>
    <n v="58.735699999999994"/>
    <n v="268.73570000000001"/>
    <n v="4"/>
    <n v="4"/>
    <n v="1"/>
  </r>
  <r>
    <x v="10"/>
    <x v="10"/>
    <s v="PT2"/>
    <x v="1"/>
    <n v="5417.1"/>
    <n v="20"/>
    <n v="235"/>
    <n v="48.856200000000001"/>
    <n v="283.8562"/>
    <n v="3"/>
    <n v="4"/>
    <n v="0.75"/>
  </r>
  <r>
    <x v="11"/>
    <x v="11"/>
    <s v="S2"/>
    <x v="5"/>
    <n v="9553.8700000000008"/>
    <n v="40"/>
    <n v="600"/>
    <n v="75.785250000000019"/>
    <n v="675.78524999999991"/>
    <n v="4"/>
    <n v="6"/>
    <n v="0.66666666666666663"/>
  </r>
  <r>
    <x v="12"/>
    <x v="12"/>
    <s v="S1"/>
    <x v="4"/>
    <n v="48346.81"/>
    <n v="32"/>
    <n v="432"/>
    <n v="870.93619999999999"/>
    <n v="1302.9361999999999"/>
    <n v="5"/>
    <n v="5"/>
    <n v="1"/>
  </r>
  <r>
    <x v="13"/>
    <x v="13"/>
    <s v="S1"/>
    <x v="1"/>
    <n v="4768.67"/>
    <n v="40"/>
    <n v="540"/>
    <n v="14.0062"/>
    <n v="554.00620000000004"/>
    <n v="2"/>
    <n v="5"/>
    <n v="0.4"/>
  </r>
  <r>
    <x v="14"/>
    <x v="14"/>
    <s v="S1"/>
    <x v="2"/>
    <n v="8966.32"/>
    <n v="38"/>
    <n v="513"/>
    <n v="65.326399999999992"/>
    <n v="578.32640000000004"/>
    <n v="6"/>
    <n v="6"/>
    <n v="1"/>
  </r>
  <r>
    <x v="15"/>
    <x v="15"/>
    <s v="PT1"/>
    <x v="6"/>
    <n v="9143.4900000000016"/>
    <n v="22"/>
    <n v="231"/>
    <n v="70.934899999999999"/>
    <n v="301.93490000000003"/>
    <n v="4"/>
    <n v="5"/>
    <n v="0.8"/>
  </r>
  <r>
    <x v="16"/>
    <x v="16"/>
    <s v="PT1"/>
    <x v="4"/>
    <n v="37859.29"/>
    <n v="24"/>
    <n v="252"/>
    <n v="354.59290000000004"/>
    <n v="606.5929000000001"/>
    <n v="4"/>
    <n v="4"/>
    <n v="1"/>
  </r>
  <r>
    <x v="17"/>
    <x v="17"/>
    <s v="PT2"/>
    <x v="4"/>
    <n v="45201.789999999994"/>
    <n v="25"/>
    <n v="293.75"/>
    <n v="640.98404999999991"/>
    <n v="934.73404999999991"/>
    <n v="4"/>
    <n v="6"/>
    <n v="0.66666666666666663"/>
  </r>
  <r>
    <x v="18"/>
    <x v="18"/>
    <s v="S1"/>
    <x v="1"/>
    <n v="7411.5899999999992"/>
    <n v="40"/>
    <n v="540"/>
    <n v="37.020200000000003"/>
    <n v="577.02019999999993"/>
    <n v="3"/>
    <n v="5"/>
    <n v="0.6"/>
  </r>
  <r>
    <x v="19"/>
    <x v="19"/>
    <s v="AM"/>
    <x v="2"/>
    <n v="9289.89"/>
    <n v="40"/>
    <n v="940"/>
    <n v="59.982599999999998"/>
    <n v="999.98260000000005"/>
    <n v="4"/>
    <n v="5"/>
    <n v="0.8"/>
  </r>
  <r>
    <x v="20"/>
    <x v="20"/>
    <s v="PT2"/>
    <x v="4"/>
    <n v="59984.310000000005"/>
    <n v="20"/>
    <n v="235"/>
    <n v="862.26464999999996"/>
    <n v="1097.2646500000001"/>
    <n v="3"/>
    <n v="3"/>
    <n v="1"/>
  </r>
  <r>
    <x v="21"/>
    <x v="16"/>
    <s v="PT2"/>
    <x v="1"/>
    <n v="8463.0499999999993"/>
    <n v="23"/>
    <n v="270.25"/>
    <n v="85.687950000000001"/>
    <n v="355.93795"/>
    <n v="4"/>
    <n v="5"/>
    <n v="0.8"/>
  </r>
  <r>
    <x v="22"/>
    <x v="21"/>
    <s v="S1"/>
    <x v="5"/>
    <n v="12057.629999999997"/>
    <n v="40"/>
    <n v="540"/>
    <n v="126.2448"/>
    <n v="666.24479999999994"/>
    <n v="6"/>
    <n v="7"/>
    <n v="0.8571428571428571"/>
  </r>
  <r>
    <x v="23"/>
    <x v="22"/>
    <s v="AM"/>
    <x v="6"/>
    <n v="11957.08"/>
    <n v="40"/>
    <n v="940"/>
    <n v="172.91970000000001"/>
    <n v="1112.9196999999999"/>
    <n v="4"/>
    <n v="6"/>
    <n v="0.66666666666666663"/>
  </r>
  <r>
    <x v="24"/>
    <x v="23"/>
    <s v="PT2"/>
    <x v="5"/>
    <n v="3673.08"/>
    <n v="20"/>
    <n v="235"/>
    <n v="29.589599999999997"/>
    <n v="264.58960000000002"/>
    <n v="2"/>
    <n v="5"/>
    <n v="0.4"/>
  </r>
  <r>
    <x v="25"/>
    <x v="24"/>
    <s v="S1"/>
    <x v="2"/>
    <n v="10655.25"/>
    <n v="40"/>
    <n v="540"/>
    <n v="101.2574"/>
    <n v="641.25739999999996"/>
    <n v="4"/>
    <n v="6"/>
    <n v="0.66666666666666663"/>
  </r>
  <r>
    <x v="26"/>
    <x v="25"/>
    <s v="S1"/>
    <x v="3"/>
    <n v="6553.78"/>
    <n v="37"/>
    <n v="499.5"/>
    <n v="83.131399999999999"/>
    <n v="582.63139999999999"/>
    <n v="2"/>
    <n v="6"/>
    <n v="0.33333333333333331"/>
  </r>
  <r>
    <x v="27"/>
    <x v="26"/>
    <s v="S2"/>
    <x v="3"/>
    <n v="14154.630000000001"/>
    <n v="40"/>
    <n v="600"/>
    <n v="195.25475"/>
    <n v="795.25475000000006"/>
    <n v="6"/>
    <n v="7"/>
    <n v="0.8571428571428571"/>
  </r>
  <r>
    <x v="28"/>
    <x v="27"/>
    <s v="PT1"/>
    <x v="2"/>
    <n v="7606.25"/>
    <n v="20"/>
    <n v="210"/>
    <n v="56.0625"/>
    <n v="266.0625"/>
    <n v="5"/>
    <n v="5"/>
    <n v="1"/>
  </r>
  <r>
    <x v="29"/>
    <x v="10"/>
    <s v="AM"/>
    <x v="4"/>
    <n v="58684.18"/>
    <n v="40"/>
    <n v="940"/>
    <n v="1520.5254"/>
    <n v="2460.5254"/>
    <n v="5"/>
    <n v="5"/>
    <n v="1"/>
  </r>
  <r>
    <x v="30"/>
    <x v="28"/>
    <s v="PT2"/>
    <x v="2"/>
    <n v="4502.29"/>
    <n v="14"/>
    <n v="164.5"/>
    <n v="42.881249999999994"/>
    <n v="207.38124999999999"/>
    <n v="3"/>
    <n v="4"/>
    <n v="0.75"/>
  </r>
  <r>
    <x v="31"/>
    <x v="29"/>
    <s v="S1"/>
    <x v="0"/>
    <n v="15463.781999999999"/>
    <n v="40"/>
    <n v="540"/>
    <n v="189.27564000000001"/>
    <n v="729.27563999999995"/>
    <n v="5"/>
    <n v="5"/>
    <n v="1"/>
  </r>
  <r>
    <x v="32"/>
    <x v="30"/>
    <s v="S1"/>
    <x v="0"/>
    <n v="3420.68"/>
    <n v="29"/>
    <n v="391.5"/>
    <n v="22.2624"/>
    <n v="413.76239999999996"/>
    <n v="3"/>
    <n v="5"/>
    <n v="0.6"/>
  </r>
  <r>
    <x v="33"/>
    <x v="31"/>
    <s v="S2"/>
    <x v="3"/>
    <n v="12352.46"/>
    <n v="40"/>
    <n v="600"/>
    <n v="142.13749999999999"/>
    <n v="742.13749999999993"/>
    <n v="4"/>
    <n v="6"/>
    <n v="0.66666666666666663"/>
  </r>
  <r>
    <x v="34"/>
    <x v="32"/>
    <s v="S2"/>
    <x v="0"/>
    <n v="2900.73"/>
    <n v="21"/>
    <n v="315"/>
    <n v="2.8064999999999998"/>
    <n v="317.80650000000003"/>
    <n v="1"/>
    <n v="4"/>
    <n v="0.25"/>
  </r>
  <r>
    <x v="35"/>
    <x v="33"/>
    <s v="PT1"/>
    <x v="6"/>
    <n v="4695.0399999999991"/>
    <n v="20"/>
    <n v="210"/>
    <n v="26.950399999999998"/>
    <n v="236.95039999999997"/>
    <n v="4"/>
    <n v="4"/>
    <n v="1"/>
  </r>
  <r>
    <x v="36"/>
    <x v="34"/>
    <s v="S1"/>
    <x v="3"/>
    <n v="13553.95"/>
    <n v="40"/>
    <n v="540"/>
    <n v="153.56640000000002"/>
    <n v="693.56639999999993"/>
    <n v="5"/>
    <n v="6"/>
    <n v="0.83333333333333337"/>
  </r>
  <r>
    <x v="37"/>
    <x v="35"/>
    <s v="PT1"/>
    <x v="3"/>
    <n v="9025.85"/>
    <n v="16"/>
    <n v="168"/>
    <n v="74.744900000000001"/>
    <n v="242.7449"/>
    <n v="2"/>
    <n v="3"/>
    <n v="0.66666666666666663"/>
  </r>
  <r>
    <x v="38"/>
    <x v="36"/>
    <s v="S1"/>
    <x v="4"/>
    <n v="49111.960000000006"/>
    <n v="38"/>
    <n v="513"/>
    <n v="868.2392000000001"/>
    <n v="1381.2392"/>
    <n v="5"/>
    <n v="5"/>
    <n v="1"/>
  </r>
  <r>
    <x v="39"/>
    <x v="37"/>
    <s v="AM"/>
    <x v="5"/>
    <n v="9197.74"/>
    <n v="40"/>
    <n v="940"/>
    <n v="50.438400000000001"/>
    <n v="990.4384"/>
    <n v="3"/>
    <n v="5"/>
    <n v="0.6"/>
  </r>
  <r>
    <x v="40"/>
    <x v="38"/>
    <s v="PT2"/>
    <x v="0"/>
    <n v="6161.32"/>
    <n v="20"/>
    <n v="235"/>
    <n v="55.671149999999997"/>
    <n v="290.67115000000001"/>
    <n v="4"/>
    <n v="5"/>
    <n v="0.8"/>
  </r>
  <r>
    <x v="41"/>
    <x v="39"/>
    <s v="PT2"/>
    <x v="3"/>
    <n v="5999.6"/>
    <n v="20"/>
    <n v="235"/>
    <n v="52.494"/>
    <n v="287.49400000000003"/>
    <n v="3"/>
    <n v="3"/>
    <n v="1"/>
  </r>
  <r>
    <x v="42"/>
    <x v="40"/>
    <s v="S2"/>
    <x v="0"/>
    <n v="10832.800000000001"/>
    <n v="40"/>
    <n v="600"/>
    <n v="103.87150000000001"/>
    <n v="703.87149999999997"/>
    <n v="5"/>
    <n v="6"/>
    <n v="0.83333333333333337"/>
  </r>
  <r>
    <x v="43"/>
    <x v="41"/>
    <s v="S2"/>
    <x v="6"/>
    <n v="9661.91"/>
    <n v="40"/>
    <n v="600"/>
    <n v="138.79974999999999"/>
    <n v="738.79975000000002"/>
    <n v="3"/>
    <n v="6"/>
    <n v="0.5"/>
  </r>
  <r>
    <x v="44"/>
    <x v="42"/>
    <s v="S1"/>
    <x v="6"/>
    <n v="16069.11"/>
    <n v="40"/>
    <n v="540"/>
    <n v="205.95499999999998"/>
    <n v="745.95499999999993"/>
    <n v="5"/>
    <n v="6"/>
    <n v="0.83333333333333337"/>
  </r>
  <r>
    <x v="45"/>
    <x v="43"/>
    <s v="PT1"/>
    <x v="6"/>
    <n v="7849.9500000000007"/>
    <n v="20"/>
    <n v="210"/>
    <n v="58.499499999999998"/>
    <n v="268.49950000000001"/>
    <n v="3"/>
    <n v="3"/>
    <n v="1"/>
  </r>
  <r>
    <x v="46"/>
    <x v="5"/>
    <s v="AM"/>
    <x v="1"/>
    <n v="8800.5400000000009"/>
    <n v="40"/>
    <n v="940"/>
    <n v="60.39"/>
    <n v="1000.39"/>
    <n v="2"/>
    <n v="5"/>
    <n v="0.4"/>
  </r>
  <r>
    <x v="47"/>
    <x v="44"/>
    <s v="S2"/>
    <x v="6"/>
    <n v="12195.070000000002"/>
    <n v="40"/>
    <n v="600"/>
    <n v="139.58600000000001"/>
    <n v="739.58600000000001"/>
    <n v="5"/>
    <n v="6"/>
    <n v="0.83333333333333337"/>
  </r>
  <r>
    <x v="48"/>
    <x v="45"/>
    <s v="S2"/>
    <x v="0"/>
    <n v="11180"/>
    <n v="38"/>
    <n v="570"/>
    <n v="113.25"/>
    <n v="683.25"/>
    <n v="5"/>
    <n v="5"/>
    <n v="1"/>
  </r>
  <r>
    <x v="49"/>
    <x v="46"/>
    <s v="S1"/>
    <x v="6"/>
    <n v="10623.689999999999"/>
    <n v="40"/>
    <n v="540"/>
    <n v="115.4366"/>
    <n v="655.4366"/>
    <n v="4"/>
    <n v="6"/>
    <n v="0.66666666666666663"/>
  </r>
  <r>
    <x v="50"/>
    <x v="47"/>
    <s v="S1"/>
    <x v="4"/>
    <n v="2664"/>
    <n v="21"/>
    <n v="283.5"/>
    <n v="3.1396000000000006"/>
    <n v="286.63959999999997"/>
    <n v="1"/>
    <n v="4"/>
    <n v="0.25"/>
  </r>
  <r>
    <x v="51"/>
    <x v="48"/>
    <s v="PT2"/>
    <x v="1"/>
    <n v="5704.88"/>
    <n v="20"/>
    <n v="235"/>
    <n v="48.0732"/>
    <n v="283.07319999999999"/>
    <n v="3"/>
    <n v="3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2">
  <r>
    <x v="0"/>
    <x v="0"/>
    <x v="0"/>
    <s v="Men's"/>
    <n v="10730.69"/>
    <n v="38"/>
    <n v="893"/>
    <n v="108.3111"/>
    <n v="1001.3111"/>
    <n v="4"/>
    <n v="5"/>
    <n v="0.8"/>
  </r>
  <r>
    <x v="1"/>
    <x v="1"/>
    <x v="1"/>
    <s v="Men's"/>
    <n v="12972.86"/>
    <n v="20"/>
    <n v="235"/>
    <n v="158.66759999999999"/>
    <n v="393.66759999999999"/>
    <n v="4"/>
    <n v="5"/>
    <n v="0.8"/>
  </r>
  <r>
    <x v="2"/>
    <x v="2"/>
    <x v="2"/>
    <s v="Cosmetics"/>
    <n v="8023.6"/>
    <n v="40"/>
    <n v="600"/>
    <n v="50.0595"/>
    <n v="650.05949999999996"/>
    <n v="5"/>
    <n v="6"/>
    <n v="0.83333333333333337"/>
  </r>
  <r>
    <x v="3"/>
    <x v="3"/>
    <x v="2"/>
    <s v="Housewares"/>
    <n v="6456.81"/>
    <n v="30"/>
    <n v="450"/>
    <n v="50.554250000000003"/>
    <n v="500.55425000000002"/>
    <n v="1"/>
    <n v="5"/>
    <n v="0.2"/>
  </r>
  <r>
    <x v="4"/>
    <x v="4"/>
    <x v="0"/>
    <s v="Linens"/>
    <n v="6404.3099999999995"/>
    <n v="40"/>
    <n v="940"/>
    <n v="14.0097"/>
    <n v="954.00970000000007"/>
    <n v="1"/>
    <n v="5"/>
    <n v="0.2"/>
  </r>
  <r>
    <x v="5"/>
    <x v="5"/>
    <x v="3"/>
    <s v="Furniture"/>
    <n v="30559.340000000004"/>
    <n v="20"/>
    <n v="210"/>
    <n v="287.38690000000003"/>
    <n v="497.38690000000003"/>
    <n v="3"/>
    <n v="5"/>
    <n v="0.6"/>
  </r>
  <r>
    <x v="6"/>
    <x v="6"/>
    <x v="3"/>
    <s v="Children's"/>
    <n v="7324.31"/>
    <n v="20"/>
    <n v="210"/>
    <n v="53.243100000000005"/>
    <n v="263.24310000000003"/>
    <n v="3"/>
    <n v="3"/>
    <n v="1"/>
  </r>
  <r>
    <x v="7"/>
    <x v="7"/>
    <x v="4"/>
    <s v="Children's"/>
    <n v="12448.050000000001"/>
    <n v="40"/>
    <n v="540"/>
    <n v="139.97560000000001"/>
    <n v="679.97559999999999"/>
    <n v="4"/>
    <n v="5"/>
    <n v="0.8"/>
  </r>
  <r>
    <x v="8"/>
    <x v="8"/>
    <x v="3"/>
    <s v="Men's"/>
    <n v="2549.7599999999998"/>
    <n v="13"/>
    <n v="136.5"/>
    <n v="12.497599999999998"/>
    <n v="148.99760000000001"/>
    <n v="3"/>
    <n v="3"/>
    <n v="1"/>
  </r>
  <r>
    <x v="9"/>
    <x v="9"/>
    <x v="3"/>
    <s v="Children's"/>
    <n v="7873.5700000000006"/>
    <n v="20"/>
    <n v="210"/>
    <n v="58.735699999999994"/>
    <n v="268.73570000000001"/>
    <n v="4"/>
    <n v="4"/>
    <n v="1"/>
  </r>
  <r>
    <x v="10"/>
    <x v="10"/>
    <x v="1"/>
    <s v="Cosmetics"/>
    <n v="5417.1"/>
    <n v="20"/>
    <n v="235"/>
    <n v="48.856200000000001"/>
    <n v="283.8562"/>
    <n v="3"/>
    <n v="4"/>
    <n v="0.75"/>
  </r>
  <r>
    <x v="11"/>
    <x v="11"/>
    <x v="2"/>
    <s v="Children's"/>
    <n v="9553.8700000000008"/>
    <n v="40"/>
    <n v="600"/>
    <n v="75.785250000000019"/>
    <n v="675.78524999999991"/>
    <n v="4"/>
    <n v="6"/>
    <n v="0.66666666666666663"/>
  </r>
  <r>
    <x v="12"/>
    <x v="12"/>
    <x v="4"/>
    <s v="Furniture"/>
    <n v="48346.81"/>
    <n v="32"/>
    <n v="432"/>
    <n v="870.93619999999999"/>
    <n v="1302.9361999999999"/>
    <n v="5"/>
    <n v="5"/>
    <n v="1"/>
  </r>
  <r>
    <x v="13"/>
    <x v="13"/>
    <x v="4"/>
    <s v="Cosmetics"/>
    <n v="4768.67"/>
    <n v="40"/>
    <n v="540"/>
    <n v="14.0062"/>
    <n v="554.00620000000004"/>
    <n v="2"/>
    <n v="5"/>
    <n v="0.4"/>
  </r>
  <r>
    <x v="14"/>
    <x v="14"/>
    <x v="4"/>
    <s v="Housewares"/>
    <n v="8966.32"/>
    <n v="38"/>
    <n v="513"/>
    <n v="65.326399999999992"/>
    <n v="578.32640000000004"/>
    <n v="6"/>
    <n v="6"/>
    <n v="1"/>
  </r>
  <r>
    <x v="15"/>
    <x v="15"/>
    <x v="3"/>
    <s v="Women's"/>
    <n v="9143.4900000000016"/>
    <n v="22"/>
    <n v="231"/>
    <n v="70.934899999999999"/>
    <n v="301.93490000000003"/>
    <n v="4"/>
    <n v="5"/>
    <n v="0.8"/>
  </r>
  <r>
    <x v="16"/>
    <x v="16"/>
    <x v="3"/>
    <s v="Furniture"/>
    <n v="37859.29"/>
    <n v="24"/>
    <n v="252"/>
    <n v="354.59290000000004"/>
    <n v="606.5929000000001"/>
    <n v="4"/>
    <n v="4"/>
    <n v="1"/>
  </r>
  <r>
    <x v="17"/>
    <x v="17"/>
    <x v="1"/>
    <s v="Furniture"/>
    <n v="45201.789999999994"/>
    <n v="25"/>
    <n v="293.75"/>
    <n v="640.98404999999991"/>
    <n v="934.73404999999991"/>
    <n v="4"/>
    <n v="6"/>
    <n v="0.66666666666666663"/>
  </r>
  <r>
    <x v="18"/>
    <x v="18"/>
    <x v="4"/>
    <s v="Cosmetics"/>
    <n v="7411.5899999999992"/>
    <n v="40"/>
    <n v="540"/>
    <n v="37.020200000000003"/>
    <n v="577.02019999999993"/>
    <n v="3"/>
    <n v="5"/>
    <n v="0.6"/>
  </r>
  <r>
    <x v="19"/>
    <x v="19"/>
    <x v="0"/>
    <s v="Housewares"/>
    <n v="9289.89"/>
    <n v="40"/>
    <n v="940"/>
    <n v="59.982599999999998"/>
    <n v="999.98260000000005"/>
    <n v="4"/>
    <n v="5"/>
    <n v="0.8"/>
  </r>
  <r>
    <x v="20"/>
    <x v="20"/>
    <x v="1"/>
    <s v="Furniture"/>
    <n v="59984.310000000005"/>
    <n v="20"/>
    <n v="235"/>
    <n v="862.26464999999996"/>
    <n v="1097.2646500000001"/>
    <n v="3"/>
    <n v="3"/>
    <n v="1"/>
  </r>
  <r>
    <x v="21"/>
    <x v="16"/>
    <x v="1"/>
    <s v="Cosmetics"/>
    <n v="8463.0499999999993"/>
    <n v="23"/>
    <n v="270.25"/>
    <n v="85.687950000000001"/>
    <n v="355.93795"/>
    <n v="4"/>
    <n v="5"/>
    <n v="0.8"/>
  </r>
  <r>
    <x v="22"/>
    <x v="21"/>
    <x v="4"/>
    <s v="Children's"/>
    <n v="12057.629999999997"/>
    <n v="40"/>
    <n v="540"/>
    <n v="126.2448"/>
    <n v="666.24479999999994"/>
    <n v="6"/>
    <n v="7"/>
    <n v="0.8571428571428571"/>
  </r>
  <r>
    <x v="23"/>
    <x v="22"/>
    <x v="0"/>
    <s v="Women's"/>
    <n v="11957.08"/>
    <n v="40"/>
    <n v="940"/>
    <n v="172.91970000000001"/>
    <n v="1112.9196999999999"/>
    <n v="4"/>
    <n v="6"/>
    <n v="0.66666666666666663"/>
  </r>
  <r>
    <x v="24"/>
    <x v="23"/>
    <x v="1"/>
    <s v="Children's"/>
    <n v="3673.08"/>
    <n v="20"/>
    <n v="235"/>
    <n v="29.589599999999997"/>
    <n v="264.58960000000002"/>
    <n v="2"/>
    <n v="5"/>
    <n v="0.4"/>
  </r>
  <r>
    <x v="25"/>
    <x v="24"/>
    <x v="4"/>
    <s v="Housewares"/>
    <n v="10655.25"/>
    <n v="40"/>
    <n v="540"/>
    <n v="101.2574"/>
    <n v="641.25739999999996"/>
    <n v="4"/>
    <n v="6"/>
    <n v="0.66666666666666663"/>
  </r>
  <r>
    <x v="26"/>
    <x v="25"/>
    <x v="4"/>
    <s v="Linens"/>
    <n v="6553.78"/>
    <n v="37"/>
    <n v="499.5"/>
    <n v="83.131399999999999"/>
    <n v="582.63139999999999"/>
    <n v="2"/>
    <n v="6"/>
    <n v="0.33333333333333331"/>
  </r>
  <r>
    <x v="27"/>
    <x v="26"/>
    <x v="2"/>
    <s v="Linens"/>
    <n v="14154.630000000001"/>
    <n v="40"/>
    <n v="600"/>
    <n v="195.25475"/>
    <n v="795.25475000000006"/>
    <n v="6"/>
    <n v="7"/>
    <n v="0.8571428571428571"/>
  </r>
  <r>
    <x v="28"/>
    <x v="27"/>
    <x v="3"/>
    <s v="Housewares"/>
    <n v="7606.25"/>
    <n v="20"/>
    <n v="210"/>
    <n v="56.0625"/>
    <n v="266.0625"/>
    <n v="5"/>
    <n v="5"/>
    <n v="1"/>
  </r>
  <r>
    <x v="29"/>
    <x v="10"/>
    <x v="0"/>
    <s v="Furniture"/>
    <n v="58684.18"/>
    <n v="40"/>
    <n v="940"/>
    <n v="1520.5254"/>
    <n v="2460.5254"/>
    <n v="5"/>
    <n v="5"/>
    <n v="1"/>
  </r>
  <r>
    <x v="30"/>
    <x v="28"/>
    <x v="1"/>
    <s v="Housewares"/>
    <n v="4502.29"/>
    <n v="14"/>
    <n v="164.5"/>
    <n v="42.881249999999994"/>
    <n v="207.38124999999999"/>
    <n v="3"/>
    <n v="4"/>
    <n v="0.75"/>
  </r>
  <r>
    <x v="31"/>
    <x v="29"/>
    <x v="4"/>
    <s v="Men's"/>
    <n v="15463.781999999999"/>
    <n v="40"/>
    <n v="540"/>
    <n v="189.27564000000001"/>
    <n v="729.27563999999995"/>
    <n v="5"/>
    <n v="5"/>
    <n v="1"/>
  </r>
  <r>
    <x v="32"/>
    <x v="30"/>
    <x v="4"/>
    <s v="Men's"/>
    <n v="3420.68"/>
    <n v="29"/>
    <n v="391.5"/>
    <n v="22.2624"/>
    <n v="413.76239999999996"/>
    <n v="3"/>
    <n v="5"/>
    <n v="0.6"/>
  </r>
  <r>
    <x v="33"/>
    <x v="31"/>
    <x v="2"/>
    <s v="Linens"/>
    <n v="12352.46"/>
    <n v="40"/>
    <n v="600"/>
    <n v="142.13749999999999"/>
    <n v="742.13749999999993"/>
    <n v="4"/>
    <n v="6"/>
    <n v="0.66666666666666663"/>
  </r>
  <r>
    <x v="34"/>
    <x v="32"/>
    <x v="2"/>
    <s v="Men's"/>
    <n v="2900.73"/>
    <n v="21"/>
    <n v="315"/>
    <n v="2.8064999999999998"/>
    <n v="317.80650000000003"/>
    <n v="1"/>
    <n v="4"/>
    <n v="0.25"/>
  </r>
  <r>
    <x v="35"/>
    <x v="33"/>
    <x v="3"/>
    <s v="Women's"/>
    <n v="4695.0399999999991"/>
    <n v="20"/>
    <n v="210"/>
    <n v="26.950399999999998"/>
    <n v="236.95039999999997"/>
    <n v="4"/>
    <n v="4"/>
    <n v="1"/>
  </r>
  <r>
    <x v="36"/>
    <x v="34"/>
    <x v="4"/>
    <s v="Linens"/>
    <n v="13553.95"/>
    <n v="40"/>
    <n v="540"/>
    <n v="153.56640000000002"/>
    <n v="693.56639999999993"/>
    <n v="5"/>
    <n v="6"/>
    <n v="0.83333333333333337"/>
  </r>
  <r>
    <x v="37"/>
    <x v="35"/>
    <x v="3"/>
    <s v="Linens"/>
    <n v="9025.85"/>
    <n v="16"/>
    <n v="168"/>
    <n v="74.744900000000001"/>
    <n v="242.7449"/>
    <n v="2"/>
    <n v="3"/>
    <n v="0.66666666666666663"/>
  </r>
  <r>
    <x v="38"/>
    <x v="36"/>
    <x v="4"/>
    <s v="Furniture"/>
    <n v="49111.960000000006"/>
    <n v="38"/>
    <n v="513"/>
    <n v="868.2392000000001"/>
    <n v="1381.2392"/>
    <n v="5"/>
    <n v="5"/>
    <n v="1"/>
  </r>
  <r>
    <x v="39"/>
    <x v="37"/>
    <x v="0"/>
    <s v="Children's"/>
    <n v="9197.74"/>
    <n v="40"/>
    <n v="940"/>
    <n v="50.438400000000001"/>
    <n v="990.4384"/>
    <n v="3"/>
    <n v="5"/>
    <n v="0.6"/>
  </r>
  <r>
    <x v="40"/>
    <x v="38"/>
    <x v="1"/>
    <s v="Men's"/>
    <n v="6161.32"/>
    <n v="20"/>
    <n v="235"/>
    <n v="55.671149999999997"/>
    <n v="290.67115000000001"/>
    <n v="4"/>
    <n v="5"/>
    <n v="0.8"/>
  </r>
  <r>
    <x v="41"/>
    <x v="39"/>
    <x v="1"/>
    <s v="Linens"/>
    <n v="5999.6"/>
    <n v="20"/>
    <n v="235"/>
    <n v="52.494"/>
    <n v="287.49400000000003"/>
    <n v="3"/>
    <n v="3"/>
    <n v="1"/>
  </r>
  <r>
    <x v="42"/>
    <x v="40"/>
    <x v="2"/>
    <s v="Men's"/>
    <n v="10832.800000000001"/>
    <n v="40"/>
    <n v="600"/>
    <n v="103.87150000000001"/>
    <n v="703.87149999999997"/>
    <n v="5"/>
    <n v="6"/>
    <n v="0.83333333333333337"/>
  </r>
  <r>
    <x v="43"/>
    <x v="41"/>
    <x v="2"/>
    <s v="Women's"/>
    <n v="9661.91"/>
    <n v="40"/>
    <n v="600"/>
    <n v="138.79974999999999"/>
    <n v="738.79975000000002"/>
    <n v="3"/>
    <n v="6"/>
    <n v="0.5"/>
  </r>
  <r>
    <x v="44"/>
    <x v="42"/>
    <x v="4"/>
    <s v="Women's"/>
    <n v="16069.11"/>
    <n v="40"/>
    <n v="540"/>
    <n v="205.95499999999998"/>
    <n v="745.95499999999993"/>
    <n v="5"/>
    <n v="6"/>
    <n v="0.83333333333333337"/>
  </r>
  <r>
    <x v="45"/>
    <x v="43"/>
    <x v="3"/>
    <s v="Women's"/>
    <n v="7849.9500000000007"/>
    <n v="20"/>
    <n v="210"/>
    <n v="58.499499999999998"/>
    <n v="268.49950000000001"/>
    <n v="3"/>
    <n v="3"/>
    <n v="1"/>
  </r>
  <r>
    <x v="46"/>
    <x v="5"/>
    <x v="0"/>
    <s v="Cosmetics"/>
    <n v="8800.5400000000009"/>
    <n v="40"/>
    <n v="940"/>
    <n v="60.39"/>
    <n v="1000.39"/>
    <n v="2"/>
    <n v="5"/>
    <n v="0.4"/>
  </r>
  <r>
    <x v="47"/>
    <x v="44"/>
    <x v="2"/>
    <s v="Women's"/>
    <n v="12195.070000000002"/>
    <n v="40"/>
    <n v="600"/>
    <n v="139.58600000000001"/>
    <n v="739.58600000000001"/>
    <n v="5"/>
    <n v="6"/>
    <n v="0.83333333333333337"/>
  </r>
  <r>
    <x v="48"/>
    <x v="45"/>
    <x v="2"/>
    <s v="Men's"/>
    <n v="11180"/>
    <n v="38"/>
    <n v="570"/>
    <n v="113.25"/>
    <n v="683.25"/>
    <n v="5"/>
    <n v="5"/>
    <n v="1"/>
  </r>
  <r>
    <x v="49"/>
    <x v="46"/>
    <x v="4"/>
    <s v="Women's"/>
    <n v="10623.689999999999"/>
    <n v="40"/>
    <n v="540"/>
    <n v="115.4366"/>
    <n v="655.4366"/>
    <n v="4"/>
    <n v="6"/>
    <n v="0.66666666666666663"/>
  </r>
  <r>
    <x v="50"/>
    <x v="47"/>
    <x v="4"/>
    <s v="Furniture"/>
    <n v="2664"/>
    <n v="21"/>
    <n v="283.5"/>
    <n v="3.1396000000000006"/>
    <n v="286.63959999999997"/>
    <n v="1"/>
    <n v="4"/>
    <n v="0.25"/>
  </r>
  <r>
    <x v="51"/>
    <x v="48"/>
    <x v="1"/>
    <s v="Cosmetics"/>
    <n v="5704.88"/>
    <n v="20"/>
    <n v="235"/>
    <n v="48.0732"/>
    <n v="283.07319999999999"/>
    <n v="3"/>
    <n v="3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2">
  <r>
    <x v="0"/>
    <s v="Joshua"/>
    <x v="0"/>
    <x v="0"/>
    <x v="0"/>
    <n v="38"/>
    <n v="893"/>
    <n v="108.3111"/>
    <n v="1001.3111"/>
    <n v="4"/>
    <n v="5"/>
    <n v="0.8"/>
  </r>
  <r>
    <x v="1"/>
    <s v="Robin"/>
    <x v="1"/>
    <x v="0"/>
    <x v="1"/>
    <n v="20"/>
    <n v="235"/>
    <n v="158.66759999999999"/>
    <n v="393.66759999999999"/>
    <n v="4"/>
    <n v="5"/>
    <n v="0.8"/>
  </r>
  <r>
    <x v="2"/>
    <s v="Barney"/>
    <x v="2"/>
    <x v="1"/>
    <x v="2"/>
    <n v="40"/>
    <n v="600"/>
    <n v="50.0595"/>
    <n v="650.05949999999996"/>
    <n v="5"/>
    <n v="6"/>
    <n v="0.83333333333333337"/>
  </r>
  <r>
    <x v="3"/>
    <s v="Pat"/>
    <x v="2"/>
    <x v="2"/>
    <x v="3"/>
    <n v="30"/>
    <n v="450"/>
    <n v="50.554250000000003"/>
    <n v="500.55425000000002"/>
    <n v="1"/>
    <n v="5"/>
    <n v="0.2"/>
  </r>
  <r>
    <x v="4"/>
    <s v="Elizabeth"/>
    <x v="0"/>
    <x v="3"/>
    <x v="4"/>
    <n v="40"/>
    <n v="940"/>
    <n v="14.0097"/>
    <n v="954.00970000000007"/>
    <n v="1"/>
    <n v="5"/>
    <n v="0.2"/>
  </r>
  <r>
    <x v="5"/>
    <s v="David"/>
    <x v="3"/>
    <x v="4"/>
    <x v="5"/>
    <n v="20"/>
    <n v="210"/>
    <n v="287.38690000000003"/>
    <n v="497.38690000000003"/>
    <n v="3"/>
    <n v="5"/>
    <n v="0.6"/>
  </r>
  <r>
    <x v="6"/>
    <s v="June"/>
    <x v="3"/>
    <x v="5"/>
    <x v="6"/>
    <n v="20"/>
    <n v="210"/>
    <n v="53.243100000000005"/>
    <n v="263.24310000000003"/>
    <n v="3"/>
    <n v="3"/>
    <n v="1"/>
  </r>
  <r>
    <x v="7"/>
    <s v="Aleta"/>
    <x v="4"/>
    <x v="5"/>
    <x v="7"/>
    <n v="40"/>
    <n v="540"/>
    <n v="139.97560000000001"/>
    <n v="679.97559999999999"/>
    <n v="4"/>
    <n v="5"/>
    <n v="0.8"/>
  </r>
  <r>
    <x v="8"/>
    <s v="Rayundo"/>
    <x v="3"/>
    <x v="0"/>
    <x v="8"/>
    <n v="13"/>
    <n v="136.5"/>
    <n v="12.497599999999998"/>
    <n v="148.99760000000001"/>
    <n v="3"/>
    <n v="3"/>
    <n v="1"/>
  </r>
  <r>
    <x v="9"/>
    <s v="Shawn"/>
    <x v="3"/>
    <x v="5"/>
    <x v="9"/>
    <n v="20"/>
    <n v="210"/>
    <n v="58.735699999999994"/>
    <n v="268.73570000000001"/>
    <n v="4"/>
    <n v="4"/>
    <n v="1"/>
  </r>
  <r>
    <x v="10"/>
    <s v="Pamela"/>
    <x v="1"/>
    <x v="1"/>
    <x v="10"/>
    <n v="20"/>
    <n v="235"/>
    <n v="48.856200000000001"/>
    <n v="283.8562"/>
    <n v="3"/>
    <n v="4"/>
    <n v="0.75"/>
  </r>
  <r>
    <x v="11"/>
    <s v="Kelee"/>
    <x v="2"/>
    <x v="5"/>
    <x v="11"/>
    <n v="40"/>
    <n v="600"/>
    <n v="75.785250000000019"/>
    <n v="675.78524999999991"/>
    <n v="4"/>
    <n v="6"/>
    <n v="0.66666666666666663"/>
  </r>
  <r>
    <x v="12"/>
    <s v="Vearl"/>
    <x v="4"/>
    <x v="4"/>
    <x v="12"/>
    <n v="32"/>
    <n v="432"/>
    <n v="870.93619999999999"/>
    <n v="1302.9361999999999"/>
    <n v="5"/>
    <n v="5"/>
    <n v="1"/>
  </r>
  <r>
    <x v="13"/>
    <s v="Rick"/>
    <x v="4"/>
    <x v="1"/>
    <x v="13"/>
    <n v="40"/>
    <n v="540"/>
    <n v="14.0062"/>
    <n v="554.00620000000004"/>
    <n v="2"/>
    <n v="5"/>
    <n v="0.4"/>
  </r>
  <r>
    <x v="14"/>
    <s v="Jerry"/>
    <x v="4"/>
    <x v="2"/>
    <x v="14"/>
    <n v="38"/>
    <n v="513"/>
    <n v="65.326399999999992"/>
    <n v="578.32640000000004"/>
    <n v="6"/>
    <n v="6"/>
    <n v="1"/>
  </r>
  <r>
    <x v="15"/>
    <s v="Samone"/>
    <x v="3"/>
    <x v="6"/>
    <x v="15"/>
    <n v="22"/>
    <n v="231"/>
    <n v="70.934899999999999"/>
    <n v="301.93490000000003"/>
    <n v="4"/>
    <n v="5"/>
    <n v="0.8"/>
  </r>
  <r>
    <x v="16"/>
    <s v="Frank"/>
    <x v="3"/>
    <x v="4"/>
    <x v="16"/>
    <n v="24"/>
    <n v="252"/>
    <n v="354.59290000000004"/>
    <n v="606.5929000000001"/>
    <n v="4"/>
    <n v="4"/>
    <n v="1"/>
  </r>
  <r>
    <x v="17"/>
    <s v="Joann"/>
    <x v="1"/>
    <x v="4"/>
    <x v="17"/>
    <n v="25"/>
    <n v="293.75"/>
    <n v="640.98404999999991"/>
    <n v="934.73404999999991"/>
    <n v="4"/>
    <n v="6"/>
    <n v="0.66666666666666663"/>
  </r>
  <r>
    <x v="18"/>
    <s v="Patricia"/>
    <x v="4"/>
    <x v="1"/>
    <x v="18"/>
    <n v="40"/>
    <n v="540"/>
    <n v="37.020200000000003"/>
    <n v="577.02019999999993"/>
    <n v="3"/>
    <n v="5"/>
    <n v="0.6"/>
  </r>
  <r>
    <x v="19"/>
    <s v="Kent"/>
    <x v="0"/>
    <x v="2"/>
    <x v="19"/>
    <n v="40"/>
    <n v="940"/>
    <n v="59.982599999999998"/>
    <n v="999.98260000000005"/>
    <n v="4"/>
    <n v="5"/>
    <n v="0.8"/>
  </r>
  <r>
    <x v="20"/>
    <s v="Woody"/>
    <x v="1"/>
    <x v="4"/>
    <x v="20"/>
    <n v="20"/>
    <n v="235"/>
    <n v="862.26464999999996"/>
    <n v="1097.2646500000001"/>
    <n v="3"/>
    <n v="3"/>
    <n v="1"/>
  </r>
  <r>
    <x v="21"/>
    <s v="Frank"/>
    <x v="1"/>
    <x v="1"/>
    <x v="21"/>
    <n v="23"/>
    <n v="270.25"/>
    <n v="85.687950000000001"/>
    <n v="355.93795"/>
    <n v="4"/>
    <n v="5"/>
    <n v="0.8"/>
  </r>
  <r>
    <x v="22"/>
    <s v="Russell"/>
    <x v="4"/>
    <x v="5"/>
    <x v="22"/>
    <n v="40"/>
    <n v="540"/>
    <n v="126.2448"/>
    <n v="666.24479999999994"/>
    <n v="6"/>
    <n v="7"/>
    <n v="0.8571428571428571"/>
  </r>
  <r>
    <x v="23"/>
    <s v="Buyung"/>
    <x v="0"/>
    <x v="6"/>
    <x v="23"/>
    <n v="40"/>
    <n v="940"/>
    <n v="172.91970000000001"/>
    <n v="1112.9196999999999"/>
    <n v="4"/>
    <n v="6"/>
    <n v="0.66666666666666663"/>
  </r>
  <r>
    <x v="24"/>
    <s v="Loraine"/>
    <x v="1"/>
    <x v="5"/>
    <x v="24"/>
    <n v="20"/>
    <n v="235"/>
    <n v="29.589599999999997"/>
    <n v="264.58960000000002"/>
    <n v="2"/>
    <n v="5"/>
    <n v="0.4"/>
  </r>
  <r>
    <x v="25"/>
    <s v="Rafael"/>
    <x v="4"/>
    <x v="2"/>
    <x v="25"/>
    <n v="40"/>
    <n v="540"/>
    <n v="101.2574"/>
    <n v="641.25739999999996"/>
    <n v="4"/>
    <n v="6"/>
    <n v="0.66666666666666663"/>
  </r>
  <r>
    <x v="26"/>
    <s v="Kionna"/>
    <x v="4"/>
    <x v="3"/>
    <x v="26"/>
    <n v="37"/>
    <n v="499.5"/>
    <n v="83.131399999999999"/>
    <n v="582.63139999999999"/>
    <n v="2"/>
    <n v="6"/>
    <n v="0.33333333333333331"/>
  </r>
  <r>
    <x v="27"/>
    <s v="Linda"/>
    <x v="2"/>
    <x v="3"/>
    <x v="27"/>
    <n v="40"/>
    <n v="600"/>
    <n v="195.25475"/>
    <n v="795.25475000000006"/>
    <n v="6"/>
    <n v="7"/>
    <n v="0.8571428571428571"/>
  </r>
  <r>
    <x v="28"/>
    <s v="Pedro"/>
    <x v="3"/>
    <x v="2"/>
    <x v="28"/>
    <n v="20"/>
    <n v="210"/>
    <n v="56.0625"/>
    <n v="266.0625"/>
    <n v="5"/>
    <n v="5"/>
    <n v="1"/>
  </r>
  <r>
    <x v="29"/>
    <s v="Pamela"/>
    <x v="0"/>
    <x v="4"/>
    <x v="29"/>
    <n v="40"/>
    <n v="940"/>
    <n v="1520.5254"/>
    <n v="2460.5254"/>
    <n v="5"/>
    <n v="5"/>
    <n v="1"/>
  </r>
  <r>
    <x v="30"/>
    <s v="Olivia"/>
    <x v="1"/>
    <x v="2"/>
    <x v="30"/>
    <n v="14"/>
    <n v="164.5"/>
    <n v="42.881249999999994"/>
    <n v="207.38124999999999"/>
    <n v="3"/>
    <n v="4"/>
    <n v="0.75"/>
  </r>
  <r>
    <x v="31"/>
    <s v="Levitica"/>
    <x v="4"/>
    <x v="0"/>
    <x v="31"/>
    <n v="40"/>
    <n v="540"/>
    <n v="189.27564000000001"/>
    <n v="729.27563999999995"/>
    <n v="5"/>
    <n v="5"/>
    <n v="1"/>
  </r>
  <r>
    <x v="32"/>
    <s v="Carmen"/>
    <x v="4"/>
    <x v="0"/>
    <x v="32"/>
    <n v="29"/>
    <n v="391.5"/>
    <n v="22.2624"/>
    <n v="413.76239999999996"/>
    <n v="3"/>
    <n v="5"/>
    <n v="0.6"/>
  </r>
  <r>
    <x v="33"/>
    <s v="Emmett"/>
    <x v="2"/>
    <x v="3"/>
    <x v="33"/>
    <n v="40"/>
    <n v="600"/>
    <n v="142.13749999999999"/>
    <n v="742.13749999999993"/>
    <n v="4"/>
    <n v="6"/>
    <n v="0.66666666666666663"/>
  </r>
  <r>
    <x v="34"/>
    <s v="Luciano"/>
    <x v="2"/>
    <x v="0"/>
    <x v="34"/>
    <n v="21"/>
    <n v="315"/>
    <n v="2.8064999999999998"/>
    <n v="317.80650000000003"/>
    <n v="1"/>
    <n v="4"/>
    <n v="0.25"/>
  </r>
  <r>
    <x v="35"/>
    <s v="Leslie"/>
    <x v="3"/>
    <x v="6"/>
    <x v="35"/>
    <n v="20"/>
    <n v="210"/>
    <n v="26.950399999999998"/>
    <n v="236.95039999999997"/>
    <n v="4"/>
    <n v="4"/>
    <n v="1"/>
  </r>
  <r>
    <x v="36"/>
    <s v="Oseas"/>
    <x v="4"/>
    <x v="3"/>
    <x v="36"/>
    <n v="40"/>
    <n v="540"/>
    <n v="153.56640000000002"/>
    <n v="693.56639999999993"/>
    <n v="5"/>
    <n v="6"/>
    <n v="0.83333333333333337"/>
  </r>
  <r>
    <x v="37"/>
    <s v="Joaquin"/>
    <x v="3"/>
    <x v="3"/>
    <x v="37"/>
    <n v="16"/>
    <n v="168"/>
    <n v="74.744900000000001"/>
    <n v="242.7449"/>
    <n v="2"/>
    <n v="3"/>
    <n v="0.66666666666666663"/>
  </r>
  <r>
    <x v="38"/>
    <s v="Jimmy"/>
    <x v="4"/>
    <x v="4"/>
    <x v="38"/>
    <n v="38"/>
    <n v="513"/>
    <n v="868.2392000000001"/>
    <n v="1381.2392"/>
    <n v="5"/>
    <n v="5"/>
    <n v="1"/>
  </r>
  <r>
    <x v="39"/>
    <s v="Rayna"/>
    <x v="0"/>
    <x v="5"/>
    <x v="39"/>
    <n v="40"/>
    <n v="940"/>
    <n v="50.438400000000001"/>
    <n v="990.4384"/>
    <n v="3"/>
    <n v="5"/>
    <n v="0.6"/>
  </r>
  <r>
    <x v="40"/>
    <s v="Johnny"/>
    <x v="1"/>
    <x v="0"/>
    <x v="40"/>
    <n v="20"/>
    <n v="235"/>
    <n v="55.671149999999997"/>
    <n v="290.67115000000001"/>
    <n v="4"/>
    <n v="5"/>
    <n v="0.8"/>
  </r>
  <r>
    <x v="41"/>
    <s v="Reginald"/>
    <x v="1"/>
    <x v="3"/>
    <x v="41"/>
    <n v="20"/>
    <n v="235"/>
    <n v="52.494"/>
    <n v="287.49400000000003"/>
    <n v="3"/>
    <n v="3"/>
    <n v="1"/>
  </r>
  <r>
    <x v="42"/>
    <s v="Monica"/>
    <x v="2"/>
    <x v="0"/>
    <x v="42"/>
    <n v="40"/>
    <n v="600"/>
    <n v="103.87150000000001"/>
    <n v="703.87149999999997"/>
    <n v="5"/>
    <n v="6"/>
    <n v="0.83333333333333337"/>
  </r>
  <r>
    <x v="43"/>
    <s v="Dale"/>
    <x v="2"/>
    <x v="6"/>
    <x v="43"/>
    <n v="40"/>
    <n v="600"/>
    <n v="138.79974999999999"/>
    <n v="738.79975000000002"/>
    <n v="3"/>
    <n v="6"/>
    <n v="0.5"/>
  </r>
  <r>
    <x v="44"/>
    <s v="Catrina"/>
    <x v="4"/>
    <x v="6"/>
    <x v="44"/>
    <n v="40"/>
    <n v="540"/>
    <n v="205.95499999999998"/>
    <n v="745.95499999999993"/>
    <n v="5"/>
    <n v="6"/>
    <n v="0.83333333333333337"/>
  </r>
  <r>
    <x v="45"/>
    <s v="Lacretia"/>
    <x v="3"/>
    <x v="6"/>
    <x v="45"/>
    <n v="20"/>
    <n v="210"/>
    <n v="58.499499999999998"/>
    <n v="268.49950000000001"/>
    <n v="3"/>
    <n v="3"/>
    <n v="1"/>
  </r>
  <r>
    <x v="46"/>
    <s v="David"/>
    <x v="0"/>
    <x v="1"/>
    <x v="46"/>
    <n v="40"/>
    <n v="940"/>
    <n v="60.39"/>
    <n v="1000.39"/>
    <n v="2"/>
    <n v="5"/>
    <n v="0.4"/>
  </r>
  <r>
    <x v="47"/>
    <s v="Yvonne"/>
    <x v="2"/>
    <x v="6"/>
    <x v="47"/>
    <n v="40"/>
    <n v="600"/>
    <n v="139.58600000000001"/>
    <n v="739.58600000000001"/>
    <n v="5"/>
    <n v="6"/>
    <n v="0.83333333333333337"/>
  </r>
  <r>
    <x v="48"/>
    <s v="Donny"/>
    <x v="2"/>
    <x v="0"/>
    <x v="48"/>
    <n v="38"/>
    <n v="570"/>
    <n v="113.25"/>
    <n v="683.25"/>
    <n v="5"/>
    <n v="5"/>
    <n v="1"/>
  </r>
  <r>
    <x v="49"/>
    <s v="Kelly"/>
    <x v="4"/>
    <x v="6"/>
    <x v="49"/>
    <n v="40"/>
    <n v="540"/>
    <n v="115.4366"/>
    <n v="655.4366"/>
    <n v="4"/>
    <n v="6"/>
    <n v="0.66666666666666663"/>
  </r>
  <r>
    <x v="50"/>
    <s v="Jay"/>
    <x v="4"/>
    <x v="4"/>
    <x v="50"/>
    <n v="21"/>
    <n v="283.5"/>
    <n v="3.1396000000000006"/>
    <n v="286.63959999999997"/>
    <n v="1"/>
    <n v="4"/>
    <n v="0.25"/>
  </r>
  <r>
    <x v="51"/>
    <s v="William"/>
    <x v="1"/>
    <x v="1"/>
    <x v="51"/>
    <n v="20"/>
    <n v="235"/>
    <n v="48.0732"/>
    <n v="283.07319999999999"/>
    <n v="3"/>
    <n v="3"/>
    <n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2">
  <r>
    <x v="0"/>
    <x v="0"/>
    <x v="0"/>
    <x v="0"/>
    <n v="10730.69"/>
    <n v="38"/>
    <n v="893"/>
    <n v="108.3111"/>
    <n v="1001.3111"/>
    <n v="4"/>
    <n v="5"/>
    <n v="0.8"/>
  </r>
  <r>
    <x v="1"/>
    <x v="1"/>
    <x v="1"/>
    <x v="0"/>
    <n v="12972.86"/>
    <n v="20"/>
    <n v="235"/>
    <n v="158.66759999999999"/>
    <n v="393.66759999999999"/>
    <n v="4"/>
    <n v="5"/>
    <n v="0.8"/>
  </r>
  <r>
    <x v="2"/>
    <x v="2"/>
    <x v="2"/>
    <x v="1"/>
    <n v="8023.6"/>
    <n v="40"/>
    <n v="600"/>
    <n v="50.0595"/>
    <n v="650.05949999999996"/>
    <n v="5"/>
    <n v="6"/>
    <n v="0.83333333333333337"/>
  </r>
  <r>
    <x v="3"/>
    <x v="3"/>
    <x v="2"/>
    <x v="2"/>
    <n v="6456.81"/>
    <n v="30"/>
    <n v="450"/>
    <n v="50.554250000000003"/>
    <n v="500.55425000000002"/>
    <n v="1"/>
    <n v="5"/>
    <n v="0.2"/>
  </r>
  <r>
    <x v="4"/>
    <x v="4"/>
    <x v="0"/>
    <x v="3"/>
    <n v="6404.3099999999995"/>
    <n v="40"/>
    <n v="940"/>
    <n v="14.0097"/>
    <n v="954.00970000000007"/>
    <n v="1"/>
    <n v="5"/>
    <n v="0.2"/>
  </r>
  <r>
    <x v="5"/>
    <x v="5"/>
    <x v="3"/>
    <x v="4"/>
    <n v="30559.340000000004"/>
    <n v="20"/>
    <n v="210"/>
    <n v="287.38690000000003"/>
    <n v="497.38690000000003"/>
    <n v="3"/>
    <n v="5"/>
    <n v="0.6"/>
  </r>
  <r>
    <x v="6"/>
    <x v="6"/>
    <x v="3"/>
    <x v="5"/>
    <n v="7324.31"/>
    <n v="20"/>
    <n v="210"/>
    <n v="53.243100000000005"/>
    <n v="263.24310000000003"/>
    <n v="3"/>
    <n v="3"/>
    <n v="1"/>
  </r>
  <r>
    <x v="7"/>
    <x v="7"/>
    <x v="4"/>
    <x v="5"/>
    <n v="12448.050000000001"/>
    <n v="40"/>
    <n v="540"/>
    <n v="139.97560000000001"/>
    <n v="679.97559999999999"/>
    <n v="4"/>
    <n v="5"/>
    <n v="0.8"/>
  </r>
  <r>
    <x v="8"/>
    <x v="8"/>
    <x v="3"/>
    <x v="0"/>
    <n v="2549.7599999999998"/>
    <n v="13"/>
    <n v="136.5"/>
    <n v="12.497599999999998"/>
    <n v="148.99760000000001"/>
    <n v="3"/>
    <n v="3"/>
    <n v="1"/>
  </r>
  <r>
    <x v="9"/>
    <x v="9"/>
    <x v="3"/>
    <x v="5"/>
    <n v="7873.5700000000006"/>
    <n v="20"/>
    <n v="210"/>
    <n v="58.735699999999994"/>
    <n v="268.73570000000001"/>
    <n v="4"/>
    <n v="4"/>
    <n v="1"/>
  </r>
  <r>
    <x v="10"/>
    <x v="10"/>
    <x v="1"/>
    <x v="1"/>
    <n v="5417.1"/>
    <n v="20"/>
    <n v="235"/>
    <n v="48.856200000000001"/>
    <n v="283.8562"/>
    <n v="3"/>
    <n v="4"/>
    <n v="0.75"/>
  </r>
  <r>
    <x v="11"/>
    <x v="11"/>
    <x v="2"/>
    <x v="5"/>
    <n v="9553.8700000000008"/>
    <n v="40"/>
    <n v="600"/>
    <n v="75.785250000000019"/>
    <n v="675.78524999999991"/>
    <n v="4"/>
    <n v="6"/>
    <n v="0.66666666666666663"/>
  </r>
  <r>
    <x v="12"/>
    <x v="12"/>
    <x v="4"/>
    <x v="4"/>
    <n v="48346.81"/>
    <n v="32"/>
    <n v="432"/>
    <n v="870.93619999999999"/>
    <n v="1302.9361999999999"/>
    <n v="5"/>
    <n v="5"/>
    <n v="1"/>
  </r>
  <r>
    <x v="13"/>
    <x v="13"/>
    <x v="4"/>
    <x v="1"/>
    <n v="4768.67"/>
    <n v="40"/>
    <n v="540"/>
    <n v="14.0062"/>
    <n v="554.00620000000004"/>
    <n v="2"/>
    <n v="5"/>
    <n v="0.4"/>
  </r>
  <r>
    <x v="14"/>
    <x v="14"/>
    <x v="4"/>
    <x v="2"/>
    <n v="8966.32"/>
    <n v="38"/>
    <n v="513"/>
    <n v="65.326399999999992"/>
    <n v="578.32640000000004"/>
    <n v="6"/>
    <n v="6"/>
    <n v="1"/>
  </r>
  <r>
    <x v="15"/>
    <x v="15"/>
    <x v="3"/>
    <x v="6"/>
    <n v="9143.4900000000016"/>
    <n v="22"/>
    <n v="231"/>
    <n v="70.934899999999999"/>
    <n v="301.93490000000003"/>
    <n v="4"/>
    <n v="5"/>
    <n v="0.8"/>
  </r>
  <r>
    <x v="16"/>
    <x v="16"/>
    <x v="3"/>
    <x v="4"/>
    <n v="37859.29"/>
    <n v="24"/>
    <n v="252"/>
    <n v="354.59290000000004"/>
    <n v="606.5929000000001"/>
    <n v="4"/>
    <n v="4"/>
    <n v="1"/>
  </r>
  <r>
    <x v="17"/>
    <x v="17"/>
    <x v="1"/>
    <x v="4"/>
    <n v="45201.789999999994"/>
    <n v="25"/>
    <n v="293.75"/>
    <n v="640.98404999999991"/>
    <n v="934.73404999999991"/>
    <n v="4"/>
    <n v="6"/>
    <n v="0.66666666666666663"/>
  </r>
  <r>
    <x v="18"/>
    <x v="18"/>
    <x v="4"/>
    <x v="1"/>
    <n v="7411.5899999999992"/>
    <n v="40"/>
    <n v="540"/>
    <n v="37.020200000000003"/>
    <n v="577.02019999999993"/>
    <n v="3"/>
    <n v="5"/>
    <n v="0.6"/>
  </r>
  <r>
    <x v="19"/>
    <x v="19"/>
    <x v="0"/>
    <x v="2"/>
    <n v="9289.89"/>
    <n v="40"/>
    <n v="940"/>
    <n v="59.982599999999998"/>
    <n v="999.98260000000005"/>
    <n v="4"/>
    <n v="5"/>
    <n v="0.8"/>
  </r>
  <r>
    <x v="20"/>
    <x v="20"/>
    <x v="1"/>
    <x v="4"/>
    <n v="59984.310000000005"/>
    <n v="20"/>
    <n v="235"/>
    <n v="862.26464999999996"/>
    <n v="1097.2646500000001"/>
    <n v="3"/>
    <n v="3"/>
    <n v="1"/>
  </r>
  <r>
    <x v="21"/>
    <x v="16"/>
    <x v="1"/>
    <x v="1"/>
    <n v="8463.0499999999993"/>
    <n v="23"/>
    <n v="270.25"/>
    <n v="85.687950000000001"/>
    <n v="355.93795"/>
    <n v="4"/>
    <n v="5"/>
    <n v="0.8"/>
  </r>
  <r>
    <x v="22"/>
    <x v="21"/>
    <x v="4"/>
    <x v="5"/>
    <n v="12057.629999999997"/>
    <n v="40"/>
    <n v="540"/>
    <n v="126.2448"/>
    <n v="666.24479999999994"/>
    <n v="6"/>
    <n v="7"/>
    <n v="0.8571428571428571"/>
  </r>
  <r>
    <x v="23"/>
    <x v="22"/>
    <x v="0"/>
    <x v="6"/>
    <n v="11957.08"/>
    <n v="40"/>
    <n v="940"/>
    <n v="172.91970000000001"/>
    <n v="1112.9196999999999"/>
    <n v="4"/>
    <n v="6"/>
    <n v="0.66666666666666663"/>
  </r>
  <r>
    <x v="24"/>
    <x v="23"/>
    <x v="1"/>
    <x v="5"/>
    <n v="3673.08"/>
    <n v="20"/>
    <n v="235"/>
    <n v="29.589599999999997"/>
    <n v="264.58960000000002"/>
    <n v="2"/>
    <n v="5"/>
    <n v="0.4"/>
  </r>
  <r>
    <x v="25"/>
    <x v="24"/>
    <x v="4"/>
    <x v="2"/>
    <n v="10655.25"/>
    <n v="40"/>
    <n v="540"/>
    <n v="101.2574"/>
    <n v="641.25739999999996"/>
    <n v="4"/>
    <n v="6"/>
    <n v="0.66666666666666663"/>
  </r>
  <r>
    <x v="26"/>
    <x v="25"/>
    <x v="4"/>
    <x v="3"/>
    <n v="6553.78"/>
    <n v="37"/>
    <n v="499.5"/>
    <n v="83.131399999999999"/>
    <n v="582.63139999999999"/>
    <n v="2"/>
    <n v="6"/>
    <n v="0.33333333333333331"/>
  </r>
  <r>
    <x v="27"/>
    <x v="26"/>
    <x v="2"/>
    <x v="3"/>
    <n v="14154.630000000001"/>
    <n v="40"/>
    <n v="600"/>
    <n v="195.25475"/>
    <n v="795.25475000000006"/>
    <n v="6"/>
    <n v="7"/>
    <n v="0.8571428571428571"/>
  </r>
  <r>
    <x v="28"/>
    <x v="27"/>
    <x v="3"/>
    <x v="2"/>
    <n v="7606.25"/>
    <n v="20"/>
    <n v="210"/>
    <n v="56.0625"/>
    <n v="266.0625"/>
    <n v="5"/>
    <n v="5"/>
    <n v="1"/>
  </r>
  <r>
    <x v="29"/>
    <x v="10"/>
    <x v="0"/>
    <x v="4"/>
    <n v="58684.18"/>
    <n v="40"/>
    <n v="940"/>
    <n v="1520.5254"/>
    <n v="2460.5254"/>
    <n v="5"/>
    <n v="5"/>
    <n v="1"/>
  </r>
  <r>
    <x v="30"/>
    <x v="28"/>
    <x v="1"/>
    <x v="2"/>
    <n v="4502.29"/>
    <n v="14"/>
    <n v="164.5"/>
    <n v="42.881249999999994"/>
    <n v="207.38124999999999"/>
    <n v="3"/>
    <n v="4"/>
    <n v="0.75"/>
  </r>
  <r>
    <x v="31"/>
    <x v="29"/>
    <x v="4"/>
    <x v="0"/>
    <n v="15463.781999999999"/>
    <n v="40"/>
    <n v="540"/>
    <n v="189.27564000000001"/>
    <n v="729.27563999999995"/>
    <n v="5"/>
    <n v="5"/>
    <n v="1"/>
  </r>
  <r>
    <x v="32"/>
    <x v="30"/>
    <x v="4"/>
    <x v="0"/>
    <n v="3420.68"/>
    <n v="29"/>
    <n v="391.5"/>
    <n v="22.2624"/>
    <n v="413.76239999999996"/>
    <n v="3"/>
    <n v="5"/>
    <n v="0.6"/>
  </r>
  <r>
    <x v="33"/>
    <x v="31"/>
    <x v="2"/>
    <x v="3"/>
    <n v="12352.46"/>
    <n v="40"/>
    <n v="600"/>
    <n v="142.13749999999999"/>
    <n v="742.13749999999993"/>
    <n v="4"/>
    <n v="6"/>
    <n v="0.66666666666666663"/>
  </r>
  <r>
    <x v="34"/>
    <x v="32"/>
    <x v="2"/>
    <x v="0"/>
    <n v="2900.73"/>
    <n v="21"/>
    <n v="315"/>
    <n v="2.8064999999999998"/>
    <n v="317.80650000000003"/>
    <n v="1"/>
    <n v="4"/>
    <n v="0.25"/>
  </r>
  <r>
    <x v="35"/>
    <x v="33"/>
    <x v="3"/>
    <x v="6"/>
    <n v="4695.0399999999991"/>
    <n v="20"/>
    <n v="210"/>
    <n v="26.950399999999998"/>
    <n v="236.95039999999997"/>
    <n v="4"/>
    <n v="4"/>
    <n v="1"/>
  </r>
  <r>
    <x v="36"/>
    <x v="34"/>
    <x v="4"/>
    <x v="3"/>
    <n v="13553.95"/>
    <n v="40"/>
    <n v="540"/>
    <n v="153.56640000000002"/>
    <n v="693.56639999999993"/>
    <n v="5"/>
    <n v="6"/>
    <n v="0.83333333333333337"/>
  </r>
  <r>
    <x v="37"/>
    <x v="35"/>
    <x v="3"/>
    <x v="3"/>
    <n v="9025.85"/>
    <n v="16"/>
    <n v="168"/>
    <n v="74.744900000000001"/>
    <n v="242.7449"/>
    <n v="2"/>
    <n v="3"/>
    <n v="0.66666666666666663"/>
  </r>
  <r>
    <x v="38"/>
    <x v="36"/>
    <x v="4"/>
    <x v="4"/>
    <n v="49111.960000000006"/>
    <n v="38"/>
    <n v="513"/>
    <n v="868.2392000000001"/>
    <n v="1381.2392"/>
    <n v="5"/>
    <n v="5"/>
    <n v="1"/>
  </r>
  <r>
    <x v="39"/>
    <x v="37"/>
    <x v="0"/>
    <x v="5"/>
    <n v="9197.74"/>
    <n v="40"/>
    <n v="940"/>
    <n v="50.438400000000001"/>
    <n v="990.4384"/>
    <n v="3"/>
    <n v="5"/>
    <n v="0.6"/>
  </r>
  <r>
    <x v="40"/>
    <x v="38"/>
    <x v="1"/>
    <x v="0"/>
    <n v="6161.32"/>
    <n v="20"/>
    <n v="235"/>
    <n v="55.671149999999997"/>
    <n v="290.67115000000001"/>
    <n v="4"/>
    <n v="5"/>
    <n v="0.8"/>
  </r>
  <r>
    <x v="41"/>
    <x v="39"/>
    <x v="1"/>
    <x v="3"/>
    <n v="5999.6"/>
    <n v="20"/>
    <n v="235"/>
    <n v="52.494"/>
    <n v="287.49400000000003"/>
    <n v="3"/>
    <n v="3"/>
    <n v="1"/>
  </r>
  <r>
    <x v="42"/>
    <x v="40"/>
    <x v="2"/>
    <x v="0"/>
    <n v="10832.800000000001"/>
    <n v="40"/>
    <n v="600"/>
    <n v="103.87150000000001"/>
    <n v="703.87149999999997"/>
    <n v="5"/>
    <n v="6"/>
    <n v="0.83333333333333337"/>
  </r>
  <r>
    <x v="43"/>
    <x v="41"/>
    <x v="2"/>
    <x v="6"/>
    <n v="9661.91"/>
    <n v="40"/>
    <n v="600"/>
    <n v="138.79974999999999"/>
    <n v="738.79975000000002"/>
    <n v="3"/>
    <n v="6"/>
    <n v="0.5"/>
  </r>
  <r>
    <x v="44"/>
    <x v="42"/>
    <x v="4"/>
    <x v="6"/>
    <n v="16069.11"/>
    <n v="40"/>
    <n v="540"/>
    <n v="205.95499999999998"/>
    <n v="745.95499999999993"/>
    <n v="5"/>
    <n v="6"/>
    <n v="0.83333333333333337"/>
  </r>
  <r>
    <x v="45"/>
    <x v="43"/>
    <x v="3"/>
    <x v="6"/>
    <n v="7849.9500000000007"/>
    <n v="20"/>
    <n v="210"/>
    <n v="58.499499999999998"/>
    <n v="268.49950000000001"/>
    <n v="3"/>
    <n v="3"/>
    <n v="1"/>
  </r>
  <r>
    <x v="46"/>
    <x v="5"/>
    <x v="0"/>
    <x v="1"/>
    <n v="8800.5400000000009"/>
    <n v="40"/>
    <n v="940"/>
    <n v="60.39"/>
    <n v="1000.39"/>
    <n v="2"/>
    <n v="5"/>
    <n v="0.4"/>
  </r>
  <r>
    <x v="47"/>
    <x v="44"/>
    <x v="2"/>
    <x v="6"/>
    <n v="12195.070000000002"/>
    <n v="40"/>
    <n v="600"/>
    <n v="139.58600000000001"/>
    <n v="739.58600000000001"/>
    <n v="5"/>
    <n v="6"/>
    <n v="0.83333333333333337"/>
  </r>
  <r>
    <x v="48"/>
    <x v="45"/>
    <x v="2"/>
    <x v="0"/>
    <n v="11180"/>
    <n v="38"/>
    <n v="570"/>
    <n v="113.25"/>
    <n v="683.25"/>
    <n v="5"/>
    <n v="5"/>
    <n v="1"/>
  </r>
  <r>
    <x v="49"/>
    <x v="46"/>
    <x v="4"/>
    <x v="6"/>
    <n v="10623.689999999999"/>
    <n v="40"/>
    <n v="540"/>
    <n v="115.4366"/>
    <n v="655.4366"/>
    <n v="4"/>
    <n v="6"/>
    <n v="0.66666666666666663"/>
  </r>
  <r>
    <x v="50"/>
    <x v="47"/>
    <x v="4"/>
    <x v="4"/>
    <n v="2664"/>
    <n v="21"/>
    <n v="283.5"/>
    <n v="3.1396000000000006"/>
    <n v="286.63959999999997"/>
    <n v="1"/>
    <n v="4"/>
    <n v="0.25"/>
  </r>
  <r>
    <x v="51"/>
    <x v="48"/>
    <x v="1"/>
    <x v="1"/>
    <n v="5704.88"/>
    <n v="20"/>
    <n v="235"/>
    <n v="48.0732"/>
    <n v="283.07319999999999"/>
    <n v="3"/>
    <n v="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Department">
  <location ref="A14:C22" firstHeaderRow="0" firstDataRow="1" firstDataCol="1"/>
  <pivotFields count="12">
    <pivotField showAll="0"/>
    <pivotField showAll="0"/>
    <pivotField showAll="0">
      <items count="6">
        <item x="0"/>
        <item x="3"/>
        <item x="1"/>
        <item x="4"/>
        <item x="2"/>
        <item t="default"/>
      </items>
    </pivotField>
    <pivotField axis="axisRow" showAll="0">
      <items count="8">
        <item x="5"/>
        <item x="1"/>
        <item x="4"/>
        <item x="2"/>
        <item x="3"/>
        <item x="0"/>
        <item x="6"/>
        <item t="default"/>
      </items>
    </pivotField>
    <pivotField dataField="1" numFmtId="44" showAll="0"/>
    <pivotField showAll="0"/>
    <pivotField numFmtId="44" showAll="0"/>
    <pivotField dataField="1" numFmtId="165" showAll="0"/>
    <pivotField numFmtId="44" showAll="0"/>
    <pivotField showAll="0"/>
    <pivotField showAll="0"/>
    <pivotField numFmtId="10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Commission " fld="7" baseField="3" baseItem="0" numFmtId="44"/>
    <dataField name="Sales " fld="4" baseField="3" baseItem="0" numFmtId="44"/>
  </dataFields>
  <formats count="2">
    <format dxfId="10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0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700-000000000000}" name="PivotTable2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Department">
  <location ref="A13:C21" firstHeaderRow="0" firstDataRow="1" firstDataCol="1"/>
  <pivotFields count="12">
    <pivotField showAll="0"/>
    <pivotField showAll="0"/>
    <pivotField showAll="0">
      <items count="6">
        <item x="0"/>
        <item x="3"/>
        <item x="1"/>
        <item x="4"/>
        <item x="2"/>
        <item t="default"/>
      </items>
    </pivotField>
    <pivotField axis="axisRow" showAll="0">
      <items count="8">
        <item x="5"/>
        <item x="1"/>
        <item x="4"/>
        <item x="2"/>
        <item x="3"/>
        <item x="0"/>
        <item x="6"/>
        <item t="default"/>
      </items>
    </pivotField>
    <pivotField numFmtId="44" showAll="0"/>
    <pivotField dataField="1" showAll="0"/>
    <pivotField numFmtId="44" showAll="0"/>
    <pivotField numFmtId="165" showAll="0"/>
    <pivotField dataField="1" numFmtId="44" showAll="0"/>
    <pivotField showAll="0"/>
    <pivotField showAll="0"/>
    <pivotField numFmtId="10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 Worked" fld="5" baseField="0" baseItem="0"/>
    <dataField name="Sum of Gross Pay" fld="8" baseField="3" baseItem="2" numFmtId="165"/>
  </dataFields>
  <formats count="1">
    <format dxfId="14">
      <pivotArea collapsedLevelsAreSubtotals="1" fieldPosition="0">
        <references count="2">
          <reference field="4294967294" count="1" selected="0">
            <x v="1"/>
          </reference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800-000000000000}" name="PivotTable3" cacheId="4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 rowHeaderCaption="Department">
  <location ref="A9:B10" firstHeaderRow="1" firstDataRow="1" firstDataCol="1"/>
  <pivotFields count="12">
    <pivotField showAll="0"/>
    <pivotField showAll="0"/>
    <pivotField showAll="0"/>
    <pivotField axis="axisRow" showAll="0" measureFilter="1">
      <items count="8">
        <item x="5"/>
        <item x="1"/>
        <item x="4"/>
        <item x="2"/>
        <item x="3"/>
        <item x="0"/>
        <item x="6"/>
        <item t="default"/>
      </items>
    </pivotField>
    <pivotField numFmtId="44" showAll="0"/>
    <pivotField showAll="0"/>
    <pivotField numFmtId="44" showAll="0"/>
    <pivotField numFmtId="165" showAll="0"/>
    <pivotField numFmtId="44" showAll="0"/>
    <pivotField dataField="1" showAll="0"/>
    <pivotField showAll="0"/>
    <pivotField numFmtId="10" showAll="0"/>
  </pivotFields>
  <rowFields count="1">
    <field x="3"/>
  </rowFields>
  <rowItems count="1">
    <i>
      <x v="5"/>
    </i>
  </rowItems>
  <colItems count="1">
    <i/>
  </colItems>
  <dataFields count="1">
    <dataField name="Quota Met" fld="9" baseField="3" baseItem="5"/>
  </dataFields>
  <formats count="2">
    <format dxfId="13">
      <pivotArea outline="0" collapsedLevelsAreSubtotals="1" fieldPosition="0"/>
    </format>
    <format dxfId="12">
      <pivotArea dataOnly="0" labelOnly="1" fieldPosition="0">
        <references count="1">
          <reference field="3" count="1">
            <x v="5"/>
          </reference>
        </references>
      </pivotArea>
    </format>
  </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800-000001000000}" name="PivotTable5" cacheId="4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 rowHeaderCaption="Department">
  <location ref="A21:B22" firstHeaderRow="1" firstDataRow="1" firstDataCol="1"/>
  <pivotFields count="12">
    <pivotField showAll="0"/>
    <pivotField showAll="0"/>
    <pivotField showAll="0"/>
    <pivotField axis="axisRow" showAll="0" measureFilter="1">
      <items count="8">
        <item x="5"/>
        <item x="1"/>
        <item x="4"/>
        <item x="2"/>
        <item x="3"/>
        <item x="0"/>
        <item x="6"/>
        <item t="default"/>
      </items>
    </pivotField>
    <pivotField numFmtId="44" showAll="0"/>
    <pivotField showAll="0"/>
    <pivotField numFmtId="44" showAll="0"/>
    <pivotField numFmtId="165" showAll="0"/>
    <pivotField numFmtId="44" showAll="0"/>
    <pivotField dataField="1" showAll="0"/>
    <pivotField showAll="0"/>
    <pivotField numFmtId="10" showAll="0"/>
  </pivotFields>
  <rowFields count="1">
    <field x="3"/>
  </rowFields>
  <rowItems count="1">
    <i>
      <x v="1"/>
    </i>
  </rowItems>
  <colItems count="1">
    <i/>
  </colItems>
  <dataFields count="1">
    <dataField name="Quota Met " fld="9" baseField="3" baseItem="0"/>
  </dataField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top="0"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900-000001000000}" name="PivotTable8" cacheId="4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 rowHeaderCaption="Name">
  <location ref="A22:B22" firstHeaderRow="1" firstDataRow="1" firstDataCol="1"/>
  <pivotFields count="12">
    <pivotField axis="axisRow" showAll="0" measureFilter="1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axis="axisRow" showAll="0">
      <items count="50">
        <item x="6"/>
        <item x="7"/>
        <item x="2"/>
        <item x="22"/>
        <item x="30"/>
        <item x="42"/>
        <item x="41"/>
        <item x="5"/>
        <item x="45"/>
        <item x="4"/>
        <item x="31"/>
        <item x="16"/>
        <item x="47"/>
        <item x="14"/>
        <item x="36"/>
        <item x="17"/>
        <item x="35"/>
        <item x="38"/>
        <item x="0"/>
        <item x="11"/>
        <item x="46"/>
        <item x="19"/>
        <item x="25"/>
        <item x="43"/>
        <item x="33"/>
        <item x="29"/>
        <item x="26"/>
        <item x="23"/>
        <item x="32"/>
        <item x="40"/>
        <item x="28"/>
        <item x="34"/>
        <item x="10"/>
        <item x="3"/>
        <item x="18"/>
        <item x="27"/>
        <item x="24"/>
        <item x="37"/>
        <item x="8"/>
        <item x="39"/>
        <item x="13"/>
        <item x="1"/>
        <item x="21"/>
        <item x="15"/>
        <item x="9"/>
        <item x="12"/>
        <item x="48"/>
        <item x="20"/>
        <item x="44"/>
        <item t="default"/>
      </items>
    </pivotField>
    <pivotField showAll="0"/>
    <pivotField showAll="0"/>
    <pivotField numFmtId="44" showAll="0"/>
    <pivotField showAll="0"/>
    <pivotField numFmtId="44" showAll="0"/>
    <pivotField dataField="1" numFmtId="165" showAll="0"/>
    <pivotField numFmtId="44" showAll="0"/>
    <pivotField showAll="0"/>
    <pivotField showAll="0"/>
    <pivotField numFmtId="10" showAll="0"/>
  </pivotFields>
  <rowFields count="2">
    <field x="0"/>
    <field x="1"/>
  </rowFields>
  <colItems count="1">
    <i/>
  </colItems>
  <dataFields count="1">
    <dataField name="Commission " fld="7" baseField="0" baseItem="6192579"/>
  </dataFields>
  <pivotTableStyleInfo name="PivotStyleLight16" showRowHeaders="1" showColHeaders="1" showRowStripes="0" showColStripes="0" showLastColumn="1"/>
  <filters count="1">
    <filter fld="0" type="valueEqual" evalOrder="-1" id="2" iMeasureFld="0">
      <autoFilter ref="A1">
        <filterColumn colId="0">
          <customFilters>
            <customFilter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900-000000000000}" name="PivotTable6" cacheId="4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 rowHeaderCaption="Last Name, First Name">
  <location ref="A10:B12" firstHeaderRow="1" firstDataRow="1" firstDataCol="1"/>
  <pivotFields count="12">
    <pivotField axis="axisRow" showAll="0" defaultSubtota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</pivotField>
    <pivotField axis="axisRow" showAll="0" measureFilter="1">
      <items count="50">
        <item x="6"/>
        <item x="7"/>
        <item x="2"/>
        <item x="22"/>
        <item x="30"/>
        <item x="42"/>
        <item x="41"/>
        <item x="5"/>
        <item x="45"/>
        <item x="4"/>
        <item x="31"/>
        <item x="16"/>
        <item x="47"/>
        <item x="14"/>
        <item x="36"/>
        <item x="17"/>
        <item x="35"/>
        <item x="38"/>
        <item x="0"/>
        <item x="11"/>
        <item x="46"/>
        <item x="19"/>
        <item x="25"/>
        <item x="43"/>
        <item x="33"/>
        <item x="29"/>
        <item x="26"/>
        <item x="23"/>
        <item x="32"/>
        <item x="40"/>
        <item x="28"/>
        <item x="34"/>
        <item x="10"/>
        <item x="3"/>
        <item x="18"/>
        <item x="27"/>
        <item x="24"/>
        <item x="37"/>
        <item x="8"/>
        <item x="39"/>
        <item x="13"/>
        <item x="1"/>
        <item x="21"/>
        <item x="15"/>
        <item x="9"/>
        <item x="12"/>
        <item x="48"/>
        <item x="20"/>
        <item x="44"/>
        <item t="default"/>
      </items>
    </pivotField>
    <pivotField showAll="0">
      <items count="6">
        <item x="0"/>
        <item x="3"/>
        <item x="1"/>
        <item x="4"/>
        <item x="2"/>
        <item t="default"/>
      </items>
    </pivotField>
    <pivotField showAll="0"/>
    <pivotField numFmtId="44" showAll="0"/>
    <pivotField showAll="0"/>
    <pivotField numFmtId="44" showAll="0"/>
    <pivotField dataField="1" numFmtId="165" showAll="0"/>
    <pivotField numFmtId="44" showAll="0"/>
    <pivotField showAll="0"/>
    <pivotField showAll="0"/>
    <pivotField numFmtId="10" showAll="0"/>
  </pivotFields>
  <rowFields count="2">
    <field x="0"/>
    <field x="1"/>
  </rowFields>
  <rowItems count="2">
    <i>
      <x v="29"/>
    </i>
    <i r="1">
      <x v="32"/>
    </i>
  </rowItems>
  <colItems count="1">
    <i/>
  </colItems>
  <dataFields count="1">
    <dataField name="Commission " fld="7" baseField="1" baseItem="32" numFmtId="165"/>
  </dataFields>
  <formats count="1">
    <format dxfId="11">
      <pivotArea collapsedLevelsAreSubtotals="1" fieldPosition="0">
        <references count="2">
          <reference field="0" count="1" selected="0">
            <x v="29"/>
          </reference>
          <reference field="1" count="1">
            <x v="32"/>
          </reference>
        </references>
      </pivotArea>
    </format>
  </formats>
  <pivotTableStyleInfo name="PivotStyleLight16" showRowHeaders="1" showColHeaders="1" showRowStripes="0" showColStripes="0" showLastColumn="1"/>
  <filters count="1">
    <filter fld="1" type="valueGreaterThan" evalOrder="-1" id="1" iMeasureFld="0">
      <autoFilter ref="A1">
        <filterColumn colId="0">
          <customFilters>
            <customFilter operator="greaterThan" val="15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A00-000000000000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Department">
  <location ref="A14:D22" firstHeaderRow="0" firstDataRow="1" firstDataCol="1"/>
  <pivotFields count="12">
    <pivotField showAll="0"/>
    <pivotField showAll="0"/>
    <pivotField showAll="0"/>
    <pivotField axis="axisRow" showAll="0">
      <items count="8">
        <item x="5"/>
        <item x="1"/>
        <item x="4"/>
        <item x="2"/>
        <item x="3"/>
        <item x="0"/>
        <item x="6"/>
        <item t="default"/>
      </items>
    </pivotField>
    <pivotField dataField="1" numFmtId="44" showAll="0"/>
    <pivotField showAll="0"/>
    <pivotField numFmtId="44" showAll="0"/>
    <pivotField dataField="1" numFmtId="165" showAll="0"/>
    <pivotField numFmtId="44" showAll="0"/>
    <pivotField showAll="0"/>
    <pivotField showAll="0"/>
    <pivotField numFmtId="10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mmission  " fld="7" baseField="3" baseItem="0" numFmtId="165"/>
    <dataField name="Commission Percentages" fld="7" showDataAs="percentOfTotal" baseField="0" baseItem="0" numFmtId="10"/>
    <dataField name="Sales " fld="4" baseField="3" baseItem="0"/>
  </dataFields>
  <formats count="11">
    <format dxfId="10">
      <pivotArea collapsedLevelsAreSubtotals="1" fieldPosition="0">
        <references count="1">
          <reference field="3" count="0"/>
        </references>
      </pivotArea>
    </format>
    <format dxfId="9">
      <pivotArea field="3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8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1"/>
          </reference>
          <reference field="3" count="1">
            <x v="0"/>
          </reference>
        </references>
      </pivotArea>
    </format>
    <format dxfId="6">
      <pivotArea collapsedLevelsAreSubtotals="1" fieldPosition="0">
        <references count="2">
          <reference field="4294967294" count="1" selected="0">
            <x v="1"/>
          </reference>
          <reference field="3" count="1">
            <x v="1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1"/>
          </reference>
          <reference field="3" count="1">
            <x v="2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1"/>
          </reference>
          <reference field="3" count="1">
            <x v="3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1"/>
          </reference>
          <reference field="3" count="1">
            <x v="4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1"/>
          </reference>
          <reference field="3" count="1">
            <x v="5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1"/>
          </reference>
          <reference field="3" count="1">
            <x v="6"/>
          </reference>
        </references>
      </pivotArea>
    </format>
    <format dxfId="0">
      <pivotArea field="3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ame">
  <location ref="A7:B119" firstHeaderRow="1" firstDataRow="1" firstDataCol="1"/>
  <pivotFields count="12">
    <pivotField axis="axisRow" showAll="0" defaultSubtota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</pivotField>
    <pivotField axis="axisRow" showAll="0">
      <items count="50">
        <item x="6"/>
        <item x="7"/>
        <item x="2"/>
        <item x="22"/>
        <item x="30"/>
        <item x="42"/>
        <item x="41"/>
        <item x="5"/>
        <item x="45"/>
        <item x="4"/>
        <item x="31"/>
        <item x="16"/>
        <item x="47"/>
        <item x="14"/>
        <item x="36"/>
        <item x="17"/>
        <item x="35"/>
        <item x="38"/>
        <item x="0"/>
        <item x="11"/>
        <item x="46"/>
        <item x="19"/>
        <item x="25"/>
        <item x="43"/>
        <item x="33"/>
        <item x="29"/>
        <item x="26"/>
        <item x="23"/>
        <item x="32"/>
        <item x="40"/>
        <item x="28"/>
        <item x="34"/>
        <item x="10"/>
        <item x="3"/>
        <item x="18"/>
        <item x="27"/>
        <item x="24"/>
        <item x="37"/>
        <item x="8"/>
        <item x="39"/>
        <item x="13"/>
        <item x="1"/>
        <item x="21"/>
        <item x="15"/>
        <item x="9"/>
        <item x="12"/>
        <item x="48"/>
        <item x="20"/>
        <item x="44"/>
        <item t="default"/>
      </items>
    </pivotField>
    <pivotField showAll="0"/>
    <pivotField axis="axisRow" showAll="0" defaultSubtotal="0">
      <items count="7">
        <item x="5"/>
        <item x="1"/>
        <item x="4"/>
        <item x="2"/>
        <item x="3"/>
        <item x="0"/>
        <item x="6"/>
      </items>
    </pivotField>
    <pivotField numFmtId="44" showAll="0"/>
    <pivotField showAll="0"/>
    <pivotField numFmtId="44" showAll="0"/>
    <pivotField dataField="1" numFmtId="165" showAll="0"/>
    <pivotField numFmtId="44" showAll="0"/>
    <pivotField showAll="0"/>
    <pivotField showAll="0"/>
    <pivotField numFmtId="10" showAll="0"/>
  </pivotFields>
  <rowFields count="3">
    <field x="3"/>
    <field x="0"/>
    <field x="1"/>
  </rowFields>
  <rowItems count="112">
    <i>
      <x/>
    </i>
    <i r="1">
      <x v="6"/>
    </i>
    <i r="2">
      <x/>
    </i>
    <i r="1">
      <x v="7"/>
    </i>
    <i r="2">
      <x v="1"/>
    </i>
    <i r="1">
      <x v="9"/>
    </i>
    <i r="2">
      <x v="44"/>
    </i>
    <i r="1">
      <x v="11"/>
    </i>
    <i r="2">
      <x v="19"/>
    </i>
    <i r="1">
      <x v="22"/>
    </i>
    <i r="2">
      <x v="42"/>
    </i>
    <i r="1">
      <x v="24"/>
    </i>
    <i r="2">
      <x v="27"/>
    </i>
    <i r="1">
      <x v="39"/>
    </i>
    <i r="2">
      <x v="37"/>
    </i>
    <i>
      <x v="1"/>
    </i>
    <i r="1">
      <x v="2"/>
    </i>
    <i r="2">
      <x v="2"/>
    </i>
    <i r="1">
      <x v="10"/>
    </i>
    <i r="2">
      <x v="32"/>
    </i>
    <i r="1">
      <x v="13"/>
    </i>
    <i r="2">
      <x v="40"/>
    </i>
    <i r="1">
      <x v="18"/>
    </i>
    <i r="2">
      <x v="34"/>
    </i>
    <i r="1">
      <x v="21"/>
    </i>
    <i r="2">
      <x v="11"/>
    </i>
    <i r="1">
      <x v="46"/>
    </i>
    <i r="2">
      <x v="7"/>
    </i>
    <i r="1">
      <x v="51"/>
    </i>
    <i r="2">
      <x v="46"/>
    </i>
    <i>
      <x v="2"/>
    </i>
    <i r="1">
      <x v="5"/>
    </i>
    <i r="2">
      <x v="7"/>
    </i>
    <i r="1">
      <x v="12"/>
    </i>
    <i r="2">
      <x v="45"/>
    </i>
    <i r="1">
      <x v="16"/>
    </i>
    <i r="2">
      <x v="11"/>
    </i>
    <i r="1">
      <x v="17"/>
    </i>
    <i r="2">
      <x v="15"/>
    </i>
    <i r="1">
      <x v="20"/>
    </i>
    <i r="2">
      <x v="47"/>
    </i>
    <i r="1">
      <x v="29"/>
    </i>
    <i r="2">
      <x v="32"/>
    </i>
    <i r="1">
      <x v="38"/>
    </i>
    <i r="2">
      <x v="14"/>
    </i>
    <i r="1">
      <x v="50"/>
    </i>
    <i r="2">
      <x v="12"/>
    </i>
    <i>
      <x v="3"/>
    </i>
    <i r="1">
      <x v="3"/>
    </i>
    <i r="2">
      <x v="33"/>
    </i>
    <i r="1">
      <x v="14"/>
    </i>
    <i r="2">
      <x v="13"/>
    </i>
    <i r="1">
      <x v="19"/>
    </i>
    <i r="2">
      <x v="21"/>
    </i>
    <i r="1">
      <x v="25"/>
    </i>
    <i r="2">
      <x v="36"/>
    </i>
    <i r="1">
      <x v="28"/>
    </i>
    <i r="2">
      <x v="35"/>
    </i>
    <i r="1">
      <x v="30"/>
    </i>
    <i r="2">
      <x v="30"/>
    </i>
    <i>
      <x v="4"/>
    </i>
    <i r="1">
      <x v="4"/>
    </i>
    <i r="2">
      <x v="9"/>
    </i>
    <i r="1">
      <x v="26"/>
    </i>
    <i r="2">
      <x v="22"/>
    </i>
    <i r="1">
      <x v="27"/>
    </i>
    <i r="2">
      <x v="26"/>
    </i>
    <i r="1">
      <x v="33"/>
    </i>
    <i r="2">
      <x v="10"/>
    </i>
    <i r="1">
      <x v="36"/>
    </i>
    <i r="2">
      <x v="31"/>
    </i>
    <i r="1">
      <x v="37"/>
    </i>
    <i r="2">
      <x v="16"/>
    </i>
    <i r="1">
      <x v="41"/>
    </i>
    <i r="2">
      <x v="39"/>
    </i>
    <i>
      <x v="5"/>
    </i>
    <i r="1">
      <x/>
    </i>
    <i r="2">
      <x v="18"/>
    </i>
    <i r="1">
      <x v="1"/>
    </i>
    <i r="2">
      <x v="41"/>
    </i>
    <i r="1">
      <x v="8"/>
    </i>
    <i r="2">
      <x v="38"/>
    </i>
    <i r="1">
      <x v="31"/>
    </i>
    <i r="2">
      <x v="25"/>
    </i>
    <i r="1">
      <x v="32"/>
    </i>
    <i r="2">
      <x v="4"/>
    </i>
    <i r="1">
      <x v="34"/>
    </i>
    <i r="2">
      <x v="28"/>
    </i>
    <i r="1">
      <x v="40"/>
    </i>
    <i r="2">
      <x v="17"/>
    </i>
    <i r="1">
      <x v="42"/>
    </i>
    <i r="2">
      <x v="29"/>
    </i>
    <i r="1">
      <x v="48"/>
    </i>
    <i r="2">
      <x v="8"/>
    </i>
    <i>
      <x v="6"/>
    </i>
    <i r="1">
      <x v="15"/>
    </i>
    <i r="2">
      <x v="43"/>
    </i>
    <i r="1">
      <x v="23"/>
    </i>
    <i r="2">
      <x v="3"/>
    </i>
    <i r="1">
      <x v="35"/>
    </i>
    <i r="2">
      <x v="24"/>
    </i>
    <i r="1">
      <x v="43"/>
    </i>
    <i r="2">
      <x v="6"/>
    </i>
    <i r="1">
      <x v="44"/>
    </i>
    <i r="2">
      <x v="5"/>
    </i>
    <i r="1">
      <x v="45"/>
    </i>
    <i r="2">
      <x v="23"/>
    </i>
    <i r="1">
      <x v="47"/>
    </i>
    <i r="2">
      <x v="48"/>
    </i>
    <i r="1">
      <x v="49"/>
    </i>
    <i r="2">
      <x v="20"/>
    </i>
    <i t="grand">
      <x/>
    </i>
  </rowItems>
  <colItems count="1">
    <i/>
  </colItems>
  <dataFields count="1">
    <dataField name="Commission " fld="7" baseField="3" baseItem="0" numFmtId="165"/>
  </dataFields>
  <formats count="16">
    <format dxfId="105">
      <pivotArea field="3" type="button" dataOnly="0" labelOnly="1" outline="0" axis="axisRow" fieldPosition="0"/>
    </format>
    <format dxfId="104">
      <pivotArea dataOnly="0" labelOnly="1" outline="0" axis="axisValues" fieldPosition="0"/>
    </format>
    <format dxfId="103">
      <pivotArea collapsedLevelsAreSubtotals="1" fieldPosition="0">
        <references count="1">
          <reference field="3" count="1">
            <x v="0"/>
          </reference>
        </references>
      </pivotArea>
    </format>
    <format dxfId="102">
      <pivotArea dataOnly="0" labelOnly="1" fieldPosition="0">
        <references count="1">
          <reference field="3" count="1">
            <x v="0"/>
          </reference>
        </references>
      </pivotArea>
    </format>
    <format dxfId="101">
      <pivotArea collapsedLevelsAreSubtotals="1" fieldPosition="0">
        <references count="1">
          <reference field="3" count="1">
            <x v="1"/>
          </reference>
        </references>
      </pivotArea>
    </format>
    <format dxfId="100">
      <pivotArea dataOnly="0" labelOnly="1" fieldPosition="0">
        <references count="1">
          <reference field="3" count="1">
            <x v="1"/>
          </reference>
        </references>
      </pivotArea>
    </format>
    <format dxfId="99">
      <pivotArea collapsedLevelsAreSubtotals="1" fieldPosition="0">
        <references count="1">
          <reference field="3" count="1">
            <x v="2"/>
          </reference>
        </references>
      </pivotArea>
    </format>
    <format dxfId="98">
      <pivotArea dataOnly="0" labelOnly="1" fieldPosition="0">
        <references count="1">
          <reference field="3" count="1">
            <x v="2"/>
          </reference>
        </references>
      </pivotArea>
    </format>
    <format dxfId="97">
      <pivotArea collapsedLevelsAreSubtotals="1" fieldPosition="0">
        <references count="1">
          <reference field="3" count="1">
            <x v="3"/>
          </reference>
        </references>
      </pivotArea>
    </format>
    <format dxfId="96">
      <pivotArea dataOnly="0" labelOnly="1" fieldPosition="0">
        <references count="1">
          <reference field="3" count="1">
            <x v="3"/>
          </reference>
        </references>
      </pivotArea>
    </format>
    <format dxfId="95">
      <pivotArea collapsedLevelsAreSubtotals="1" fieldPosition="0">
        <references count="1">
          <reference field="3" count="1">
            <x v="4"/>
          </reference>
        </references>
      </pivotArea>
    </format>
    <format dxfId="94">
      <pivotArea dataOnly="0" labelOnly="1" fieldPosition="0">
        <references count="1">
          <reference field="3" count="1">
            <x v="4"/>
          </reference>
        </references>
      </pivotArea>
    </format>
    <format dxfId="93">
      <pivotArea collapsedLevelsAreSubtotals="1" fieldPosition="0">
        <references count="1">
          <reference field="3" count="1">
            <x v="5"/>
          </reference>
        </references>
      </pivotArea>
    </format>
    <format dxfId="92">
      <pivotArea dataOnly="0" labelOnly="1" fieldPosition="0">
        <references count="1">
          <reference field="3" count="1">
            <x v="5"/>
          </reference>
        </references>
      </pivotArea>
    </format>
    <format dxfId="91">
      <pivotArea collapsedLevelsAreSubtotals="1" fieldPosition="0">
        <references count="1">
          <reference field="3" count="1">
            <x v="6"/>
          </reference>
        </references>
      </pivotArea>
    </format>
    <format dxfId="90">
      <pivotArea dataOnly="0" labelOnly="1" fieldPosition="0">
        <references count="1">
          <reference field="3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 rowHeaderCaption="Department">
  <location ref="A14:B22" firstHeaderRow="1" firstDataRow="1" firstDataCol="1"/>
  <pivotFields count="12">
    <pivotField showAll="0"/>
    <pivotField showAll="0"/>
    <pivotField showAll="0"/>
    <pivotField axis="axisRow" showAll="0" sortType="descending">
      <items count="8">
        <item x="5"/>
        <item x="1"/>
        <item x="4"/>
        <item x="2"/>
        <item x="3"/>
        <item x="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4" showAll="0"/>
    <pivotField showAll="0"/>
    <pivotField numFmtId="44" showAll="0"/>
    <pivotField dataField="1" numFmtId="165" showAll="0"/>
    <pivotField numFmtId="44" showAll="0"/>
    <pivotField showAll="0"/>
    <pivotField showAll="0"/>
    <pivotField numFmtId="10" showAll="0"/>
  </pivotFields>
  <rowFields count="1">
    <field x="3"/>
  </rowFields>
  <rowItems count="8">
    <i>
      <x v="2"/>
    </i>
    <i>
      <x v="6"/>
    </i>
    <i>
      <x v="5"/>
    </i>
    <i>
      <x v="4"/>
    </i>
    <i>
      <x/>
    </i>
    <i>
      <x v="3"/>
    </i>
    <i>
      <x v="1"/>
    </i>
    <i t="grand">
      <x/>
    </i>
  </rowItems>
  <colItems count="1">
    <i/>
  </colItems>
  <dataFields count="1">
    <dataField name="Commission " fld="7" baseField="3" baseItem="0" numFmtId="165"/>
  </dataFields>
  <formats count="1">
    <format dxfId="89">
      <pivotArea collapsedLevelsAreSubtotals="1" fieldPosition="0">
        <references count="1">
          <reference field="3" count="0"/>
        </references>
      </pivotArea>
    </format>
  </format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D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4" rowHeaderCaption="Last Name/First Name">
  <location ref="A14:B33" firstHeaderRow="1" firstDataRow="1" firstDataCol="1" rowPageCount="1" colPageCount="1"/>
  <pivotFields count="12">
    <pivotField axis="axisRow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axis="axisRow" showAll="0" defaultSubtotal="0">
      <items count="49">
        <item x="6"/>
        <item x="7"/>
        <item x="2"/>
        <item x="22"/>
        <item x="30"/>
        <item x="42"/>
        <item x="41"/>
        <item x="5"/>
        <item x="45"/>
        <item x="4"/>
        <item x="31"/>
        <item x="16"/>
        <item x="47"/>
        <item x="14"/>
        <item x="36"/>
        <item x="17"/>
        <item x="35"/>
        <item x="38"/>
        <item x="0"/>
        <item x="11"/>
        <item x="46"/>
        <item x="19"/>
        <item x="25"/>
        <item x="43"/>
        <item x="33"/>
        <item x="29"/>
        <item x="26"/>
        <item x="23"/>
        <item x="32"/>
        <item x="40"/>
        <item x="28"/>
        <item x="34"/>
        <item x="10"/>
        <item x="3"/>
        <item x="18"/>
        <item x="27"/>
        <item x="24"/>
        <item x="37"/>
        <item x="8"/>
        <item x="39"/>
        <item x="13"/>
        <item x="1"/>
        <item x="21"/>
        <item x="15"/>
        <item x="9"/>
        <item x="12"/>
        <item x="48"/>
        <item x="20"/>
        <item x="44"/>
      </items>
    </pivotField>
    <pivotField showAll="0"/>
    <pivotField axis="axisPage" showAll="0">
      <items count="8">
        <item x="5"/>
        <item x="1"/>
        <item x="4"/>
        <item x="2"/>
        <item x="3"/>
        <item x="0"/>
        <item x="6"/>
        <item t="default"/>
      </items>
    </pivotField>
    <pivotField dataField="1" numFmtId="44" showAll="0"/>
    <pivotField showAll="0"/>
    <pivotField numFmtId="44" showAll="0"/>
    <pivotField numFmtId="165" showAll="0"/>
    <pivotField numFmtId="44" showAll="0"/>
    <pivotField showAll="0"/>
    <pivotField showAll="0"/>
    <pivotField numFmtId="10" showAll="0"/>
  </pivotFields>
  <rowFields count="2">
    <field x="1"/>
    <field x="0"/>
  </rowFields>
  <rowItems count="19">
    <i>
      <x v="4"/>
    </i>
    <i r="1">
      <x v="32"/>
    </i>
    <i>
      <x v="8"/>
    </i>
    <i r="1">
      <x v="48"/>
    </i>
    <i>
      <x v="17"/>
    </i>
    <i r="1">
      <x v="40"/>
    </i>
    <i>
      <x v="18"/>
    </i>
    <i r="1">
      <x/>
    </i>
    <i>
      <x v="25"/>
    </i>
    <i r="1">
      <x v="31"/>
    </i>
    <i>
      <x v="28"/>
    </i>
    <i r="1">
      <x v="34"/>
    </i>
    <i>
      <x v="29"/>
    </i>
    <i r="1">
      <x v="42"/>
    </i>
    <i>
      <x v="38"/>
    </i>
    <i r="1">
      <x v="8"/>
    </i>
    <i>
      <x v="41"/>
    </i>
    <i r="1">
      <x v="1"/>
    </i>
    <i t="grand">
      <x/>
    </i>
  </rowItems>
  <colItems count="1">
    <i/>
  </colItems>
  <pageFields count="1">
    <pageField fld="3" item="5" hier="-1"/>
  </pageFields>
  <dataFields count="1">
    <dataField name="Sales " fld="4" baseField="1" baseItem="4" numFmtId="44"/>
  </dataFields>
  <formats count="1">
    <format dxfId="88">
      <pivotArea outline="0" collapsedLevelsAreSubtotals="1" fieldPosition="0"/>
    </format>
  </formats>
  <chartFormats count="2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4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48"/>
          </reference>
          <reference field="1" count="1" selected="0">
            <x v="8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40"/>
          </reference>
          <reference field="1" count="1" selected="0">
            <x v="17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8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25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34"/>
          </reference>
          <reference field="1" count="1" selected="0">
            <x v="28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42"/>
          </reference>
          <reference field="1" count="1" selected="0">
            <x v="29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8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1"/>
          </reference>
        </references>
      </pivotArea>
    </chartFormat>
    <chartFormat chart="6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4"/>
          </reference>
        </references>
      </pivotArea>
    </chartFormat>
    <chartFormat chart="6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48"/>
          </reference>
          <reference field="1" count="1" selected="0">
            <x v="8"/>
          </reference>
        </references>
      </pivotArea>
    </chartFormat>
    <chartFormat chart="6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40"/>
          </reference>
          <reference field="1" count="1" selected="0">
            <x v="17"/>
          </reference>
        </references>
      </pivotArea>
    </chartFormat>
    <chartFormat chart="6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8"/>
          </reference>
        </references>
      </pivotArea>
    </chartFormat>
    <chartFormat chart="6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25"/>
          </reference>
        </references>
      </pivotArea>
    </chartFormat>
    <chartFormat chart="6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34"/>
          </reference>
          <reference field="1" count="1" selected="0">
            <x v="28"/>
          </reference>
        </references>
      </pivotArea>
    </chartFormat>
    <chartFormat chart="6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42"/>
          </reference>
          <reference field="1" count="1" selected="0">
            <x v="29"/>
          </reference>
        </references>
      </pivotArea>
    </chartFormat>
    <chartFormat chart="6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8"/>
          </reference>
        </references>
      </pivotArea>
    </chartFormat>
    <chartFormat chart="6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F00-000000000000}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Last Name">
  <location ref="A10:B16" firstHeaderRow="1" firstDataRow="1" firstDataCol="1"/>
  <pivotFields count="12">
    <pivotField axis="axisRow" showAll="0" measureFilter="1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29"/>
        <item x="12"/>
        <item x="13"/>
        <item x="14"/>
        <item x="15"/>
        <item x="16"/>
        <item x="38"/>
        <item x="20"/>
        <item x="17"/>
        <item x="18"/>
        <item x="19"/>
        <item x="21"/>
        <item x="22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showAll="0"/>
    <pivotField showAll="0"/>
    <pivotField showAll="0"/>
    <pivotField numFmtId="44" showAll="0"/>
    <pivotField showAll="0"/>
    <pivotField numFmtId="44" showAll="0"/>
    <pivotField dataField="1" numFmtId="165" showAll="0"/>
    <pivotField numFmtId="44" showAll="0"/>
    <pivotField showAll="0"/>
    <pivotField showAll="0"/>
    <pivotField numFmtId="10" showAll="0"/>
  </pivotFields>
  <rowFields count="1">
    <field x="0"/>
  </rowFields>
  <rowItems count="6">
    <i>
      <x v="12"/>
    </i>
    <i>
      <x v="13"/>
    </i>
    <i>
      <x v="18"/>
    </i>
    <i>
      <x v="19"/>
    </i>
    <i>
      <x v="20"/>
    </i>
    <i t="grand">
      <x/>
    </i>
  </rowItems>
  <colItems count="1">
    <i/>
  </colItems>
  <dataFields count="1">
    <dataField name="Commission " fld="7" baseField="0" baseItem="12"/>
  </dataFields>
  <formats count="2">
    <format dxfId="87">
      <pivotArea collapsedLevelsAreSubtotals="1" fieldPosition="0">
        <references count="1">
          <reference field="0" count="5">
            <x v="12"/>
            <x v="13"/>
            <x v="18"/>
            <x v="19"/>
            <x v="20"/>
          </reference>
        </references>
      </pivotArea>
    </format>
    <format dxfId="86">
      <pivotArea grandRow="1"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300-000000000000}" name="PivotTable1" cacheId="3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 rowHeaderCaption="Department    Last Name">
  <location ref="A14:B28" firstHeaderRow="1" firstDataRow="1" firstDataCol="1"/>
  <pivotFields count="12">
    <pivotField axis="axisRow" showAll="0" measureFilter="1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showAll="0"/>
    <pivotField showAll="0"/>
    <pivotField axis="axisRow" showAll="0" defaultSubtotal="0">
      <items count="7">
        <item x="5"/>
        <item x="1"/>
        <item x="4"/>
        <item x="2"/>
        <item x="3"/>
        <item x="0"/>
        <item x="6"/>
      </items>
    </pivotField>
    <pivotField dataField="1" numFmtId="44" showAll="0">
      <items count="53">
        <item x="8"/>
        <item x="50"/>
        <item x="34"/>
        <item x="32"/>
        <item x="24"/>
        <item x="30"/>
        <item x="35"/>
        <item x="13"/>
        <item x="10"/>
        <item x="51"/>
        <item x="41"/>
        <item x="40"/>
        <item x="4"/>
        <item x="3"/>
        <item x="26"/>
        <item x="6"/>
        <item x="18"/>
        <item x="28"/>
        <item x="45"/>
        <item x="9"/>
        <item x="2"/>
        <item x="21"/>
        <item x="46"/>
        <item x="14"/>
        <item x="37"/>
        <item x="15"/>
        <item x="39"/>
        <item x="19"/>
        <item x="11"/>
        <item x="43"/>
        <item x="49"/>
        <item x="25"/>
        <item x="0"/>
        <item x="42"/>
        <item x="48"/>
        <item x="23"/>
        <item x="22"/>
        <item x="47"/>
        <item x="33"/>
        <item x="7"/>
        <item x="1"/>
        <item x="36"/>
        <item x="27"/>
        <item x="31"/>
        <item x="44"/>
        <item x="5"/>
        <item x="16"/>
        <item x="17"/>
        <item x="12"/>
        <item x="38"/>
        <item x="29"/>
        <item x="20"/>
        <item t="default"/>
      </items>
    </pivotField>
    <pivotField showAll="0"/>
    <pivotField numFmtId="44" showAll="0"/>
    <pivotField numFmtId="165" showAll="0"/>
    <pivotField numFmtId="44" showAll="0"/>
    <pivotField showAll="0"/>
    <pivotField showAll="0"/>
    <pivotField numFmtId="10" showAll="0"/>
  </pivotFields>
  <rowFields count="2">
    <field x="3"/>
    <field x="0"/>
  </rowFields>
  <rowItems count="14">
    <i>
      <x/>
    </i>
    <i r="1">
      <x v="7"/>
    </i>
    <i>
      <x v="1"/>
    </i>
    <i r="1">
      <x v="46"/>
    </i>
    <i>
      <x v="2"/>
    </i>
    <i r="1">
      <x v="20"/>
    </i>
    <i>
      <x v="3"/>
    </i>
    <i r="1">
      <x v="25"/>
    </i>
    <i>
      <x v="4"/>
    </i>
    <i r="1">
      <x v="27"/>
    </i>
    <i>
      <x v="5"/>
    </i>
    <i r="1">
      <x v="31"/>
    </i>
    <i>
      <x v="6"/>
    </i>
    <i r="1">
      <x v="44"/>
    </i>
  </rowItems>
  <colItems count="1">
    <i/>
  </colItems>
  <dataFields count="1">
    <dataField name="Sales " fld="4" baseField="3" baseItem="0" numFmtId="165"/>
  </dataFields>
  <formats count="10">
    <format dxfId="73">
      <pivotArea dataOnly="0" labelOnly="1" fieldPosition="0">
        <references count="2">
          <reference field="0" count="1">
            <x v="7"/>
          </reference>
          <reference field="3" count="1" selected="0">
            <x v="0"/>
          </reference>
        </references>
      </pivotArea>
    </format>
    <format dxfId="72">
      <pivotArea dataOnly="0" labelOnly="1" fieldPosition="0">
        <references count="2">
          <reference field="0" count="1">
            <x v="46"/>
          </reference>
          <reference field="3" count="1" selected="0">
            <x v="1"/>
          </reference>
        </references>
      </pivotArea>
    </format>
    <format dxfId="71">
      <pivotArea dataOnly="0" labelOnly="1" fieldPosition="0">
        <references count="2">
          <reference field="0" count="1">
            <x v="20"/>
          </reference>
          <reference field="3" count="1" selected="0">
            <x v="2"/>
          </reference>
        </references>
      </pivotArea>
    </format>
    <format dxfId="70">
      <pivotArea dataOnly="0" labelOnly="1" fieldPosition="0">
        <references count="2">
          <reference field="0" count="1">
            <x v="25"/>
          </reference>
          <reference field="3" count="1" selected="0">
            <x v="3"/>
          </reference>
        </references>
      </pivotArea>
    </format>
    <format dxfId="69">
      <pivotArea dataOnly="0" labelOnly="1" fieldPosition="0">
        <references count="2">
          <reference field="0" count="1">
            <x v="27"/>
          </reference>
          <reference field="3" count="1" selected="0">
            <x v="4"/>
          </reference>
        </references>
      </pivotArea>
    </format>
    <format dxfId="68">
      <pivotArea dataOnly="0" labelOnly="1" fieldPosition="0">
        <references count="2">
          <reference field="0" count="1">
            <x v="31"/>
          </reference>
          <reference field="3" count="1" selected="0">
            <x v="5"/>
          </reference>
        </references>
      </pivotArea>
    </format>
    <format dxfId="67">
      <pivotArea dataOnly="0" labelOnly="1" fieldPosition="0">
        <references count="2">
          <reference field="0" count="1">
            <x v="44"/>
          </reference>
          <reference field="3" count="1" selected="0">
            <x v="6"/>
          </reference>
        </references>
      </pivotArea>
    </format>
    <format dxfId="66">
      <pivotArea dataOnly="0" fieldPosition="0">
        <references count="1">
          <reference field="3" count="6">
            <x v="0"/>
            <x v="1"/>
            <x v="2"/>
            <x v="3"/>
            <x v="4"/>
            <x v="5"/>
          </reference>
        </references>
      </pivotArea>
    </format>
    <format dxfId="65">
      <pivotArea dataOnly="0" labelOnly="1" fieldPosition="0">
        <references count="1">
          <reference field="3" count="1">
            <x v="6"/>
          </reference>
        </references>
      </pivotArea>
    </format>
    <format dxfId="64">
      <pivotArea collapsedLevelsAreSubtotals="1" fieldPosition="0">
        <references count="1">
          <reference field="3" count="1">
            <x v="6"/>
          </reference>
        </references>
      </pivotArea>
    </format>
  </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400-000000000000}" name="PivotTable2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Department">
  <location ref="A15:D23" firstHeaderRow="0" firstDataRow="1" firstDataCol="1"/>
  <pivotFields count="12">
    <pivotField showAll="0"/>
    <pivotField showAll="0"/>
    <pivotField showAll="0"/>
    <pivotField axis="axisRow" showAll="0" sortType="descending">
      <items count="8">
        <item x="5"/>
        <item x="1"/>
        <item x="4"/>
        <item x="2"/>
        <item x="3"/>
        <item x="0"/>
        <item x="6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numFmtId="44" showAll="0"/>
    <pivotField showAll="0"/>
    <pivotField numFmtId="44" showAll="0"/>
    <pivotField numFmtId="165" showAll="0"/>
    <pivotField numFmtId="44" showAll="0"/>
    <pivotField dataField="1" showAll="0"/>
    <pivotField dataField="1" showAll="0"/>
    <pivotField dataField="1" numFmtId="10" showAll="0"/>
  </pivotFields>
  <rowFields count="1">
    <field x="3"/>
  </rowFields>
  <rowItems count="8">
    <i>
      <x v="2"/>
    </i>
    <i>
      <x v="6"/>
    </i>
    <i>
      <x v="5"/>
    </i>
    <i>
      <x/>
    </i>
    <i>
      <x v="3"/>
    </i>
    <i>
      <x v="1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Days Worked" fld="10" baseField="3" baseItem="0"/>
    <dataField name="Quota Met" fld="9" baseField="3" baseItem="0"/>
    <dataField name="Average of Quota Met" fld="11" subtotal="average" baseField="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500-000000000000}" name="PivotTable3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Department/Position">
  <location ref="A12:C59" firstHeaderRow="0" firstDataRow="1" firstDataCol="1"/>
  <pivotFields count="12">
    <pivotField showAll="0"/>
    <pivotField showAll="0"/>
    <pivotField axis="axisRow" showAll="0">
      <items count="6">
        <item x="0"/>
        <item x="3"/>
        <item x="1"/>
        <item x="4"/>
        <item x="2"/>
        <item t="default"/>
      </items>
    </pivotField>
    <pivotField axis="axisRow" subtotalTop="0" showAll="0">
      <items count="8">
        <item x="5"/>
        <item x="1"/>
        <item x="4"/>
        <item x="2"/>
        <item x="3"/>
        <item x="0"/>
        <item x="6"/>
        <item t="default"/>
      </items>
    </pivotField>
    <pivotField dataField="1" numFmtId="44" showAll="0"/>
    <pivotField showAll="0"/>
    <pivotField numFmtId="44" showAll="0"/>
    <pivotField dataField="1" numFmtId="165" showAll="0"/>
    <pivotField numFmtId="44" showAll="0"/>
    <pivotField showAll="0"/>
    <pivotField showAll="0"/>
    <pivotField numFmtId="10" showAll="0"/>
  </pivotFields>
  <rowFields count="2">
    <field x="3"/>
    <field x="2"/>
  </rowFields>
  <rowItems count="47">
    <i>
      <x/>
    </i>
    <i r="1">
      <x/>
    </i>
    <i r="1">
      <x v="1"/>
    </i>
    <i r="1">
      <x v="2"/>
    </i>
    <i r="1">
      <x v="3"/>
    </i>
    <i r="1">
      <x v="4"/>
    </i>
    <i t="default">
      <x/>
    </i>
    <i>
      <x v="1"/>
    </i>
    <i r="1">
      <x/>
    </i>
    <i r="1">
      <x v="2"/>
    </i>
    <i r="1">
      <x v="3"/>
    </i>
    <i r="1">
      <x v="4"/>
    </i>
    <i t="default">
      <x v="1"/>
    </i>
    <i>
      <x v="2"/>
    </i>
    <i r="1">
      <x/>
    </i>
    <i r="1">
      <x v="1"/>
    </i>
    <i r="1">
      <x v="2"/>
    </i>
    <i r="1">
      <x v="3"/>
    </i>
    <i t="default">
      <x v="2"/>
    </i>
    <i>
      <x v="3"/>
    </i>
    <i r="1">
      <x/>
    </i>
    <i r="1">
      <x v="1"/>
    </i>
    <i r="1">
      <x v="2"/>
    </i>
    <i r="1">
      <x v="3"/>
    </i>
    <i r="1">
      <x v="4"/>
    </i>
    <i t="default">
      <x v="3"/>
    </i>
    <i>
      <x v="4"/>
    </i>
    <i r="1">
      <x/>
    </i>
    <i r="1">
      <x v="1"/>
    </i>
    <i r="1">
      <x v="2"/>
    </i>
    <i r="1">
      <x v="3"/>
    </i>
    <i r="1">
      <x v="4"/>
    </i>
    <i t="default">
      <x v="4"/>
    </i>
    <i>
      <x v="5"/>
    </i>
    <i r="1">
      <x/>
    </i>
    <i r="1">
      <x v="1"/>
    </i>
    <i r="1">
      <x v="2"/>
    </i>
    <i r="1">
      <x v="3"/>
    </i>
    <i r="1">
      <x v="4"/>
    </i>
    <i t="default">
      <x v="5"/>
    </i>
    <i>
      <x v="6"/>
    </i>
    <i r="1">
      <x/>
    </i>
    <i r="1">
      <x v="1"/>
    </i>
    <i r="1">
      <x v="3"/>
    </i>
    <i r="1">
      <x v="4"/>
    </i>
    <i t="default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Commission  " fld="7" baseField="3" baseItem="0" numFmtId="165"/>
    <dataField name="Sales  " fld="4" baseField="3" baseItem="0" numFmtId="165"/>
  </dataFields>
  <formats count="46">
    <format dxfId="63">
      <pivotArea collapsedLevelsAreSubtotals="1" fieldPosition="0">
        <references count="3">
          <reference field="4294967294" count="1" selected="0">
            <x v="0"/>
          </reference>
          <reference field="2" count="0"/>
          <reference field="3" count="1" selected="0">
            <x v="0"/>
          </reference>
        </references>
      </pivotArea>
    </format>
    <format dxfId="62">
      <pivotArea collapsedLevelsAreSubtotals="1" fieldPosition="0">
        <references count="2">
          <reference field="4294967294" count="1" selected="0">
            <x v="0"/>
          </reference>
          <reference field="3" count="1">
            <x v="1"/>
          </reference>
        </references>
      </pivotArea>
    </format>
    <format dxfId="61">
      <pivotArea collapsedLevelsAreSubtotals="1" fieldPosition="0">
        <references count="3">
          <reference field="4294967294" count="1" selected="0">
            <x v="0"/>
          </reference>
          <reference field="2" count="4">
            <x v="0"/>
            <x v="2"/>
            <x v="3"/>
            <x v="4"/>
          </reference>
          <reference field="3" count="1" selected="0">
            <x v="1"/>
          </reference>
        </references>
      </pivotArea>
    </format>
    <format dxfId="60">
      <pivotArea collapsedLevelsAreSubtotals="1" fieldPosition="0">
        <references count="2">
          <reference field="4294967294" count="1" selected="0">
            <x v="0"/>
          </reference>
          <reference field="3" count="1">
            <x v="2"/>
          </reference>
        </references>
      </pivotArea>
    </format>
    <format dxfId="59">
      <pivotArea collapsedLevelsAreSubtotals="1" fieldPosition="0">
        <references count="3">
          <reference field="4294967294" count="1" selected="0">
            <x v="0"/>
          </reference>
          <reference field="2" count="4">
            <x v="0"/>
            <x v="1"/>
            <x v="2"/>
            <x v="3"/>
          </reference>
          <reference field="3" count="1" selected="0">
            <x v="2"/>
          </reference>
        </references>
      </pivotArea>
    </format>
    <format dxfId="58">
      <pivotArea collapsedLevelsAreSubtotals="1" fieldPosition="0">
        <references count="2">
          <reference field="4294967294" count="1" selected="0">
            <x v="0"/>
          </reference>
          <reference field="3" count="1">
            <x v="3"/>
          </reference>
        </references>
      </pivotArea>
    </format>
    <format dxfId="57">
      <pivotArea collapsedLevelsAreSubtotals="1" fieldPosition="0">
        <references count="3">
          <reference field="4294967294" count="1" selected="0">
            <x v="0"/>
          </reference>
          <reference field="2" count="0"/>
          <reference field="3" count="1" selected="0">
            <x v="3"/>
          </reference>
        </references>
      </pivotArea>
    </format>
    <format dxfId="56">
      <pivotArea collapsedLevelsAreSubtotals="1" fieldPosition="0">
        <references count="2">
          <reference field="4294967294" count="1" selected="0">
            <x v="0"/>
          </reference>
          <reference field="3" count="1">
            <x v="4"/>
          </reference>
        </references>
      </pivotArea>
    </format>
    <format dxfId="55">
      <pivotArea collapsedLevelsAreSubtotals="1" fieldPosition="0">
        <references count="3">
          <reference field="4294967294" count="1" selected="0">
            <x v="0"/>
          </reference>
          <reference field="2" count="0"/>
          <reference field="3" count="1" selected="0">
            <x v="4"/>
          </reference>
        </references>
      </pivotArea>
    </format>
    <format dxfId="54">
      <pivotArea collapsedLevelsAreSubtotals="1" fieldPosition="0">
        <references count="2">
          <reference field="4294967294" count="1" selected="0">
            <x v="0"/>
          </reference>
          <reference field="3" count="1">
            <x v="5"/>
          </reference>
        </references>
      </pivotArea>
    </format>
    <format dxfId="53">
      <pivotArea collapsedLevelsAreSubtotals="1" fieldPosition="0">
        <references count="3">
          <reference field="4294967294" count="1" selected="0">
            <x v="0"/>
          </reference>
          <reference field="2" count="0"/>
          <reference field="3" count="1" selected="0">
            <x v="5"/>
          </reference>
        </references>
      </pivotArea>
    </format>
    <format dxfId="52">
      <pivotArea collapsedLevelsAreSubtotals="1" fieldPosition="0">
        <references count="2">
          <reference field="4294967294" count="1" selected="0">
            <x v="0"/>
          </reference>
          <reference field="3" count="1">
            <x v="6"/>
          </reference>
        </references>
      </pivotArea>
    </format>
    <format dxfId="51">
      <pivotArea collapsedLevelsAreSubtotals="1" fieldPosition="0">
        <references count="3">
          <reference field="4294967294" count="1" selected="0">
            <x v="0"/>
          </reference>
          <reference field="2" count="4">
            <x v="0"/>
            <x v="1"/>
            <x v="3"/>
            <x v="4"/>
          </reference>
          <reference field="3" count="1" selected="0">
            <x v="6"/>
          </reference>
        </references>
      </pivotArea>
    </format>
    <format dxfId="50">
      <pivotArea collapsedLevelsAreSubtotals="1" fieldPosition="0">
        <references count="3">
          <reference field="4294967294" count="1" selected="0">
            <x v="1"/>
          </reference>
          <reference field="2" count="0"/>
          <reference field="3" count="1" selected="0">
            <x v="0"/>
          </reference>
        </references>
      </pivotArea>
    </format>
    <format dxfId="49">
      <pivotArea collapsedLevelsAreSubtotals="1" fieldPosition="0">
        <references count="2">
          <reference field="4294967294" count="1" selected="0">
            <x v="1"/>
          </reference>
          <reference field="3" count="1">
            <x v="1"/>
          </reference>
        </references>
      </pivotArea>
    </format>
    <format dxfId="48">
      <pivotArea collapsedLevelsAreSubtotals="1" fieldPosition="0">
        <references count="3">
          <reference field="4294967294" count="1" selected="0">
            <x v="1"/>
          </reference>
          <reference field="2" count="4">
            <x v="0"/>
            <x v="2"/>
            <x v="3"/>
            <x v="4"/>
          </reference>
          <reference field="3" count="1" selected="0">
            <x v="1"/>
          </reference>
        </references>
      </pivotArea>
    </format>
    <format dxfId="47">
      <pivotArea collapsedLevelsAreSubtotals="1" fieldPosition="0">
        <references count="2">
          <reference field="4294967294" count="1" selected="0">
            <x v="1"/>
          </reference>
          <reference field="3" count="1">
            <x v="2"/>
          </reference>
        </references>
      </pivotArea>
    </format>
    <format dxfId="46">
      <pivotArea collapsedLevelsAreSubtotals="1" fieldPosition="0">
        <references count="3">
          <reference field="4294967294" count="1" selected="0">
            <x v="1"/>
          </reference>
          <reference field="2" count="4">
            <x v="0"/>
            <x v="1"/>
            <x v="2"/>
            <x v="3"/>
          </reference>
          <reference field="3" count="1" selected="0">
            <x v="2"/>
          </reference>
        </references>
      </pivotArea>
    </format>
    <format dxfId="45">
      <pivotArea collapsedLevelsAreSubtotals="1" fieldPosition="0">
        <references count="2">
          <reference field="4294967294" count="1" selected="0">
            <x v="1"/>
          </reference>
          <reference field="3" count="1">
            <x v="3"/>
          </reference>
        </references>
      </pivotArea>
    </format>
    <format dxfId="44">
      <pivotArea collapsedLevelsAreSubtotals="1" fieldPosition="0">
        <references count="3">
          <reference field="4294967294" count="1" selected="0">
            <x v="1"/>
          </reference>
          <reference field="2" count="0"/>
          <reference field="3" count="1" selected="0">
            <x v="3"/>
          </reference>
        </references>
      </pivotArea>
    </format>
    <format dxfId="43">
      <pivotArea collapsedLevelsAreSubtotals="1" fieldPosition="0">
        <references count="2">
          <reference field="4294967294" count="1" selected="0">
            <x v="1"/>
          </reference>
          <reference field="3" count="1">
            <x v="4"/>
          </reference>
        </references>
      </pivotArea>
    </format>
    <format dxfId="42">
      <pivotArea collapsedLevelsAreSubtotals="1" fieldPosition="0">
        <references count="3">
          <reference field="4294967294" count="1" selected="0">
            <x v="1"/>
          </reference>
          <reference field="2" count="0"/>
          <reference field="3" count="1" selected="0">
            <x v="4"/>
          </reference>
        </references>
      </pivotArea>
    </format>
    <format dxfId="41">
      <pivotArea collapsedLevelsAreSubtotals="1" fieldPosition="0">
        <references count="2">
          <reference field="4294967294" count="1" selected="0">
            <x v="1"/>
          </reference>
          <reference field="3" count="1">
            <x v="5"/>
          </reference>
        </references>
      </pivotArea>
    </format>
    <format dxfId="40">
      <pivotArea collapsedLevelsAreSubtotals="1" fieldPosition="0">
        <references count="3">
          <reference field="4294967294" count="1" selected="0">
            <x v="1"/>
          </reference>
          <reference field="2" count="0"/>
          <reference field="3" count="1" selected="0">
            <x v="5"/>
          </reference>
        </references>
      </pivotArea>
    </format>
    <format dxfId="39">
      <pivotArea collapsedLevelsAreSubtotals="1" fieldPosition="0">
        <references count="2">
          <reference field="4294967294" count="1" selected="0">
            <x v="1"/>
          </reference>
          <reference field="3" count="1">
            <x v="6"/>
          </reference>
        </references>
      </pivotArea>
    </format>
    <format dxfId="38">
      <pivotArea collapsedLevelsAreSubtotals="1" fieldPosition="0">
        <references count="3">
          <reference field="4294967294" count="1" selected="0">
            <x v="1"/>
          </reference>
          <reference field="2" count="4">
            <x v="0"/>
            <x v="1"/>
            <x v="3"/>
            <x v="4"/>
          </reference>
          <reference field="3" count="1" selected="0">
            <x v="6"/>
          </reference>
        </references>
      </pivotArea>
    </format>
    <format dxfId="37">
      <pivotArea dataOnly="0" labelOnly="1" fieldPosition="0">
        <references count="1">
          <reference field="3" count="1">
            <x v="0"/>
          </reference>
        </references>
      </pivotArea>
    </format>
    <format dxfId="36">
      <pivotArea dataOnly="0" labelOnly="1" fieldPosition="0">
        <references count="1">
          <reference field="3" count="1">
            <x v="1"/>
          </reference>
        </references>
      </pivotArea>
    </format>
    <format dxfId="35">
      <pivotArea dataOnly="0" labelOnly="1" fieldPosition="0">
        <references count="1">
          <reference field="3" count="1">
            <x v="2"/>
          </reference>
        </references>
      </pivotArea>
    </format>
    <format dxfId="34">
      <pivotArea dataOnly="0" labelOnly="1" fieldPosition="0">
        <references count="1">
          <reference field="3" count="1">
            <x v="3"/>
          </reference>
        </references>
      </pivotArea>
    </format>
    <format dxfId="33">
      <pivotArea dataOnly="0" labelOnly="1" fieldPosition="0">
        <references count="1">
          <reference field="3" count="1">
            <x v="4"/>
          </reference>
        </references>
      </pivotArea>
    </format>
    <format dxfId="32">
      <pivotArea dataOnly="0" labelOnly="1" fieldPosition="0">
        <references count="1">
          <reference field="3" count="1">
            <x v="5"/>
          </reference>
        </references>
      </pivotArea>
    </format>
    <format dxfId="31">
      <pivotArea dataOnly="0" labelOnly="1" fieldPosition="0">
        <references count="1">
          <reference field="3" count="1">
            <x v="6"/>
          </reference>
        </references>
      </pivotArea>
    </format>
    <format dxfId="30">
      <pivotArea collapsedLevelsAreSubtotals="1" fieldPosition="0">
        <references count="1">
          <reference field="3" count="1">
            <x v="0"/>
          </reference>
        </references>
      </pivotArea>
    </format>
    <format dxfId="29">
      <pivotArea collapsedLevelsAreSubtotals="1" fieldPosition="0">
        <references count="2">
          <reference field="4294967294" count="1" selected="0">
            <x v="0"/>
          </reference>
          <reference field="3" count="1">
            <x v="1"/>
          </reference>
        </references>
      </pivotArea>
    </format>
    <format dxfId="28">
      <pivotArea collapsedLevelsAreSubtotals="1" fieldPosition="0">
        <references count="2">
          <reference field="4294967294" count="1" selected="0">
            <x v="1"/>
          </reference>
          <reference field="3" count="1">
            <x v="1"/>
          </reference>
        </references>
      </pivotArea>
    </format>
    <format dxfId="27">
      <pivotArea collapsedLevelsAreSubtotals="1" fieldPosition="0">
        <references count="2">
          <reference field="4294967294" count="1" selected="0">
            <x v="0"/>
          </reference>
          <reference field="3" count="1">
            <x v="2"/>
          </reference>
        </references>
      </pivotArea>
    </format>
    <format dxfId="26">
      <pivotArea collapsedLevelsAreSubtotals="1" fieldPosition="0">
        <references count="2">
          <reference field="4294967294" count="1" selected="0">
            <x v="1"/>
          </reference>
          <reference field="3" count="1">
            <x v="2"/>
          </reference>
        </references>
      </pivotArea>
    </format>
    <format dxfId="25">
      <pivotArea collapsedLevelsAreSubtotals="1" fieldPosition="0">
        <references count="2">
          <reference field="4294967294" count="1" selected="0">
            <x v="0"/>
          </reference>
          <reference field="3" count="1">
            <x v="3"/>
          </reference>
        </references>
      </pivotArea>
    </format>
    <format dxfId="24">
      <pivotArea collapsedLevelsAreSubtotals="1" fieldPosition="0">
        <references count="2">
          <reference field="4294967294" count="1" selected="0">
            <x v="1"/>
          </reference>
          <reference field="3" count="1">
            <x v="3"/>
          </reference>
        </references>
      </pivotArea>
    </format>
    <format dxfId="23">
      <pivotArea collapsedLevelsAreSubtotals="1" fieldPosition="0">
        <references count="2">
          <reference field="4294967294" count="1" selected="0">
            <x v="0"/>
          </reference>
          <reference field="3" count="1">
            <x v="4"/>
          </reference>
        </references>
      </pivotArea>
    </format>
    <format dxfId="22">
      <pivotArea collapsedLevelsAreSubtotals="1" fieldPosition="0">
        <references count="2">
          <reference field="4294967294" count="1" selected="0">
            <x v="1"/>
          </reference>
          <reference field="3" count="1">
            <x v="4"/>
          </reference>
        </references>
      </pivotArea>
    </format>
    <format dxfId="21">
      <pivotArea collapsedLevelsAreSubtotals="1" fieldPosition="0">
        <references count="2">
          <reference field="4294967294" count="1" selected="0">
            <x v="0"/>
          </reference>
          <reference field="3" count="1">
            <x v="5"/>
          </reference>
        </references>
      </pivotArea>
    </format>
    <format dxfId="20">
      <pivotArea collapsedLevelsAreSubtotals="1" fieldPosition="0">
        <references count="2">
          <reference field="4294967294" count="1" selected="0">
            <x v="1"/>
          </reference>
          <reference field="3" count="1">
            <x v="5"/>
          </reference>
        </references>
      </pivotArea>
    </format>
    <format dxfId="19">
      <pivotArea collapsedLevelsAreSubtotals="1" fieldPosition="0">
        <references count="2">
          <reference field="4294967294" count="1" selected="0">
            <x v="0"/>
          </reference>
          <reference field="3" count="1">
            <x v="6"/>
          </reference>
        </references>
      </pivotArea>
    </format>
    <format dxfId="18">
      <pivotArea collapsedLevelsAreSubtotals="1" fieldPosition="0">
        <references count="2">
          <reference field="4294967294" count="1" selected="0">
            <x v="1"/>
          </reference>
          <reference field="3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600-000000000000}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lassification">
  <location ref="A15:D21" firstHeaderRow="0" firstDataRow="1" firstDataCol="1"/>
  <pivotFields count="12">
    <pivotField showAll="0"/>
    <pivotField showAll="0"/>
    <pivotField axis="axisRow" showAll="0">
      <items count="6">
        <item x="0"/>
        <item x="3"/>
        <item x="1"/>
        <item x="4"/>
        <item x="2"/>
        <item t="default"/>
      </items>
    </pivotField>
    <pivotField showAll="0"/>
    <pivotField numFmtId="44" showAll="0"/>
    <pivotField showAll="0"/>
    <pivotField dataField="1" numFmtId="44" showAll="0"/>
    <pivotField dataField="1" numFmtId="165" showAll="0"/>
    <pivotField dataField="1" numFmtId="44" showAll="0"/>
    <pivotField showAll="0"/>
    <pivotField showAll="0"/>
    <pivotField numFmtId="10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Base Pay " fld="6" baseField="2" baseItem="0" numFmtId="165"/>
    <dataField name="Commission " fld="7" baseField="2" baseItem="0" numFmtId="165"/>
    <dataField name="Gross Pay " fld="8" baseField="2" baseItem="0" numFmtId="165"/>
  </dataFields>
  <formats count="3">
    <format dxfId="17">
      <pivotArea collapsedLevelsAreSubtotals="1" fieldPosition="0">
        <references count="2">
          <reference field="4294967294" count="1" selected="0">
            <x v="0"/>
          </reference>
          <reference field="2" count="0"/>
        </references>
      </pivotArea>
    </format>
    <format dxfId="16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  <format dxfId="15">
      <pivotArea collapsedLevelsAreSubtotals="1" fieldPosition="0">
        <references count="2">
          <reference field="4294967294" count="1" selected="0">
            <x v="2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E8" totalsRowShown="0" headerRowDxfId="206">
  <autoFilter ref="A3:E8" xr:uid="{00000000-0009-0000-0100-000001000000}"/>
  <tableColumns count="5">
    <tableColumn id="1" xr3:uid="{00000000-0010-0000-0000-000001000000}" name="Sales Code"/>
    <tableColumn id="2" xr3:uid="{00000000-0010-0000-0000-000002000000}" name="Sales Title"/>
    <tableColumn id="3" xr3:uid="{00000000-0010-0000-0000-000003000000}" name="Hourly Wage"/>
    <tableColumn id="4" xr3:uid="{00000000-0010-0000-0000-000004000000}" name="Quota"/>
    <tableColumn id="5" xr3:uid="{00000000-0010-0000-0000-000005000000}" name="Commission Rat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9000000}" name="Table2" displayName="Table2" ref="A10:C20" totalsRowShown="0" headerRowDxfId="85">
  <autoFilter ref="A10:C20" xr:uid="{00000000-0009-0000-0100-000002000000}"/>
  <tableColumns count="3">
    <tableColumn id="1" xr3:uid="{00000000-0010-0000-0900-000001000000}" name="Last Name" dataDxfId="84"/>
    <tableColumn id="2" xr3:uid="{00000000-0010-0000-0900-000002000000}" name="First Name" dataDxfId="83"/>
    <tableColumn id="3" xr3:uid="{00000000-0010-0000-0900-000003000000}" name="Commission" dataCellStyle="Currency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A000000}" name="Table3" displayName="Table3" ref="A13:D16" totalsRowShown="0" headerRowDxfId="82" dataDxfId="81">
  <autoFilter ref="A13:D16" xr:uid="{00000000-0009-0000-0100-000003000000}"/>
  <sortState xmlns:xlrd2="http://schemas.microsoft.com/office/spreadsheetml/2017/richdata2" ref="A14:D16">
    <sortCondition descending="1" ref="D13:D16"/>
  </sortState>
  <tableColumns count="4">
    <tableColumn id="1" xr3:uid="{00000000-0010-0000-0A00-000001000000}" name="Last Name" dataDxfId="80"/>
    <tableColumn id="2" xr3:uid="{00000000-0010-0000-0A00-000002000000}" name="First Name" dataDxfId="79"/>
    <tableColumn id="3" xr3:uid="{00000000-0010-0000-0A00-000003000000}" name="Department" dataDxfId="78"/>
    <tableColumn id="4" xr3:uid="{00000000-0010-0000-0A00-000004000000}" name="Commission" dataDxfId="77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B000000}" name="Table4" displayName="Table4" ref="A12:C21" totalsRowShown="0">
  <autoFilter ref="A12:C21" xr:uid="{00000000-0009-0000-0100-000004000000}"/>
  <sortState xmlns:xlrd2="http://schemas.microsoft.com/office/spreadsheetml/2017/richdata2" ref="A13:C21">
    <sortCondition descending="1" ref="C12:C21"/>
  </sortState>
  <tableColumns count="3">
    <tableColumn id="1" xr3:uid="{00000000-0010-0000-0B00-000001000000}" name="Last Name" dataDxfId="76"/>
    <tableColumn id="2" xr3:uid="{00000000-0010-0000-0B00-000002000000}" name="First Name" dataDxfId="75"/>
    <tableColumn id="3" xr3:uid="{00000000-0010-0000-0B00-000003000000}" name="Quota Average" dataDxfId="7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5" displayName="Table5" ref="A4:K62" totalsRowShown="0" headerRowDxfId="205" dataDxfId="204">
  <autoFilter ref="A4:K62" xr:uid="{00000000-0009-0000-0100-000005000000}"/>
  <tableColumns count="11">
    <tableColumn id="1" xr3:uid="{00000000-0010-0000-0100-000001000000}" name="Last Name" dataDxfId="203"/>
    <tableColumn id="2" xr3:uid="{00000000-0010-0000-0100-000002000000}" name="First Name" dataDxfId="202"/>
    <tableColumn id="3" xr3:uid="{00000000-0010-0000-0100-000003000000}" name="Classification" dataDxfId="201"/>
    <tableColumn id="4" xr3:uid="{00000000-0010-0000-0100-000004000000}" name="Department" dataDxfId="200"/>
    <tableColumn id="5" xr3:uid="{00000000-0010-0000-0100-000005000000}" name="Sales" dataDxfId="199"/>
    <tableColumn id="6" xr3:uid="{00000000-0010-0000-0100-000006000000}" name="Hours Worked" dataDxfId="198"/>
    <tableColumn id="7" xr3:uid="{00000000-0010-0000-0100-000007000000}" name="Base Pay" dataDxfId="197"/>
    <tableColumn id="8" xr3:uid="{00000000-0010-0000-0100-000008000000}" name="Commission" dataDxfId="196"/>
    <tableColumn id="9" xr3:uid="{00000000-0010-0000-0100-000009000000}" name="Gross Pay" dataDxfId="195"/>
    <tableColumn id="10" xr3:uid="{00000000-0010-0000-0100-00000A000000}" name="Quota Met?" dataDxfId="194"/>
    <tableColumn id="11" xr3:uid="{00000000-0010-0000-0100-00000B000000}" name="Worked Today" dataDxfId="19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6" displayName="Table6" ref="A4:K62" totalsRowShown="0" headerRowDxfId="192" dataDxfId="191">
  <autoFilter ref="A4:K62" xr:uid="{00000000-0009-0000-0100-000006000000}"/>
  <tableColumns count="11">
    <tableColumn id="1" xr3:uid="{00000000-0010-0000-0200-000001000000}" name="Last Name" dataDxfId="190"/>
    <tableColumn id="2" xr3:uid="{00000000-0010-0000-0200-000002000000}" name="First Name" dataDxfId="189"/>
    <tableColumn id="3" xr3:uid="{00000000-0010-0000-0200-000003000000}" name="Classification" dataDxfId="188"/>
    <tableColumn id="4" xr3:uid="{00000000-0010-0000-0200-000004000000}" name="Department" dataDxfId="187"/>
    <tableColumn id="5" xr3:uid="{00000000-0010-0000-0200-000005000000}" name="Sales" dataDxfId="186"/>
    <tableColumn id="6" xr3:uid="{00000000-0010-0000-0200-000006000000}" name="Hours Worked" dataDxfId="185"/>
    <tableColumn id="7" xr3:uid="{00000000-0010-0000-0200-000007000000}" name="Base Pay" dataDxfId="184"/>
    <tableColumn id="8" xr3:uid="{00000000-0010-0000-0200-000008000000}" name="Commission" dataDxfId="183"/>
    <tableColumn id="9" xr3:uid="{00000000-0010-0000-0200-000009000000}" name="Gross Pay" dataDxfId="182"/>
    <tableColumn id="10" xr3:uid="{00000000-0010-0000-0200-00000A000000}" name="Quota Met?" dataDxfId="181"/>
    <tableColumn id="11" xr3:uid="{00000000-0010-0000-0200-00000B000000}" name="Worked Today" dataDxfId="18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le7" displayName="Table7" ref="A4:K62" totalsRowShown="0" headerRowDxfId="179" dataDxfId="178">
  <autoFilter ref="A4:K62" xr:uid="{00000000-0009-0000-0100-000007000000}"/>
  <tableColumns count="11">
    <tableColumn id="1" xr3:uid="{00000000-0010-0000-0300-000001000000}" name="Last Name" dataDxfId="177"/>
    <tableColumn id="2" xr3:uid="{00000000-0010-0000-0300-000002000000}" name="First Name" dataDxfId="176"/>
    <tableColumn id="3" xr3:uid="{00000000-0010-0000-0300-000003000000}" name="Classification" dataDxfId="175"/>
    <tableColumn id="4" xr3:uid="{00000000-0010-0000-0300-000004000000}" name="Department" dataDxfId="174"/>
    <tableColumn id="5" xr3:uid="{00000000-0010-0000-0300-000005000000}" name="Sales" dataDxfId="173"/>
    <tableColumn id="6" xr3:uid="{00000000-0010-0000-0300-000006000000}" name="Hours Worked" dataDxfId="172"/>
    <tableColumn id="7" xr3:uid="{00000000-0010-0000-0300-000007000000}" name="Base Pay" dataDxfId="171"/>
    <tableColumn id="8" xr3:uid="{00000000-0010-0000-0300-000008000000}" name="Commission" dataDxfId="170"/>
    <tableColumn id="9" xr3:uid="{00000000-0010-0000-0300-000009000000}" name="Gross Pay" dataDxfId="169"/>
    <tableColumn id="10" xr3:uid="{00000000-0010-0000-0300-00000A000000}" name="Quota Met?" dataDxfId="168"/>
    <tableColumn id="11" xr3:uid="{00000000-0010-0000-0300-00000B000000}" name="Worked Today" dataDxfId="167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Table8" displayName="Table8" ref="A4:K62" totalsRowShown="0" headerRowDxfId="166" dataDxfId="165">
  <autoFilter ref="A4:K62" xr:uid="{00000000-0009-0000-0100-000008000000}"/>
  <tableColumns count="11">
    <tableColumn id="1" xr3:uid="{00000000-0010-0000-0400-000001000000}" name="Last Name" dataDxfId="164"/>
    <tableColumn id="2" xr3:uid="{00000000-0010-0000-0400-000002000000}" name="First Name" dataDxfId="163"/>
    <tableColumn id="3" xr3:uid="{00000000-0010-0000-0400-000003000000}" name="Classification" dataDxfId="162"/>
    <tableColumn id="4" xr3:uid="{00000000-0010-0000-0400-000004000000}" name="Department" dataDxfId="161"/>
    <tableColumn id="5" xr3:uid="{00000000-0010-0000-0400-000005000000}" name="Sales" dataDxfId="160"/>
    <tableColumn id="6" xr3:uid="{00000000-0010-0000-0400-000006000000}" name="Hours Worked" dataDxfId="159"/>
    <tableColumn id="7" xr3:uid="{00000000-0010-0000-0400-000007000000}" name="Base Pay" dataDxfId="158"/>
    <tableColumn id="8" xr3:uid="{00000000-0010-0000-0400-000008000000}" name="Commission" dataDxfId="157"/>
    <tableColumn id="9" xr3:uid="{00000000-0010-0000-0400-000009000000}" name="Gross Pay" dataDxfId="156"/>
    <tableColumn id="10" xr3:uid="{00000000-0010-0000-0400-00000A000000}" name="Quota Met?" dataDxfId="155"/>
    <tableColumn id="11" xr3:uid="{00000000-0010-0000-0400-00000B000000}" name="Worked Today" dataDxfId="154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Table9" displayName="Table9" ref="A4:K62" totalsRowShown="0" headerRowDxfId="153" dataDxfId="152">
  <autoFilter ref="A4:K62" xr:uid="{00000000-0009-0000-0100-000009000000}"/>
  <tableColumns count="11">
    <tableColumn id="1" xr3:uid="{00000000-0010-0000-0500-000001000000}" name="Last Name" dataDxfId="151"/>
    <tableColumn id="2" xr3:uid="{00000000-0010-0000-0500-000002000000}" name="First Name" dataDxfId="150"/>
    <tableColumn id="3" xr3:uid="{00000000-0010-0000-0500-000003000000}" name="Classification" dataDxfId="149"/>
    <tableColumn id="4" xr3:uid="{00000000-0010-0000-0500-000004000000}" name="Department" dataDxfId="148"/>
    <tableColumn id="5" xr3:uid="{00000000-0010-0000-0500-000005000000}" name="Sales" dataDxfId="147"/>
    <tableColumn id="6" xr3:uid="{00000000-0010-0000-0500-000006000000}" name="Hours Worked" dataDxfId="146"/>
    <tableColumn id="7" xr3:uid="{00000000-0010-0000-0500-000007000000}" name="Base Pay" dataDxfId="145"/>
    <tableColumn id="8" xr3:uid="{00000000-0010-0000-0500-000008000000}" name="Commission" dataDxfId="144"/>
    <tableColumn id="9" xr3:uid="{00000000-0010-0000-0500-000009000000}" name="Gross Pay" dataDxfId="143"/>
    <tableColumn id="10" xr3:uid="{00000000-0010-0000-0500-00000A000000}" name="Quota Met?" dataDxfId="142"/>
    <tableColumn id="11" xr3:uid="{00000000-0010-0000-0500-00000B000000}" name="Worked Today" dataDxfId="141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6000000}" name="Table10" displayName="Table10" ref="A4:K62" totalsRowShown="0" headerRowDxfId="140" dataDxfId="139">
  <autoFilter ref="A4:K62" xr:uid="{00000000-0009-0000-0100-00000A000000}"/>
  <tableColumns count="11">
    <tableColumn id="1" xr3:uid="{00000000-0010-0000-0600-000001000000}" name="Last Name" dataDxfId="138"/>
    <tableColumn id="2" xr3:uid="{00000000-0010-0000-0600-000002000000}" name="First Name" dataDxfId="137"/>
    <tableColumn id="3" xr3:uid="{00000000-0010-0000-0600-000003000000}" name="Classification" dataDxfId="136"/>
    <tableColumn id="4" xr3:uid="{00000000-0010-0000-0600-000004000000}" name="Department" dataDxfId="135"/>
    <tableColumn id="5" xr3:uid="{00000000-0010-0000-0600-000005000000}" name="Sales" dataDxfId="134"/>
    <tableColumn id="6" xr3:uid="{00000000-0010-0000-0600-000006000000}" name="Hours Worked" dataDxfId="133"/>
    <tableColumn id="7" xr3:uid="{00000000-0010-0000-0600-000007000000}" name="Base Pay" dataDxfId="132"/>
    <tableColumn id="8" xr3:uid="{00000000-0010-0000-0600-000008000000}" name="Commission" dataDxfId="131"/>
    <tableColumn id="9" xr3:uid="{00000000-0010-0000-0600-000009000000}" name="Gross Pay" dataDxfId="130"/>
    <tableColumn id="10" xr3:uid="{00000000-0010-0000-0600-00000A000000}" name="Quota Met?" dataDxfId="129"/>
    <tableColumn id="11" xr3:uid="{00000000-0010-0000-0600-00000B000000}" name="Worked Today" dataDxfId="128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7000000}" name="Table11" displayName="Table11" ref="A4:K62" totalsRowShown="0" headerRowDxfId="127" dataDxfId="126">
  <autoFilter ref="A4:K62" xr:uid="{00000000-0009-0000-0100-00000B000000}"/>
  <tableColumns count="11">
    <tableColumn id="1" xr3:uid="{00000000-0010-0000-0700-000001000000}" name="Last Name" dataDxfId="125"/>
    <tableColumn id="2" xr3:uid="{00000000-0010-0000-0700-000002000000}" name="First Name" dataDxfId="124"/>
    <tableColumn id="3" xr3:uid="{00000000-0010-0000-0700-000003000000}" name="Classification" dataDxfId="123"/>
    <tableColumn id="4" xr3:uid="{00000000-0010-0000-0700-000004000000}" name="Department" dataDxfId="122"/>
    <tableColumn id="5" xr3:uid="{00000000-0010-0000-0700-000005000000}" name="Sales" dataDxfId="121"/>
    <tableColumn id="6" xr3:uid="{00000000-0010-0000-0700-000006000000}" name="Hours Worked" dataDxfId="120"/>
    <tableColumn id="7" xr3:uid="{00000000-0010-0000-0700-000007000000}" name="Base Pay" dataDxfId="119"/>
    <tableColumn id="8" xr3:uid="{00000000-0010-0000-0700-000008000000}" name="Commission" dataDxfId="118"/>
    <tableColumn id="9" xr3:uid="{00000000-0010-0000-0700-000009000000}" name="Gross Pay" dataDxfId="117"/>
    <tableColumn id="10" xr3:uid="{00000000-0010-0000-0700-00000A000000}" name="Quota Met?" dataDxfId="116"/>
    <tableColumn id="11" xr3:uid="{00000000-0010-0000-0700-00000B000000}" name="Worked Today" dataDxfId="115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8000000}" name="Table12" displayName="Table12" ref="A9:L69" totalsRowShown="0" headerRowDxfId="114">
  <autoFilter ref="A9:L69" xr:uid="{00000000-0009-0000-0100-00000C000000}"/>
  <tableColumns count="12">
    <tableColumn id="1" xr3:uid="{00000000-0010-0000-0800-000001000000}" name="Last Name" dataDxfId="113"/>
    <tableColumn id="2" xr3:uid="{00000000-0010-0000-0800-000002000000}" name="First Name"/>
    <tableColumn id="3" xr3:uid="{00000000-0010-0000-0800-000003000000}" name="Classification"/>
    <tableColumn id="4" xr3:uid="{00000000-0010-0000-0800-000004000000}" name="Department"/>
    <tableColumn id="5" xr3:uid="{00000000-0010-0000-0800-000005000000}" name="Sales" dataDxfId="112"/>
    <tableColumn id="6" xr3:uid="{00000000-0010-0000-0800-000006000000}" name="Hours Worked"/>
    <tableColumn id="7" xr3:uid="{00000000-0010-0000-0800-000007000000}" name="Base Pay" dataDxfId="111"/>
    <tableColumn id="8" xr3:uid="{00000000-0010-0000-0800-000008000000}" name="Commission" dataDxfId="110"/>
    <tableColumn id="9" xr3:uid="{00000000-0010-0000-0800-000009000000}" name="Gross Pay" dataDxfId="109"/>
    <tableColumn id="10" xr3:uid="{00000000-0010-0000-0800-00000A000000}" name="Quota Met?"/>
    <tableColumn id="11" xr3:uid="{00000000-0010-0000-0800-00000B000000}" name="Worked Today"/>
    <tableColumn id="12" xr3:uid="{00000000-0010-0000-0800-00000C000000}" name="Quota Average" dataDxfId="10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ivotTable" Target="../pivotTables/pivotTable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A5" sqref="A5"/>
    </sheetView>
  </sheetViews>
  <sheetFormatPr defaultRowHeight="13.2" x14ac:dyDescent="0.25"/>
  <cols>
    <col min="1" max="1" width="17.44140625" customWidth="1"/>
    <col min="2" max="2" width="17.33203125" customWidth="1"/>
    <col min="3" max="3" width="22.5546875" customWidth="1"/>
    <col min="4" max="4" width="14.109375" customWidth="1"/>
    <col min="5" max="5" width="26.21875" customWidth="1"/>
  </cols>
  <sheetData>
    <row r="1" spans="1:5" ht="15" x14ac:dyDescent="0.25">
      <c r="A1" s="67" t="s">
        <v>119</v>
      </c>
      <c r="B1" s="67"/>
      <c r="C1" s="67"/>
      <c r="D1" s="67"/>
      <c r="E1" s="67"/>
    </row>
    <row r="2" spans="1:5" ht="13.8" x14ac:dyDescent="0.25">
      <c r="A2" s="68" t="s">
        <v>122</v>
      </c>
      <c r="B2" s="68"/>
      <c r="C2" s="68"/>
      <c r="D2" s="68"/>
      <c r="E2" s="68"/>
    </row>
    <row r="3" spans="1:5" ht="32.25" customHeight="1" x14ac:dyDescent="0.25">
      <c r="A3" s="23" t="s">
        <v>123</v>
      </c>
      <c r="B3" s="24" t="s">
        <v>124</v>
      </c>
      <c r="C3" s="24" t="s">
        <v>125</v>
      </c>
      <c r="D3" s="24" t="s">
        <v>126</v>
      </c>
      <c r="E3" s="24" t="s">
        <v>127</v>
      </c>
    </row>
    <row r="4" spans="1:5" x14ac:dyDescent="0.25">
      <c r="A4" s="14" t="s">
        <v>5</v>
      </c>
      <c r="B4" s="13" t="s">
        <v>128</v>
      </c>
      <c r="C4" s="15">
        <v>23.5</v>
      </c>
      <c r="D4" s="16">
        <v>200</v>
      </c>
      <c r="E4" s="25">
        <v>0.03</v>
      </c>
    </row>
    <row r="5" spans="1:5" x14ac:dyDescent="0.25">
      <c r="A5" s="17" t="s">
        <v>57</v>
      </c>
      <c r="B5" s="11" t="s">
        <v>129</v>
      </c>
      <c r="C5" s="18">
        <v>10.5</v>
      </c>
      <c r="D5" s="19">
        <v>100</v>
      </c>
      <c r="E5" s="26">
        <v>0.01</v>
      </c>
    </row>
    <row r="6" spans="1:5" x14ac:dyDescent="0.25">
      <c r="A6" s="14" t="s">
        <v>44</v>
      </c>
      <c r="B6" s="13" t="s">
        <v>130</v>
      </c>
      <c r="C6" s="15">
        <v>11.75</v>
      </c>
      <c r="D6" s="16">
        <v>125</v>
      </c>
      <c r="E6" s="25">
        <v>1.4999999999999999E-2</v>
      </c>
    </row>
    <row r="7" spans="1:5" x14ac:dyDescent="0.25">
      <c r="A7" s="17" t="s">
        <v>19</v>
      </c>
      <c r="B7" s="11" t="s">
        <v>131</v>
      </c>
      <c r="C7" s="18">
        <v>13.5</v>
      </c>
      <c r="D7" s="19">
        <v>150</v>
      </c>
      <c r="E7" s="26">
        <v>0.02</v>
      </c>
    </row>
    <row r="8" spans="1:5" x14ac:dyDescent="0.25">
      <c r="A8" s="20" t="s">
        <v>33</v>
      </c>
      <c r="B8" s="12" t="s">
        <v>132</v>
      </c>
      <c r="C8" s="21">
        <v>15</v>
      </c>
      <c r="D8" s="22">
        <v>175</v>
      </c>
      <c r="E8" s="27">
        <v>2.5000000000000001E-2</v>
      </c>
    </row>
  </sheetData>
  <mergeCells count="2">
    <mergeCell ref="A1:E1"/>
    <mergeCell ref="A2:E2"/>
  </mergeCell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0:C22"/>
  <sheetViews>
    <sheetView workbookViewId="0">
      <selection activeCell="D24" sqref="D24"/>
    </sheetView>
  </sheetViews>
  <sheetFormatPr defaultRowHeight="13.2" x14ac:dyDescent="0.25"/>
  <cols>
    <col min="1" max="1" width="14.5546875" customWidth="1"/>
    <col min="2" max="2" width="16.44140625" customWidth="1"/>
    <col min="3" max="3" width="14.44140625" customWidth="1"/>
    <col min="4" max="4" width="4.33203125" customWidth="1"/>
    <col min="5" max="6" width="3.33203125" customWidth="1"/>
    <col min="7" max="7" width="11.33203125" bestFit="1" customWidth="1"/>
  </cols>
  <sheetData>
    <row r="10" spans="1:3" ht="15" x14ac:dyDescent="0.25">
      <c r="A10" s="74" t="s">
        <v>119</v>
      </c>
      <c r="B10" s="74"/>
      <c r="C10" s="74"/>
    </row>
    <row r="11" spans="1:3" x14ac:dyDescent="0.25">
      <c r="A11" s="75" t="s">
        <v>144</v>
      </c>
      <c r="B11" s="75"/>
      <c r="C11" s="75"/>
    </row>
    <row r="12" spans="1:3" x14ac:dyDescent="0.25">
      <c r="A12" s="75" t="s">
        <v>145</v>
      </c>
      <c r="B12" s="75"/>
      <c r="C12" s="75"/>
    </row>
    <row r="13" spans="1:3" x14ac:dyDescent="0.25">
      <c r="A13" s="75" t="s">
        <v>149</v>
      </c>
      <c r="B13" s="75"/>
      <c r="C13" s="75"/>
    </row>
    <row r="14" spans="1:3" x14ac:dyDescent="0.25">
      <c r="A14" s="38" t="s">
        <v>2</v>
      </c>
      <c r="B14" t="s">
        <v>147</v>
      </c>
      <c r="C14" t="s">
        <v>148</v>
      </c>
    </row>
    <row r="15" spans="1:3" x14ac:dyDescent="0.25">
      <c r="A15" s="39" t="s">
        <v>56</v>
      </c>
      <c r="B15" s="31">
        <v>534.01245000000006</v>
      </c>
      <c r="C15" s="31">
        <v>62128.25</v>
      </c>
    </row>
    <row r="16" spans="1:3" x14ac:dyDescent="0.25">
      <c r="A16" s="39" t="s">
        <v>16</v>
      </c>
      <c r="B16" s="31">
        <v>344.09324999999995</v>
      </c>
      <c r="C16" s="31">
        <v>48589.43</v>
      </c>
    </row>
    <row r="17" spans="1:3" x14ac:dyDescent="0.25">
      <c r="A17" s="39" t="s">
        <v>11</v>
      </c>
      <c r="B17" s="31">
        <v>5408.0689000000002</v>
      </c>
      <c r="C17" s="31">
        <v>332411.68</v>
      </c>
    </row>
    <row r="18" spans="1:3" x14ac:dyDescent="0.25">
      <c r="A18" s="39" t="s">
        <v>20</v>
      </c>
      <c r="B18" s="31">
        <v>376.06439999999998</v>
      </c>
      <c r="C18" s="31">
        <v>47476.810000000005</v>
      </c>
    </row>
    <row r="19" spans="1:3" x14ac:dyDescent="0.25">
      <c r="A19" s="39" t="s">
        <v>8</v>
      </c>
      <c r="B19" s="31">
        <v>715.33865000000003</v>
      </c>
      <c r="C19" s="31">
        <v>68044.58</v>
      </c>
    </row>
    <row r="20" spans="1:3" x14ac:dyDescent="0.25">
      <c r="A20" s="39" t="s">
        <v>54</v>
      </c>
      <c r="B20" s="31">
        <v>766.61348999999996</v>
      </c>
      <c r="C20" s="31">
        <v>76212.622000000003</v>
      </c>
    </row>
    <row r="21" spans="1:3" x14ac:dyDescent="0.25">
      <c r="A21" s="39" t="s">
        <v>55</v>
      </c>
      <c r="B21" s="31">
        <v>929.08184999999992</v>
      </c>
      <c r="C21" s="31">
        <v>82195.340000000011</v>
      </c>
    </row>
    <row r="22" spans="1:3" x14ac:dyDescent="0.25">
      <c r="A22" s="39" t="s">
        <v>146</v>
      </c>
      <c r="B22" s="31">
        <v>9073.2729899999995</v>
      </c>
      <c r="C22" s="31">
        <v>717058.71199999994</v>
      </c>
    </row>
  </sheetData>
  <mergeCells count="4">
    <mergeCell ref="A10:C10"/>
    <mergeCell ref="A11:C11"/>
    <mergeCell ref="A12:C12"/>
    <mergeCell ref="A13:C13"/>
  </mergeCells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B119"/>
  <sheetViews>
    <sheetView workbookViewId="0">
      <selection activeCell="A3" sqref="A3:B3"/>
    </sheetView>
  </sheetViews>
  <sheetFormatPr defaultRowHeight="13.2" x14ac:dyDescent="0.25"/>
  <cols>
    <col min="1" max="1" width="15.33203125" customWidth="1"/>
    <col min="2" max="2" width="16.109375" customWidth="1"/>
  </cols>
  <sheetData>
    <row r="3" spans="1:2" ht="15" x14ac:dyDescent="0.25">
      <c r="A3" s="67" t="s">
        <v>119</v>
      </c>
      <c r="B3" s="67"/>
    </row>
    <row r="4" spans="1:2" x14ac:dyDescent="0.25">
      <c r="A4" s="76" t="s">
        <v>144</v>
      </c>
      <c r="B4" s="76"/>
    </row>
    <row r="5" spans="1:2" x14ac:dyDescent="0.25">
      <c r="A5" s="76" t="s">
        <v>145</v>
      </c>
      <c r="B5" s="76"/>
    </row>
    <row r="6" spans="1:2" x14ac:dyDescent="0.25">
      <c r="A6" s="76" t="s">
        <v>150</v>
      </c>
      <c r="B6" s="76"/>
    </row>
    <row r="7" spans="1:2" x14ac:dyDescent="0.25">
      <c r="A7" s="44" t="s">
        <v>151</v>
      </c>
      <c r="B7" s="44" t="s">
        <v>147</v>
      </c>
    </row>
    <row r="8" spans="1:2" x14ac:dyDescent="0.25">
      <c r="A8" s="42" t="s">
        <v>56</v>
      </c>
      <c r="B8" s="43"/>
    </row>
    <row r="9" spans="1:2" x14ac:dyDescent="0.25">
      <c r="A9" s="40" t="s">
        <v>63</v>
      </c>
      <c r="B9" s="34"/>
    </row>
    <row r="10" spans="1:2" x14ac:dyDescent="0.25">
      <c r="A10" s="41" t="s">
        <v>64</v>
      </c>
      <c r="B10" s="34">
        <v>53.243100000000005</v>
      </c>
    </row>
    <row r="11" spans="1:2" x14ac:dyDescent="0.25">
      <c r="A11" s="40" t="s">
        <v>61</v>
      </c>
      <c r="B11" s="34"/>
    </row>
    <row r="12" spans="1:2" x14ac:dyDescent="0.25">
      <c r="A12" s="41" t="s">
        <v>62</v>
      </c>
      <c r="B12" s="34">
        <v>139.97560000000001</v>
      </c>
    </row>
    <row r="13" spans="1:2" x14ac:dyDescent="0.25">
      <c r="A13" s="40" t="s">
        <v>65</v>
      </c>
      <c r="B13" s="34"/>
    </row>
    <row r="14" spans="1:2" x14ac:dyDescent="0.25">
      <c r="A14" s="41" t="s">
        <v>66</v>
      </c>
      <c r="B14" s="34">
        <v>58.735699999999994</v>
      </c>
    </row>
    <row r="15" spans="1:2" x14ac:dyDescent="0.25">
      <c r="A15" s="40" t="s">
        <v>67</v>
      </c>
      <c r="B15" s="34"/>
    </row>
    <row r="16" spans="1:2" x14ac:dyDescent="0.25">
      <c r="A16" s="41" t="s">
        <v>68</v>
      </c>
      <c r="B16" s="34">
        <v>75.785250000000019</v>
      </c>
    </row>
    <row r="17" spans="1:2" x14ac:dyDescent="0.25">
      <c r="A17" s="40" t="s">
        <v>59</v>
      </c>
      <c r="B17" s="34"/>
    </row>
    <row r="18" spans="1:2" x14ac:dyDescent="0.25">
      <c r="A18" s="41" t="s">
        <v>60</v>
      </c>
      <c r="B18" s="34">
        <v>126.2448</v>
      </c>
    </row>
    <row r="19" spans="1:2" x14ac:dyDescent="0.25">
      <c r="A19" s="40" t="s">
        <v>106</v>
      </c>
      <c r="B19" s="34"/>
    </row>
    <row r="20" spans="1:2" x14ac:dyDescent="0.25">
      <c r="A20" s="41" t="s">
        <v>107</v>
      </c>
      <c r="B20" s="34">
        <v>29.589599999999997</v>
      </c>
    </row>
    <row r="21" spans="1:2" x14ac:dyDescent="0.25">
      <c r="A21" s="40" t="s">
        <v>12</v>
      </c>
      <c r="B21" s="34"/>
    </row>
    <row r="22" spans="1:2" x14ac:dyDescent="0.25">
      <c r="A22" s="41" t="s">
        <v>13</v>
      </c>
      <c r="B22" s="34">
        <v>50.438400000000001</v>
      </c>
    </row>
    <row r="23" spans="1:2" x14ac:dyDescent="0.25">
      <c r="A23" s="42" t="s">
        <v>16</v>
      </c>
      <c r="B23" s="43"/>
    </row>
    <row r="24" spans="1:2" x14ac:dyDescent="0.25">
      <c r="A24" s="40" t="s">
        <v>31</v>
      </c>
      <c r="B24" s="34"/>
    </row>
    <row r="25" spans="1:2" x14ac:dyDescent="0.25">
      <c r="A25" s="41" t="s">
        <v>32</v>
      </c>
      <c r="B25" s="34">
        <v>50.0595</v>
      </c>
    </row>
    <row r="26" spans="1:2" x14ac:dyDescent="0.25">
      <c r="A26" s="40" t="s">
        <v>69</v>
      </c>
      <c r="B26" s="34"/>
    </row>
    <row r="27" spans="1:2" x14ac:dyDescent="0.25">
      <c r="A27" s="41" t="s">
        <v>10</v>
      </c>
      <c r="B27" s="34">
        <v>48.856200000000001</v>
      </c>
    </row>
    <row r="28" spans="1:2" x14ac:dyDescent="0.25">
      <c r="A28" s="40" t="s">
        <v>70</v>
      </c>
      <c r="B28" s="34"/>
    </row>
    <row r="29" spans="1:2" x14ac:dyDescent="0.25">
      <c r="A29" s="41" t="s">
        <v>71</v>
      </c>
      <c r="B29" s="34">
        <v>14.0062</v>
      </c>
    </row>
    <row r="30" spans="1:2" x14ac:dyDescent="0.25">
      <c r="A30" s="40" t="s">
        <v>21</v>
      </c>
      <c r="B30" s="34"/>
    </row>
    <row r="31" spans="1:2" x14ac:dyDescent="0.25">
      <c r="A31" s="41" t="s">
        <v>22</v>
      </c>
      <c r="B31" s="34">
        <v>37.020200000000003</v>
      </c>
    </row>
    <row r="32" spans="1:2" x14ac:dyDescent="0.25">
      <c r="A32" s="40" t="s">
        <v>105</v>
      </c>
      <c r="B32" s="34"/>
    </row>
    <row r="33" spans="1:2" x14ac:dyDescent="0.25">
      <c r="A33" s="41" t="s">
        <v>77</v>
      </c>
      <c r="B33" s="34">
        <v>85.687950000000001</v>
      </c>
    </row>
    <row r="34" spans="1:2" x14ac:dyDescent="0.25">
      <c r="A34" s="40" t="s">
        <v>14</v>
      </c>
      <c r="B34" s="34"/>
    </row>
    <row r="35" spans="1:2" x14ac:dyDescent="0.25">
      <c r="A35" s="41" t="s">
        <v>15</v>
      </c>
      <c r="B35" s="34">
        <v>60.39</v>
      </c>
    </row>
    <row r="36" spans="1:2" x14ac:dyDescent="0.25">
      <c r="A36" s="40" t="s">
        <v>51</v>
      </c>
      <c r="B36" s="34"/>
    </row>
    <row r="37" spans="1:2" x14ac:dyDescent="0.25">
      <c r="A37" s="41" t="s">
        <v>52</v>
      </c>
      <c r="B37" s="34">
        <v>48.0732</v>
      </c>
    </row>
    <row r="38" spans="1:2" x14ac:dyDescent="0.25">
      <c r="A38" s="42" t="s">
        <v>11</v>
      </c>
      <c r="B38" s="43"/>
    </row>
    <row r="39" spans="1:2" x14ac:dyDescent="0.25">
      <c r="A39" s="40" t="s">
        <v>100</v>
      </c>
      <c r="B39" s="34"/>
    </row>
    <row r="40" spans="1:2" x14ac:dyDescent="0.25">
      <c r="A40" s="41" t="s">
        <v>15</v>
      </c>
      <c r="B40" s="34">
        <v>287.38690000000003</v>
      </c>
    </row>
    <row r="41" spans="1:2" x14ac:dyDescent="0.25">
      <c r="A41" s="40" t="s">
        <v>74</v>
      </c>
      <c r="B41" s="34"/>
    </row>
    <row r="42" spans="1:2" x14ac:dyDescent="0.25">
      <c r="A42" s="41" t="s">
        <v>75</v>
      </c>
      <c r="B42" s="34">
        <v>870.93619999999999</v>
      </c>
    </row>
    <row r="43" spans="1:2" x14ac:dyDescent="0.25">
      <c r="A43" s="40" t="s">
        <v>76</v>
      </c>
      <c r="B43" s="34"/>
    </row>
    <row r="44" spans="1:2" x14ac:dyDescent="0.25">
      <c r="A44" s="41" t="s">
        <v>77</v>
      </c>
      <c r="B44" s="34">
        <v>354.59290000000004</v>
      </c>
    </row>
    <row r="45" spans="1:2" x14ac:dyDescent="0.25">
      <c r="A45" s="40" t="s">
        <v>78</v>
      </c>
      <c r="B45" s="34"/>
    </row>
    <row r="46" spans="1:2" x14ac:dyDescent="0.25">
      <c r="A46" s="41" t="s">
        <v>79</v>
      </c>
      <c r="B46" s="34">
        <v>640.98404999999991</v>
      </c>
    </row>
    <row r="47" spans="1:2" x14ac:dyDescent="0.25">
      <c r="A47" s="40" t="s">
        <v>45</v>
      </c>
      <c r="B47" s="34"/>
    </row>
    <row r="48" spans="1:2" x14ac:dyDescent="0.25">
      <c r="A48" s="41" t="s">
        <v>46</v>
      </c>
      <c r="B48" s="34">
        <v>862.26464999999996</v>
      </c>
    </row>
    <row r="49" spans="1:2" x14ac:dyDescent="0.25">
      <c r="A49" s="40" t="s">
        <v>9</v>
      </c>
      <c r="B49" s="34"/>
    </row>
    <row r="50" spans="1:2" x14ac:dyDescent="0.25">
      <c r="A50" s="41" t="s">
        <v>10</v>
      </c>
      <c r="B50" s="34">
        <v>1520.5254</v>
      </c>
    </row>
    <row r="51" spans="1:2" x14ac:dyDescent="0.25">
      <c r="A51" s="40" t="s">
        <v>72</v>
      </c>
      <c r="B51" s="34"/>
    </row>
    <row r="52" spans="1:2" x14ac:dyDescent="0.25">
      <c r="A52" s="41" t="s">
        <v>73</v>
      </c>
      <c r="B52" s="34">
        <v>868.2392000000001</v>
      </c>
    </row>
    <row r="53" spans="1:2" x14ac:dyDescent="0.25">
      <c r="A53" s="40" t="s">
        <v>116</v>
      </c>
      <c r="B53" s="34"/>
    </row>
    <row r="54" spans="1:2" x14ac:dyDescent="0.25">
      <c r="A54" s="41" t="s">
        <v>117</v>
      </c>
      <c r="B54" s="34">
        <v>3.1396000000000006</v>
      </c>
    </row>
    <row r="55" spans="1:2" x14ac:dyDescent="0.25">
      <c r="A55" s="42" t="s">
        <v>20</v>
      </c>
      <c r="B55" s="43"/>
    </row>
    <row r="56" spans="1:2" x14ac:dyDescent="0.25">
      <c r="A56" s="40" t="s">
        <v>34</v>
      </c>
      <c r="B56" s="34"/>
    </row>
    <row r="57" spans="1:2" x14ac:dyDescent="0.25">
      <c r="A57" s="41" t="s">
        <v>35</v>
      </c>
      <c r="B57" s="34">
        <v>50.554250000000003</v>
      </c>
    </row>
    <row r="58" spans="1:2" x14ac:dyDescent="0.25">
      <c r="A58" s="40" t="s">
        <v>17</v>
      </c>
      <c r="B58" s="34"/>
    </row>
    <row r="59" spans="1:2" x14ac:dyDescent="0.25">
      <c r="A59" s="41" t="s">
        <v>18</v>
      </c>
      <c r="B59" s="34">
        <v>65.326399999999992</v>
      </c>
    </row>
    <row r="60" spans="1:2" x14ac:dyDescent="0.25">
      <c r="A60" s="40" t="s">
        <v>80</v>
      </c>
      <c r="B60" s="34"/>
    </row>
    <row r="61" spans="1:2" x14ac:dyDescent="0.25">
      <c r="A61" s="41" t="s">
        <v>81</v>
      </c>
      <c r="B61" s="34">
        <v>59.982599999999998</v>
      </c>
    </row>
    <row r="62" spans="1:2" x14ac:dyDescent="0.25">
      <c r="A62" s="40" t="s">
        <v>82</v>
      </c>
      <c r="B62" s="34"/>
    </row>
    <row r="63" spans="1:2" x14ac:dyDescent="0.25">
      <c r="A63" s="41" t="s">
        <v>83</v>
      </c>
      <c r="B63" s="34">
        <v>101.2574</v>
      </c>
    </row>
    <row r="64" spans="1:2" x14ac:dyDescent="0.25">
      <c r="A64" s="40" t="s">
        <v>84</v>
      </c>
      <c r="B64" s="34"/>
    </row>
    <row r="65" spans="1:2" x14ac:dyDescent="0.25">
      <c r="A65" s="41" t="s">
        <v>85</v>
      </c>
      <c r="B65" s="34">
        <v>56.0625</v>
      </c>
    </row>
    <row r="66" spans="1:2" x14ac:dyDescent="0.25">
      <c r="A66" s="40" t="s">
        <v>86</v>
      </c>
      <c r="B66" s="34"/>
    </row>
    <row r="67" spans="1:2" x14ac:dyDescent="0.25">
      <c r="A67" s="41" t="s">
        <v>87</v>
      </c>
      <c r="B67" s="34">
        <v>42.881249999999994</v>
      </c>
    </row>
    <row r="68" spans="1:2" x14ac:dyDescent="0.25">
      <c r="A68" s="42" t="s">
        <v>8</v>
      </c>
      <c r="B68" s="43"/>
    </row>
    <row r="69" spans="1:2" x14ac:dyDescent="0.25">
      <c r="A69" s="40" t="s">
        <v>6</v>
      </c>
      <c r="B69" s="34"/>
    </row>
    <row r="70" spans="1:2" x14ac:dyDescent="0.25">
      <c r="A70" s="41" t="s">
        <v>7</v>
      </c>
      <c r="B70" s="34">
        <v>14.0097</v>
      </c>
    </row>
    <row r="71" spans="1:2" x14ac:dyDescent="0.25">
      <c r="A71" s="40" t="s">
        <v>108</v>
      </c>
      <c r="B71" s="34"/>
    </row>
    <row r="72" spans="1:2" x14ac:dyDescent="0.25">
      <c r="A72" s="41" t="s">
        <v>109</v>
      </c>
      <c r="B72" s="34">
        <v>83.131399999999999</v>
      </c>
    </row>
    <row r="73" spans="1:2" x14ac:dyDescent="0.25">
      <c r="A73" s="40" t="s">
        <v>36</v>
      </c>
      <c r="B73" s="34"/>
    </row>
    <row r="74" spans="1:2" x14ac:dyDescent="0.25">
      <c r="A74" s="41" t="s">
        <v>37</v>
      </c>
      <c r="B74" s="34">
        <v>195.25475</v>
      </c>
    </row>
    <row r="75" spans="1:2" x14ac:dyDescent="0.25">
      <c r="A75" s="40" t="s">
        <v>92</v>
      </c>
      <c r="B75" s="34"/>
    </row>
    <row r="76" spans="1:2" x14ac:dyDescent="0.25">
      <c r="A76" s="41" t="s">
        <v>93</v>
      </c>
      <c r="B76" s="34">
        <v>142.13749999999999</v>
      </c>
    </row>
    <row r="77" spans="1:2" x14ac:dyDescent="0.25">
      <c r="A77" s="40" t="s">
        <v>88</v>
      </c>
      <c r="B77" s="34"/>
    </row>
    <row r="78" spans="1:2" x14ac:dyDescent="0.25">
      <c r="A78" s="41" t="s">
        <v>89</v>
      </c>
      <c r="B78" s="34">
        <v>153.56640000000002</v>
      </c>
    </row>
    <row r="79" spans="1:2" x14ac:dyDescent="0.25">
      <c r="A79" s="40" t="s">
        <v>90</v>
      </c>
      <c r="B79" s="34"/>
    </row>
    <row r="80" spans="1:2" x14ac:dyDescent="0.25">
      <c r="A80" s="41" t="s">
        <v>91</v>
      </c>
      <c r="B80" s="34">
        <v>74.744900000000001</v>
      </c>
    </row>
    <row r="81" spans="1:2" x14ac:dyDescent="0.25">
      <c r="A81" s="40" t="s">
        <v>49</v>
      </c>
      <c r="B81" s="34"/>
    </row>
    <row r="82" spans="1:2" x14ac:dyDescent="0.25">
      <c r="A82" s="41" t="s">
        <v>50</v>
      </c>
      <c r="B82" s="34">
        <v>52.494</v>
      </c>
    </row>
    <row r="83" spans="1:2" x14ac:dyDescent="0.25">
      <c r="A83" s="42" t="s">
        <v>54</v>
      </c>
      <c r="B83" s="43"/>
    </row>
    <row r="84" spans="1:2" x14ac:dyDescent="0.25">
      <c r="A84" s="40" t="s">
        <v>3</v>
      </c>
      <c r="B84" s="34"/>
    </row>
    <row r="85" spans="1:2" x14ac:dyDescent="0.25">
      <c r="A85" s="41" t="s">
        <v>4</v>
      </c>
      <c r="B85" s="34">
        <v>108.3111</v>
      </c>
    </row>
    <row r="86" spans="1:2" x14ac:dyDescent="0.25">
      <c r="A86" s="40" t="s">
        <v>42</v>
      </c>
      <c r="B86" s="34"/>
    </row>
    <row r="87" spans="1:2" x14ac:dyDescent="0.25">
      <c r="A87" s="41" t="s">
        <v>43</v>
      </c>
      <c r="B87" s="34">
        <v>158.66759999999999</v>
      </c>
    </row>
    <row r="88" spans="1:2" x14ac:dyDescent="0.25">
      <c r="A88" s="40" t="s">
        <v>101</v>
      </c>
      <c r="B88" s="34"/>
    </row>
    <row r="89" spans="1:2" x14ac:dyDescent="0.25">
      <c r="A89" s="41" t="s">
        <v>102</v>
      </c>
      <c r="B89" s="34">
        <v>12.497599999999998</v>
      </c>
    </row>
    <row r="90" spans="1:2" x14ac:dyDescent="0.25">
      <c r="A90" s="40" t="s">
        <v>25</v>
      </c>
      <c r="B90" s="34"/>
    </row>
    <row r="91" spans="1:2" x14ac:dyDescent="0.25">
      <c r="A91" s="41" t="s">
        <v>26</v>
      </c>
      <c r="B91" s="34">
        <v>189.27564000000001</v>
      </c>
    </row>
    <row r="92" spans="1:2" x14ac:dyDescent="0.25">
      <c r="A92" s="40" t="s">
        <v>110</v>
      </c>
      <c r="B92" s="34"/>
    </row>
    <row r="93" spans="1:2" x14ac:dyDescent="0.25">
      <c r="A93" s="41" t="s">
        <v>111</v>
      </c>
      <c r="B93" s="34">
        <v>22.2624</v>
      </c>
    </row>
    <row r="94" spans="1:2" x14ac:dyDescent="0.25">
      <c r="A94" s="40" t="s">
        <v>112</v>
      </c>
      <c r="B94" s="34"/>
    </row>
    <row r="95" spans="1:2" x14ac:dyDescent="0.25">
      <c r="A95" s="41" t="s">
        <v>113</v>
      </c>
      <c r="B95" s="34">
        <v>2.8064999999999998</v>
      </c>
    </row>
    <row r="96" spans="1:2" x14ac:dyDescent="0.25">
      <c r="A96" s="40" t="s">
        <v>47</v>
      </c>
      <c r="B96" s="34"/>
    </row>
    <row r="97" spans="1:2" x14ac:dyDescent="0.25">
      <c r="A97" s="41" t="s">
        <v>48</v>
      </c>
      <c r="B97" s="34">
        <v>55.671149999999997</v>
      </c>
    </row>
    <row r="98" spans="1:2" x14ac:dyDescent="0.25">
      <c r="A98" s="40" t="s">
        <v>38</v>
      </c>
      <c r="B98" s="34"/>
    </row>
    <row r="99" spans="1:2" x14ac:dyDescent="0.25">
      <c r="A99" s="41" t="s">
        <v>39</v>
      </c>
      <c r="B99" s="34">
        <v>103.87150000000001</v>
      </c>
    </row>
    <row r="100" spans="1:2" x14ac:dyDescent="0.25">
      <c r="A100" s="40" t="s">
        <v>40</v>
      </c>
      <c r="B100" s="34"/>
    </row>
    <row r="101" spans="1:2" x14ac:dyDescent="0.25">
      <c r="A101" s="41" t="s">
        <v>41</v>
      </c>
      <c r="B101" s="34">
        <v>113.25</v>
      </c>
    </row>
    <row r="102" spans="1:2" x14ac:dyDescent="0.25">
      <c r="A102" s="42" t="s">
        <v>55</v>
      </c>
      <c r="B102" s="43"/>
    </row>
    <row r="103" spans="1:2" x14ac:dyDescent="0.25">
      <c r="A103" s="40" t="s">
        <v>103</v>
      </c>
      <c r="B103" s="34"/>
    </row>
    <row r="104" spans="1:2" x14ac:dyDescent="0.25">
      <c r="A104" s="41" t="s">
        <v>104</v>
      </c>
      <c r="B104" s="34">
        <v>70.934899999999999</v>
      </c>
    </row>
    <row r="105" spans="1:2" x14ac:dyDescent="0.25">
      <c r="A105" s="40" t="s">
        <v>23</v>
      </c>
      <c r="B105" s="34"/>
    </row>
    <row r="106" spans="1:2" x14ac:dyDescent="0.25">
      <c r="A106" s="41" t="s">
        <v>24</v>
      </c>
      <c r="B106" s="34">
        <v>172.91970000000001</v>
      </c>
    </row>
    <row r="107" spans="1:2" x14ac:dyDescent="0.25">
      <c r="A107" s="40" t="s">
        <v>94</v>
      </c>
      <c r="B107" s="34"/>
    </row>
    <row r="108" spans="1:2" x14ac:dyDescent="0.25">
      <c r="A108" s="41" t="s">
        <v>95</v>
      </c>
      <c r="B108" s="34">
        <v>26.950399999999998</v>
      </c>
    </row>
    <row r="109" spans="1:2" x14ac:dyDescent="0.25">
      <c r="A109" s="40" t="s">
        <v>114</v>
      </c>
      <c r="B109" s="34"/>
    </row>
    <row r="110" spans="1:2" x14ac:dyDescent="0.25">
      <c r="A110" s="41" t="s">
        <v>115</v>
      </c>
      <c r="B110" s="34">
        <v>138.79974999999999</v>
      </c>
    </row>
    <row r="111" spans="1:2" x14ac:dyDescent="0.25">
      <c r="A111" s="40" t="s">
        <v>27</v>
      </c>
      <c r="B111" s="34"/>
    </row>
    <row r="112" spans="1:2" x14ac:dyDescent="0.25">
      <c r="A112" s="41" t="s">
        <v>28</v>
      </c>
      <c r="B112" s="34">
        <v>205.95499999999998</v>
      </c>
    </row>
    <row r="113" spans="1:2" x14ac:dyDescent="0.25">
      <c r="A113" s="40" t="s">
        <v>96</v>
      </c>
      <c r="B113" s="34"/>
    </row>
    <row r="114" spans="1:2" x14ac:dyDescent="0.25">
      <c r="A114" s="41" t="s">
        <v>97</v>
      </c>
      <c r="B114" s="34">
        <v>58.499499999999998</v>
      </c>
    </row>
    <row r="115" spans="1:2" x14ac:dyDescent="0.25">
      <c r="A115" s="40" t="s">
        <v>98</v>
      </c>
      <c r="B115" s="34"/>
    </row>
    <row r="116" spans="1:2" x14ac:dyDescent="0.25">
      <c r="A116" s="41" t="s">
        <v>99</v>
      </c>
      <c r="B116" s="34">
        <v>139.58600000000001</v>
      </c>
    </row>
    <row r="117" spans="1:2" x14ac:dyDescent="0.25">
      <c r="A117" s="40" t="s">
        <v>29</v>
      </c>
      <c r="B117" s="34"/>
    </row>
    <row r="118" spans="1:2" x14ac:dyDescent="0.25">
      <c r="A118" s="41" t="s">
        <v>30</v>
      </c>
      <c r="B118" s="34">
        <v>115.4366</v>
      </c>
    </row>
    <row r="119" spans="1:2" x14ac:dyDescent="0.25">
      <c r="A119" s="39" t="s">
        <v>146</v>
      </c>
      <c r="B119" s="34">
        <v>9073.2729899999977</v>
      </c>
    </row>
  </sheetData>
  <mergeCells count="4">
    <mergeCell ref="A3:B3"/>
    <mergeCell ref="A4:B4"/>
    <mergeCell ref="A5:B5"/>
    <mergeCell ref="A6:B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0:B22"/>
  <sheetViews>
    <sheetView workbookViewId="0">
      <selection activeCell="C15" sqref="C15"/>
    </sheetView>
  </sheetViews>
  <sheetFormatPr defaultRowHeight="13.2" x14ac:dyDescent="0.25"/>
  <cols>
    <col min="1" max="1" width="14" customWidth="1"/>
    <col min="2" max="2" width="12.21875" customWidth="1"/>
  </cols>
  <sheetData>
    <row r="10" spans="1:2" x14ac:dyDescent="0.25">
      <c r="A10" s="73" t="s">
        <v>119</v>
      </c>
      <c r="B10" s="73"/>
    </row>
    <row r="11" spans="1:2" x14ac:dyDescent="0.25">
      <c r="A11" s="73" t="s">
        <v>144</v>
      </c>
      <c r="B11" s="73"/>
    </row>
    <row r="12" spans="1:2" x14ac:dyDescent="0.25">
      <c r="A12" s="73" t="s">
        <v>145</v>
      </c>
      <c r="B12" s="73"/>
    </row>
    <row r="13" spans="1:2" x14ac:dyDescent="0.25">
      <c r="A13" s="73" t="s">
        <v>152</v>
      </c>
      <c r="B13" s="73"/>
    </row>
    <row r="14" spans="1:2" x14ac:dyDescent="0.25">
      <c r="A14" s="38" t="s">
        <v>2</v>
      </c>
      <c r="B14" t="s">
        <v>147</v>
      </c>
    </row>
    <row r="15" spans="1:2" x14ac:dyDescent="0.25">
      <c r="A15" s="39" t="s">
        <v>11</v>
      </c>
      <c r="B15" s="31">
        <v>5408.0689000000002</v>
      </c>
    </row>
    <row r="16" spans="1:2" x14ac:dyDescent="0.25">
      <c r="A16" s="39" t="s">
        <v>55</v>
      </c>
      <c r="B16" s="31">
        <v>929.08184999999992</v>
      </c>
    </row>
    <row r="17" spans="1:2" x14ac:dyDescent="0.25">
      <c r="A17" s="39" t="s">
        <v>54</v>
      </c>
      <c r="B17" s="31">
        <v>766.61348999999996</v>
      </c>
    </row>
    <row r="18" spans="1:2" x14ac:dyDescent="0.25">
      <c r="A18" s="39" t="s">
        <v>8</v>
      </c>
      <c r="B18" s="31">
        <v>715.33865000000003</v>
      </c>
    </row>
    <row r="19" spans="1:2" x14ac:dyDescent="0.25">
      <c r="A19" s="39" t="s">
        <v>56</v>
      </c>
      <c r="B19" s="31">
        <v>534.01245000000006</v>
      </c>
    </row>
    <row r="20" spans="1:2" x14ac:dyDescent="0.25">
      <c r="A20" s="39" t="s">
        <v>20</v>
      </c>
      <c r="B20" s="31">
        <v>376.06439999999998</v>
      </c>
    </row>
    <row r="21" spans="1:2" x14ac:dyDescent="0.25">
      <c r="A21" s="39" t="s">
        <v>16</v>
      </c>
      <c r="B21" s="31">
        <v>344.09324999999995</v>
      </c>
    </row>
    <row r="22" spans="1:2" x14ac:dyDescent="0.25">
      <c r="A22" s="39" t="s">
        <v>146</v>
      </c>
      <c r="B22" s="34">
        <v>9073.2729899999995</v>
      </c>
    </row>
  </sheetData>
  <mergeCells count="4">
    <mergeCell ref="A10:B10"/>
    <mergeCell ref="A11:B11"/>
    <mergeCell ref="A12:B12"/>
    <mergeCell ref="A13:B1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>
      <selection activeCell="P15" sqref="P15"/>
    </sheetView>
  </sheetViews>
  <sheetFormatPr defaultRowHeight="13.2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8:B33"/>
  <sheetViews>
    <sheetView topLeftCell="A9" workbookViewId="0">
      <selection activeCell="A15" sqref="A15"/>
    </sheetView>
  </sheetViews>
  <sheetFormatPr defaultRowHeight="13.2" x14ac:dyDescent="0.25"/>
  <cols>
    <col min="1" max="1" width="25" customWidth="1"/>
    <col min="2" max="2" width="11.44140625" customWidth="1"/>
  </cols>
  <sheetData>
    <row r="8" spans="1:2" x14ac:dyDescent="0.25">
      <c r="A8" s="73" t="s">
        <v>119</v>
      </c>
      <c r="B8" s="73"/>
    </row>
    <row r="9" spans="1:2" x14ac:dyDescent="0.25">
      <c r="A9" s="73" t="s">
        <v>144</v>
      </c>
      <c r="B9" s="73"/>
    </row>
    <row r="10" spans="1:2" x14ac:dyDescent="0.25">
      <c r="A10" s="73" t="s">
        <v>145</v>
      </c>
      <c r="B10" s="73"/>
    </row>
    <row r="11" spans="1:2" x14ac:dyDescent="0.25">
      <c r="A11" s="11" t="s">
        <v>153</v>
      </c>
      <c r="B11" s="45"/>
    </row>
    <row r="12" spans="1:2" x14ac:dyDescent="0.25">
      <c r="A12" s="38" t="s">
        <v>2</v>
      </c>
      <c r="B12" t="s">
        <v>54</v>
      </c>
    </row>
    <row r="14" spans="1:2" x14ac:dyDescent="0.25">
      <c r="A14" s="38" t="s">
        <v>194</v>
      </c>
      <c r="B14" t="s">
        <v>148</v>
      </c>
    </row>
    <row r="15" spans="1:2" x14ac:dyDescent="0.25">
      <c r="A15" s="39" t="s">
        <v>111</v>
      </c>
      <c r="B15" s="31"/>
    </row>
    <row r="16" spans="1:2" x14ac:dyDescent="0.25">
      <c r="A16" s="40" t="s">
        <v>110</v>
      </c>
      <c r="B16" s="31">
        <v>3420.68</v>
      </c>
    </row>
    <row r="17" spans="1:2" x14ac:dyDescent="0.25">
      <c r="A17" s="39" t="s">
        <v>41</v>
      </c>
      <c r="B17" s="31"/>
    </row>
    <row r="18" spans="1:2" x14ac:dyDescent="0.25">
      <c r="A18" s="40" t="s">
        <v>40</v>
      </c>
      <c r="B18" s="31">
        <v>11180</v>
      </c>
    </row>
    <row r="19" spans="1:2" x14ac:dyDescent="0.25">
      <c r="A19" s="39" t="s">
        <v>48</v>
      </c>
      <c r="B19" s="31"/>
    </row>
    <row r="20" spans="1:2" x14ac:dyDescent="0.25">
      <c r="A20" s="40" t="s">
        <v>47</v>
      </c>
      <c r="B20" s="31">
        <v>6161.32</v>
      </c>
    </row>
    <row r="21" spans="1:2" x14ac:dyDescent="0.25">
      <c r="A21" s="39" t="s">
        <v>4</v>
      </c>
      <c r="B21" s="31"/>
    </row>
    <row r="22" spans="1:2" x14ac:dyDescent="0.25">
      <c r="A22" s="40" t="s">
        <v>3</v>
      </c>
      <c r="B22" s="31">
        <v>10730.69</v>
      </c>
    </row>
    <row r="23" spans="1:2" x14ac:dyDescent="0.25">
      <c r="A23" s="39" t="s">
        <v>26</v>
      </c>
      <c r="B23" s="31"/>
    </row>
    <row r="24" spans="1:2" x14ac:dyDescent="0.25">
      <c r="A24" s="40" t="s">
        <v>25</v>
      </c>
      <c r="B24" s="31">
        <v>15463.781999999999</v>
      </c>
    </row>
    <row r="25" spans="1:2" x14ac:dyDescent="0.25">
      <c r="A25" s="39" t="s">
        <v>113</v>
      </c>
      <c r="B25" s="31"/>
    </row>
    <row r="26" spans="1:2" x14ac:dyDescent="0.25">
      <c r="A26" s="40" t="s">
        <v>112</v>
      </c>
      <c r="B26" s="31">
        <v>2900.73</v>
      </c>
    </row>
    <row r="27" spans="1:2" x14ac:dyDescent="0.25">
      <c r="A27" s="39" t="s">
        <v>39</v>
      </c>
      <c r="B27" s="31"/>
    </row>
    <row r="28" spans="1:2" x14ac:dyDescent="0.25">
      <c r="A28" s="40" t="s">
        <v>38</v>
      </c>
      <c r="B28" s="31">
        <v>10832.800000000001</v>
      </c>
    </row>
    <row r="29" spans="1:2" x14ac:dyDescent="0.25">
      <c r="A29" s="39" t="s">
        <v>102</v>
      </c>
      <c r="B29" s="31"/>
    </row>
    <row r="30" spans="1:2" x14ac:dyDescent="0.25">
      <c r="A30" s="40" t="s">
        <v>101</v>
      </c>
      <c r="B30" s="31">
        <v>2549.7599999999998</v>
      </c>
    </row>
    <row r="31" spans="1:2" x14ac:dyDescent="0.25">
      <c r="A31" s="39" t="s">
        <v>43</v>
      </c>
      <c r="B31" s="31"/>
    </row>
    <row r="32" spans="1:2" x14ac:dyDescent="0.25">
      <c r="A32" s="40" t="s">
        <v>42</v>
      </c>
      <c r="B32" s="31">
        <v>12972.86</v>
      </c>
    </row>
    <row r="33" spans="1:2" x14ac:dyDescent="0.25">
      <c r="A33" s="39" t="s">
        <v>146</v>
      </c>
      <c r="B33" s="31">
        <v>76212.622000000003</v>
      </c>
    </row>
  </sheetData>
  <mergeCells count="3">
    <mergeCell ref="A8:B8"/>
    <mergeCell ref="A9:B9"/>
    <mergeCell ref="A10:B10"/>
  </mergeCell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3.2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6:B16"/>
  <sheetViews>
    <sheetView workbookViewId="0">
      <selection activeCell="B18" sqref="B18"/>
    </sheetView>
  </sheetViews>
  <sheetFormatPr defaultRowHeight="13.2" x14ac:dyDescent="0.25"/>
  <cols>
    <col min="1" max="1" width="23.33203125" customWidth="1"/>
    <col min="2" max="2" width="18" customWidth="1"/>
  </cols>
  <sheetData>
    <row r="6" spans="1:2" ht="15" x14ac:dyDescent="0.25">
      <c r="A6" s="67" t="s">
        <v>119</v>
      </c>
      <c r="B6" s="67"/>
    </row>
    <row r="7" spans="1:2" x14ac:dyDescent="0.25">
      <c r="A7" s="76" t="s">
        <v>144</v>
      </c>
      <c r="B7" s="76"/>
    </row>
    <row r="8" spans="1:2" x14ac:dyDescent="0.25">
      <c r="A8" s="76" t="s">
        <v>145</v>
      </c>
      <c r="B8" s="76"/>
    </row>
    <row r="9" spans="1:2" x14ac:dyDescent="0.25">
      <c r="A9" s="76" t="s">
        <v>155</v>
      </c>
      <c r="B9" s="76"/>
    </row>
    <row r="10" spans="1:2" x14ac:dyDescent="0.25">
      <c r="A10" s="38" t="s">
        <v>0</v>
      </c>
      <c r="B10" t="s">
        <v>147</v>
      </c>
    </row>
    <row r="11" spans="1:2" x14ac:dyDescent="0.25">
      <c r="A11" s="39" t="s">
        <v>9</v>
      </c>
      <c r="B11" s="31">
        <v>1520.5254</v>
      </c>
    </row>
    <row r="12" spans="1:2" x14ac:dyDescent="0.25">
      <c r="A12" s="39" t="s">
        <v>74</v>
      </c>
      <c r="B12" s="31">
        <v>870.93619999999999</v>
      </c>
    </row>
    <row r="13" spans="1:2" x14ac:dyDescent="0.25">
      <c r="A13" s="39" t="s">
        <v>72</v>
      </c>
      <c r="B13" s="31">
        <v>868.2392000000001</v>
      </c>
    </row>
    <row r="14" spans="1:2" x14ac:dyDescent="0.25">
      <c r="A14" s="39" t="s">
        <v>45</v>
      </c>
      <c r="B14" s="31">
        <v>862.26464999999996</v>
      </c>
    </row>
    <row r="15" spans="1:2" x14ac:dyDescent="0.25">
      <c r="A15" s="39" t="s">
        <v>78</v>
      </c>
      <c r="B15" s="31">
        <v>640.98404999999991</v>
      </c>
    </row>
    <row r="16" spans="1:2" x14ac:dyDescent="0.25">
      <c r="A16" s="39" t="s">
        <v>146</v>
      </c>
      <c r="B16" s="31">
        <v>4762.9494999999997</v>
      </c>
    </row>
  </sheetData>
  <mergeCells count="4">
    <mergeCell ref="A6:B6"/>
    <mergeCell ref="A7:B7"/>
    <mergeCell ref="A8:B8"/>
    <mergeCell ref="A9:B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20"/>
  <sheetViews>
    <sheetView workbookViewId="0">
      <selection activeCell="G25" sqref="G25"/>
    </sheetView>
  </sheetViews>
  <sheetFormatPr defaultRowHeight="13.2" x14ac:dyDescent="0.25"/>
  <cols>
    <col min="1" max="1" width="14.44140625" customWidth="1"/>
    <col min="2" max="2" width="13.109375" customWidth="1"/>
    <col min="3" max="3" width="15.33203125" customWidth="1"/>
    <col min="4" max="4" width="12.6640625" customWidth="1"/>
    <col min="6" max="6" width="13.44140625" customWidth="1"/>
    <col min="7" max="7" width="11.109375" customWidth="1"/>
    <col min="8" max="9" width="12.33203125" customWidth="1"/>
    <col min="10" max="10" width="13" customWidth="1"/>
    <col min="11" max="11" width="14.109375" customWidth="1"/>
    <col min="12" max="12" width="13.5546875" customWidth="1"/>
  </cols>
  <sheetData>
    <row r="1" spans="1:12" x14ac:dyDescent="0.25">
      <c r="A1" s="9" t="s">
        <v>0</v>
      </c>
      <c r="B1" s="9" t="s">
        <v>1</v>
      </c>
      <c r="C1" s="9" t="s">
        <v>58</v>
      </c>
      <c r="D1" s="9" t="s">
        <v>2</v>
      </c>
      <c r="E1" s="9" t="s">
        <v>53</v>
      </c>
      <c r="F1" s="9" t="s">
        <v>118</v>
      </c>
      <c r="G1" s="9" t="s">
        <v>121</v>
      </c>
      <c r="H1" s="9" t="s">
        <v>133</v>
      </c>
      <c r="I1" s="9" t="s">
        <v>134</v>
      </c>
      <c r="J1" s="9" t="s">
        <v>135</v>
      </c>
      <c r="K1" s="9" t="s">
        <v>136</v>
      </c>
      <c r="L1" s="35" t="s">
        <v>141</v>
      </c>
    </row>
    <row r="2" spans="1:12" x14ac:dyDescent="0.25">
      <c r="H2" s="2" t="s">
        <v>156</v>
      </c>
    </row>
    <row r="6" spans="1:12" ht="15" x14ac:dyDescent="0.25">
      <c r="A6" s="69" t="s">
        <v>119</v>
      </c>
      <c r="B6" s="69"/>
      <c r="C6" s="69"/>
    </row>
    <row r="7" spans="1:12" x14ac:dyDescent="0.25">
      <c r="A7" s="70" t="s">
        <v>158</v>
      </c>
      <c r="B7" s="70"/>
      <c r="C7" s="70"/>
    </row>
    <row r="8" spans="1:12" x14ac:dyDescent="0.25">
      <c r="A8" s="70" t="s">
        <v>145</v>
      </c>
      <c r="B8" s="70"/>
      <c r="C8" s="70"/>
    </row>
    <row r="9" spans="1:12" x14ac:dyDescent="0.25">
      <c r="A9" s="70" t="s">
        <v>157</v>
      </c>
      <c r="B9" s="70"/>
      <c r="C9" s="70"/>
    </row>
    <row r="10" spans="1:12" x14ac:dyDescent="0.25">
      <c r="A10" s="9" t="s">
        <v>0</v>
      </c>
      <c r="B10" s="9" t="s">
        <v>1</v>
      </c>
      <c r="C10" s="9" t="s">
        <v>133</v>
      </c>
    </row>
    <row r="11" spans="1:12" x14ac:dyDescent="0.25">
      <c r="A11" s="2" t="s">
        <v>9</v>
      </c>
      <c r="B11" s="2" t="s">
        <v>10</v>
      </c>
      <c r="C11" s="8">
        <v>1520.5254</v>
      </c>
    </row>
    <row r="12" spans="1:12" x14ac:dyDescent="0.25">
      <c r="A12" s="2" t="s">
        <v>74</v>
      </c>
      <c r="B12" s="2" t="s">
        <v>75</v>
      </c>
      <c r="C12" s="8">
        <v>870.93619999999999</v>
      </c>
    </row>
    <row r="13" spans="1:12" x14ac:dyDescent="0.25">
      <c r="A13" s="2" t="s">
        <v>72</v>
      </c>
      <c r="B13" s="2" t="s">
        <v>73</v>
      </c>
      <c r="C13" s="8">
        <v>868.2392000000001</v>
      </c>
    </row>
    <row r="14" spans="1:12" x14ac:dyDescent="0.25">
      <c r="A14" s="2" t="s">
        <v>45</v>
      </c>
      <c r="B14" s="2" t="s">
        <v>46</v>
      </c>
      <c r="C14" s="8">
        <v>862.26464999999996</v>
      </c>
    </row>
    <row r="15" spans="1:12" x14ac:dyDescent="0.25">
      <c r="A15" s="2" t="s">
        <v>78</v>
      </c>
      <c r="B15" s="2" t="s">
        <v>79</v>
      </c>
      <c r="C15" s="8">
        <v>640.98404999999991</v>
      </c>
    </row>
    <row r="16" spans="1:12" x14ac:dyDescent="0.25">
      <c r="A16" s="2" t="s">
        <v>76</v>
      </c>
      <c r="B16" s="2" t="s">
        <v>77</v>
      </c>
      <c r="C16" s="8">
        <v>354.59290000000004</v>
      </c>
    </row>
    <row r="17" spans="1:3" x14ac:dyDescent="0.25">
      <c r="A17" s="2" t="s">
        <v>100</v>
      </c>
      <c r="B17" s="2" t="s">
        <v>15</v>
      </c>
      <c r="C17" s="8">
        <v>287.38690000000003</v>
      </c>
    </row>
    <row r="18" spans="1:3" x14ac:dyDescent="0.25">
      <c r="A18" s="2" t="s">
        <v>27</v>
      </c>
      <c r="B18" s="2" t="s">
        <v>28</v>
      </c>
      <c r="C18" s="8">
        <v>205.95500000000001</v>
      </c>
    </row>
    <row r="19" spans="1:3" x14ac:dyDescent="0.25">
      <c r="A19" s="2" t="s">
        <v>36</v>
      </c>
      <c r="B19" s="2" t="s">
        <v>37</v>
      </c>
      <c r="C19" s="8">
        <v>195.25475</v>
      </c>
    </row>
    <row r="20" spans="1:3" x14ac:dyDescent="0.25">
      <c r="A20" s="2" t="s">
        <v>25</v>
      </c>
      <c r="B20" s="2" t="s">
        <v>26</v>
      </c>
      <c r="C20" s="8">
        <v>189.27564000000001</v>
      </c>
    </row>
  </sheetData>
  <mergeCells count="4">
    <mergeCell ref="A6:C6"/>
    <mergeCell ref="A7:C7"/>
    <mergeCell ref="A8:C8"/>
    <mergeCell ref="A9:C9"/>
  </mergeCell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16"/>
  <sheetViews>
    <sheetView workbookViewId="0">
      <selection activeCell="E13" sqref="E13"/>
    </sheetView>
  </sheetViews>
  <sheetFormatPr defaultRowHeight="13.2" x14ac:dyDescent="0.25"/>
  <cols>
    <col min="1" max="1" width="13.44140625" customWidth="1"/>
    <col min="2" max="2" width="13.88671875" customWidth="1"/>
    <col min="3" max="3" width="15.44140625" customWidth="1"/>
    <col min="4" max="4" width="15.5546875" customWidth="1"/>
    <col min="5" max="5" width="10.33203125" customWidth="1"/>
    <col min="6" max="6" width="14.5546875" customWidth="1"/>
    <col min="7" max="7" width="13.6640625" customWidth="1"/>
    <col min="8" max="8" width="14.6640625" customWidth="1"/>
    <col min="9" max="9" width="10.6640625" customWidth="1"/>
    <col min="10" max="10" width="12.33203125" customWidth="1"/>
    <col min="11" max="11" width="14.33203125" customWidth="1"/>
    <col min="12" max="12" width="13" customWidth="1"/>
  </cols>
  <sheetData>
    <row r="1" spans="1:12" x14ac:dyDescent="0.25">
      <c r="A1" s="9" t="s">
        <v>0</v>
      </c>
      <c r="B1" s="9" t="s">
        <v>1</v>
      </c>
      <c r="C1" s="9" t="s">
        <v>58</v>
      </c>
      <c r="D1" s="9" t="s">
        <v>2</v>
      </c>
      <c r="E1" s="9" t="s">
        <v>53</v>
      </c>
      <c r="F1" s="9" t="s">
        <v>118</v>
      </c>
      <c r="G1" s="9" t="s">
        <v>121</v>
      </c>
      <c r="H1" s="9" t="s">
        <v>133</v>
      </c>
      <c r="I1" s="9" t="s">
        <v>134</v>
      </c>
      <c r="J1" s="9" t="s">
        <v>135</v>
      </c>
      <c r="K1" s="9" t="s">
        <v>136</v>
      </c>
      <c r="L1" s="35" t="s">
        <v>141</v>
      </c>
    </row>
    <row r="2" spans="1:12" x14ac:dyDescent="0.25">
      <c r="D2" s="2" t="s">
        <v>159</v>
      </c>
      <c r="H2" s="2" t="s">
        <v>156</v>
      </c>
    </row>
    <row r="9" spans="1:12" ht="15" x14ac:dyDescent="0.25">
      <c r="A9" s="67" t="s">
        <v>119</v>
      </c>
      <c r="B9" s="67"/>
      <c r="C9" s="67"/>
      <c r="D9" s="67"/>
    </row>
    <row r="10" spans="1:12" x14ac:dyDescent="0.25">
      <c r="A10" s="76" t="s">
        <v>144</v>
      </c>
      <c r="B10" s="76"/>
      <c r="C10" s="76"/>
      <c r="D10" s="76"/>
    </row>
    <row r="11" spans="1:12" x14ac:dyDescent="0.25">
      <c r="A11" s="76" t="s">
        <v>145</v>
      </c>
      <c r="B11" s="76"/>
      <c r="C11" s="76"/>
      <c r="D11" s="76"/>
    </row>
    <row r="12" spans="1:12" x14ac:dyDescent="0.25">
      <c r="A12" s="76" t="s">
        <v>160</v>
      </c>
      <c r="B12" s="76"/>
      <c r="C12" s="76"/>
      <c r="D12" s="76"/>
    </row>
    <row r="13" spans="1:12" x14ac:dyDescent="0.25">
      <c r="A13" s="9" t="s">
        <v>0</v>
      </c>
      <c r="B13" s="9" t="s">
        <v>1</v>
      </c>
      <c r="C13" s="9" t="s">
        <v>2</v>
      </c>
      <c r="D13" s="9" t="s">
        <v>133</v>
      </c>
    </row>
    <row r="14" spans="1:12" x14ac:dyDescent="0.25">
      <c r="A14" s="2" t="s">
        <v>27</v>
      </c>
      <c r="B14" s="2" t="s">
        <v>28</v>
      </c>
      <c r="C14" s="2" t="s">
        <v>55</v>
      </c>
      <c r="D14" s="34">
        <v>205.95499999999998</v>
      </c>
    </row>
    <row r="15" spans="1:12" x14ac:dyDescent="0.25">
      <c r="A15" s="2" t="s">
        <v>36</v>
      </c>
      <c r="B15" s="2" t="s">
        <v>37</v>
      </c>
      <c r="C15" s="2" t="s">
        <v>8</v>
      </c>
      <c r="D15" s="34">
        <v>195.25475</v>
      </c>
    </row>
    <row r="16" spans="1:12" x14ac:dyDescent="0.25">
      <c r="A16" s="2" t="s">
        <v>25</v>
      </c>
      <c r="B16" s="2" t="s">
        <v>26</v>
      </c>
      <c r="C16" s="2" t="s">
        <v>54</v>
      </c>
      <c r="D16" s="34">
        <v>189.27564000000001</v>
      </c>
    </row>
  </sheetData>
  <mergeCells count="4">
    <mergeCell ref="A9:D9"/>
    <mergeCell ref="A10:D10"/>
    <mergeCell ref="A11:D11"/>
    <mergeCell ref="A12:D12"/>
  </mergeCell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21"/>
  <sheetViews>
    <sheetView workbookViewId="0">
      <selection activeCell="E14" sqref="E14"/>
    </sheetView>
  </sheetViews>
  <sheetFormatPr defaultRowHeight="13.2" x14ac:dyDescent="0.25"/>
  <cols>
    <col min="1" max="1" width="12.6640625" customWidth="1"/>
    <col min="2" max="2" width="13.6640625" customWidth="1"/>
    <col min="3" max="3" width="17.6640625" customWidth="1"/>
    <col min="4" max="4" width="13.88671875" customWidth="1"/>
    <col min="6" max="6" width="14.33203125" customWidth="1"/>
    <col min="8" max="8" width="14.33203125" customWidth="1"/>
    <col min="9" max="9" width="10.88671875" customWidth="1"/>
    <col min="10" max="10" width="13" customWidth="1"/>
    <col min="11" max="11" width="14.33203125" customWidth="1"/>
    <col min="12" max="12" width="13.44140625" customWidth="1"/>
  </cols>
  <sheetData>
    <row r="1" spans="1:12" x14ac:dyDescent="0.25">
      <c r="A1" s="9" t="s">
        <v>0</v>
      </c>
      <c r="B1" s="9" t="s">
        <v>1</v>
      </c>
      <c r="C1" s="9" t="s">
        <v>58</v>
      </c>
      <c r="D1" s="9" t="s">
        <v>2</v>
      </c>
      <c r="E1" s="9" t="s">
        <v>53</v>
      </c>
      <c r="F1" s="9" t="s">
        <v>118</v>
      </c>
      <c r="G1" s="9" t="s">
        <v>121</v>
      </c>
      <c r="H1" s="9" t="s">
        <v>133</v>
      </c>
      <c r="I1" s="9" t="s">
        <v>134</v>
      </c>
      <c r="J1" s="9" t="s">
        <v>135</v>
      </c>
      <c r="K1" s="9" t="s">
        <v>136</v>
      </c>
      <c r="L1" s="35" t="s">
        <v>141</v>
      </c>
    </row>
    <row r="2" spans="1:12" x14ac:dyDescent="0.25">
      <c r="J2" s="2" t="s">
        <v>161</v>
      </c>
    </row>
    <row r="9" spans="1:12" ht="15" x14ac:dyDescent="0.25">
      <c r="A9" s="67" t="s">
        <v>142</v>
      </c>
      <c r="B9" s="67"/>
      <c r="C9" s="67"/>
    </row>
    <row r="10" spans="1:12" x14ac:dyDescent="0.25">
      <c r="A10" s="76" t="s">
        <v>162</v>
      </c>
      <c r="B10" s="76"/>
      <c r="C10" s="76"/>
    </row>
    <row r="12" spans="1:12" x14ac:dyDescent="0.25">
      <c r="A12" s="9" t="s">
        <v>0</v>
      </c>
      <c r="B12" s="9" t="s">
        <v>1</v>
      </c>
      <c r="C12" s="35" t="s">
        <v>141</v>
      </c>
    </row>
    <row r="13" spans="1:12" x14ac:dyDescent="0.25">
      <c r="A13" s="48" t="s">
        <v>114</v>
      </c>
      <c r="B13" s="48" t="s">
        <v>115</v>
      </c>
      <c r="C13" s="49">
        <v>0.5</v>
      </c>
    </row>
    <row r="14" spans="1:12" x14ac:dyDescent="0.25">
      <c r="A14" s="50" t="s">
        <v>70</v>
      </c>
      <c r="B14" s="50" t="s">
        <v>71</v>
      </c>
      <c r="C14" s="51">
        <v>0.4</v>
      </c>
    </row>
    <row r="15" spans="1:12" x14ac:dyDescent="0.25">
      <c r="A15" s="50" t="s">
        <v>106</v>
      </c>
      <c r="B15" s="50" t="s">
        <v>107</v>
      </c>
      <c r="C15" s="51">
        <v>0.4</v>
      </c>
    </row>
    <row r="16" spans="1:12" x14ac:dyDescent="0.25">
      <c r="A16" s="50" t="s">
        <v>14</v>
      </c>
      <c r="B16" s="50" t="s">
        <v>15</v>
      </c>
      <c r="C16" s="51">
        <v>0.4</v>
      </c>
    </row>
    <row r="17" spans="1:3" x14ac:dyDescent="0.25">
      <c r="A17" s="52" t="s">
        <v>108</v>
      </c>
      <c r="B17" s="52" t="s">
        <v>109</v>
      </c>
      <c r="C17" s="53">
        <v>0.33333333333333331</v>
      </c>
    </row>
    <row r="18" spans="1:3" x14ac:dyDescent="0.25">
      <c r="A18" s="54" t="s">
        <v>112</v>
      </c>
      <c r="B18" s="54" t="s">
        <v>113</v>
      </c>
      <c r="C18" s="55">
        <v>0.25</v>
      </c>
    </row>
    <row r="19" spans="1:3" x14ac:dyDescent="0.25">
      <c r="A19" s="54" t="s">
        <v>116</v>
      </c>
      <c r="B19" s="54" t="s">
        <v>117</v>
      </c>
      <c r="C19" s="55">
        <v>0.25</v>
      </c>
    </row>
    <row r="20" spans="1:3" x14ac:dyDescent="0.25">
      <c r="A20" s="56" t="s">
        <v>34</v>
      </c>
      <c r="B20" s="56" t="s">
        <v>35</v>
      </c>
      <c r="C20" s="57">
        <v>0.2</v>
      </c>
    </row>
    <row r="21" spans="1:3" x14ac:dyDescent="0.25">
      <c r="A21" s="56" t="s">
        <v>6</v>
      </c>
      <c r="B21" s="56" t="s">
        <v>7</v>
      </c>
      <c r="C21" s="57">
        <v>0.2</v>
      </c>
    </row>
  </sheetData>
  <mergeCells count="2">
    <mergeCell ref="A9:C9"/>
    <mergeCell ref="A10:C10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62"/>
  <sheetViews>
    <sheetView workbookViewId="0">
      <selection activeCell="C16" sqref="C16"/>
    </sheetView>
  </sheetViews>
  <sheetFormatPr defaultColWidth="9.109375" defaultRowHeight="13.2" x14ac:dyDescent="0.25"/>
  <cols>
    <col min="1" max="1" width="13.6640625" style="2" customWidth="1"/>
    <col min="2" max="2" width="13.33203125" style="2" customWidth="1"/>
    <col min="3" max="3" width="17.88671875" style="2" customWidth="1"/>
    <col min="4" max="4" width="17" style="2" customWidth="1"/>
    <col min="5" max="5" width="13.88671875" customWidth="1"/>
    <col min="6" max="6" width="15.6640625" style="3" customWidth="1"/>
    <col min="7" max="7" width="12.5546875" style="2" customWidth="1"/>
    <col min="8" max="8" width="15.44140625" style="29" customWidth="1"/>
    <col min="9" max="9" width="13.5546875" style="2" customWidth="1"/>
    <col min="10" max="10" width="13.6640625" style="2" customWidth="1"/>
    <col min="11" max="11" width="15.6640625" style="2" customWidth="1"/>
    <col min="12" max="16384" width="9.109375" style="2"/>
  </cols>
  <sheetData>
    <row r="1" spans="1:11" ht="25.5" customHeight="1" x14ac:dyDescent="0.25">
      <c r="A1" s="69" t="s">
        <v>119</v>
      </c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1" x14ac:dyDescent="0.25">
      <c r="A2" s="70" t="s">
        <v>120</v>
      </c>
      <c r="B2" s="70"/>
      <c r="C2" s="70"/>
      <c r="D2" s="70"/>
      <c r="E2" s="70"/>
      <c r="F2" s="70"/>
      <c r="G2" s="70"/>
      <c r="H2" s="70"/>
      <c r="I2" s="70"/>
      <c r="J2" s="70"/>
      <c r="K2" s="70"/>
    </row>
    <row r="3" spans="1:11" ht="15" customHeight="1" x14ac:dyDescent="0.25">
      <c r="A3" s="71">
        <f ca="1">NOW()</f>
        <v>43760.754998263888</v>
      </c>
      <c r="B3" s="71"/>
      <c r="C3" s="71"/>
      <c r="D3" s="71"/>
      <c r="E3" s="71"/>
      <c r="F3" s="71"/>
      <c r="G3" s="71"/>
      <c r="H3" s="71"/>
      <c r="I3" s="71"/>
      <c r="J3" s="71"/>
      <c r="K3" s="71"/>
    </row>
    <row r="4" spans="1:11" customFormat="1" ht="16.5" customHeight="1" x14ac:dyDescent="0.25">
      <c r="A4" s="9" t="s">
        <v>0</v>
      </c>
      <c r="B4" s="9" t="s">
        <v>1</v>
      </c>
      <c r="C4" s="9" t="s">
        <v>58</v>
      </c>
      <c r="D4" s="9" t="s">
        <v>2</v>
      </c>
      <c r="E4" s="9" t="s">
        <v>53</v>
      </c>
      <c r="F4" s="9" t="s">
        <v>118</v>
      </c>
      <c r="G4" s="10" t="s">
        <v>121</v>
      </c>
      <c r="H4" s="30" t="s">
        <v>133</v>
      </c>
      <c r="I4" s="10" t="s">
        <v>134</v>
      </c>
      <c r="J4" s="10" t="s">
        <v>135</v>
      </c>
      <c r="K4" s="10" t="s">
        <v>136</v>
      </c>
    </row>
    <row r="5" spans="1:11" ht="15" customHeight="1" x14ac:dyDescent="0.25">
      <c r="A5" s="4" t="s">
        <v>3</v>
      </c>
      <c r="B5" s="3" t="s">
        <v>4</v>
      </c>
      <c r="C5" s="3" t="s">
        <v>5</v>
      </c>
      <c r="D5" s="3" t="s">
        <v>54</v>
      </c>
      <c r="E5" s="8">
        <v>4000</v>
      </c>
      <c r="F5" s="3">
        <v>8</v>
      </c>
      <c r="G5" s="28">
        <f>VLOOKUP(C5,Table1[#All],3,FALSE)*F5</f>
        <v>188</v>
      </c>
      <c r="H5" s="29">
        <f>IF(E5&gt;VLOOKUP(C5,Table1[#All],4,FALSE)*Sunday!F5,(Sunday!E5-(VLOOKUP(Sunday!C5,Table1[#All],4,FALSE)*Sunday!F5))*VLOOKUP(Sunday!C5,Table1[#All],5,FALSE),0)</f>
        <v>72</v>
      </c>
      <c r="I5" s="29">
        <f>G5+H5</f>
        <v>260</v>
      </c>
      <c r="J5" s="2">
        <f>IF(H5&gt;0,1,0)</f>
        <v>1</v>
      </c>
      <c r="K5" s="2">
        <f>IF(F5&gt;0,1,0)</f>
        <v>1</v>
      </c>
    </row>
    <row r="6" spans="1:11" ht="15" customHeight="1" x14ac:dyDescent="0.25">
      <c r="A6" s="4" t="s">
        <v>42</v>
      </c>
      <c r="B6" s="3" t="s">
        <v>43</v>
      </c>
      <c r="C6" s="3" t="s">
        <v>44</v>
      </c>
      <c r="D6" s="3" t="s">
        <v>54</v>
      </c>
      <c r="E6" s="8">
        <v>10065.23</v>
      </c>
      <c r="F6" s="3">
        <v>8</v>
      </c>
      <c r="G6" s="28">
        <f>VLOOKUP(C6,Table1[#All],3,FALSE)*F6</f>
        <v>94</v>
      </c>
      <c r="H6" s="29">
        <f>IF(E6&gt;VLOOKUP(C6,Table1[#All],4,FALSE)*Sunday!F6,(Sunday!E6-(VLOOKUP(Sunday!C6,Table1[#All],4,FALSE)*Sunday!F6))*VLOOKUP(Sunday!C6,Table1[#All],5,FALSE),0)</f>
        <v>135.97844999999998</v>
      </c>
      <c r="I6" s="29">
        <f>G6+H6</f>
        <v>229.97844999999998</v>
      </c>
      <c r="J6" s="2">
        <f t="shared" ref="J6:J56" si="0">IF(H6&gt;0,1,0)</f>
        <v>1</v>
      </c>
      <c r="K6" s="2">
        <f t="shared" ref="K6:K56" si="1">IF(F6&gt;0,1,0)</f>
        <v>1</v>
      </c>
    </row>
    <row r="7" spans="1:11" ht="15" customHeight="1" x14ac:dyDescent="0.25">
      <c r="A7" s="4" t="s">
        <v>31</v>
      </c>
      <c r="B7" s="3" t="s">
        <v>32</v>
      </c>
      <c r="C7" s="3" t="s">
        <v>33</v>
      </c>
      <c r="D7" s="3" t="s">
        <v>16</v>
      </c>
      <c r="E7" s="8">
        <v>456.76</v>
      </c>
      <c r="F7" s="3">
        <v>2.5</v>
      </c>
      <c r="G7" s="28">
        <f>VLOOKUP(C7,Table1[#All],3,FALSE)*F7</f>
        <v>37.5</v>
      </c>
      <c r="H7" s="29">
        <f>IF(E7&gt;VLOOKUP(C7,Table1[#All],4,FALSE)*Sunday!F7,(Sunday!E7-(VLOOKUP(Sunday!C7,Table1[#All],4,FALSE)*Sunday!F7))*VLOOKUP(Sunday!C7,Table1[#All],5,FALSE),0)</f>
        <v>0.48149999999999982</v>
      </c>
      <c r="I7" s="29">
        <f t="shared" ref="I7:I56" si="2">G7+H7</f>
        <v>37.981499999999997</v>
      </c>
      <c r="J7" s="2">
        <f t="shared" si="0"/>
        <v>1</v>
      </c>
      <c r="K7" s="2">
        <f t="shared" si="1"/>
        <v>1</v>
      </c>
    </row>
    <row r="8" spans="1:11" ht="15" customHeight="1" x14ac:dyDescent="0.25">
      <c r="A8" s="4" t="s">
        <v>34</v>
      </c>
      <c r="B8" s="3" t="s">
        <v>35</v>
      </c>
      <c r="C8" s="3" t="s">
        <v>33</v>
      </c>
      <c r="D8" s="3" t="s">
        <v>20</v>
      </c>
      <c r="E8" s="8">
        <v>450.98</v>
      </c>
      <c r="F8" s="3">
        <v>3</v>
      </c>
      <c r="G8" s="28">
        <f>VLOOKUP(C8,Table1[#All],3,FALSE)*F8</f>
        <v>45</v>
      </c>
      <c r="H8" s="29">
        <f>IF(E8&gt;VLOOKUP(C8,Table1[#All],4,FALSE)*Sunday!F8,(Sunday!E8-(VLOOKUP(Sunday!C8,Table1[#All],4,FALSE)*Sunday!F8))*VLOOKUP(Sunday!C8,Table1[#All],5,FALSE),0)</f>
        <v>0</v>
      </c>
      <c r="I8" s="29">
        <f t="shared" si="2"/>
        <v>45</v>
      </c>
      <c r="J8" s="2">
        <f t="shared" si="0"/>
        <v>0</v>
      </c>
      <c r="K8" s="2">
        <f t="shared" si="1"/>
        <v>1</v>
      </c>
    </row>
    <row r="9" spans="1:11" ht="15" customHeight="1" x14ac:dyDescent="0.25">
      <c r="A9" s="4" t="s">
        <v>6</v>
      </c>
      <c r="B9" s="3" t="s">
        <v>7</v>
      </c>
      <c r="C9" s="3" t="s">
        <v>5</v>
      </c>
      <c r="D9" s="3" t="s">
        <v>8</v>
      </c>
      <c r="E9" s="8">
        <v>650.75</v>
      </c>
      <c r="F9" s="3">
        <v>6</v>
      </c>
      <c r="G9" s="28">
        <f>VLOOKUP(C9,Table1[#All],3,FALSE)*F9</f>
        <v>141</v>
      </c>
      <c r="H9" s="29">
        <f>IF(E9&gt;VLOOKUP(C9,Table1[#All],4,FALSE)*Sunday!F9,(Sunday!E9-(VLOOKUP(Sunday!C9,Table1[#All],4,FALSE)*Sunday!F9))*VLOOKUP(Sunday!C9,Table1[#All],5,FALSE),0)</f>
        <v>0</v>
      </c>
      <c r="I9" s="29">
        <f t="shared" si="2"/>
        <v>141</v>
      </c>
      <c r="J9" s="2">
        <f t="shared" si="0"/>
        <v>0</v>
      </c>
      <c r="K9" s="2">
        <f t="shared" si="1"/>
        <v>1</v>
      </c>
    </row>
    <row r="10" spans="1:11" ht="15" customHeight="1" x14ac:dyDescent="0.25">
      <c r="A10" s="4" t="s">
        <v>100</v>
      </c>
      <c r="B10" s="3" t="s">
        <v>15</v>
      </c>
      <c r="C10" s="3" t="s">
        <v>57</v>
      </c>
      <c r="D10" s="3" t="s">
        <v>11</v>
      </c>
      <c r="E10" s="8">
        <v>250.78</v>
      </c>
      <c r="F10" s="3">
        <v>4</v>
      </c>
      <c r="G10" s="28">
        <f>VLOOKUP(C10,Table1[#All],3,FALSE)*F10</f>
        <v>42</v>
      </c>
      <c r="H10" s="29">
        <f>IF(E10&gt;VLOOKUP(C10,Table1[#All],4,FALSE)*Sunday!F10,(Sunday!E10-(VLOOKUP(Sunday!C10,Table1[#All],4,FALSE)*Sunday!F10))*VLOOKUP(Sunday!C10,Table1[#All],5,FALSE),0)</f>
        <v>0</v>
      </c>
      <c r="I10" s="29">
        <f t="shared" si="2"/>
        <v>42</v>
      </c>
      <c r="J10" s="2">
        <f t="shared" si="0"/>
        <v>0</v>
      </c>
      <c r="K10" s="2">
        <f t="shared" si="1"/>
        <v>1</v>
      </c>
    </row>
    <row r="11" spans="1:11" ht="15" customHeight="1" x14ac:dyDescent="0.25">
      <c r="A11" s="4" t="s">
        <v>63</v>
      </c>
      <c r="B11" s="3" t="s">
        <v>64</v>
      </c>
      <c r="C11" s="3" t="s">
        <v>57</v>
      </c>
      <c r="D11" s="3" t="s">
        <v>56</v>
      </c>
      <c r="E11" s="8">
        <v>1500</v>
      </c>
      <c r="F11" s="3">
        <v>4</v>
      </c>
      <c r="G11" s="28">
        <f>VLOOKUP(C11,Table1[#All],3,FALSE)*F11</f>
        <v>42</v>
      </c>
      <c r="H11" s="29">
        <f>IF(E11&gt;VLOOKUP(C11,Table1[#All],4,FALSE)*Sunday!F11,(Sunday!E11-(VLOOKUP(Sunday!C11,Table1[#All],4,FALSE)*Sunday!F11))*VLOOKUP(Sunday!C11,Table1[#All],5,FALSE),0)</f>
        <v>11</v>
      </c>
      <c r="I11" s="29">
        <f t="shared" si="2"/>
        <v>53</v>
      </c>
      <c r="J11" s="2">
        <f t="shared" si="0"/>
        <v>1</v>
      </c>
      <c r="K11" s="2">
        <f t="shared" si="1"/>
        <v>1</v>
      </c>
    </row>
    <row r="12" spans="1:11" ht="15" customHeight="1" x14ac:dyDescent="0.25">
      <c r="A12" s="4" t="s">
        <v>61</v>
      </c>
      <c r="B12" s="3" t="s">
        <v>62</v>
      </c>
      <c r="C12" s="3" t="s">
        <v>19</v>
      </c>
      <c r="D12" s="3" t="s">
        <v>56</v>
      </c>
      <c r="E12" s="8">
        <v>0</v>
      </c>
      <c r="F12" s="3">
        <v>0</v>
      </c>
      <c r="G12" s="28">
        <f>VLOOKUP(C12,Table1[#All],3,FALSE)*F12</f>
        <v>0</v>
      </c>
      <c r="H12" s="29">
        <f>IF(E12&gt;VLOOKUP(C12,Table1[#All],4,FALSE)*Sunday!F12,(Sunday!E12-(VLOOKUP(Sunday!C12,Table1[#All],4,FALSE)*Sunday!F12))*VLOOKUP(Sunday!C12,Table1[#All],5,FALSE),0)</f>
        <v>0</v>
      </c>
      <c r="I12" s="29">
        <f t="shared" si="2"/>
        <v>0</v>
      </c>
      <c r="J12" s="2">
        <f t="shared" si="0"/>
        <v>0</v>
      </c>
      <c r="K12" s="2">
        <f t="shared" si="1"/>
        <v>0</v>
      </c>
    </row>
    <row r="13" spans="1:11" ht="15" customHeight="1" x14ac:dyDescent="0.25">
      <c r="A13" s="4" t="s">
        <v>101</v>
      </c>
      <c r="B13" s="3" t="s">
        <v>102</v>
      </c>
      <c r="C13" s="3" t="s">
        <v>57</v>
      </c>
      <c r="D13" s="3" t="s">
        <v>54</v>
      </c>
      <c r="E13" s="8">
        <v>500</v>
      </c>
      <c r="F13" s="3">
        <v>4</v>
      </c>
      <c r="G13" s="28">
        <f>VLOOKUP(C13,Table1[#All],3,FALSE)*F13</f>
        <v>42</v>
      </c>
      <c r="H13" s="29">
        <f>IF(E13&gt;VLOOKUP(C13,Table1[#All],4,FALSE)*Sunday!F13,(Sunday!E13-(VLOOKUP(Sunday!C13,Table1[#All],4,FALSE)*Sunday!F13))*VLOOKUP(Sunday!C13,Table1[#All],5,FALSE),0)</f>
        <v>1</v>
      </c>
      <c r="I13" s="29">
        <f t="shared" si="2"/>
        <v>43</v>
      </c>
      <c r="J13" s="2">
        <f t="shared" si="0"/>
        <v>1</v>
      </c>
      <c r="K13" s="2">
        <f t="shared" si="1"/>
        <v>1</v>
      </c>
    </row>
    <row r="14" spans="1:11" ht="15" customHeight="1" x14ac:dyDescent="0.25">
      <c r="A14" s="4" t="s">
        <v>65</v>
      </c>
      <c r="B14" s="3" t="s">
        <v>66</v>
      </c>
      <c r="C14" s="3" t="s">
        <v>57</v>
      </c>
      <c r="D14" s="3" t="s">
        <v>56</v>
      </c>
      <c r="E14" s="8">
        <v>1402.98</v>
      </c>
      <c r="F14" s="3">
        <v>4</v>
      </c>
      <c r="G14" s="28">
        <f>VLOOKUP(C14,Table1[#All],3,FALSE)*F14</f>
        <v>42</v>
      </c>
      <c r="H14" s="29">
        <f>IF(E14&gt;VLOOKUP(C14,Table1[#All],4,FALSE)*Sunday!F14,(Sunday!E14-(VLOOKUP(Sunday!C14,Table1[#All],4,FALSE)*Sunday!F14))*VLOOKUP(Sunday!C14,Table1[#All],5,FALSE),0)</f>
        <v>10.0298</v>
      </c>
      <c r="I14" s="29">
        <f t="shared" si="2"/>
        <v>52.029800000000002</v>
      </c>
      <c r="J14" s="2">
        <f t="shared" si="0"/>
        <v>1</v>
      </c>
      <c r="K14" s="2">
        <f t="shared" si="1"/>
        <v>1</v>
      </c>
    </row>
    <row r="15" spans="1:11" ht="15" customHeight="1" x14ac:dyDescent="0.25">
      <c r="A15" s="4" t="s">
        <v>69</v>
      </c>
      <c r="B15" s="3" t="s">
        <v>10</v>
      </c>
      <c r="C15" s="3" t="s">
        <v>44</v>
      </c>
      <c r="D15" s="3" t="s">
        <v>16</v>
      </c>
      <c r="E15" s="8">
        <v>0</v>
      </c>
      <c r="F15" s="3">
        <v>0</v>
      </c>
      <c r="G15" s="28">
        <f>VLOOKUP(C15,Table1[#All],3,FALSE)*F15</f>
        <v>0</v>
      </c>
      <c r="H15" s="29">
        <f>IF(E15&gt;VLOOKUP(C15,Table1[#All],4,FALSE)*Sunday!F15,(Sunday!E15-(VLOOKUP(Sunday!C15,Table1[#All],4,FALSE)*Sunday!F15))*VLOOKUP(Sunday!C15,Table1[#All],5,FALSE),0)</f>
        <v>0</v>
      </c>
      <c r="I15" s="29">
        <f t="shared" si="2"/>
        <v>0</v>
      </c>
      <c r="J15" s="2">
        <f t="shared" si="0"/>
        <v>0</v>
      </c>
      <c r="K15" s="2">
        <f t="shared" si="1"/>
        <v>0</v>
      </c>
    </row>
    <row r="16" spans="1:11" ht="15" customHeight="1" x14ac:dyDescent="0.25">
      <c r="A16" s="4" t="s">
        <v>67</v>
      </c>
      <c r="B16" s="3" t="s">
        <v>68</v>
      </c>
      <c r="C16" s="3" t="s">
        <v>33</v>
      </c>
      <c r="D16" s="3" t="s">
        <v>56</v>
      </c>
      <c r="E16" s="8">
        <v>873.08</v>
      </c>
      <c r="F16" s="3">
        <v>5</v>
      </c>
      <c r="G16" s="28">
        <f>VLOOKUP(C16,Table1[#All],3,FALSE)*F16</f>
        <v>75</v>
      </c>
      <c r="H16" s="29">
        <f>IF(E16&gt;VLOOKUP(C16,Table1[#All],4,FALSE)*Sunday!F16,(Sunday!E16-(VLOOKUP(Sunday!C16,Table1[#All],4,FALSE)*Sunday!F16))*VLOOKUP(Sunday!C16,Table1[#All],5,FALSE),0)</f>
        <v>0</v>
      </c>
      <c r="I16" s="29">
        <f t="shared" si="2"/>
        <v>75</v>
      </c>
      <c r="J16" s="2">
        <f t="shared" si="0"/>
        <v>0</v>
      </c>
      <c r="K16" s="2">
        <f t="shared" si="1"/>
        <v>1</v>
      </c>
    </row>
    <row r="17" spans="1:11" ht="15" customHeight="1" x14ac:dyDescent="0.25">
      <c r="A17" s="4" t="s">
        <v>74</v>
      </c>
      <c r="B17" s="3" t="s">
        <v>75</v>
      </c>
      <c r="C17" s="3" t="s">
        <v>19</v>
      </c>
      <c r="D17" s="3" t="s">
        <v>11</v>
      </c>
      <c r="E17" s="8">
        <v>4500.67</v>
      </c>
      <c r="F17" s="3">
        <v>5</v>
      </c>
      <c r="G17" s="28">
        <f>VLOOKUP(C17,Table1[#All],3,FALSE)*F17</f>
        <v>67.5</v>
      </c>
      <c r="H17" s="29">
        <f>IF(E17&gt;VLOOKUP(C17,Table1[#All],4,FALSE)*Sunday!F17,(Sunday!E17-(VLOOKUP(Sunday!C17,Table1[#All],4,FALSE)*Sunday!F17))*VLOOKUP(Sunday!C17,Table1[#All],5,FALSE),0)</f>
        <v>75.013400000000004</v>
      </c>
      <c r="I17" s="29">
        <f t="shared" si="2"/>
        <v>142.51339999999999</v>
      </c>
      <c r="J17" s="2">
        <f t="shared" si="0"/>
        <v>1</v>
      </c>
      <c r="K17" s="2">
        <f t="shared" si="1"/>
        <v>1</v>
      </c>
    </row>
    <row r="18" spans="1:11" ht="15" customHeight="1" x14ac:dyDescent="0.25">
      <c r="A18" s="4" t="s">
        <v>70</v>
      </c>
      <c r="B18" s="3" t="s">
        <v>71</v>
      </c>
      <c r="C18" s="3" t="s">
        <v>19</v>
      </c>
      <c r="D18" s="3" t="s">
        <v>16</v>
      </c>
      <c r="E18" s="8">
        <v>356.26</v>
      </c>
      <c r="F18" s="3">
        <v>7.5</v>
      </c>
      <c r="G18" s="28">
        <f>VLOOKUP(C18,Table1[#All],3,FALSE)*F18</f>
        <v>101.25</v>
      </c>
      <c r="H18" s="29">
        <f>IF(E18&gt;VLOOKUP(C18,Table1[#All],4,FALSE)*Sunday!F18,(Sunday!E18-(VLOOKUP(Sunday!C18,Table1[#All],4,FALSE)*Sunday!F18))*VLOOKUP(Sunday!C18,Table1[#All],5,FALSE),0)</f>
        <v>0</v>
      </c>
      <c r="I18" s="29">
        <f t="shared" si="2"/>
        <v>101.25</v>
      </c>
      <c r="J18" s="2">
        <f t="shared" si="0"/>
        <v>0</v>
      </c>
      <c r="K18" s="2">
        <f t="shared" si="1"/>
        <v>1</v>
      </c>
    </row>
    <row r="19" spans="1:11" ht="15" customHeight="1" x14ac:dyDescent="0.25">
      <c r="A19" s="4" t="s">
        <v>17</v>
      </c>
      <c r="B19" s="3" t="s">
        <v>18</v>
      </c>
      <c r="C19" s="3" t="s">
        <v>19</v>
      </c>
      <c r="D19" s="3" t="s">
        <v>20</v>
      </c>
      <c r="E19" s="8">
        <v>1500.25</v>
      </c>
      <c r="F19" s="3">
        <v>5</v>
      </c>
      <c r="G19" s="28">
        <f>VLOOKUP(C19,Table1[#All],3,FALSE)*F19</f>
        <v>67.5</v>
      </c>
      <c r="H19" s="29">
        <f>IF(E19&gt;VLOOKUP(C19,Table1[#All],4,FALSE)*Sunday!F19,(Sunday!E19-(VLOOKUP(Sunday!C19,Table1[#All],4,FALSE)*Sunday!F19))*VLOOKUP(Sunday!C19,Table1[#All],5,FALSE),0)</f>
        <v>15.005000000000001</v>
      </c>
      <c r="I19" s="29">
        <f t="shared" si="2"/>
        <v>82.504999999999995</v>
      </c>
      <c r="J19" s="2">
        <f t="shared" si="0"/>
        <v>1</v>
      </c>
      <c r="K19" s="2">
        <f t="shared" si="1"/>
        <v>1</v>
      </c>
    </row>
    <row r="20" spans="1:11" ht="15" customHeight="1" x14ac:dyDescent="0.25">
      <c r="A20" s="4" t="s">
        <v>103</v>
      </c>
      <c r="B20" s="3" t="s">
        <v>104</v>
      </c>
      <c r="C20" s="3" t="s">
        <v>57</v>
      </c>
      <c r="D20" s="3" t="s">
        <v>55</v>
      </c>
      <c r="E20" s="8">
        <v>250</v>
      </c>
      <c r="F20" s="3">
        <v>4</v>
      </c>
      <c r="G20" s="28">
        <f>VLOOKUP(C20,Table1[#All],3,FALSE)*F20</f>
        <v>42</v>
      </c>
      <c r="H20" s="29">
        <f>IF(E20&gt;VLOOKUP(C20,Table1[#All],4,FALSE)*Sunday!F20,(Sunday!E20-(VLOOKUP(Sunday!C20,Table1[#All],4,FALSE)*Sunday!F20))*VLOOKUP(Sunday!C20,Table1[#All],5,FALSE),0)</f>
        <v>0</v>
      </c>
      <c r="I20" s="29">
        <f t="shared" si="2"/>
        <v>42</v>
      </c>
      <c r="J20" s="2">
        <f t="shared" si="0"/>
        <v>0</v>
      </c>
      <c r="K20" s="2">
        <f t="shared" si="1"/>
        <v>1</v>
      </c>
    </row>
    <row r="21" spans="1:11" ht="15" customHeight="1" x14ac:dyDescent="0.25">
      <c r="A21" s="4" t="s">
        <v>76</v>
      </c>
      <c r="B21" s="3" t="s">
        <v>77</v>
      </c>
      <c r="C21" s="3" t="s">
        <v>57</v>
      </c>
      <c r="D21" s="3" t="s">
        <v>11</v>
      </c>
      <c r="E21" s="8">
        <v>1469.78</v>
      </c>
      <c r="F21" s="3">
        <v>5</v>
      </c>
      <c r="G21" s="28">
        <f>VLOOKUP(C21,Table1[#All],3,FALSE)*F21</f>
        <v>52.5</v>
      </c>
      <c r="H21" s="29">
        <f>IF(E21&gt;VLOOKUP(C21,Table1[#All],4,FALSE)*Sunday!F21,(Sunday!E21-(VLOOKUP(Sunday!C21,Table1[#All],4,FALSE)*Sunday!F21))*VLOOKUP(Sunday!C21,Table1[#All],5,FALSE),0)</f>
        <v>9.6977999999999991</v>
      </c>
      <c r="I21" s="29">
        <f t="shared" si="2"/>
        <v>62.197800000000001</v>
      </c>
      <c r="J21" s="2">
        <f t="shared" si="0"/>
        <v>1</v>
      </c>
      <c r="K21" s="2">
        <f t="shared" si="1"/>
        <v>1</v>
      </c>
    </row>
    <row r="22" spans="1:11" ht="15" customHeight="1" x14ac:dyDescent="0.25">
      <c r="A22" s="4" t="s">
        <v>78</v>
      </c>
      <c r="B22" s="3" t="s">
        <v>79</v>
      </c>
      <c r="C22" s="3" t="s">
        <v>44</v>
      </c>
      <c r="D22" s="3" t="s">
        <v>11</v>
      </c>
      <c r="E22" s="8">
        <v>7502.03</v>
      </c>
      <c r="F22" s="3">
        <v>2</v>
      </c>
      <c r="G22" s="28">
        <f>VLOOKUP(C22,Table1[#All],3,FALSE)*F22</f>
        <v>23.5</v>
      </c>
      <c r="H22" s="29">
        <f>IF(E22&gt;VLOOKUP(C22,Table1[#All],4,FALSE)*Sunday!F22,(Sunday!E22-(VLOOKUP(Sunday!C22,Table1[#All],4,FALSE)*Sunday!F22))*VLOOKUP(Sunday!C22,Table1[#All],5,FALSE),0)</f>
        <v>108.78044999999999</v>
      </c>
      <c r="I22" s="29">
        <f t="shared" si="2"/>
        <v>132.28044999999997</v>
      </c>
      <c r="J22" s="2">
        <f t="shared" si="0"/>
        <v>1</v>
      </c>
      <c r="K22" s="2">
        <f t="shared" si="1"/>
        <v>1</v>
      </c>
    </row>
    <row r="23" spans="1:11" ht="15" customHeight="1" x14ac:dyDescent="0.25">
      <c r="A23" s="4" t="s">
        <v>21</v>
      </c>
      <c r="B23" s="3" t="s">
        <v>22</v>
      </c>
      <c r="C23" s="3" t="s">
        <v>19</v>
      </c>
      <c r="D23" s="3" t="s">
        <v>16</v>
      </c>
      <c r="E23" s="8">
        <v>0</v>
      </c>
      <c r="F23" s="3">
        <v>0</v>
      </c>
      <c r="G23" s="28">
        <f>VLOOKUP(C23,Table1[#All],3,FALSE)*F23</f>
        <v>0</v>
      </c>
      <c r="H23" s="29">
        <f>IF(E23&gt;VLOOKUP(C23,Table1[#All],4,FALSE)*Sunday!F23,(Sunday!E23-(VLOOKUP(Sunday!C23,Table1[#All],4,FALSE)*Sunday!F23))*VLOOKUP(Sunday!C23,Table1[#All],5,FALSE),0)</f>
        <v>0</v>
      </c>
      <c r="I23" s="29">
        <f t="shared" si="2"/>
        <v>0</v>
      </c>
      <c r="J23" s="2">
        <f t="shared" si="0"/>
        <v>0</v>
      </c>
      <c r="K23" s="2">
        <f t="shared" si="1"/>
        <v>0</v>
      </c>
    </row>
    <row r="24" spans="1:11" ht="15" customHeight="1" x14ac:dyDescent="0.25">
      <c r="A24" s="4" t="s">
        <v>80</v>
      </c>
      <c r="B24" s="3" t="s">
        <v>81</v>
      </c>
      <c r="C24" s="3" t="s">
        <v>5</v>
      </c>
      <c r="D24" s="3" t="s">
        <v>20</v>
      </c>
      <c r="E24" s="8">
        <v>890.47</v>
      </c>
      <c r="F24" s="3">
        <v>8</v>
      </c>
      <c r="G24" s="28">
        <f>VLOOKUP(C24,Table1[#All],3,FALSE)*F24</f>
        <v>188</v>
      </c>
      <c r="H24" s="29">
        <f>IF(E24&gt;VLOOKUP(C24,Table1[#All],4,FALSE)*Sunday!F24,(Sunday!E24-(VLOOKUP(Sunday!C24,Table1[#All],4,FALSE)*Sunday!F24))*VLOOKUP(Sunday!C24,Table1[#All],5,FALSE),0)</f>
        <v>0</v>
      </c>
      <c r="I24" s="29">
        <f t="shared" si="2"/>
        <v>188</v>
      </c>
      <c r="J24" s="2">
        <f t="shared" si="0"/>
        <v>0</v>
      </c>
      <c r="K24" s="2">
        <f t="shared" si="1"/>
        <v>1</v>
      </c>
    </row>
    <row r="25" spans="1:11" ht="15" customHeight="1" x14ac:dyDescent="0.25">
      <c r="A25" s="4" t="s">
        <v>45</v>
      </c>
      <c r="B25" s="3" t="s">
        <v>46</v>
      </c>
      <c r="C25" s="3" t="s">
        <v>44</v>
      </c>
      <c r="D25" s="3" t="s">
        <v>11</v>
      </c>
      <c r="E25" s="8">
        <v>0</v>
      </c>
      <c r="F25" s="3">
        <v>0</v>
      </c>
      <c r="G25" s="28">
        <f>VLOOKUP(C25,Table1[#All],3,FALSE)*F25</f>
        <v>0</v>
      </c>
      <c r="H25" s="29">
        <f>IF(E25&gt;VLOOKUP(C25,Table1[#All],4,FALSE)*Sunday!F25,(Sunday!E25-(VLOOKUP(Sunday!C25,Table1[#All],4,FALSE)*Sunday!F25))*VLOOKUP(Sunday!C25,Table1[#All],5,FALSE),0)</f>
        <v>0</v>
      </c>
      <c r="I25" s="29">
        <f t="shared" si="2"/>
        <v>0</v>
      </c>
      <c r="J25" s="2">
        <f t="shared" si="0"/>
        <v>0</v>
      </c>
      <c r="K25" s="2">
        <f t="shared" si="1"/>
        <v>0</v>
      </c>
    </row>
    <row r="26" spans="1:11" ht="15" customHeight="1" x14ac:dyDescent="0.25">
      <c r="A26" s="4" t="s">
        <v>105</v>
      </c>
      <c r="B26" s="3" t="s">
        <v>77</v>
      </c>
      <c r="C26" s="3" t="s">
        <v>44</v>
      </c>
      <c r="D26" s="3" t="s">
        <v>16</v>
      </c>
      <c r="E26" s="8">
        <v>1000</v>
      </c>
      <c r="F26" s="3">
        <v>5</v>
      </c>
      <c r="G26" s="28">
        <f>VLOOKUP(C26,Table1[#All],3,FALSE)*F26</f>
        <v>58.75</v>
      </c>
      <c r="H26" s="29">
        <f>IF(E26&gt;VLOOKUP(C26,Table1[#All],4,FALSE)*Sunday!F26,(Sunday!E26-(VLOOKUP(Sunday!C26,Table1[#All],4,FALSE)*Sunday!F26))*VLOOKUP(Sunday!C26,Table1[#All],5,FALSE),0)</f>
        <v>5.625</v>
      </c>
      <c r="I26" s="29">
        <f t="shared" si="2"/>
        <v>64.375</v>
      </c>
      <c r="J26" s="2">
        <f t="shared" si="0"/>
        <v>1</v>
      </c>
      <c r="K26" s="2">
        <f t="shared" si="1"/>
        <v>1</v>
      </c>
    </row>
    <row r="27" spans="1:11" ht="15" customHeight="1" x14ac:dyDescent="0.25">
      <c r="A27" s="4" t="s">
        <v>59</v>
      </c>
      <c r="B27" s="3" t="s">
        <v>60</v>
      </c>
      <c r="C27" s="3" t="s">
        <v>19</v>
      </c>
      <c r="D27" s="3" t="s">
        <v>56</v>
      </c>
      <c r="E27" s="8">
        <v>1100</v>
      </c>
      <c r="F27" s="3">
        <v>6</v>
      </c>
      <c r="G27" s="28">
        <f>VLOOKUP(C27,Table1[#All],3,FALSE)*F27</f>
        <v>81</v>
      </c>
      <c r="H27" s="29">
        <f>IF(E27&gt;VLOOKUP(C27,Table1[#All],4,FALSE)*Sunday!F27,(Sunday!E27-(VLOOKUP(Sunday!C27,Table1[#All],4,FALSE)*Sunday!F27))*VLOOKUP(Sunday!C27,Table1[#All],5,FALSE),0)</f>
        <v>4</v>
      </c>
      <c r="I27" s="29">
        <f t="shared" si="2"/>
        <v>85</v>
      </c>
      <c r="J27" s="2">
        <f t="shared" si="0"/>
        <v>1</v>
      </c>
      <c r="K27" s="2">
        <f t="shared" si="1"/>
        <v>1</v>
      </c>
    </row>
    <row r="28" spans="1:11" ht="15" customHeight="1" x14ac:dyDescent="0.25">
      <c r="A28" s="4" t="s">
        <v>23</v>
      </c>
      <c r="B28" s="3" t="s">
        <v>24</v>
      </c>
      <c r="C28" s="3" t="s">
        <v>5</v>
      </c>
      <c r="D28" s="3" t="s">
        <v>55</v>
      </c>
      <c r="E28" s="8">
        <v>1202.02</v>
      </c>
      <c r="F28" s="3">
        <v>12</v>
      </c>
      <c r="G28" s="28">
        <f>VLOOKUP(C28,Table1[#All],3,FALSE)*F28</f>
        <v>282</v>
      </c>
      <c r="H28" s="29">
        <f>IF(E28&gt;VLOOKUP(C28,Table1[#All],4,FALSE)*Sunday!F28,(Sunday!E28-(VLOOKUP(Sunday!C28,Table1[#All],4,FALSE)*Sunday!F28))*VLOOKUP(Sunday!C28,Table1[#All],5,FALSE),0)</f>
        <v>0</v>
      </c>
      <c r="I28" s="29">
        <f t="shared" si="2"/>
        <v>282</v>
      </c>
      <c r="J28" s="2">
        <f t="shared" si="0"/>
        <v>0</v>
      </c>
      <c r="K28" s="2">
        <f t="shared" si="1"/>
        <v>1</v>
      </c>
    </row>
    <row r="29" spans="1:11" ht="15" customHeight="1" x14ac:dyDescent="0.25">
      <c r="A29" s="4" t="s">
        <v>106</v>
      </c>
      <c r="B29" s="3" t="s">
        <v>107</v>
      </c>
      <c r="C29" s="3" t="s">
        <v>44</v>
      </c>
      <c r="D29" s="3" t="s">
        <v>56</v>
      </c>
      <c r="E29" s="8">
        <v>199.99</v>
      </c>
      <c r="F29" s="3">
        <v>4</v>
      </c>
      <c r="G29" s="28">
        <f>VLOOKUP(C29,Table1[#All],3,FALSE)*F29</f>
        <v>47</v>
      </c>
      <c r="H29" s="29">
        <f>IF(E29&gt;VLOOKUP(C29,Table1[#All],4,FALSE)*Sunday!F29,(Sunday!E29-(VLOOKUP(Sunday!C29,Table1[#All],4,FALSE)*Sunday!F29))*VLOOKUP(Sunday!C29,Table1[#All],5,FALSE),0)</f>
        <v>0</v>
      </c>
      <c r="I29" s="29">
        <f t="shared" si="2"/>
        <v>47</v>
      </c>
      <c r="J29" s="2">
        <f t="shared" si="0"/>
        <v>0</v>
      </c>
      <c r="K29" s="2">
        <f t="shared" si="1"/>
        <v>1</v>
      </c>
    </row>
    <row r="30" spans="1:11" s="1" customFormat="1" ht="15" customHeight="1" x14ac:dyDescent="0.25">
      <c r="A30" s="4" t="s">
        <v>82</v>
      </c>
      <c r="B30" s="3" t="s">
        <v>83</v>
      </c>
      <c r="C30" s="3" t="s">
        <v>19</v>
      </c>
      <c r="D30" s="3" t="s">
        <v>20</v>
      </c>
      <c r="E30" s="8">
        <v>802.46</v>
      </c>
      <c r="F30" s="3">
        <v>8</v>
      </c>
      <c r="G30" s="28">
        <f>VLOOKUP(C30,Table1[#All],3,FALSE)*F30</f>
        <v>108</v>
      </c>
      <c r="H30" s="29">
        <f>IF(E30&gt;VLOOKUP(C30,Table1[#All],4,FALSE)*Sunday!F30,(Sunday!E30-(VLOOKUP(Sunday!C30,Table1[#All],4,FALSE)*Sunday!F30))*VLOOKUP(Sunday!C30,Table1[#All],5,FALSE),0)</f>
        <v>0</v>
      </c>
      <c r="I30" s="29">
        <f t="shared" si="2"/>
        <v>108</v>
      </c>
      <c r="J30" s="2">
        <f t="shared" si="0"/>
        <v>0</v>
      </c>
      <c r="K30" s="2">
        <f t="shared" si="1"/>
        <v>1</v>
      </c>
    </row>
    <row r="31" spans="1:11" s="1" customFormat="1" ht="15" customHeight="1" x14ac:dyDescent="0.25">
      <c r="A31" s="4" t="s">
        <v>108</v>
      </c>
      <c r="B31" s="3" t="s">
        <v>109</v>
      </c>
      <c r="C31" s="3" t="s">
        <v>19</v>
      </c>
      <c r="D31" s="3" t="s">
        <v>8</v>
      </c>
      <c r="E31" s="8">
        <v>50</v>
      </c>
      <c r="F31" s="3">
        <v>8</v>
      </c>
      <c r="G31" s="28">
        <f>VLOOKUP(C31,Table1[#All],3,FALSE)*F31</f>
        <v>108</v>
      </c>
      <c r="H31" s="29">
        <f>IF(E31&gt;VLOOKUP(C31,Table1[#All],4,FALSE)*Sunday!F31,(Sunday!E31-(VLOOKUP(Sunday!C31,Table1[#All],4,FALSE)*Sunday!F31))*VLOOKUP(Sunday!C31,Table1[#All],5,FALSE),0)</f>
        <v>0</v>
      </c>
      <c r="I31" s="29">
        <f t="shared" si="2"/>
        <v>108</v>
      </c>
      <c r="J31" s="2">
        <f t="shared" si="0"/>
        <v>0</v>
      </c>
      <c r="K31" s="2">
        <f t="shared" si="1"/>
        <v>1</v>
      </c>
    </row>
    <row r="32" spans="1:11" s="1" customFormat="1" ht="15" customHeight="1" x14ac:dyDescent="0.25">
      <c r="A32" s="4" t="s">
        <v>36</v>
      </c>
      <c r="B32" s="3" t="s">
        <v>37</v>
      </c>
      <c r="C32" s="3" t="s">
        <v>33</v>
      </c>
      <c r="D32" s="3" t="s">
        <v>8</v>
      </c>
      <c r="E32" s="8">
        <v>1502.96</v>
      </c>
      <c r="F32" s="3">
        <v>4</v>
      </c>
      <c r="G32" s="28">
        <f>VLOOKUP(C32,Table1[#All],3,FALSE)*F32</f>
        <v>60</v>
      </c>
      <c r="H32" s="29">
        <f>IF(E32&gt;VLOOKUP(C32,Table1[#All],4,FALSE)*Sunday!F32,(Sunday!E32-(VLOOKUP(Sunday!C32,Table1[#All],4,FALSE)*Sunday!F32))*VLOOKUP(Sunday!C32,Table1[#All],5,FALSE),0)</f>
        <v>20.074000000000002</v>
      </c>
      <c r="I32" s="29">
        <f t="shared" si="2"/>
        <v>80.073999999999998</v>
      </c>
      <c r="J32" s="2">
        <f t="shared" si="0"/>
        <v>1</v>
      </c>
      <c r="K32" s="2">
        <f t="shared" si="1"/>
        <v>1</v>
      </c>
    </row>
    <row r="33" spans="1:11" s="1" customFormat="1" ht="15" customHeight="1" x14ac:dyDescent="0.25">
      <c r="A33" s="4" t="s">
        <v>84</v>
      </c>
      <c r="B33" s="3" t="s">
        <v>85</v>
      </c>
      <c r="C33" s="3" t="s">
        <v>57</v>
      </c>
      <c r="D33" s="3" t="s">
        <v>20</v>
      </c>
      <c r="E33" s="8">
        <v>0</v>
      </c>
      <c r="F33" s="3">
        <v>0</v>
      </c>
      <c r="G33" s="28">
        <f>VLOOKUP(C33,Table1[#All],3,FALSE)*F33</f>
        <v>0</v>
      </c>
      <c r="H33" s="29">
        <f>IF(E33&gt;VLOOKUP(C33,Table1[#All],4,FALSE)*Sunday!F33,(Sunday!E33-(VLOOKUP(Sunday!C33,Table1[#All],4,FALSE)*Sunday!F33))*VLOOKUP(Sunday!C33,Table1[#All],5,FALSE),0)</f>
        <v>0</v>
      </c>
      <c r="I33" s="29">
        <f t="shared" si="2"/>
        <v>0</v>
      </c>
      <c r="J33" s="2">
        <f t="shared" si="0"/>
        <v>0</v>
      </c>
      <c r="K33" s="2">
        <f t="shared" si="1"/>
        <v>0</v>
      </c>
    </row>
    <row r="34" spans="1:11" s="1" customFormat="1" ht="15" customHeight="1" x14ac:dyDescent="0.25">
      <c r="A34" s="4" t="s">
        <v>9</v>
      </c>
      <c r="B34" s="3" t="s">
        <v>10</v>
      </c>
      <c r="C34" s="3" t="s">
        <v>5</v>
      </c>
      <c r="D34" s="3" t="s">
        <v>11</v>
      </c>
      <c r="E34" s="8">
        <v>2500</v>
      </c>
      <c r="F34" s="3">
        <v>12</v>
      </c>
      <c r="G34" s="28">
        <f>VLOOKUP(C34,Table1[#All],3,FALSE)*F34</f>
        <v>282</v>
      </c>
      <c r="H34" s="29">
        <f>IF(E34&gt;VLOOKUP(C34,Table1[#All],4,FALSE)*Sunday!F34,(Sunday!E34-(VLOOKUP(Sunday!C34,Table1[#All],4,FALSE)*Sunday!F34))*VLOOKUP(Sunday!C34,Table1[#All],5,FALSE),0)</f>
        <v>3</v>
      </c>
      <c r="I34" s="29">
        <f t="shared" si="2"/>
        <v>285</v>
      </c>
      <c r="J34" s="2">
        <f t="shared" si="0"/>
        <v>1</v>
      </c>
      <c r="K34" s="2">
        <f t="shared" si="1"/>
        <v>1</v>
      </c>
    </row>
    <row r="35" spans="1:11" ht="15" customHeight="1" x14ac:dyDescent="0.25">
      <c r="A35" s="4" t="s">
        <v>86</v>
      </c>
      <c r="B35" s="3" t="s">
        <v>87</v>
      </c>
      <c r="C35" s="3" t="s">
        <v>44</v>
      </c>
      <c r="D35" s="3" t="s">
        <v>20</v>
      </c>
      <c r="E35" s="8">
        <v>0</v>
      </c>
      <c r="F35" s="3">
        <v>0</v>
      </c>
      <c r="G35" s="28">
        <f>VLOOKUP(C35,Table1[#All],3,FALSE)*F35</f>
        <v>0</v>
      </c>
      <c r="H35" s="29">
        <f>IF(E35&gt;VLOOKUP(C35,Table1[#All],4,FALSE)*Sunday!F35,(Sunday!E35-(VLOOKUP(Sunday!C35,Table1[#All],4,FALSE)*Sunday!F35))*VLOOKUP(Sunday!C35,Table1[#All],5,FALSE),0)</f>
        <v>0</v>
      </c>
      <c r="I35" s="29">
        <f t="shared" si="2"/>
        <v>0</v>
      </c>
      <c r="J35" s="2">
        <f t="shared" si="0"/>
        <v>0</v>
      </c>
      <c r="K35" s="2">
        <f t="shared" si="1"/>
        <v>0</v>
      </c>
    </row>
    <row r="36" spans="1:11" ht="15" customHeight="1" x14ac:dyDescent="0.25">
      <c r="A36" s="4" t="s">
        <v>25</v>
      </c>
      <c r="B36" s="3" t="s">
        <v>26</v>
      </c>
      <c r="C36" s="3" t="s">
        <v>19</v>
      </c>
      <c r="D36" s="3" t="s">
        <v>54</v>
      </c>
      <c r="E36" s="8">
        <v>0</v>
      </c>
      <c r="F36" s="3">
        <v>0</v>
      </c>
      <c r="G36" s="28">
        <f>VLOOKUP(C36,Table1[#All],3,FALSE)*F36</f>
        <v>0</v>
      </c>
      <c r="H36" s="29">
        <f>IF(E36&gt;VLOOKUP(C36,Table1[#All],4,FALSE)*Sunday!F36,(Sunday!E36-(VLOOKUP(Sunday!C36,Table1[#All],4,FALSE)*Sunday!F36))*VLOOKUP(Sunday!C36,Table1[#All],5,FALSE),0)</f>
        <v>0</v>
      </c>
      <c r="I36" s="29">
        <f t="shared" si="2"/>
        <v>0</v>
      </c>
      <c r="J36" s="2">
        <f t="shared" si="0"/>
        <v>0</v>
      </c>
      <c r="K36" s="2">
        <f t="shared" si="1"/>
        <v>0</v>
      </c>
    </row>
    <row r="37" spans="1:11" ht="15" customHeight="1" x14ac:dyDescent="0.25">
      <c r="A37" s="4" t="s">
        <v>110</v>
      </c>
      <c r="B37" s="3" t="s">
        <v>111</v>
      </c>
      <c r="C37" s="3" t="s">
        <v>19</v>
      </c>
      <c r="D37" s="3" t="s">
        <v>54</v>
      </c>
      <c r="E37" s="8">
        <v>0</v>
      </c>
      <c r="F37" s="3">
        <v>0</v>
      </c>
      <c r="G37" s="28">
        <f>VLOOKUP(C37,Table1[#All],3,FALSE)*F37</f>
        <v>0</v>
      </c>
      <c r="H37" s="29">
        <f>IF(E37&gt;VLOOKUP(C37,Table1[#All],4,FALSE)*Sunday!F37,(Sunday!E37-(VLOOKUP(Sunday!C37,Table1[#All],4,FALSE)*Sunday!F37))*VLOOKUP(Sunday!C37,Table1[#All],5,FALSE),0)</f>
        <v>0</v>
      </c>
      <c r="I37" s="29">
        <f t="shared" si="2"/>
        <v>0</v>
      </c>
      <c r="J37" s="2">
        <f t="shared" si="0"/>
        <v>0</v>
      </c>
      <c r="K37" s="2">
        <f t="shared" si="1"/>
        <v>0</v>
      </c>
    </row>
    <row r="38" spans="1:11" ht="15" customHeight="1" x14ac:dyDescent="0.25">
      <c r="A38" s="4" t="s">
        <v>92</v>
      </c>
      <c r="B38" s="3" t="s">
        <v>93</v>
      </c>
      <c r="C38" s="3" t="s">
        <v>33</v>
      </c>
      <c r="D38" s="3" t="s">
        <v>8</v>
      </c>
      <c r="E38" s="8">
        <v>196.89</v>
      </c>
      <c r="F38" s="3">
        <v>1</v>
      </c>
      <c r="G38" s="28">
        <f>VLOOKUP(C38,Table1[#All],3,FALSE)*F38</f>
        <v>15</v>
      </c>
      <c r="H38" s="29">
        <f>IF(E38&gt;VLOOKUP(C38,Table1[#All],4,FALSE)*Sunday!F38,(Sunday!E38-(VLOOKUP(Sunday!C38,Table1[#All],4,FALSE)*Sunday!F38))*VLOOKUP(Sunday!C38,Table1[#All],5,FALSE),0)</f>
        <v>0.54724999999999968</v>
      </c>
      <c r="I38" s="29">
        <f t="shared" si="2"/>
        <v>15.54725</v>
      </c>
      <c r="J38" s="2">
        <f t="shared" si="0"/>
        <v>1</v>
      </c>
      <c r="K38" s="2">
        <f t="shared" si="1"/>
        <v>1</v>
      </c>
    </row>
    <row r="39" spans="1:11" ht="15" customHeight="1" x14ac:dyDescent="0.25">
      <c r="A39" s="4" t="s">
        <v>112</v>
      </c>
      <c r="B39" s="3" t="s">
        <v>113</v>
      </c>
      <c r="C39" s="3" t="s">
        <v>33</v>
      </c>
      <c r="D39" s="3" t="s">
        <v>54</v>
      </c>
      <c r="E39" s="8">
        <v>0</v>
      </c>
      <c r="F39" s="3">
        <v>0</v>
      </c>
      <c r="G39" s="28">
        <f>VLOOKUP(C39,Table1[#All],3,FALSE)*F39</f>
        <v>0</v>
      </c>
      <c r="H39" s="29">
        <f>IF(E39&gt;VLOOKUP(C39,Table1[#All],4,FALSE)*Sunday!F39,(Sunday!E39-(VLOOKUP(Sunday!C39,Table1[#All],4,FALSE)*Sunday!F39))*VLOOKUP(Sunday!C39,Table1[#All],5,FALSE),0)</f>
        <v>0</v>
      </c>
      <c r="I39" s="29">
        <f t="shared" si="2"/>
        <v>0</v>
      </c>
      <c r="J39" s="2">
        <f t="shared" si="0"/>
        <v>0</v>
      </c>
      <c r="K39" s="2">
        <f t="shared" si="1"/>
        <v>0</v>
      </c>
    </row>
    <row r="40" spans="1:11" ht="15" customHeight="1" x14ac:dyDescent="0.25">
      <c r="A40" s="4" t="s">
        <v>94</v>
      </c>
      <c r="B40" s="3" t="s">
        <v>95</v>
      </c>
      <c r="C40" s="3" t="s">
        <v>57</v>
      </c>
      <c r="D40" s="3" t="s">
        <v>55</v>
      </c>
      <c r="E40" s="8">
        <v>250.75</v>
      </c>
      <c r="F40" s="3">
        <v>2</v>
      </c>
      <c r="G40" s="28">
        <f>VLOOKUP(C40,Table1[#All],3,FALSE)*F40</f>
        <v>21</v>
      </c>
      <c r="H40" s="29">
        <f>IF(E40&gt;VLOOKUP(C40,Table1[#All],4,FALSE)*Sunday!F40,(Sunday!E40-(VLOOKUP(Sunday!C40,Table1[#All],4,FALSE)*Sunday!F40))*VLOOKUP(Sunday!C40,Table1[#All],5,FALSE),0)</f>
        <v>0.50750000000000006</v>
      </c>
      <c r="I40" s="29">
        <f t="shared" si="2"/>
        <v>21.5075</v>
      </c>
      <c r="J40" s="2">
        <f t="shared" si="0"/>
        <v>1</v>
      </c>
      <c r="K40" s="2">
        <f t="shared" si="1"/>
        <v>1</v>
      </c>
    </row>
    <row r="41" spans="1:11" ht="15" customHeight="1" x14ac:dyDescent="0.25">
      <c r="A41" s="4" t="s">
        <v>88</v>
      </c>
      <c r="B41" s="3" t="s">
        <v>89</v>
      </c>
      <c r="C41" s="3" t="s">
        <v>19</v>
      </c>
      <c r="D41" s="3" t="s">
        <v>8</v>
      </c>
      <c r="E41" s="8">
        <v>850.63</v>
      </c>
      <c r="F41" s="3">
        <v>6.5</v>
      </c>
      <c r="G41" s="28">
        <f>VLOOKUP(C41,Table1[#All],3,FALSE)*F41</f>
        <v>87.75</v>
      </c>
      <c r="H41" s="29">
        <f>IF(E41&gt;VLOOKUP(C41,Table1[#All],4,FALSE)*Sunday!F41,(Sunday!E41-(VLOOKUP(Sunday!C41,Table1[#All],4,FALSE)*Sunday!F41))*VLOOKUP(Sunday!C41,Table1[#All],5,FALSE),0)</f>
        <v>0</v>
      </c>
      <c r="I41" s="29">
        <f t="shared" si="2"/>
        <v>87.75</v>
      </c>
      <c r="J41" s="2">
        <f t="shared" si="0"/>
        <v>0</v>
      </c>
      <c r="K41" s="2">
        <f t="shared" si="1"/>
        <v>1</v>
      </c>
    </row>
    <row r="42" spans="1:11" ht="15" customHeight="1" x14ac:dyDescent="0.25">
      <c r="A42" s="4" t="s">
        <v>90</v>
      </c>
      <c r="B42" s="3" t="s">
        <v>91</v>
      </c>
      <c r="C42" s="3" t="s">
        <v>57</v>
      </c>
      <c r="D42" s="3" t="s">
        <v>8</v>
      </c>
      <c r="E42" s="8">
        <v>251.36</v>
      </c>
      <c r="F42" s="3">
        <v>3</v>
      </c>
      <c r="G42" s="28">
        <f>VLOOKUP(C42,Table1[#All],3,FALSE)*F42</f>
        <v>31.5</v>
      </c>
      <c r="H42" s="29">
        <f>IF(E42&gt;VLOOKUP(C42,Table1[#All],4,FALSE)*Sunday!F42,(Sunday!E42-(VLOOKUP(Sunday!C42,Table1[#All],4,FALSE)*Sunday!F42))*VLOOKUP(Sunday!C42,Table1[#All],5,FALSE),0)</f>
        <v>0</v>
      </c>
      <c r="I42" s="29">
        <f t="shared" si="2"/>
        <v>31.5</v>
      </c>
      <c r="J42" s="2">
        <f t="shared" si="0"/>
        <v>0</v>
      </c>
      <c r="K42" s="2">
        <f t="shared" si="1"/>
        <v>1</v>
      </c>
    </row>
    <row r="43" spans="1:11" ht="15" customHeight="1" x14ac:dyDescent="0.25">
      <c r="A43" s="4" t="s">
        <v>72</v>
      </c>
      <c r="B43" s="3" t="s">
        <v>73</v>
      </c>
      <c r="C43" s="3" t="s">
        <v>19</v>
      </c>
      <c r="D43" s="3" t="s">
        <v>11</v>
      </c>
      <c r="E43" s="8">
        <v>0</v>
      </c>
      <c r="F43" s="3">
        <v>0</v>
      </c>
      <c r="G43" s="28">
        <f>VLOOKUP(C43,Table1[#All],3,FALSE)*F43</f>
        <v>0</v>
      </c>
      <c r="H43" s="29">
        <f>IF(E43&gt;VLOOKUP(C43,Table1[#All],4,FALSE)*Sunday!F43,(Sunday!E43-(VLOOKUP(Sunday!C43,Table1[#All],4,FALSE)*Sunday!F43))*VLOOKUP(Sunday!C43,Table1[#All],5,FALSE),0)</f>
        <v>0</v>
      </c>
      <c r="I43" s="29">
        <f t="shared" si="2"/>
        <v>0</v>
      </c>
      <c r="J43" s="2">
        <f t="shared" si="0"/>
        <v>0</v>
      </c>
      <c r="K43" s="2">
        <f t="shared" si="1"/>
        <v>0</v>
      </c>
    </row>
    <row r="44" spans="1:11" ht="15" customHeight="1" x14ac:dyDescent="0.25">
      <c r="A44" s="4" t="s">
        <v>12</v>
      </c>
      <c r="B44" s="3" t="s">
        <v>13</v>
      </c>
      <c r="C44" s="3" t="s">
        <v>5</v>
      </c>
      <c r="D44" s="3" t="s">
        <v>56</v>
      </c>
      <c r="E44" s="8">
        <v>2399</v>
      </c>
      <c r="F44" s="3">
        <v>12</v>
      </c>
      <c r="G44" s="28">
        <f>VLOOKUP(C44,Table1[#All],3,FALSE)*F44</f>
        <v>282</v>
      </c>
      <c r="H44" s="29">
        <f>IF(E44&gt;VLOOKUP(C44,Table1[#All],4,FALSE)*Sunday!F44,(Sunday!E44-(VLOOKUP(Sunday!C44,Table1[#All],4,FALSE)*Sunday!F44))*VLOOKUP(Sunday!C44,Table1[#All],5,FALSE),0)</f>
        <v>0</v>
      </c>
      <c r="I44" s="29">
        <f t="shared" si="2"/>
        <v>282</v>
      </c>
      <c r="J44" s="2">
        <f t="shared" si="0"/>
        <v>0</v>
      </c>
      <c r="K44" s="2">
        <f t="shared" si="1"/>
        <v>1</v>
      </c>
    </row>
    <row r="45" spans="1:11" ht="15" customHeight="1" x14ac:dyDescent="0.25">
      <c r="A45" s="4" t="s">
        <v>47</v>
      </c>
      <c r="B45" s="3" t="s">
        <v>48</v>
      </c>
      <c r="C45" s="3" t="s">
        <v>44</v>
      </c>
      <c r="D45" s="3" t="s">
        <v>54</v>
      </c>
      <c r="E45" s="8">
        <v>1546.78</v>
      </c>
      <c r="F45" s="3">
        <v>8</v>
      </c>
      <c r="G45" s="28">
        <f>VLOOKUP(C45,Table1[#All],3,FALSE)*F45</f>
        <v>94</v>
      </c>
      <c r="H45" s="29">
        <f>IF(E45&gt;VLOOKUP(C45,Table1[#All],4,FALSE)*Sunday!F45,(Sunday!E45-(VLOOKUP(Sunday!C45,Table1[#All],4,FALSE)*Sunday!F45))*VLOOKUP(Sunday!C45,Table1[#All],5,FALSE),0)</f>
        <v>8.2016999999999989</v>
      </c>
      <c r="I45" s="29">
        <f t="shared" si="2"/>
        <v>102.2017</v>
      </c>
      <c r="J45" s="2">
        <f t="shared" si="0"/>
        <v>1</v>
      </c>
      <c r="K45" s="2">
        <f t="shared" si="1"/>
        <v>1</v>
      </c>
    </row>
    <row r="46" spans="1:11" ht="15" customHeight="1" x14ac:dyDescent="0.25">
      <c r="A46" s="4" t="s">
        <v>49</v>
      </c>
      <c r="B46" s="3" t="s">
        <v>50</v>
      </c>
      <c r="C46" s="3" t="s">
        <v>44</v>
      </c>
      <c r="D46" s="3" t="s">
        <v>8</v>
      </c>
      <c r="E46" s="8">
        <v>1908</v>
      </c>
      <c r="F46" s="3">
        <v>8</v>
      </c>
      <c r="G46" s="28">
        <f>VLOOKUP(C46,Table1[#All],3,FALSE)*F46</f>
        <v>94</v>
      </c>
      <c r="H46" s="29">
        <f>IF(E46&gt;VLOOKUP(C46,Table1[#All],4,FALSE)*Sunday!F46,(Sunday!E46-(VLOOKUP(Sunday!C46,Table1[#All],4,FALSE)*Sunday!F46))*VLOOKUP(Sunday!C46,Table1[#All],5,FALSE),0)</f>
        <v>13.62</v>
      </c>
      <c r="I46" s="29">
        <f t="shared" si="2"/>
        <v>107.62</v>
      </c>
      <c r="J46" s="2">
        <f t="shared" si="0"/>
        <v>1</v>
      </c>
      <c r="K46" s="2">
        <f t="shared" si="1"/>
        <v>1</v>
      </c>
    </row>
    <row r="47" spans="1:11" ht="15" customHeight="1" x14ac:dyDescent="0.25">
      <c r="A47" s="4" t="s">
        <v>38</v>
      </c>
      <c r="B47" s="3" t="s">
        <v>39</v>
      </c>
      <c r="C47" s="3" t="s">
        <v>33</v>
      </c>
      <c r="D47" s="3" t="s">
        <v>54</v>
      </c>
      <c r="E47" s="8">
        <v>2159.69</v>
      </c>
      <c r="F47" s="3">
        <v>12</v>
      </c>
      <c r="G47" s="28">
        <f>VLOOKUP(C47,Table1[#All],3,FALSE)*F47</f>
        <v>180</v>
      </c>
      <c r="H47" s="29">
        <f>IF(E47&gt;VLOOKUP(C47,Table1[#All],4,FALSE)*Sunday!F47,(Sunday!E47-(VLOOKUP(Sunday!C47,Table1[#All],4,FALSE)*Sunday!F47))*VLOOKUP(Sunday!C47,Table1[#All],5,FALSE),0)</f>
        <v>1.4922500000000014</v>
      </c>
      <c r="I47" s="29">
        <f t="shared" si="2"/>
        <v>181.49225000000001</v>
      </c>
      <c r="J47" s="2">
        <f t="shared" si="0"/>
        <v>1</v>
      </c>
      <c r="K47" s="2">
        <f t="shared" si="1"/>
        <v>1</v>
      </c>
    </row>
    <row r="48" spans="1:11" ht="15" customHeight="1" x14ac:dyDescent="0.25">
      <c r="A48" s="4" t="s">
        <v>114</v>
      </c>
      <c r="B48" s="3" t="s">
        <v>115</v>
      </c>
      <c r="C48" s="3" t="s">
        <v>33</v>
      </c>
      <c r="D48" s="3" t="s">
        <v>55</v>
      </c>
      <c r="E48" s="8">
        <v>0</v>
      </c>
      <c r="F48" s="3">
        <v>0</v>
      </c>
      <c r="G48" s="28">
        <f>VLOOKUP(C48,Table1[#All],3,FALSE)*F48</f>
        <v>0</v>
      </c>
      <c r="H48" s="29">
        <f>IF(E48&gt;VLOOKUP(C48,Table1[#All],4,FALSE)*Sunday!F48,(Sunday!E48-(VLOOKUP(Sunday!C48,Table1[#All],4,FALSE)*Sunday!F48))*VLOOKUP(Sunday!C48,Table1[#All],5,FALSE),0)</f>
        <v>0</v>
      </c>
      <c r="I48" s="29">
        <f t="shared" si="2"/>
        <v>0</v>
      </c>
      <c r="J48" s="2">
        <f t="shared" si="0"/>
        <v>0</v>
      </c>
      <c r="K48" s="2">
        <f t="shared" si="1"/>
        <v>0</v>
      </c>
    </row>
    <row r="49" spans="1:11" ht="15" customHeight="1" x14ac:dyDescent="0.25">
      <c r="A49" s="4" t="s">
        <v>27</v>
      </c>
      <c r="B49" s="3" t="s">
        <v>28</v>
      </c>
      <c r="C49" s="3" t="s">
        <v>19</v>
      </c>
      <c r="D49" s="3" t="s">
        <v>55</v>
      </c>
      <c r="E49" s="8">
        <v>821.36</v>
      </c>
      <c r="F49" s="3">
        <v>7</v>
      </c>
      <c r="G49" s="28">
        <f>VLOOKUP(C49,Table1[#All],3,FALSE)*F49</f>
        <v>94.5</v>
      </c>
      <c r="H49" s="29">
        <f>IF(E49&gt;VLOOKUP(C49,Table1[#All],4,FALSE)*Sunday!F49,(Sunday!E49-(VLOOKUP(Sunday!C49,Table1[#All],4,FALSE)*Sunday!F49))*VLOOKUP(Sunday!C49,Table1[#All],5,FALSE),0)</f>
        <v>0</v>
      </c>
      <c r="I49" s="29">
        <f t="shared" si="2"/>
        <v>94.5</v>
      </c>
      <c r="J49" s="2">
        <f t="shared" si="0"/>
        <v>0</v>
      </c>
      <c r="K49" s="2">
        <f t="shared" si="1"/>
        <v>1</v>
      </c>
    </row>
    <row r="50" spans="1:11" ht="15" customHeight="1" x14ac:dyDescent="0.25">
      <c r="A50" s="4" t="s">
        <v>96</v>
      </c>
      <c r="B50" s="3" t="s">
        <v>97</v>
      </c>
      <c r="C50" s="3" t="s">
        <v>57</v>
      </c>
      <c r="D50" s="3" t="s">
        <v>55</v>
      </c>
      <c r="E50" s="8">
        <v>345.96</v>
      </c>
      <c r="F50" s="3">
        <v>2</v>
      </c>
      <c r="G50" s="28">
        <f>VLOOKUP(C50,Table1[#All],3,FALSE)*F50</f>
        <v>21</v>
      </c>
      <c r="H50" s="29">
        <f>IF(E50&gt;VLOOKUP(C50,Table1[#All],4,FALSE)*Sunday!F50,(Sunday!E50-(VLOOKUP(Sunday!C50,Table1[#All],4,FALSE)*Sunday!F50))*VLOOKUP(Sunday!C50,Table1[#All],5,FALSE),0)</f>
        <v>1.4595999999999998</v>
      </c>
      <c r="I50" s="29">
        <f t="shared" si="2"/>
        <v>22.459599999999998</v>
      </c>
      <c r="J50" s="2">
        <f t="shared" si="0"/>
        <v>1</v>
      </c>
      <c r="K50" s="2">
        <f t="shared" si="1"/>
        <v>1</v>
      </c>
    </row>
    <row r="51" spans="1:11" ht="15" customHeight="1" x14ac:dyDescent="0.25">
      <c r="A51" s="4" t="s">
        <v>14</v>
      </c>
      <c r="B51" s="3" t="s">
        <v>15</v>
      </c>
      <c r="C51" s="3" t="s">
        <v>5</v>
      </c>
      <c r="D51" s="3" t="s">
        <v>16</v>
      </c>
      <c r="E51" s="8">
        <v>1766</v>
      </c>
      <c r="F51" s="3">
        <v>10</v>
      </c>
      <c r="G51" s="28">
        <f>VLOOKUP(C51,Table1[#All],3,FALSE)*F51</f>
        <v>235</v>
      </c>
      <c r="H51" s="29">
        <f>IF(E51&gt;VLOOKUP(C51,Table1[#All],4,FALSE)*Sunday!F51,(Sunday!E51-(VLOOKUP(Sunday!C51,Table1[#All],4,FALSE)*Sunday!F51))*VLOOKUP(Sunday!C51,Table1[#All],5,FALSE),0)</f>
        <v>0</v>
      </c>
      <c r="I51" s="29">
        <f t="shared" si="2"/>
        <v>235</v>
      </c>
      <c r="J51" s="2">
        <f t="shared" si="0"/>
        <v>0</v>
      </c>
      <c r="K51" s="2">
        <f t="shared" si="1"/>
        <v>1</v>
      </c>
    </row>
    <row r="52" spans="1:11" ht="15" customHeight="1" x14ac:dyDescent="0.25">
      <c r="A52" s="4" t="s">
        <v>98</v>
      </c>
      <c r="B52" s="3" t="s">
        <v>99</v>
      </c>
      <c r="C52" s="3" t="s">
        <v>33</v>
      </c>
      <c r="D52" s="3" t="s">
        <v>55</v>
      </c>
      <c r="E52" s="8">
        <v>0</v>
      </c>
      <c r="F52" s="3">
        <v>0</v>
      </c>
      <c r="G52" s="28">
        <f>VLOOKUP(C52,Table1[#All],3,FALSE)*F52</f>
        <v>0</v>
      </c>
      <c r="H52" s="29">
        <f>IF(E52&gt;VLOOKUP(C52,Table1[#All],4,FALSE)*Sunday!F52,(Sunday!E52-(VLOOKUP(Sunday!C52,Table1[#All],4,FALSE)*Sunday!F52))*VLOOKUP(Sunday!C52,Table1[#All],5,FALSE),0)</f>
        <v>0</v>
      </c>
      <c r="I52" s="29">
        <f t="shared" si="2"/>
        <v>0</v>
      </c>
      <c r="J52" s="2">
        <f t="shared" si="0"/>
        <v>0</v>
      </c>
      <c r="K52" s="2">
        <f t="shared" si="1"/>
        <v>0</v>
      </c>
    </row>
    <row r="53" spans="1:11" ht="15" customHeight="1" x14ac:dyDescent="0.25">
      <c r="A53" s="4" t="s">
        <v>40</v>
      </c>
      <c r="B53" s="3" t="s">
        <v>41</v>
      </c>
      <c r="C53" s="3" t="s">
        <v>33</v>
      </c>
      <c r="D53" s="3" t="s">
        <v>54</v>
      </c>
      <c r="E53" s="8">
        <v>0</v>
      </c>
      <c r="F53" s="3">
        <v>0</v>
      </c>
      <c r="G53" s="28">
        <f>VLOOKUP(C53,Table1[#All],3,FALSE)*F53</f>
        <v>0</v>
      </c>
      <c r="H53" s="29">
        <f>IF(E53&gt;VLOOKUP(C53,Table1[#All],4,FALSE)*Sunday!F53,(Sunday!E53-(VLOOKUP(Sunday!C53,Table1[#All],4,FALSE)*Sunday!F53))*VLOOKUP(Sunday!C53,Table1[#All],5,FALSE),0)</f>
        <v>0</v>
      </c>
      <c r="I53" s="29">
        <f t="shared" si="2"/>
        <v>0</v>
      </c>
      <c r="J53" s="2">
        <f t="shared" si="0"/>
        <v>0</v>
      </c>
      <c r="K53" s="2">
        <f t="shared" si="1"/>
        <v>0</v>
      </c>
    </row>
    <row r="54" spans="1:11" ht="15" customHeight="1" x14ac:dyDescent="0.25">
      <c r="A54" s="4" t="s">
        <v>29</v>
      </c>
      <c r="B54" s="3" t="s">
        <v>30</v>
      </c>
      <c r="C54" s="3" t="s">
        <v>19</v>
      </c>
      <c r="D54" s="3" t="s">
        <v>55</v>
      </c>
      <c r="E54" s="8">
        <v>234.45</v>
      </c>
      <c r="F54" s="3">
        <v>6.5</v>
      </c>
      <c r="G54" s="28">
        <f>VLOOKUP(C54,Table1[#All],3,FALSE)*F54</f>
        <v>87.75</v>
      </c>
      <c r="H54" s="29">
        <f>IF(E54&gt;VLOOKUP(C54,Table1[#All],4,FALSE)*Sunday!F54,(Sunday!E54-(VLOOKUP(Sunday!C54,Table1[#All],4,FALSE)*Sunday!F54))*VLOOKUP(Sunday!C54,Table1[#All],5,FALSE),0)</f>
        <v>0</v>
      </c>
      <c r="I54" s="29">
        <f t="shared" si="2"/>
        <v>87.75</v>
      </c>
      <c r="J54" s="2">
        <f t="shared" si="0"/>
        <v>0</v>
      </c>
      <c r="K54" s="2">
        <f t="shared" si="1"/>
        <v>1</v>
      </c>
    </row>
    <row r="55" spans="1:11" ht="15" customHeight="1" x14ac:dyDescent="0.25">
      <c r="A55" s="4" t="s">
        <v>116</v>
      </c>
      <c r="B55" s="3" t="s">
        <v>117</v>
      </c>
      <c r="C55" s="3" t="s">
        <v>19</v>
      </c>
      <c r="D55" s="3" t="s">
        <v>11</v>
      </c>
      <c r="E55" s="8">
        <v>0</v>
      </c>
      <c r="F55" s="3">
        <v>0</v>
      </c>
      <c r="G55" s="28">
        <f>VLOOKUP(C55,Table1[#All],3,FALSE)*F55</f>
        <v>0</v>
      </c>
      <c r="H55" s="29">
        <f>IF(E55&gt;VLOOKUP(C55,Table1[#All],4,FALSE)*Sunday!F55,(Sunday!E55-(VLOOKUP(Sunday!C55,Table1[#All],4,FALSE)*Sunday!F55))*VLOOKUP(Sunday!C55,Table1[#All],5,FALSE),0)</f>
        <v>0</v>
      </c>
      <c r="I55" s="29">
        <f t="shared" si="2"/>
        <v>0</v>
      </c>
      <c r="J55" s="2">
        <f t="shared" si="0"/>
        <v>0</v>
      </c>
      <c r="K55" s="2">
        <f t="shared" si="1"/>
        <v>0</v>
      </c>
    </row>
    <row r="56" spans="1:11" ht="15" customHeight="1" x14ac:dyDescent="0.25">
      <c r="A56" s="4" t="s">
        <v>51</v>
      </c>
      <c r="B56" s="3" t="s">
        <v>52</v>
      </c>
      <c r="C56" s="3" t="s">
        <v>44</v>
      </c>
      <c r="D56" s="3" t="s">
        <v>16</v>
      </c>
      <c r="E56" s="8">
        <v>2225</v>
      </c>
      <c r="F56" s="3">
        <v>8</v>
      </c>
      <c r="G56" s="28">
        <f>VLOOKUP(C56,Table1[#All],3,FALSE)*F56</f>
        <v>94</v>
      </c>
      <c r="H56" s="29">
        <f>IF(E56&gt;VLOOKUP(C56,Table1[#All],4,FALSE)*Sunday!F56,(Sunday!E56-(VLOOKUP(Sunday!C56,Table1[#All],4,FALSE)*Sunday!F56))*VLOOKUP(Sunday!C56,Table1[#All],5,FALSE),0)</f>
        <v>18.375</v>
      </c>
      <c r="I56" s="29">
        <f t="shared" si="2"/>
        <v>112.375</v>
      </c>
      <c r="J56" s="2">
        <f t="shared" si="0"/>
        <v>1</v>
      </c>
      <c r="K56" s="2">
        <f t="shared" si="1"/>
        <v>1</v>
      </c>
    </row>
    <row r="58" spans="1:11" x14ac:dyDescent="0.25">
      <c r="E58" s="5"/>
    </row>
    <row r="59" spans="1:11" x14ac:dyDescent="0.25">
      <c r="A59" s="2" t="s">
        <v>137</v>
      </c>
      <c r="E59" s="31">
        <f>SUM(E5:E56)</f>
        <v>59933.319999999992</v>
      </c>
      <c r="G59" s="29">
        <f>SUM(G5:G56)</f>
        <v>3655</v>
      </c>
      <c r="H59" s="29">
        <f>SUM(H5:H56)</f>
        <v>515.88869999999997</v>
      </c>
      <c r="I59" s="29">
        <f>SUM(I5:I56)</f>
        <v>4170.8887000000004</v>
      </c>
      <c r="J59" s="33">
        <f>SUM(J5:J56)</f>
        <v>21</v>
      </c>
      <c r="K59" s="33">
        <f>SUM(K5:K56)</f>
        <v>38</v>
      </c>
    </row>
    <row r="60" spans="1:11" ht="15" customHeight="1" x14ac:dyDescent="0.25">
      <c r="A60" s="2" t="s">
        <v>138</v>
      </c>
      <c r="E60" s="31">
        <f>AVERAGE(E5:E56)</f>
        <v>1152.563846153846</v>
      </c>
      <c r="G60" s="29">
        <f>AVERAGE(G5:G56)</f>
        <v>70.288461538461533</v>
      </c>
      <c r="H60" s="29">
        <f>AVERAGE(H5:H56)</f>
        <v>9.9209365384615378</v>
      </c>
      <c r="I60" s="29">
        <f>AVERAGE(I5:I56)</f>
        <v>80.20939807692308</v>
      </c>
      <c r="K60" s="32">
        <f>J59/K59</f>
        <v>0.55263157894736847</v>
      </c>
    </row>
    <row r="61" spans="1:11" ht="18" customHeight="1" x14ac:dyDescent="0.25">
      <c r="A61" s="2" t="s">
        <v>139</v>
      </c>
      <c r="E61" s="31">
        <f>MIN(E5:E56)</f>
        <v>0</v>
      </c>
      <c r="G61" s="29">
        <f>MIN(G5:G56)</f>
        <v>0</v>
      </c>
      <c r="H61" s="29">
        <f>MIN(H5:H56)</f>
        <v>0</v>
      </c>
      <c r="I61" s="29">
        <f>MIN(I5:I56)</f>
        <v>0</v>
      </c>
    </row>
    <row r="62" spans="1:11" x14ac:dyDescent="0.25">
      <c r="A62" s="2" t="s">
        <v>140</v>
      </c>
      <c r="E62" s="8">
        <f>(MAX(E5:E56))</f>
        <v>10065.23</v>
      </c>
      <c r="G62" s="29">
        <f>MAX(G5:G56)</f>
        <v>282</v>
      </c>
      <c r="H62" s="29">
        <f>MAX(H5:H56)</f>
        <v>135.97844999999998</v>
      </c>
      <c r="I62" s="29">
        <f>MAX(I5:I56)</f>
        <v>285</v>
      </c>
    </row>
  </sheetData>
  <mergeCells count="3">
    <mergeCell ref="A1:K1"/>
    <mergeCell ref="A2:K2"/>
    <mergeCell ref="A3:K3"/>
  </mergeCells>
  <phoneticPr fontId="1" type="noConversion"/>
  <printOptions gridLines="1"/>
  <pageMargins left="0.75" right="0.75" top="1" bottom="1" header="0.5" footer="0.5"/>
  <pageSetup scale="59" orientation="landscape" horizontalDpi="300" verticalDpi="300" r:id="rId1"/>
  <headerFooter alignWithMargins="0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2:B28"/>
  <sheetViews>
    <sheetView topLeftCell="A7" workbookViewId="0">
      <selection activeCell="D24" sqref="D24"/>
    </sheetView>
  </sheetViews>
  <sheetFormatPr defaultRowHeight="13.2" x14ac:dyDescent="0.25"/>
  <cols>
    <col min="1" max="1" width="33.109375" customWidth="1"/>
    <col min="2" max="2" width="10.109375" bestFit="1" customWidth="1"/>
    <col min="3" max="3" width="12.33203125" customWidth="1"/>
    <col min="4" max="4" width="7" customWidth="1"/>
    <col min="5" max="5" width="8" customWidth="1"/>
    <col min="6" max="6" width="8.5546875" customWidth="1"/>
    <col min="7" max="7" width="9.44140625" customWidth="1"/>
    <col min="8" max="8" width="8" customWidth="1"/>
    <col min="9" max="9" width="9" customWidth="1"/>
    <col min="10" max="11" width="8" customWidth="1"/>
    <col min="12" max="12" width="7.6640625" customWidth="1"/>
    <col min="13" max="13" width="8" customWidth="1"/>
    <col min="14" max="14" width="9" customWidth="1"/>
    <col min="15" max="15" width="8" customWidth="1"/>
    <col min="16" max="16" width="8.5546875" customWidth="1"/>
    <col min="17" max="17" width="8" customWidth="1"/>
    <col min="18" max="19" width="9" customWidth="1"/>
    <col min="20" max="20" width="8.33203125" customWidth="1"/>
    <col min="21" max="21" width="9.44140625" customWidth="1"/>
    <col min="22" max="22" width="9" customWidth="1"/>
    <col min="23" max="23" width="8" customWidth="1"/>
    <col min="24" max="25" width="9" customWidth="1"/>
    <col min="26" max="26" width="8" customWidth="1"/>
    <col min="27" max="27" width="9" customWidth="1"/>
    <col min="28" max="28" width="9.44140625" customWidth="1"/>
    <col min="29" max="29" width="9" customWidth="1"/>
    <col min="30" max="30" width="8" customWidth="1"/>
    <col min="31" max="31" width="9" customWidth="1"/>
    <col min="32" max="32" width="8" customWidth="1"/>
    <col min="33" max="33" width="10" customWidth="1"/>
    <col min="34" max="34" width="9.5546875" customWidth="1"/>
    <col min="35" max="35" width="9" customWidth="1"/>
    <col min="36" max="36" width="8" customWidth="1"/>
    <col min="37" max="37" width="9.88671875" customWidth="1"/>
    <col min="38" max="38" width="9" customWidth="1"/>
    <col min="39" max="39" width="8" customWidth="1"/>
    <col min="40" max="40" width="10.109375" customWidth="1"/>
    <col min="41" max="41" width="8" customWidth="1"/>
    <col min="42" max="42" width="8.33203125" customWidth="1"/>
    <col min="43" max="43" width="8.44140625" customWidth="1"/>
    <col min="44" max="44" width="8" customWidth="1"/>
    <col min="45" max="45" width="11.33203125" customWidth="1"/>
    <col min="46" max="46" width="9" customWidth="1"/>
    <col min="47" max="47" width="9.33203125" customWidth="1"/>
    <col min="48" max="48" width="8" customWidth="1"/>
    <col min="49" max="49" width="9" customWidth="1"/>
    <col min="50" max="50" width="7.109375" customWidth="1"/>
    <col min="51" max="51" width="9" customWidth="1"/>
    <col min="52" max="52" width="7" customWidth="1"/>
    <col min="53" max="53" width="8" customWidth="1"/>
    <col min="54" max="54" width="11.33203125" customWidth="1"/>
  </cols>
  <sheetData>
    <row r="12" spans="1:2" ht="15" x14ac:dyDescent="0.25">
      <c r="A12" s="67" t="s">
        <v>119</v>
      </c>
      <c r="B12" s="67"/>
    </row>
    <row r="13" spans="1:2" x14ac:dyDescent="0.25">
      <c r="A13" s="76" t="s">
        <v>163</v>
      </c>
      <c r="B13" s="76"/>
    </row>
    <row r="14" spans="1:2" x14ac:dyDescent="0.25">
      <c r="A14" s="38" t="s">
        <v>164</v>
      </c>
      <c r="B14" t="s">
        <v>148</v>
      </c>
    </row>
    <row r="15" spans="1:2" x14ac:dyDescent="0.25">
      <c r="A15" s="61" t="s">
        <v>56</v>
      </c>
      <c r="B15" s="62"/>
    </row>
    <row r="16" spans="1:2" x14ac:dyDescent="0.25">
      <c r="A16" s="60" t="s">
        <v>61</v>
      </c>
      <c r="B16" s="34">
        <v>12448.050000000001</v>
      </c>
    </row>
    <row r="17" spans="1:2" x14ac:dyDescent="0.25">
      <c r="A17" s="61" t="s">
        <v>16</v>
      </c>
      <c r="B17" s="62"/>
    </row>
    <row r="18" spans="1:2" x14ac:dyDescent="0.25">
      <c r="A18" s="60" t="s">
        <v>14</v>
      </c>
      <c r="B18" s="34">
        <v>8800.5400000000009</v>
      </c>
    </row>
    <row r="19" spans="1:2" x14ac:dyDescent="0.25">
      <c r="A19" s="61" t="s">
        <v>11</v>
      </c>
      <c r="B19" s="62"/>
    </row>
    <row r="20" spans="1:2" x14ac:dyDescent="0.25">
      <c r="A20" s="60" t="s">
        <v>45</v>
      </c>
      <c r="B20" s="34">
        <v>59984.310000000005</v>
      </c>
    </row>
    <row r="21" spans="1:2" x14ac:dyDescent="0.25">
      <c r="A21" s="61" t="s">
        <v>20</v>
      </c>
      <c r="B21" s="62"/>
    </row>
    <row r="22" spans="1:2" x14ac:dyDescent="0.25">
      <c r="A22" s="60" t="s">
        <v>82</v>
      </c>
      <c r="B22" s="34">
        <v>10655.25</v>
      </c>
    </row>
    <row r="23" spans="1:2" x14ac:dyDescent="0.25">
      <c r="A23" s="61" t="s">
        <v>8</v>
      </c>
      <c r="B23" s="62"/>
    </row>
    <row r="24" spans="1:2" x14ac:dyDescent="0.25">
      <c r="A24" s="60" t="s">
        <v>36</v>
      </c>
      <c r="B24" s="34">
        <v>14154.630000000001</v>
      </c>
    </row>
    <row r="25" spans="1:2" x14ac:dyDescent="0.25">
      <c r="A25" s="61" t="s">
        <v>54</v>
      </c>
      <c r="B25" s="62"/>
    </row>
    <row r="26" spans="1:2" x14ac:dyDescent="0.25">
      <c r="A26" s="60" t="s">
        <v>25</v>
      </c>
      <c r="B26" s="34">
        <v>15463.781999999999</v>
      </c>
    </row>
    <row r="27" spans="1:2" x14ac:dyDescent="0.25">
      <c r="A27" s="61" t="s">
        <v>55</v>
      </c>
      <c r="B27" s="62"/>
    </row>
    <row r="28" spans="1:2" x14ac:dyDescent="0.25">
      <c r="A28" s="60" t="s">
        <v>27</v>
      </c>
      <c r="B28" s="34">
        <v>16069.11</v>
      </c>
    </row>
  </sheetData>
  <mergeCells count="2">
    <mergeCell ref="A12:B12"/>
    <mergeCell ref="A13:B13"/>
  </mergeCells>
  <pageMargins left="0.7" right="0.7" top="0.75" bottom="0.75" header="0.3" footer="0.3"/>
  <pageSetup orientation="portrait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3:D23"/>
  <sheetViews>
    <sheetView workbookViewId="0">
      <selection activeCell="D25" sqref="D25"/>
    </sheetView>
  </sheetViews>
  <sheetFormatPr defaultRowHeight="13.2" x14ac:dyDescent="0.25"/>
  <cols>
    <col min="1" max="1" width="16.44140625" customWidth="1"/>
    <col min="2" max="2" width="14.6640625" customWidth="1"/>
    <col min="3" max="3" width="10.6640625" customWidth="1"/>
    <col min="4" max="4" width="20.109375" customWidth="1"/>
  </cols>
  <sheetData>
    <row r="13" spans="1:4" ht="15" x14ac:dyDescent="0.25">
      <c r="A13" s="69" t="s">
        <v>119</v>
      </c>
      <c r="B13" s="69"/>
      <c r="C13" s="69"/>
      <c r="D13" s="69"/>
    </row>
    <row r="14" spans="1:4" x14ac:dyDescent="0.25">
      <c r="A14" s="70" t="s">
        <v>168</v>
      </c>
      <c r="B14" s="70"/>
      <c r="C14" s="70"/>
      <c r="D14" s="70"/>
    </row>
    <row r="15" spans="1:4" x14ac:dyDescent="0.25">
      <c r="A15" s="38" t="s">
        <v>2</v>
      </c>
      <c r="B15" t="s">
        <v>165</v>
      </c>
      <c r="C15" t="s">
        <v>166</v>
      </c>
      <c r="D15" t="s">
        <v>167</v>
      </c>
    </row>
    <row r="16" spans="1:4" x14ac:dyDescent="0.25">
      <c r="A16" s="39" t="s">
        <v>11</v>
      </c>
      <c r="B16" s="59">
        <v>37</v>
      </c>
      <c r="C16" s="59">
        <v>30</v>
      </c>
      <c r="D16" s="36">
        <v>0.81458333333333333</v>
      </c>
    </row>
    <row r="17" spans="1:4" x14ac:dyDescent="0.25">
      <c r="A17" s="39" t="s">
        <v>55</v>
      </c>
      <c r="B17" s="59">
        <v>42</v>
      </c>
      <c r="C17" s="59">
        <v>32</v>
      </c>
      <c r="D17" s="36">
        <v>0.78750000000000009</v>
      </c>
    </row>
    <row r="18" spans="1:4" x14ac:dyDescent="0.25">
      <c r="A18" s="39" t="s">
        <v>54</v>
      </c>
      <c r="B18" s="59">
        <v>43</v>
      </c>
      <c r="C18" s="59">
        <v>34</v>
      </c>
      <c r="D18" s="36">
        <v>0.78703703703703698</v>
      </c>
    </row>
    <row r="19" spans="1:4" x14ac:dyDescent="0.25">
      <c r="A19" s="39" t="s">
        <v>56</v>
      </c>
      <c r="B19" s="59">
        <v>35</v>
      </c>
      <c r="C19" s="59">
        <v>26</v>
      </c>
      <c r="D19" s="36">
        <v>0.76054421768707481</v>
      </c>
    </row>
    <row r="20" spans="1:4" x14ac:dyDescent="0.25">
      <c r="A20" s="39" t="s">
        <v>20</v>
      </c>
      <c r="B20" s="59">
        <v>31</v>
      </c>
      <c r="C20" s="59">
        <v>23</v>
      </c>
      <c r="D20" s="36">
        <v>0.73611111111111105</v>
      </c>
    </row>
    <row r="21" spans="1:4" x14ac:dyDescent="0.25">
      <c r="A21" s="39" t="s">
        <v>16</v>
      </c>
      <c r="B21" s="59">
        <v>33</v>
      </c>
      <c r="C21" s="59">
        <v>22</v>
      </c>
      <c r="D21" s="36">
        <v>0.68333333333333335</v>
      </c>
    </row>
    <row r="22" spans="1:4" x14ac:dyDescent="0.25">
      <c r="A22" s="39" t="s">
        <v>8</v>
      </c>
      <c r="B22" s="59">
        <v>36</v>
      </c>
      <c r="C22" s="59">
        <v>23</v>
      </c>
      <c r="D22" s="36">
        <v>0.65102040816326523</v>
      </c>
    </row>
    <row r="23" spans="1:4" x14ac:dyDescent="0.25">
      <c r="A23" s="39" t="s">
        <v>146</v>
      </c>
      <c r="B23" s="59">
        <v>257</v>
      </c>
      <c r="C23" s="59">
        <v>190</v>
      </c>
      <c r="D23" s="36">
        <v>0.74963369963369964</v>
      </c>
    </row>
  </sheetData>
  <mergeCells count="2">
    <mergeCell ref="A14:D14"/>
    <mergeCell ref="A13:D1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0:C59"/>
  <sheetViews>
    <sheetView topLeftCell="A8" workbookViewId="0">
      <selection activeCell="C19" sqref="C19"/>
    </sheetView>
  </sheetViews>
  <sheetFormatPr defaultRowHeight="13.2" x14ac:dyDescent="0.25"/>
  <cols>
    <col min="1" max="1" width="21.33203125" bestFit="1" customWidth="1"/>
    <col min="2" max="2" width="12.6640625" bestFit="1" customWidth="1"/>
    <col min="3" max="3" width="12.44140625" customWidth="1"/>
  </cols>
  <sheetData>
    <row r="10" spans="1:3" ht="15" x14ac:dyDescent="0.25">
      <c r="A10" s="77" t="s">
        <v>119</v>
      </c>
      <c r="B10" s="77"/>
      <c r="C10" s="77"/>
    </row>
    <row r="11" spans="1:3" x14ac:dyDescent="0.25">
      <c r="A11" s="78" t="s">
        <v>179</v>
      </c>
      <c r="B11" s="78"/>
      <c r="C11" s="78"/>
    </row>
    <row r="12" spans="1:3" x14ac:dyDescent="0.25">
      <c r="A12" s="38" t="s">
        <v>169</v>
      </c>
      <c r="B12" t="s">
        <v>170</v>
      </c>
      <c r="C12" t="s">
        <v>171</v>
      </c>
    </row>
    <row r="13" spans="1:3" x14ac:dyDescent="0.25">
      <c r="A13" s="61" t="s">
        <v>56</v>
      </c>
      <c r="B13" s="62"/>
      <c r="C13" s="62"/>
    </row>
    <row r="14" spans="1:3" x14ac:dyDescent="0.25">
      <c r="A14" s="40" t="s">
        <v>5</v>
      </c>
      <c r="B14" s="31">
        <v>50.438400000000001</v>
      </c>
      <c r="C14" s="31">
        <v>9197.74</v>
      </c>
    </row>
    <row r="15" spans="1:3" x14ac:dyDescent="0.25">
      <c r="A15" s="40" t="s">
        <v>57</v>
      </c>
      <c r="B15" s="31">
        <v>111.97880000000001</v>
      </c>
      <c r="C15" s="31">
        <v>15197.880000000001</v>
      </c>
    </row>
    <row r="16" spans="1:3" x14ac:dyDescent="0.25">
      <c r="A16" s="40" t="s">
        <v>44</v>
      </c>
      <c r="B16" s="31">
        <v>29.589599999999997</v>
      </c>
      <c r="C16" s="31">
        <v>3673.08</v>
      </c>
    </row>
    <row r="17" spans="1:3" x14ac:dyDescent="0.25">
      <c r="A17" s="40" t="s">
        <v>19</v>
      </c>
      <c r="B17" s="31">
        <v>266.22040000000004</v>
      </c>
      <c r="C17" s="31">
        <v>24505.68</v>
      </c>
    </row>
    <row r="18" spans="1:3" x14ac:dyDescent="0.25">
      <c r="A18" s="40" t="s">
        <v>33</v>
      </c>
      <c r="B18" s="31">
        <v>75.785250000000019</v>
      </c>
      <c r="C18" s="31">
        <v>9553.8700000000008</v>
      </c>
    </row>
    <row r="19" spans="1:3" x14ac:dyDescent="0.25">
      <c r="A19" s="39" t="s">
        <v>172</v>
      </c>
      <c r="B19" s="62">
        <v>534.01245000000006</v>
      </c>
      <c r="C19" s="62">
        <v>62128.250000000007</v>
      </c>
    </row>
    <row r="20" spans="1:3" x14ac:dyDescent="0.25">
      <c r="A20" s="61" t="s">
        <v>16</v>
      </c>
      <c r="B20" s="62"/>
      <c r="C20" s="62"/>
    </row>
    <row r="21" spans="1:3" x14ac:dyDescent="0.25">
      <c r="A21" s="40" t="s">
        <v>5</v>
      </c>
      <c r="B21" s="31">
        <v>60.39</v>
      </c>
      <c r="C21" s="31">
        <v>8800.5400000000009</v>
      </c>
    </row>
    <row r="22" spans="1:3" x14ac:dyDescent="0.25">
      <c r="A22" s="40" t="s">
        <v>44</v>
      </c>
      <c r="B22" s="31">
        <v>182.61734999999999</v>
      </c>
      <c r="C22" s="31">
        <v>19585.03</v>
      </c>
    </row>
    <row r="23" spans="1:3" x14ac:dyDescent="0.25">
      <c r="A23" s="40" t="s">
        <v>19</v>
      </c>
      <c r="B23" s="31">
        <v>51.026400000000002</v>
      </c>
      <c r="C23" s="31">
        <v>12180.259999999998</v>
      </c>
    </row>
    <row r="24" spans="1:3" x14ac:dyDescent="0.25">
      <c r="A24" s="40" t="s">
        <v>33</v>
      </c>
      <c r="B24" s="31">
        <v>50.0595</v>
      </c>
      <c r="C24" s="31">
        <v>8023.6</v>
      </c>
    </row>
    <row r="25" spans="1:3" x14ac:dyDescent="0.25">
      <c r="A25" s="39" t="s">
        <v>173</v>
      </c>
      <c r="B25" s="63">
        <v>344.09325000000001</v>
      </c>
      <c r="C25" s="63">
        <v>48589.43</v>
      </c>
    </row>
    <row r="26" spans="1:3" x14ac:dyDescent="0.25">
      <c r="A26" s="61" t="s">
        <v>11</v>
      </c>
      <c r="B26" s="62"/>
      <c r="C26" s="62"/>
    </row>
    <row r="27" spans="1:3" x14ac:dyDescent="0.25">
      <c r="A27" s="40" t="s">
        <v>5</v>
      </c>
      <c r="B27" s="31">
        <v>1520.5254</v>
      </c>
      <c r="C27" s="31">
        <v>58684.18</v>
      </c>
    </row>
    <row r="28" spans="1:3" x14ac:dyDescent="0.25">
      <c r="A28" s="40" t="s">
        <v>57</v>
      </c>
      <c r="B28" s="31">
        <v>641.97980000000007</v>
      </c>
      <c r="C28" s="31">
        <v>68418.63</v>
      </c>
    </row>
    <row r="29" spans="1:3" x14ac:dyDescent="0.25">
      <c r="A29" s="40" t="s">
        <v>44</v>
      </c>
      <c r="B29" s="31">
        <v>1503.2486999999999</v>
      </c>
      <c r="C29" s="31">
        <v>105186.1</v>
      </c>
    </row>
    <row r="30" spans="1:3" x14ac:dyDescent="0.25">
      <c r="A30" s="40" t="s">
        <v>19</v>
      </c>
      <c r="B30" s="31">
        <v>1742.3150000000001</v>
      </c>
      <c r="C30" s="31">
        <v>100122.77</v>
      </c>
    </row>
    <row r="31" spans="1:3" x14ac:dyDescent="0.25">
      <c r="A31" s="39" t="s">
        <v>174</v>
      </c>
      <c r="B31" s="63">
        <v>5408.0689000000002</v>
      </c>
      <c r="C31" s="63">
        <v>332411.68</v>
      </c>
    </row>
    <row r="32" spans="1:3" x14ac:dyDescent="0.25">
      <c r="A32" s="61" t="s">
        <v>20</v>
      </c>
      <c r="B32" s="62"/>
      <c r="C32" s="62"/>
    </row>
    <row r="33" spans="1:3" x14ac:dyDescent="0.25">
      <c r="A33" s="40" t="s">
        <v>5</v>
      </c>
      <c r="B33" s="31">
        <v>59.982599999999998</v>
      </c>
      <c r="C33" s="31">
        <v>9289.89</v>
      </c>
    </row>
    <row r="34" spans="1:3" x14ac:dyDescent="0.25">
      <c r="A34" s="40" t="s">
        <v>57</v>
      </c>
      <c r="B34" s="31">
        <v>56.0625</v>
      </c>
      <c r="C34" s="31">
        <v>7606.25</v>
      </c>
    </row>
    <row r="35" spans="1:3" x14ac:dyDescent="0.25">
      <c r="A35" s="40" t="s">
        <v>44</v>
      </c>
      <c r="B35" s="31">
        <v>42.881249999999994</v>
      </c>
      <c r="C35" s="31">
        <v>4502.29</v>
      </c>
    </row>
    <row r="36" spans="1:3" x14ac:dyDescent="0.25">
      <c r="A36" s="40" t="s">
        <v>19</v>
      </c>
      <c r="B36" s="31">
        <v>166.5838</v>
      </c>
      <c r="C36" s="31">
        <v>19621.57</v>
      </c>
    </row>
    <row r="37" spans="1:3" x14ac:dyDescent="0.25">
      <c r="A37" s="40" t="s">
        <v>33</v>
      </c>
      <c r="B37" s="31">
        <v>50.554250000000003</v>
      </c>
      <c r="C37" s="31">
        <v>6456.81</v>
      </c>
    </row>
    <row r="38" spans="1:3" x14ac:dyDescent="0.25">
      <c r="A38" s="39" t="s">
        <v>175</v>
      </c>
      <c r="B38" s="63">
        <v>376.06439999999998</v>
      </c>
      <c r="C38" s="63">
        <v>47476.81</v>
      </c>
    </row>
    <row r="39" spans="1:3" x14ac:dyDescent="0.25">
      <c r="A39" s="61" t="s">
        <v>8</v>
      </c>
      <c r="B39" s="62"/>
      <c r="C39" s="62"/>
    </row>
    <row r="40" spans="1:3" x14ac:dyDescent="0.25">
      <c r="A40" s="40" t="s">
        <v>5</v>
      </c>
      <c r="B40" s="31">
        <v>14.0097</v>
      </c>
      <c r="C40" s="31">
        <v>6404.3099999999995</v>
      </c>
    </row>
    <row r="41" spans="1:3" x14ac:dyDescent="0.25">
      <c r="A41" s="40" t="s">
        <v>57</v>
      </c>
      <c r="B41" s="31">
        <v>74.744900000000001</v>
      </c>
      <c r="C41" s="31">
        <v>9025.85</v>
      </c>
    </row>
    <row r="42" spans="1:3" x14ac:dyDescent="0.25">
      <c r="A42" s="40" t="s">
        <v>44</v>
      </c>
      <c r="B42" s="31">
        <v>52.494</v>
      </c>
      <c r="C42" s="31">
        <v>5999.6</v>
      </c>
    </row>
    <row r="43" spans="1:3" x14ac:dyDescent="0.25">
      <c r="A43" s="40" t="s">
        <v>19</v>
      </c>
      <c r="B43" s="31">
        <v>236.69780000000003</v>
      </c>
      <c r="C43" s="31">
        <v>20107.73</v>
      </c>
    </row>
    <row r="44" spans="1:3" x14ac:dyDescent="0.25">
      <c r="A44" s="40" t="s">
        <v>33</v>
      </c>
      <c r="B44" s="31">
        <v>337.39224999999999</v>
      </c>
      <c r="C44" s="31">
        <v>26507.09</v>
      </c>
    </row>
    <row r="45" spans="1:3" x14ac:dyDescent="0.25">
      <c r="A45" s="39" t="s">
        <v>176</v>
      </c>
      <c r="B45" s="63">
        <v>715.33865000000003</v>
      </c>
      <c r="C45" s="63">
        <v>68044.58</v>
      </c>
    </row>
    <row r="46" spans="1:3" x14ac:dyDescent="0.25">
      <c r="A46" s="61" t="s">
        <v>54</v>
      </c>
      <c r="B46" s="62"/>
      <c r="C46" s="62"/>
    </row>
    <row r="47" spans="1:3" x14ac:dyDescent="0.25">
      <c r="A47" s="40" t="s">
        <v>5</v>
      </c>
      <c r="B47" s="31">
        <v>108.3111</v>
      </c>
      <c r="C47" s="31">
        <v>10730.69</v>
      </c>
    </row>
    <row r="48" spans="1:3" x14ac:dyDescent="0.25">
      <c r="A48" s="40" t="s">
        <v>57</v>
      </c>
      <c r="B48" s="31">
        <v>12.497599999999998</v>
      </c>
      <c r="C48" s="31">
        <v>2549.7599999999998</v>
      </c>
    </row>
    <row r="49" spans="1:3" x14ac:dyDescent="0.25">
      <c r="A49" s="40" t="s">
        <v>44</v>
      </c>
      <c r="B49" s="31">
        <v>214.33875</v>
      </c>
      <c r="C49" s="31">
        <v>19134.18</v>
      </c>
    </row>
    <row r="50" spans="1:3" x14ac:dyDescent="0.25">
      <c r="A50" s="40" t="s">
        <v>19</v>
      </c>
      <c r="B50" s="31">
        <v>211.53804000000002</v>
      </c>
      <c r="C50" s="31">
        <v>18884.462</v>
      </c>
    </row>
    <row r="51" spans="1:3" x14ac:dyDescent="0.25">
      <c r="A51" s="40" t="s">
        <v>33</v>
      </c>
      <c r="B51" s="31">
        <v>219.928</v>
      </c>
      <c r="C51" s="31">
        <v>24913.53</v>
      </c>
    </row>
    <row r="52" spans="1:3" x14ac:dyDescent="0.25">
      <c r="A52" s="39" t="s">
        <v>177</v>
      </c>
      <c r="B52" s="63">
        <v>766.61349000000007</v>
      </c>
      <c r="C52" s="63">
        <v>76212.622000000003</v>
      </c>
    </row>
    <row r="53" spans="1:3" x14ac:dyDescent="0.25">
      <c r="A53" s="61" t="s">
        <v>55</v>
      </c>
      <c r="B53" s="62"/>
      <c r="C53" s="62"/>
    </row>
    <row r="54" spans="1:3" x14ac:dyDescent="0.25">
      <c r="A54" s="40" t="s">
        <v>5</v>
      </c>
      <c r="B54" s="31">
        <v>172.91970000000001</v>
      </c>
      <c r="C54" s="31">
        <v>11957.08</v>
      </c>
    </row>
    <row r="55" spans="1:3" x14ac:dyDescent="0.25">
      <c r="A55" s="40" t="s">
        <v>57</v>
      </c>
      <c r="B55" s="31">
        <v>156.38479999999998</v>
      </c>
      <c r="C55" s="31">
        <v>21688.480000000003</v>
      </c>
    </row>
    <row r="56" spans="1:3" x14ac:dyDescent="0.25">
      <c r="A56" s="40" t="s">
        <v>19</v>
      </c>
      <c r="B56" s="31">
        <v>321.39159999999998</v>
      </c>
      <c r="C56" s="31">
        <v>26692.799999999999</v>
      </c>
    </row>
    <row r="57" spans="1:3" x14ac:dyDescent="0.25">
      <c r="A57" s="40" t="s">
        <v>33</v>
      </c>
      <c r="B57" s="31">
        <v>278.38575000000003</v>
      </c>
      <c r="C57" s="31">
        <v>21856.980000000003</v>
      </c>
    </row>
    <row r="58" spans="1:3" x14ac:dyDescent="0.25">
      <c r="A58" s="39" t="s">
        <v>178</v>
      </c>
      <c r="B58" s="63">
        <v>929.08184999999992</v>
      </c>
      <c r="C58" s="63">
        <v>82195.34</v>
      </c>
    </row>
    <row r="59" spans="1:3" x14ac:dyDescent="0.25">
      <c r="A59" s="39" t="s">
        <v>146</v>
      </c>
      <c r="B59" s="34">
        <v>9073.2729899999995</v>
      </c>
      <c r="C59" s="34">
        <v>717058.71199999994</v>
      </c>
    </row>
  </sheetData>
  <mergeCells count="2">
    <mergeCell ref="A10:C10"/>
    <mergeCell ref="A11:C1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3:D21"/>
  <sheetViews>
    <sheetView workbookViewId="0">
      <selection activeCell="F22" sqref="F22"/>
    </sheetView>
  </sheetViews>
  <sheetFormatPr defaultRowHeight="13.2" x14ac:dyDescent="0.25"/>
  <cols>
    <col min="1" max="1" width="18.5546875" customWidth="1"/>
    <col min="2" max="2" width="14.109375" customWidth="1"/>
    <col min="3" max="3" width="16.88671875" customWidth="1"/>
    <col min="4" max="4" width="16.44140625" customWidth="1"/>
  </cols>
  <sheetData>
    <row r="13" spans="1:4" ht="15" x14ac:dyDescent="0.25">
      <c r="A13" s="67" t="s">
        <v>119</v>
      </c>
      <c r="B13" s="67"/>
      <c r="C13" s="67"/>
      <c r="D13" s="67"/>
    </row>
    <row r="14" spans="1:4" x14ac:dyDescent="0.25">
      <c r="A14" s="76" t="s">
        <v>183</v>
      </c>
      <c r="B14" s="76"/>
      <c r="C14" s="76"/>
      <c r="D14" s="76"/>
    </row>
    <row r="15" spans="1:4" x14ac:dyDescent="0.25">
      <c r="A15" s="38" t="s">
        <v>58</v>
      </c>
      <c r="B15" t="s">
        <v>181</v>
      </c>
      <c r="C15" t="s">
        <v>147</v>
      </c>
      <c r="D15" t="s">
        <v>182</v>
      </c>
    </row>
    <row r="16" spans="1:4" x14ac:dyDescent="0.25">
      <c r="A16" s="39" t="s">
        <v>5</v>
      </c>
      <c r="B16" s="31">
        <v>6533</v>
      </c>
      <c r="C16" s="31">
        <v>1986.5769</v>
      </c>
      <c r="D16" s="31">
        <v>8519.5769</v>
      </c>
    </row>
    <row r="17" spans="1:4" x14ac:dyDescent="0.25">
      <c r="A17" s="39" t="s">
        <v>57</v>
      </c>
      <c r="B17" s="31">
        <v>2047.5</v>
      </c>
      <c r="C17" s="31">
        <v>1053.6484</v>
      </c>
      <c r="D17" s="31">
        <v>3101.1484000000005</v>
      </c>
    </row>
    <row r="18" spans="1:4" x14ac:dyDescent="0.25">
      <c r="A18" s="39" t="s">
        <v>44</v>
      </c>
      <c r="B18" s="31">
        <v>2373.5</v>
      </c>
      <c r="C18" s="31">
        <v>2025.1696499999998</v>
      </c>
      <c r="D18" s="31">
        <v>4398.6696499999998</v>
      </c>
    </row>
    <row r="19" spans="1:4" x14ac:dyDescent="0.25">
      <c r="A19" s="39" t="s">
        <v>19</v>
      </c>
      <c r="B19" s="31">
        <v>7492.5</v>
      </c>
      <c r="C19" s="31">
        <v>2995.7730399999996</v>
      </c>
      <c r="D19" s="31">
        <v>10488.273039999998</v>
      </c>
    </row>
    <row r="20" spans="1:4" x14ac:dyDescent="0.25">
      <c r="A20" s="39" t="s">
        <v>33</v>
      </c>
      <c r="B20" s="31">
        <v>5535</v>
      </c>
      <c r="C20" s="31">
        <v>1012.105</v>
      </c>
      <c r="D20" s="31">
        <v>6547.1050000000005</v>
      </c>
    </row>
    <row r="21" spans="1:4" x14ac:dyDescent="0.25">
      <c r="A21" s="39" t="s">
        <v>146</v>
      </c>
      <c r="B21" s="34">
        <v>23981.5</v>
      </c>
      <c r="C21" s="34">
        <v>9073.2729899999995</v>
      </c>
      <c r="D21" s="34">
        <v>33054.772989999998</v>
      </c>
    </row>
  </sheetData>
  <mergeCells count="2">
    <mergeCell ref="A13:D13"/>
    <mergeCell ref="A14:D14"/>
  </mergeCells>
  <pageMargins left="0.7" right="0.7" top="0.75" bottom="0.75" header="0.3" footer="0.3"/>
  <pageSetup orientation="portrait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1:C21"/>
  <sheetViews>
    <sheetView workbookViewId="0">
      <selection activeCell="B14" sqref="B14"/>
    </sheetView>
  </sheetViews>
  <sheetFormatPr defaultRowHeight="13.2" x14ac:dyDescent="0.25"/>
  <cols>
    <col min="1" max="1" width="14.88671875" customWidth="1"/>
    <col min="2" max="2" width="21.5546875" customWidth="1"/>
    <col min="3" max="3" width="16.88671875" customWidth="1"/>
  </cols>
  <sheetData>
    <row r="11" spans="1:3" ht="15" x14ac:dyDescent="0.25">
      <c r="A11" s="67" t="s">
        <v>119</v>
      </c>
      <c r="B11" s="67"/>
      <c r="C11" s="67"/>
    </row>
    <row r="12" spans="1:3" x14ac:dyDescent="0.25">
      <c r="A12" s="76" t="s">
        <v>185</v>
      </c>
      <c r="B12" s="76"/>
      <c r="C12" s="76"/>
    </row>
    <row r="13" spans="1:3" x14ac:dyDescent="0.25">
      <c r="A13" s="38" t="s">
        <v>2</v>
      </c>
      <c r="B13" t="s">
        <v>184</v>
      </c>
      <c r="C13" t="s">
        <v>180</v>
      </c>
    </row>
    <row r="14" spans="1:3" x14ac:dyDescent="0.25">
      <c r="A14" s="39" t="s">
        <v>56</v>
      </c>
      <c r="B14" s="59">
        <v>220</v>
      </c>
      <c r="C14" s="31">
        <v>3809.0124500000002</v>
      </c>
    </row>
    <row r="15" spans="1:3" x14ac:dyDescent="0.25">
      <c r="A15" s="39" t="s">
        <v>16</v>
      </c>
      <c r="B15" s="59">
        <v>223</v>
      </c>
      <c r="C15" s="31">
        <v>3704.3432499999999</v>
      </c>
    </row>
    <row r="16" spans="1:3" x14ac:dyDescent="0.25">
      <c r="A16" s="39" t="s">
        <v>11</v>
      </c>
      <c r="B16" s="59">
        <v>220</v>
      </c>
      <c r="C16" s="31">
        <v>8567.3189000000002</v>
      </c>
    </row>
    <row r="17" spans="1:3" x14ac:dyDescent="0.25">
      <c r="A17" s="39" t="s">
        <v>20</v>
      </c>
      <c r="B17" s="59">
        <v>182</v>
      </c>
      <c r="C17" s="31">
        <v>3193.5644000000002</v>
      </c>
    </row>
    <row r="18" spans="1:3" x14ac:dyDescent="0.25">
      <c r="A18" s="39" t="s">
        <v>8</v>
      </c>
      <c r="B18" s="59">
        <v>233</v>
      </c>
      <c r="C18" s="31">
        <v>4297.8386499999997</v>
      </c>
    </row>
    <row r="19" spans="1:3" x14ac:dyDescent="0.25">
      <c r="A19" s="39" t="s">
        <v>54</v>
      </c>
      <c r="B19" s="59">
        <v>259</v>
      </c>
      <c r="C19" s="31">
        <v>4682.6134900000006</v>
      </c>
    </row>
    <row r="20" spans="1:3" x14ac:dyDescent="0.25">
      <c r="A20" s="39" t="s">
        <v>55</v>
      </c>
      <c r="B20" s="59">
        <v>262</v>
      </c>
      <c r="C20" s="31">
        <v>4800.0818499999996</v>
      </c>
    </row>
    <row r="21" spans="1:3" x14ac:dyDescent="0.25">
      <c r="A21" s="39" t="s">
        <v>146</v>
      </c>
      <c r="B21" s="59">
        <v>1599</v>
      </c>
      <c r="C21" s="34">
        <v>33054.772989999998</v>
      </c>
    </row>
  </sheetData>
  <mergeCells count="2">
    <mergeCell ref="A12:C12"/>
    <mergeCell ref="A11:C1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7:B22"/>
  <sheetViews>
    <sheetView workbookViewId="0">
      <selection activeCell="C9" sqref="C9"/>
    </sheetView>
  </sheetViews>
  <sheetFormatPr defaultRowHeight="13.2" x14ac:dyDescent="0.25"/>
  <cols>
    <col min="1" max="1" width="14.44140625" customWidth="1"/>
    <col min="2" max="2" width="17.6640625" customWidth="1"/>
    <col min="3" max="3" width="18" bestFit="1" customWidth="1"/>
  </cols>
  <sheetData>
    <row r="7" spans="1:2" ht="15" x14ac:dyDescent="0.25">
      <c r="A7" s="67" t="s">
        <v>119</v>
      </c>
      <c r="B7" s="67"/>
    </row>
    <row r="8" spans="1:2" x14ac:dyDescent="0.25">
      <c r="A8" s="76" t="s">
        <v>186</v>
      </c>
      <c r="B8" s="76"/>
    </row>
    <row r="9" spans="1:2" x14ac:dyDescent="0.25">
      <c r="A9" s="38" t="s">
        <v>2</v>
      </c>
      <c r="B9" t="s">
        <v>166</v>
      </c>
    </row>
    <row r="10" spans="1:2" x14ac:dyDescent="0.25">
      <c r="A10" s="65" t="s">
        <v>54</v>
      </c>
      <c r="B10" s="66">
        <v>34</v>
      </c>
    </row>
    <row r="19" spans="1:2" ht="15" x14ac:dyDescent="0.25">
      <c r="A19" s="67" t="s">
        <v>119</v>
      </c>
      <c r="B19" s="67"/>
    </row>
    <row r="20" spans="1:2" x14ac:dyDescent="0.25">
      <c r="A20" s="76" t="s">
        <v>188</v>
      </c>
      <c r="B20" s="76"/>
    </row>
    <row r="21" spans="1:2" x14ac:dyDescent="0.25">
      <c r="A21" s="38" t="s">
        <v>2</v>
      </c>
      <c r="B21" t="s">
        <v>187</v>
      </c>
    </row>
    <row r="22" spans="1:2" x14ac:dyDescent="0.25">
      <c r="A22" s="39" t="s">
        <v>16</v>
      </c>
      <c r="B22" s="59">
        <v>22</v>
      </c>
    </row>
  </sheetData>
  <mergeCells count="4">
    <mergeCell ref="A8:B8"/>
    <mergeCell ref="A7:B7"/>
    <mergeCell ref="A20:B20"/>
    <mergeCell ref="A19:B1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8:B23"/>
  <sheetViews>
    <sheetView workbookViewId="0">
      <selection activeCell="D18" sqref="D18"/>
    </sheetView>
  </sheetViews>
  <sheetFormatPr defaultRowHeight="13.2" x14ac:dyDescent="0.25"/>
  <cols>
    <col min="1" max="1" width="24" customWidth="1"/>
    <col min="2" max="2" width="12.33203125" customWidth="1"/>
  </cols>
  <sheetData>
    <row r="8" spans="1:2" ht="15" x14ac:dyDescent="0.25">
      <c r="A8" s="67" t="s">
        <v>119</v>
      </c>
      <c r="B8" s="67"/>
    </row>
    <row r="9" spans="1:2" x14ac:dyDescent="0.25">
      <c r="A9" s="76" t="s">
        <v>189</v>
      </c>
      <c r="B9" s="76"/>
    </row>
    <row r="10" spans="1:2" x14ac:dyDescent="0.25">
      <c r="A10" s="38" t="s">
        <v>154</v>
      </c>
      <c r="B10" t="s">
        <v>147</v>
      </c>
    </row>
    <row r="11" spans="1:2" x14ac:dyDescent="0.25">
      <c r="A11" s="39" t="s">
        <v>9</v>
      </c>
      <c r="B11" s="34"/>
    </row>
    <row r="12" spans="1:2" x14ac:dyDescent="0.25">
      <c r="A12" s="40" t="s">
        <v>10</v>
      </c>
      <c r="B12" s="31">
        <v>1520.5254</v>
      </c>
    </row>
    <row r="20" spans="1:2" ht="15" x14ac:dyDescent="0.25">
      <c r="A20" s="67" t="s">
        <v>119</v>
      </c>
      <c r="B20" s="67"/>
    </row>
    <row r="21" spans="1:2" x14ac:dyDescent="0.25">
      <c r="A21" s="76" t="s">
        <v>191</v>
      </c>
      <c r="B21" s="76"/>
    </row>
    <row r="22" spans="1:2" x14ac:dyDescent="0.25">
      <c r="A22" s="38" t="s">
        <v>151</v>
      </c>
      <c r="B22" t="s">
        <v>147</v>
      </c>
    </row>
    <row r="23" spans="1:2" x14ac:dyDescent="0.25">
      <c r="A23" s="2" t="s">
        <v>190</v>
      </c>
    </row>
  </sheetData>
  <mergeCells count="4">
    <mergeCell ref="A9:B9"/>
    <mergeCell ref="A8:B8"/>
    <mergeCell ref="A21:B21"/>
    <mergeCell ref="A20:B20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2:D22"/>
  <sheetViews>
    <sheetView workbookViewId="0">
      <selection activeCell="B16" sqref="B16"/>
    </sheetView>
  </sheetViews>
  <sheetFormatPr defaultRowHeight="13.2" x14ac:dyDescent="0.25"/>
  <cols>
    <col min="1" max="1" width="14.77734375" customWidth="1"/>
    <col min="2" max="2" width="14.33203125" customWidth="1"/>
    <col min="3" max="3" width="24.33203125" customWidth="1"/>
    <col min="4" max="4" width="15" customWidth="1"/>
  </cols>
  <sheetData>
    <row r="12" spans="1:4" ht="15" x14ac:dyDescent="0.25">
      <c r="A12" s="74" t="s">
        <v>119</v>
      </c>
      <c r="B12" s="74"/>
      <c r="C12" s="74"/>
      <c r="D12" s="74"/>
    </row>
    <row r="13" spans="1:4" x14ac:dyDescent="0.25">
      <c r="A13" s="73" t="s">
        <v>192</v>
      </c>
      <c r="B13" s="73"/>
      <c r="C13" s="73"/>
      <c r="D13" s="73"/>
    </row>
    <row r="14" spans="1:4" x14ac:dyDescent="0.25">
      <c r="A14" s="38" t="s">
        <v>2</v>
      </c>
      <c r="B14" t="s">
        <v>170</v>
      </c>
      <c r="C14" t="s">
        <v>193</v>
      </c>
      <c r="D14" t="s">
        <v>148</v>
      </c>
    </row>
    <row r="15" spans="1:4" x14ac:dyDescent="0.25">
      <c r="A15" s="39" t="s">
        <v>56</v>
      </c>
      <c r="B15" s="31">
        <v>534.01245000000006</v>
      </c>
      <c r="C15" s="64">
        <v>5.8855547561343695E-2</v>
      </c>
      <c r="D15" s="31">
        <v>62128.25</v>
      </c>
    </row>
    <row r="16" spans="1:4" x14ac:dyDescent="0.25">
      <c r="A16" s="39" t="s">
        <v>16</v>
      </c>
      <c r="B16" s="31">
        <v>344.09324999999995</v>
      </c>
      <c r="C16" s="64">
        <v>3.7923828631546551E-2</v>
      </c>
      <c r="D16" s="31">
        <v>48589.43</v>
      </c>
    </row>
    <row r="17" spans="1:4" x14ac:dyDescent="0.25">
      <c r="A17" s="39" t="s">
        <v>11</v>
      </c>
      <c r="B17" s="31">
        <v>5408.0689000000002</v>
      </c>
      <c r="C17" s="64">
        <v>0.5960438869149467</v>
      </c>
      <c r="D17" s="31">
        <v>332411.68</v>
      </c>
    </row>
    <row r="18" spans="1:4" x14ac:dyDescent="0.25">
      <c r="A18" s="39" t="s">
        <v>20</v>
      </c>
      <c r="B18" s="31">
        <v>376.06439999999998</v>
      </c>
      <c r="C18" s="64">
        <v>4.1447490934580597E-2</v>
      </c>
      <c r="D18" s="31">
        <v>47476.810000000005</v>
      </c>
    </row>
    <row r="19" spans="1:4" x14ac:dyDescent="0.25">
      <c r="A19" s="39" t="s">
        <v>8</v>
      </c>
      <c r="B19" s="31">
        <v>715.33865000000003</v>
      </c>
      <c r="C19" s="64">
        <v>7.8840199207981729E-2</v>
      </c>
      <c r="D19" s="31">
        <v>68044.58</v>
      </c>
    </row>
    <row r="20" spans="1:4" x14ac:dyDescent="0.25">
      <c r="A20" s="39" t="s">
        <v>54</v>
      </c>
      <c r="B20" s="31">
        <v>766.61348999999996</v>
      </c>
      <c r="C20" s="64">
        <v>8.4491394764040925E-2</v>
      </c>
      <c r="D20" s="31">
        <v>76212.622000000003</v>
      </c>
    </row>
    <row r="21" spans="1:4" x14ac:dyDescent="0.25">
      <c r="A21" s="39" t="s">
        <v>55</v>
      </c>
      <c r="B21" s="31">
        <v>929.08184999999992</v>
      </c>
      <c r="C21" s="64">
        <v>0.10239765198555983</v>
      </c>
      <c r="D21" s="31">
        <v>82195.340000000011</v>
      </c>
    </row>
    <row r="22" spans="1:4" x14ac:dyDescent="0.25">
      <c r="A22" s="39" t="s">
        <v>146</v>
      </c>
      <c r="B22" s="31">
        <v>9073.2729899999995</v>
      </c>
      <c r="C22" s="64">
        <v>1</v>
      </c>
      <c r="D22" s="31">
        <v>717058.71199999994</v>
      </c>
    </row>
  </sheetData>
  <mergeCells count="2">
    <mergeCell ref="A12:D12"/>
    <mergeCell ref="A13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62"/>
  <sheetViews>
    <sheetView topLeftCell="A4" workbookViewId="0">
      <selection activeCell="D18" sqref="D18"/>
    </sheetView>
  </sheetViews>
  <sheetFormatPr defaultColWidth="9.109375" defaultRowHeight="13.2" x14ac:dyDescent="0.25"/>
  <cols>
    <col min="1" max="1" width="13.6640625" style="2" customWidth="1"/>
    <col min="2" max="2" width="14.33203125" style="2" customWidth="1"/>
    <col min="3" max="3" width="14.6640625" style="2" customWidth="1"/>
    <col min="4" max="4" width="17" style="2" customWidth="1"/>
    <col min="5" max="5" width="15.44140625" customWidth="1"/>
    <col min="6" max="6" width="15.6640625" style="3" customWidth="1"/>
    <col min="7" max="7" width="11.5546875" style="2" customWidth="1"/>
    <col min="8" max="8" width="15.44140625" style="2" customWidth="1"/>
    <col min="9" max="9" width="13.5546875" style="2" customWidth="1"/>
    <col min="10" max="10" width="13.6640625" style="2" customWidth="1"/>
    <col min="11" max="11" width="15.6640625" style="2" customWidth="1"/>
    <col min="12" max="16384" width="9.109375" style="2"/>
  </cols>
  <sheetData>
    <row r="1" spans="1:11" ht="31.5" customHeight="1" x14ac:dyDescent="0.25">
      <c r="A1" s="69" t="s">
        <v>119</v>
      </c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1" x14ac:dyDescent="0.25">
      <c r="A2" s="70" t="s">
        <v>120</v>
      </c>
      <c r="B2" s="70"/>
      <c r="C2" s="70"/>
      <c r="D2" s="70"/>
      <c r="E2" s="70"/>
      <c r="F2" s="70"/>
      <c r="G2" s="70"/>
      <c r="H2" s="70"/>
      <c r="I2" s="70"/>
      <c r="J2" s="70"/>
      <c r="K2" s="70"/>
    </row>
    <row r="3" spans="1:11" ht="15.75" customHeight="1" x14ac:dyDescent="0.25">
      <c r="A3" s="71">
        <f ca="1">NOW()</f>
        <v>43760.754998263888</v>
      </c>
      <c r="B3" s="71"/>
      <c r="C3" s="71"/>
      <c r="D3" s="71"/>
      <c r="E3" s="71"/>
      <c r="F3" s="71"/>
      <c r="G3" s="71"/>
      <c r="H3" s="71"/>
      <c r="I3" s="71"/>
      <c r="J3" s="71"/>
      <c r="K3" s="71"/>
    </row>
    <row r="4" spans="1:11" customFormat="1" ht="19.5" customHeight="1" x14ac:dyDescent="0.25">
      <c r="A4" s="9" t="s">
        <v>0</v>
      </c>
      <c r="B4" s="9" t="s">
        <v>1</v>
      </c>
      <c r="C4" s="10" t="s">
        <v>58</v>
      </c>
      <c r="D4" s="9" t="s">
        <v>2</v>
      </c>
      <c r="E4" s="9" t="s">
        <v>53</v>
      </c>
      <c r="F4" s="9" t="s">
        <v>118</v>
      </c>
      <c r="G4" s="9" t="s">
        <v>121</v>
      </c>
      <c r="H4" s="9" t="s">
        <v>133</v>
      </c>
      <c r="I4" s="9" t="s">
        <v>134</v>
      </c>
      <c r="J4" s="9" t="s">
        <v>135</v>
      </c>
      <c r="K4" s="10" t="s">
        <v>136</v>
      </c>
    </row>
    <row r="5" spans="1:11" ht="15" customHeight="1" x14ac:dyDescent="0.25">
      <c r="A5" s="2" t="s">
        <v>3</v>
      </c>
      <c r="B5" s="2" t="s">
        <v>4</v>
      </c>
      <c r="C5" s="2" t="s">
        <v>5</v>
      </c>
      <c r="D5" s="2" t="s">
        <v>54</v>
      </c>
      <c r="E5" s="8">
        <v>1315.86</v>
      </c>
      <c r="F5" s="2">
        <v>6</v>
      </c>
      <c r="G5" s="28">
        <f>VLOOKUP(C5,Table1[#All],3,FALSE)*F5</f>
        <v>141</v>
      </c>
      <c r="H5" s="29">
        <f>IF(E5&gt;VLOOKUP(C5,Table1[#All],4,FALSE)*Monday!F5,(Monday!E5-(VLOOKUP(Monday!C5,Table1[#All],4,FALSE)*Monday!F5))*VLOOKUP(Monday!C5,Table1[#All],5,FALSE),0)</f>
        <v>3.4757999999999969</v>
      </c>
      <c r="I5" s="29">
        <f>G5+H5</f>
        <v>144.47579999999999</v>
      </c>
      <c r="J5" s="2">
        <f>IF(H5&gt;0,1,0)</f>
        <v>1</v>
      </c>
      <c r="K5" s="2">
        <f>IF(F5&gt;0,1,0)</f>
        <v>1</v>
      </c>
    </row>
    <row r="6" spans="1:11" ht="15" customHeight="1" x14ac:dyDescent="0.25">
      <c r="A6" s="2" t="s">
        <v>42</v>
      </c>
      <c r="B6" s="2" t="s">
        <v>43</v>
      </c>
      <c r="C6" s="2" t="s">
        <v>44</v>
      </c>
      <c r="D6" s="2" t="s">
        <v>54</v>
      </c>
      <c r="E6" s="8">
        <v>0</v>
      </c>
      <c r="F6" s="2">
        <v>0</v>
      </c>
      <c r="G6" s="28">
        <f>VLOOKUP(C6,Table1[#All],3,FALSE)*F6</f>
        <v>0</v>
      </c>
      <c r="H6" s="29">
        <f>IF(E6&gt;VLOOKUP(C6,Table1[#All],4,FALSE)*Monday!F6,(Monday!E6-(VLOOKUP(Monday!C6,Table1[#All],4,FALSE)*Monday!F6))*VLOOKUP(Monday!C6,Table1[#All],5,FALSE),0)</f>
        <v>0</v>
      </c>
      <c r="I6" s="29">
        <f t="shared" ref="I6:I56" si="0">G6+H6</f>
        <v>0</v>
      </c>
      <c r="J6" s="2">
        <f t="shared" ref="J6:J56" si="1">IF(H6&gt;0,1,0)</f>
        <v>0</v>
      </c>
      <c r="K6" s="2">
        <f t="shared" ref="K6:K56" si="2">IF(F6&gt;0,1,0)</f>
        <v>0</v>
      </c>
    </row>
    <row r="7" spans="1:11" ht="15" customHeight="1" x14ac:dyDescent="0.25">
      <c r="A7" s="2" t="s">
        <v>31</v>
      </c>
      <c r="B7" s="2" t="s">
        <v>32</v>
      </c>
      <c r="C7" s="2" t="s">
        <v>33</v>
      </c>
      <c r="D7" s="2" t="s">
        <v>16</v>
      </c>
      <c r="E7" s="8">
        <v>1318.97</v>
      </c>
      <c r="F7" s="2">
        <v>6</v>
      </c>
      <c r="G7" s="28">
        <f>VLOOKUP(C7,Table1[#All],3,FALSE)*F7</f>
        <v>90</v>
      </c>
      <c r="H7" s="29">
        <f>IF(E7&gt;VLOOKUP(C7,Table1[#All],4,FALSE)*Monday!F7,(Monday!E7-(VLOOKUP(Monday!C7,Table1[#All],4,FALSE)*Monday!F7))*VLOOKUP(Monday!C7,Table1[#All],5,FALSE),0)</f>
        <v>6.7242500000000014</v>
      </c>
      <c r="I7" s="29">
        <f t="shared" si="0"/>
        <v>96.724249999999998</v>
      </c>
      <c r="J7" s="2">
        <f t="shared" si="1"/>
        <v>1</v>
      </c>
      <c r="K7" s="2">
        <f t="shared" si="2"/>
        <v>1</v>
      </c>
    </row>
    <row r="8" spans="1:11" ht="15" customHeight="1" x14ac:dyDescent="0.25">
      <c r="A8" s="2" t="s">
        <v>34</v>
      </c>
      <c r="B8" s="2" t="s">
        <v>35</v>
      </c>
      <c r="C8" s="2" t="s">
        <v>33</v>
      </c>
      <c r="D8" s="2" t="s">
        <v>20</v>
      </c>
      <c r="E8" s="8">
        <v>943.17</v>
      </c>
      <c r="F8" s="2">
        <v>6</v>
      </c>
      <c r="G8" s="28">
        <f>VLOOKUP(C8,Table1[#All],3,FALSE)*F8</f>
        <v>90</v>
      </c>
      <c r="H8" s="29">
        <f>IF(E8&gt;VLOOKUP(C8,Table1[#All],4,FALSE)*Monday!F8,(Monday!E8-(VLOOKUP(Monday!C8,Table1[#All],4,FALSE)*Monday!F8))*VLOOKUP(Monday!C8,Table1[#All],5,FALSE),0)</f>
        <v>0</v>
      </c>
      <c r="I8" s="29">
        <f t="shared" si="0"/>
        <v>90</v>
      </c>
      <c r="J8" s="2">
        <f t="shared" si="1"/>
        <v>0</v>
      </c>
      <c r="K8" s="2">
        <f t="shared" si="2"/>
        <v>1</v>
      </c>
    </row>
    <row r="9" spans="1:11" ht="15" customHeight="1" x14ac:dyDescent="0.25">
      <c r="A9" s="2" t="s">
        <v>6</v>
      </c>
      <c r="B9" s="2" t="s">
        <v>7</v>
      </c>
      <c r="C9" s="2" t="s">
        <v>5</v>
      </c>
      <c r="D9" s="2" t="s">
        <v>8</v>
      </c>
      <c r="E9" s="8">
        <v>686.57</v>
      </c>
      <c r="F9" s="2">
        <v>7</v>
      </c>
      <c r="G9" s="28">
        <f>VLOOKUP(C9,Table1[#All],3,FALSE)*F9</f>
        <v>164.5</v>
      </c>
      <c r="H9" s="29">
        <f>IF(E9&gt;VLOOKUP(C9,Table1[#All],4,FALSE)*Monday!F9,(Monday!E9-(VLOOKUP(Monday!C9,Table1[#All],4,FALSE)*Monday!F9))*VLOOKUP(Monday!C9,Table1[#All],5,FALSE),0)</f>
        <v>0</v>
      </c>
      <c r="I9" s="29">
        <f t="shared" si="0"/>
        <v>164.5</v>
      </c>
      <c r="J9" s="2">
        <f t="shared" si="1"/>
        <v>0</v>
      </c>
      <c r="K9" s="2">
        <f t="shared" si="2"/>
        <v>1</v>
      </c>
    </row>
    <row r="10" spans="1:11" ht="15" customHeight="1" x14ac:dyDescent="0.25">
      <c r="A10" s="2" t="s">
        <v>100</v>
      </c>
      <c r="B10" s="2" t="s">
        <v>15</v>
      </c>
      <c r="C10" s="2" t="s">
        <v>57</v>
      </c>
      <c r="D10" s="2" t="s">
        <v>11</v>
      </c>
      <c r="E10" s="8">
        <v>4502.33</v>
      </c>
      <c r="F10" s="2">
        <v>4</v>
      </c>
      <c r="G10" s="28">
        <f>VLOOKUP(C10,Table1[#All],3,FALSE)*F10</f>
        <v>42</v>
      </c>
      <c r="H10" s="29">
        <f>IF(E10&gt;VLOOKUP(C10,Table1[#All],4,FALSE)*Monday!F10,(Monday!E10-(VLOOKUP(Monday!C10,Table1[#All],4,FALSE)*Monday!F10))*VLOOKUP(Monday!C10,Table1[#All],5,FALSE),0)</f>
        <v>41.023299999999999</v>
      </c>
      <c r="I10" s="29">
        <f t="shared" si="0"/>
        <v>83.023300000000006</v>
      </c>
      <c r="J10" s="2">
        <f t="shared" si="1"/>
        <v>1</v>
      </c>
      <c r="K10" s="2">
        <f t="shared" si="2"/>
        <v>1</v>
      </c>
    </row>
    <row r="11" spans="1:11" ht="15" customHeight="1" x14ac:dyDescent="0.25">
      <c r="A11" s="2" t="s">
        <v>63</v>
      </c>
      <c r="B11" s="2" t="s">
        <v>64</v>
      </c>
      <c r="C11" s="2" t="s">
        <v>57</v>
      </c>
      <c r="D11" s="2" t="s">
        <v>56</v>
      </c>
      <c r="E11" s="8">
        <v>0</v>
      </c>
      <c r="F11" s="2">
        <v>0</v>
      </c>
      <c r="G11" s="28">
        <f>VLOOKUP(C11,Table1[#All],3,FALSE)*F11</f>
        <v>0</v>
      </c>
      <c r="H11" s="29">
        <f>IF(E11&gt;VLOOKUP(C11,Table1[#All],4,FALSE)*Monday!F11,(Monday!E11-(VLOOKUP(Monday!C11,Table1[#All],4,FALSE)*Monday!F11))*VLOOKUP(Monday!C11,Table1[#All],5,FALSE),0)</f>
        <v>0</v>
      </c>
      <c r="I11" s="29">
        <f t="shared" si="0"/>
        <v>0</v>
      </c>
      <c r="J11" s="2">
        <f t="shared" si="1"/>
        <v>0</v>
      </c>
      <c r="K11" s="2">
        <f t="shared" si="2"/>
        <v>0</v>
      </c>
    </row>
    <row r="12" spans="1:11" ht="15" customHeight="1" x14ac:dyDescent="0.25">
      <c r="A12" s="2" t="s">
        <v>61</v>
      </c>
      <c r="B12" s="2" t="s">
        <v>62</v>
      </c>
      <c r="C12" s="2" t="s">
        <v>19</v>
      </c>
      <c r="D12" s="2" t="s">
        <v>56</v>
      </c>
      <c r="E12" s="8">
        <v>649.27</v>
      </c>
      <c r="F12" s="2">
        <v>8</v>
      </c>
      <c r="G12" s="28">
        <f>VLOOKUP(C12,Table1[#All],3,FALSE)*F12</f>
        <v>108</v>
      </c>
      <c r="H12" s="29">
        <f>IF(E12&gt;VLOOKUP(C12,Table1[#All],4,FALSE)*Monday!F12,(Monday!E12-(VLOOKUP(Monday!C12,Table1[#All],4,FALSE)*Monday!F12))*VLOOKUP(Monday!C12,Table1[#All],5,FALSE),0)</f>
        <v>0</v>
      </c>
      <c r="I12" s="29">
        <f t="shared" si="0"/>
        <v>108</v>
      </c>
      <c r="J12" s="2">
        <f t="shared" si="1"/>
        <v>0</v>
      </c>
      <c r="K12" s="2">
        <f t="shared" si="2"/>
        <v>1</v>
      </c>
    </row>
    <row r="13" spans="1:11" ht="15" customHeight="1" x14ac:dyDescent="0.25">
      <c r="A13" s="2" t="s">
        <v>101</v>
      </c>
      <c r="B13" s="2" t="s">
        <v>102</v>
      </c>
      <c r="C13" s="2" t="s">
        <v>57</v>
      </c>
      <c r="D13" s="2" t="s">
        <v>54</v>
      </c>
      <c r="E13" s="8">
        <v>0</v>
      </c>
      <c r="F13" s="2">
        <v>0</v>
      </c>
      <c r="G13" s="28">
        <f>VLOOKUP(C13,Table1[#All],3,FALSE)*F13</f>
        <v>0</v>
      </c>
      <c r="H13" s="29">
        <f>IF(E13&gt;VLOOKUP(C13,Table1[#All],4,FALSE)*Monday!F13,(Monday!E13-(VLOOKUP(Monday!C13,Table1[#All],4,FALSE)*Monday!F13))*VLOOKUP(Monday!C13,Table1[#All],5,FALSE),0)</f>
        <v>0</v>
      </c>
      <c r="I13" s="29">
        <f t="shared" si="0"/>
        <v>0</v>
      </c>
      <c r="J13" s="2">
        <f t="shared" si="1"/>
        <v>0</v>
      </c>
      <c r="K13" s="2">
        <f t="shared" si="2"/>
        <v>0</v>
      </c>
    </row>
    <row r="14" spans="1:11" ht="15" customHeight="1" x14ac:dyDescent="0.25">
      <c r="A14" s="2" t="s">
        <v>65</v>
      </c>
      <c r="B14" s="2" t="s">
        <v>66</v>
      </c>
      <c r="C14" s="2" t="s">
        <v>57</v>
      </c>
      <c r="D14" s="2" t="s">
        <v>56</v>
      </c>
      <c r="E14" s="8">
        <v>0</v>
      </c>
      <c r="F14" s="2">
        <v>0</v>
      </c>
      <c r="G14" s="28">
        <f>VLOOKUP(C14,Table1[#All],3,FALSE)*F14</f>
        <v>0</v>
      </c>
      <c r="H14" s="29">
        <f>IF(E14&gt;VLOOKUP(C14,Table1[#All],4,FALSE)*Monday!F14,(Monday!E14-(VLOOKUP(Monday!C14,Table1[#All],4,FALSE)*Monday!F14))*VLOOKUP(Monday!C14,Table1[#All],5,FALSE),0)</f>
        <v>0</v>
      </c>
      <c r="I14" s="29">
        <f t="shared" si="0"/>
        <v>0</v>
      </c>
      <c r="J14" s="2">
        <f t="shared" si="1"/>
        <v>0</v>
      </c>
      <c r="K14" s="2">
        <f t="shared" si="2"/>
        <v>0</v>
      </c>
    </row>
    <row r="15" spans="1:11" ht="15" customHeight="1" x14ac:dyDescent="0.25">
      <c r="A15" s="2" t="s">
        <v>69</v>
      </c>
      <c r="B15" s="2" t="s">
        <v>10</v>
      </c>
      <c r="C15" s="2" t="s">
        <v>44</v>
      </c>
      <c r="D15" s="2" t="s">
        <v>16</v>
      </c>
      <c r="E15" s="8">
        <v>556</v>
      </c>
      <c r="F15" s="2">
        <v>4</v>
      </c>
      <c r="G15" s="28">
        <f>VLOOKUP(C15,Table1[#All],3,FALSE)*F15</f>
        <v>47</v>
      </c>
      <c r="H15" s="29">
        <f>IF(E15&gt;VLOOKUP(C15,Table1[#All],4,FALSE)*Monday!F15,(Monday!E15-(VLOOKUP(Monday!C15,Table1[#All],4,FALSE)*Monday!F15))*VLOOKUP(Monday!C15,Table1[#All],5,FALSE),0)</f>
        <v>0.84</v>
      </c>
      <c r="I15" s="29">
        <f t="shared" si="0"/>
        <v>47.84</v>
      </c>
      <c r="J15" s="2">
        <f t="shared" si="1"/>
        <v>1</v>
      </c>
      <c r="K15" s="2">
        <f t="shared" si="2"/>
        <v>1</v>
      </c>
    </row>
    <row r="16" spans="1:11" ht="15" customHeight="1" x14ac:dyDescent="0.25">
      <c r="A16" s="2" t="s">
        <v>67</v>
      </c>
      <c r="B16" s="2" t="s">
        <v>68</v>
      </c>
      <c r="C16" s="2" t="s">
        <v>33</v>
      </c>
      <c r="D16" s="2" t="s">
        <v>56</v>
      </c>
      <c r="E16" s="8">
        <v>1798.88</v>
      </c>
      <c r="F16" s="2">
        <v>5</v>
      </c>
      <c r="G16" s="28">
        <f>VLOOKUP(C16,Table1[#All],3,FALSE)*F16</f>
        <v>75</v>
      </c>
      <c r="H16" s="29">
        <f>IF(E16&gt;VLOOKUP(C16,Table1[#All],4,FALSE)*Monday!F16,(Monday!E16-(VLOOKUP(Monday!C16,Table1[#All],4,FALSE)*Monday!F16))*VLOOKUP(Monday!C16,Table1[#All],5,FALSE),0)</f>
        <v>23.097000000000005</v>
      </c>
      <c r="I16" s="29">
        <f t="shared" si="0"/>
        <v>98.097000000000008</v>
      </c>
      <c r="J16" s="2">
        <f t="shared" si="1"/>
        <v>1</v>
      </c>
      <c r="K16" s="2">
        <f t="shared" si="2"/>
        <v>1</v>
      </c>
    </row>
    <row r="17" spans="1:11" ht="15" customHeight="1" x14ac:dyDescent="0.25">
      <c r="A17" s="2" t="s">
        <v>74</v>
      </c>
      <c r="B17" s="2" t="s">
        <v>75</v>
      </c>
      <c r="C17" s="2" t="s">
        <v>19</v>
      </c>
      <c r="D17" s="2" t="s">
        <v>11</v>
      </c>
      <c r="E17" s="8">
        <v>4925.96</v>
      </c>
      <c r="F17" s="2">
        <v>8</v>
      </c>
      <c r="G17" s="28">
        <f>VLOOKUP(C17,Table1[#All],3,FALSE)*F17</f>
        <v>108</v>
      </c>
      <c r="H17" s="29">
        <f>IF(E17&gt;VLOOKUP(C17,Table1[#All],4,FALSE)*Monday!F17,(Monday!E17-(VLOOKUP(Monday!C17,Table1[#All],4,FALSE)*Monday!F17))*VLOOKUP(Monday!C17,Table1[#All],5,FALSE),0)</f>
        <v>74.519199999999998</v>
      </c>
      <c r="I17" s="29">
        <f t="shared" si="0"/>
        <v>182.51920000000001</v>
      </c>
      <c r="J17" s="2">
        <f t="shared" si="1"/>
        <v>1</v>
      </c>
      <c r="K17" s="2">
        <f t="shared" si="2"/>
        <v>1</v>
      </c>
    </row>
    <row r="18" spans="1:11" ht="15" customHeight="1" x14ac:dyDescent="0.25">
      <c r="A18" s="2" t="s">
        <v>70</v>
      </c>
      <c r="B18" s="2" t="s">
        <v>71</v>
      </c>
      <c r="C18" s="2" t="s">
        <v>19</v>
      </c>
      <c r="D18" s="2" t="s">
        <v>16</v>
      </c>
      <c r="E18" s="8">
        <v>1900.54</v>
      </c>
      <c r="F18" s="2">
        <v>9</v>
      </c>
      <c r="G18" s="28">
        <f>VLOOKUP(C18,Table1[#All],3,FALSE)*F18</f>
        <v>121.5</v>
      </c>
      <c r="H18" s="29">
        <f>IF(E18&gt;VLOOKUP(C18,Table1[#All],4,FALSE)*Monday!F18,(Monday!E18-(VLOOKUP(Monday!C18,Table1[#All],4,FALSE)*Monday!F18))*VLOOKUP(Monday!C18,Table1[#All],5,FALSE),0)</f>
        <v>11.0108</v>
      </c>
      <c r="I18" s="29">
        <f t="shared" si="0"/>
        <v>132.51079999999999</v>
      </c>
      <c r="J18" s="2">
        <f t="shared" si="1"/>
        <v>1</v>
      </c>
      <c r="K18" s="2">
        <f t="shared" si="2"/>
        <v>1</v>
      </c>
    </row>
    <row r="19" spans="1:11" ht="15" customHeight="1" x14ac:dyDescent="0.25">
      <c r="A19" s="2" t="s">
        <v>17</v>
      </c>
      <c r="B19" s="2" t="s">
        <v>18</v>
      </c>
      <c r="C19" s="2" t="s">
        <v>19</v>
      </c>
      <c r="D19" s="2" t="s">
        <v>20</v>
      </c>
      <c r="E19" s="8">
        <v>891.19</v>
      </c>
      <c r="F19" s="2">
        <v>5</v>
      </c>
      <c r="G19" s="28">
        <f>VLOOKUP(C19,Table1[#All],3,FALSE)*F19</f>
        <v>67.5</v>
      </c>
      <c r="H19" s="29">
        <f>IF(E19&gt;VLOOKUP(C19,Table1[#All],4,FALSE)*Monday!F19,(Monday!E19-(VLOOKUP(Monday!C19,Table1[#All],4,FALSE)*Monday!F19))*VLOOKUP(Monday!C19,Table1[#All],5,FALSE),0)</f>
        <v>2.8238000000000012</v>
      </c>
      <c r="I19" s="29">
        <f t="shared" si="0"/>
        <v>70.323800000000006</v>
      </c>
      <c r="J19" s="2">
        <f t="shared" si="1"/>
        <v>1</v>
      </c>
      <c r="K19" s="2">
        <f t="shared" si="2"/>
        <v>1</v>
      </c>
    </row>
    <row r="20" spans="1:11" ht="15" customHeight="1" x14ac:dyDescent="0.25">
      <c r="A20" s="2" t="s">
        <v>103</v>
      </c>
      <c r="B20" s="2" t="s">
        <v>104</v>
      </c>
      <c r="C20" s="2" t="s">
        <v>57</v>
      </c>
      <c r="D20" s="2" t="s">
        <v>55</v>
      </c>
      <c r="E20" s="8">
        <v>0</v>
      </c>
      <c r="F20" s="2">
        <v>0</v>
      </c>
      <c r="G20" s="28">
        <f>VLOOKUP(C20,Table1[#All],3,FALSE)*F20</f>
        <v>0</v>
      </c>
      <c r="H20" s="29">
        <f>IF(E20&gt;VLOOKUP(C20,Table1[#All],4,FALSE)*Monday!F20,(Monday!E20-(VLOOKUP(Monday!C20,Table1[#All],4,FALSE)*Monday!F20))*VLOOKUP(Monday!C20,Table1[#All],5,FALSE),0)</f>
        <v>0</v>
      </c>
      <c r="I20" s="29">
        <f t="shared" si="0"/>
        <v>0</v>
      </c>
      <c r="J20" s="2">
        <f t="shared" si="1"/>
        <v>0</v>
      </c>
      <c r="K20" s="2">
        <f t="shared" si="2"/>
        <v>0</v>
      </c>
    </row>
    <row r="21" spans="1:11" ht="15" customHeight="1" x14ac:dyDescent="0.25">
      <c r="A21" s="2" t="s">
        <v>76</v>
      </c>
      <c r="B21" s="2" t="s">
        <v>77</v>
      </c>
      <c r="C21" s="2" t="s">
        <v>57</v>
      </c>
      <c r="D21" s="2" t="s">
        <v>11</v>
      </c>
      <c r="E21" s="8">
        <v>3228.87</v>
      </c>
      <c r="F21" s="2">
        <v>4</v>
      </c>
      <c r="G21" s="28">
        <f>VLOOKUP(C21,Table1[#All],3,FALSE)*F21</f>
        <v>42</v>
      </c>
      <c r="H21" s="29">
        <f>IF(E21&gt;VLOOKUP(C21,Table1[#All],4,FALSE)*Monday!F21,(Monday!E21-(VLOOKUP(Monday!C21,Table1[#All],4,FALSE)*Monday!F21))*VLOOKUP(Monday!C21,Table1[#All],5,FALSE),0)</f>
        <v>28.288699999999999</v>
      </c>
      <c r="I21" s="29">
        <f t="shared" si="0"/>
        <v>70.288700000000006</v>
      </c>
      <c r="J21" s="2">
        <f t="shared" si="1"/>
        <v>1</v>
      </c>
      <c r="K21" s="2">
        <f t="shared" si="2"/>
        <v>1</v>
      </c>
    </row>
    <row r="22" spans="1:11" ht="15" customHeight="1" x14ac:dyDescent="0.25">
      <c r="A22" s="2" t="s">
        <v>78</v>
      </c>
      <c r="B22" s="2" t="s">
        <v>79</v>
      </c>
      <c r="C22" s="2" t="s">
        <v>44</v>
      </c>
      <c r="D22" s="2" t="s">
        <v>11</v>
      </c>
      <c r="E22" s="8">
        <v>1251.02</v>
      </c>
      <c r="F22" s="2">
        <v>4</v>
      </c>
      <c r="G22" s="28">
        <f>VLOOKUP(C22,Table1[#All],3,FALSE)*F22</f>
        <v>47</v>
      </c>
      <c r="H22" s="29">
        <f>IF(E22&gt;VLOOKUP(C22,Table1[#All],4,FALSE)*Monday!F22,(Monday!E22-(VLOOKUP(Monday!C22,Table1[#All],4,FALSE)*Monday!F22))*VLOOKUP(Monday!C22,Table1[#All],5,FALSE),0)</f>
        <v>11.2653</v>
      </c>
      <c r="I22" s="29">
        <f t="shared" si="0"/>
        <v>58.265299999999996</v>
      </c>
      <c r="J22" s="2">
        <f t="shared" si="1"/>
        <v>1</v>
      </c>
      <c r="K22" s="2">
        <f t="shared" si="2"/>
        <v>1</v>
      </c>
    </row>
    <row r="23" spans="1:11" ht="15" customHeight="1" x14ac:dyDescent="0.25">
      <c r="A23" s="2" t="s">
        <v>21</v>
      </c>
      <c r="B23" s="2" t="s">
        <v>22</v>
      </c>
      <c r="C23" s="2" t="s">
        <v>19</v>
      </c>
      <c r="D23" s="2" t="s">
        <v>16</v>
      </c>
      <c r="E23" s="8">
        <v>1788.34</v>
      </c>
      <c r="F23" s="2">
        <v>7</v>
      </c>
      <c r="G23" s="28">
        <f>VLOOKUP(C23,Table1[#All],3,FALSE)*F23</f>
        <v>94.5</v>
      </c>
      <c r="H23" s="29">
        <f>IF(E23&gt;VLOOKUP(C23,Table1[#All],4,FALSE)*Monday!F23,(Monday!E23-(VLOOKUP(Monday!C23,Table1[#All],4,FALSE)*Monday!F23))*VLOOKUP(Monday!C23,Table1[#All],5,FALSE),0)</f>
        <v>14.766799999999998</v>
      </c>
      <c r="I23" s="29">
        <f t="shared" si="0"/>
        <v>109.2668</v>
      </c>
      <c r="J23" s="2">
        <f t="shared" si="1"/>
        <v>1</v>
      </c>
      <c r="K23" s="2">
        <f t="shared" si="2"/>
        <v>1</v>
      </c>
    </row>
    <row r="24" spans="1:11" ht="15" customHeight="1" x14ac:dyDescent="0.25">
      <c r="A24" s="2" t="s">
        <v>80</v>
      </c>
      <c r="B24" s="2" t="s">
        <v>81</v>
      </c>
      <c r="C24" s="2" t="s">
        <v>5</v>
      </c>
      <c r="D24" s="2" t="s">
        <v>20</v>
      </c>
      <c r="E24" s="8">
        <v>2654.44</v>
      </c>
      <c r="F24" s="2">
        <v>8</v>
      </c>
      <c r="G24" s="28">
        <f>VLOOKUP(C24,Table1[#All],3,FALSE)*F24</f>
        <v>188</v>
      </c>
      <c r="H24" s="29">
        <f>IF(E24&gt;VLOOKUP(C24,Table1[#All],4,FALSE)*Monday!F24,(Monday!E24-(VLOOKUP(Monday!C24,Table1[#All],4,FALSE)*Monday!F24))*VLOOKUP(Monday!C24,Table1[#All],5,FALSE),0)</f>
        <v>31.633200000000002</v>
      </c>
      <c r="I24" s="29">
        <f t="shared" si="0"/>
        <v>219.63319999999999</v>
      </c>
      <c r="J24" s="2">
        <f t="shared" si="1"/>
        <v>1</v>
      </c>
      <c r="K24" s="2">
        <f t="shared" si="2"/>
        <v>1</v>
      </c>
    </row>
    <row r="25" spans="1:11" ht="15" customHeight="1" x14ac:dyDescent="0.25">
      <c r="A25" s="2" t="s">
        <v>45</v>
      </c>
      <c r="B25" s="2" t="s">
        <v>46</v>
      </c>
      <c r="C25" s="2" t="s">
        <v>44</v>
      </c>
      <c r="D25" s="2" t="s">
        <v>11</v>
      </c>
      <c r="E25" s="8">
        <v>0</v>
      </c>
      <c r="F25" s="2">
        <v>0</v>
      </c>
      <c r="G25" s="28">
        <f>VLOOKUP(C25,Table1[#All],3,FALSE)*F25</f>
        <v>0</v>
      </c>
      <c r="H25" s="29">
        <f>IF(E25&gt;VLOOKUP(C25,Table1[#All],4,FALSE)*Monday!F25,(Monday!E25-(VLOOKUP(Monday!C25,Table1[#All],4,FALSE)*Monday!F25))*VLOOKUP(Monday!C25,Table1[#All],5,FALSE),0)</f>
        <v>0</v>
      </c>
      <c r="I25" s="29">
        <f t="shared" si="0"/>
        <v>0</v>
      </c>
      <c r="J25" s="2">
        <f t="shared" si="1"/>
        <v>0</v>
      </c>
      <c r="K25" s="2">
        <f t="shared" si="2"/>
        <v>0</v>
      </c>
    </row>
    <row r="26" spans="1:11" ht="15" customHeight="1" x14ac:dyDescent="0.25">
      <c r="A26" s="2" t="s">
        <v>105</v>
      </c>
      <c r="B26" s="2" t="s">
        <v>77</v>
      </c>
      <c r="C26" s="2" t="s">
        <v>44</v>
      </c>
      <c r="D26" s="2" t="s">
        <v>16</v>
      </c>
      <c r="E26" s="8">
        <v>375.52</v>
      </c>
      <c r="F26" s="2">
        <v>4</v>
      </c>
      <c r="G26" s="28">
        <f>VLOOKUP(C26,Table1[#All],3,FALSE)*F26</f>
        <v>47</v>
      </c>
      <c r="H26" s="29">
        <f>IF(E26&gt;VLOOKUP(C26,Table1[#All],4,FALSE)*Monday!F26,(Monday!E26-(VLOOKUP(Monday!C26,Table1[#All],4,FALSE)*Monday!F26))*VLOOKUP(Monday!C26,Table1[#All],5,FALSE),0)</f>
        <v>0</v>
      </c>
      <c r="I26" s="29">
        <f t="shared" si="0"/>
        <v>47</v>
      </c>
      <c r="J26" s="2">
        <f t="shared" si="1"/>
        <v>0</v>
      </c>
      <c r="K26" s="2">
        <f t="shared" si="2"/>
        <v>1</v>
      </c>
    </row>
    <row r="27" spans="1:11" ht="15" customHeight="1" x14ac:dyDescent="0.25">
      <c r="A27" s="2" t="s">
        <v>59</v>
      </c>
      <c r="B27" s="2" t="s">
        <v>60</v>
      </c>
      <c r="C27" s="2" t="s">
        <v>19</v>
      </c>
      <c r="D27" s="2" t="s">
        <v>56</v>
      </c>
      <c r="E27" s="8">
        <v>474.44</v>
      </c>
      <c r="F27" s="2">
        <v>2</v>
      </c>
      <c r="G27" s="28">
        <f>VLOOKUP(C27,Table1[#All],3,FALSE)*F27</f>
        <v>27</v>
      </c>
      <c r="H27" s="29">
        <f>IF(E27&gt;VLOOKUP(C27,Table1[#All],4,FALSE)*Monday!F27,(Monday!E27-(VLOOKUP(Monday!C27,Table1[#All],4,FALSE)*Monday!F27))*VLOOKUP(Monday!C27,Table1[#All],5,FALSE),0)</f>
        <v>3.4887999999999999</v>
      </c>
      <c r="I27" s="29">
        <f t="shared" si="0"/>
        <v>30.488800000000001</v>
      </c>
      <c r="J27" s="2">
        <f t="shared" si="1"/>
        <v>1</v>
      </c>
      <c r="K27" s="2">
        <f t="shared" si="2"/>
        <v>1</v>
      </c>
    </row>
    <row r="28" spans="1:11" ht="15" customHeight="1" x14ac:dyDescent="0.25">
      <c r="A28" s="2" t="s">
        <v>23</v>
      </c>
      <c r="B28" s="2" t="s">
        <v>24</v>
      </c>
      <c r="C28" s="2" t="s">
        <v>5</v>
      </c>
      <c r="D28" s="2" t="s">
        <v>55</v>
      </c>
      <c r="E28" s="8">
        <v>0</v>
      </c>
      <c r="F28" s="2">
        <v>0</v>
      </c>
      <c r="G28" s="28">
        <f>VLOOKUP(C28,Table1[#All],3,FALSE)*F28</f>
        <v>0</v>
      </c>
      <c r="H28" s="29">
        <f>IF(E28&gt;VLOOKUP(C28,Table1[#All],4,FALSE)*Monday!F28,(Monday!E28-(VLOOKUP(Monday!C28,Table1[#All],4,FALSE)*Monday!F28))*VLOOKUP(Monday!C28,Table1[#All],5,FALSE),0)</f>
        <v>0</v>
      </c>
      <c r="I28" s="29">
        <f t="shared" si="0"/>
        <v>0</v>
      </c>
      <c r="J28" s="2">
        <f t="shared" si="1"/>
        <v>0</v>
      </c>
      <c r="K28" s="2">
        <f t="shared" si="2"/>
        <v>0</v>
      </c>
    </row>
    <row r="29" spans="1:11" ht="15" customHeight="1" x14ac:dyDescent="0.25">
      <c r="A29" s="2" t="s">
        <v>106</v>
      </c>
      <c r="B29" s="2" t="s">
        <v>107</v>
      </c>
      <c r="C29" s="2" t="s">
        <v>44</v>
      </c>
      <c r="D29" s="2" t="s">
        <v>56</v>
      </c>
      <c r="E29" s="8">
        <v>350.45</v>
      </c>
      <c r="F29" s="2">
        <v>4</v>
      </c>
      <c r="G29" s="28">
        <f>VLOOKUP(C29,Table1[#All],3,FALSE)*F29</f>
        <v>47</v>
      </c>
      <c r="H29" s="29">
        <f>IF(E29&gt;VLOOKUP(C29,Table1[#All],4,FALSE)*Monday!F29,(Monday!E29-(VLOOKUP(Monday!C29,Table1[#All],4,FALSE)*Monday!F29))*VLOOKUP(Monday!C29,Table1[#All],5,FALSE),0)</f>
        <v>0</v>
      </c>
      <c r="I29" s="29">
        <f t="shared" si="0"/>
        <v>47</v>
      </c>
      <c r="J29" s="2">
        <f t="shared" si="1"/>
        <v>0</v>
      </c>
      <c r="K29" s="2">
        <f t="shared" si="2"/>
        <v>1</v>
      </c>
    </row>
    <row r="30" spans="1:11" s="1" customFormat="1" ht="15" customHeight="1" x14ac:dyDescent="0.25">
      <c r="A30" s="2" t="s">
        <v>82</v>
      </c>
      <c r="B30" s="2" t="s">
        <v>83</v>
      </c>
      <c r="C30" s="2" t="s">
        <v>19</v>
      </c>
      <c r="D30" s="2" t="s">
        <v>20</v>
      </c>
      <c r="E30" s="8">
        <v>3789.21</v>
      </c>
      <c r="F30" s="2">
        <v>8</v>
      </c>
      <c r="G30" s="28">
        <f>VLOOKUP(C30,Table1[#All],3,FALSE)*F30</f>
        <v>108</v>
      </c>
      <c r="H30" s="29">
        <f>IF(E30&gt;VLOOKUP(C30,Table1[#All],4,FALSE)*Monday!F30,(Monday!E30-(VLOOKUP(Monday!C30,Table1[#All],4,FALSE)*Monday!F30))*VLOOKUP(Monday!C30,Table1[#All],5,FALSE),0)</f>
        <v>51.784199999999998</v>
      </c>
      <c r="I30" s="29">
        <f t="shared" si="0"/>
        <v>159.7842</v>
      </c>
      <c r="J30" s="2">
        <f t="shared" si="1"/>
        <v>1</v>
      </c>
      <c r="K30" s="2">
        <f t="shared" si="2"/>
        <v>1</v>
      </c>
    </row>
    <row r="31" spans="1:11" s="1" customFormat="1" ht="15" customHeight="1" x14ac:dyDescent="0.25">
      <c r="A31" s="2" t="s">
        <v>108</v>
      </c>
      <c r="B31" s="2" t="s">
        <v>109</v>
      </c>
      <c r="C31" s="2" t="s">
        <v>19</v>
      </c>
      <c r="D31" s="2" t="s">
        <v>8</v>
      </c>
      <c r="E31" s="8">
        <v>133.97999999999999</v>
      </c>
      <c r="F31" s="2">
        <v>8</v>
      </c>
      <c r="G31" s="28">
        <f>VLOOKUP(C31,Table1[#All],3,FALSE)*F31</f>
        <v>108</v>
      </c>
      <c r="H31" s="29">
        <f>IF(E31&gt;VLOOKUP(C31,Table1[#All],4,FALSE)*Monday!F31,(Monday!E31-(VLOOKUP(Monday!C31,Table1[#All],4,FALSE)*Monday!F31))*VLOOKUP(Monday!C31,Table1[#All],5,FALSE),0)</f>
        <v>0</v>
      </c>
      <c r="I31" s="29">
        <f t="shared" si="0"/>
        <v>108</v>
      </c>
      <c r="J31" s="2">
        <f t="shared" si="1"/>
        <v>0</v>
      </c>
      <c r="K31" s="2">
        <f t="shared" si="2"/>
        <v>1</v>
      </c>
    </row>
    <row r="32" spans="1:11" s="1" customFormat="1" ht="15" customHeight="1" x14ac:dyDescent="0.25">
      <c r="A32" s="2" t="s">
        <v>36</v>
      </c>
      <c r="B32" s="2" t="s">
        <v>37</v>
      </c>
      <c r="C32" s="2" t="s">
        <v>33</v>
      </c>
      <c r="D32" s="2" t="s">
        <v>8</v>
      </c>
      <c r="E32" s="8">
        <v>4114.09</v>
      </c>
      <c r="F32" s="2">
        <v>6</v>
      </c>
      <c r="G32" s="28">
        <f>VLOOKUP(C32,Table1[#All],3,FALSE)*F32</f>
        <v>90</v>
      </c>
      <c r="H32" s="29">
        <f>IF(E32&gt;VLOOKUP(C32,Table1[#All],4,FALSE)*Monday!F32,(Monday!E32-(VLOOKUP(Monday!C32,Table1[#All],4,FALSE)*Monday!F32))*VLOOKUP(Monday!C32,Table1[#All],5,FALSE),0)</f>
        <v>76.602250000000012</v>
      </c>
      <c r="I32" s="29">
        <f t="shared" si="0"/>
        <v>166.60225000000003</v>
      </c>
      <c r="J32" s="2">
        <f t="shared" si="1"/>
        <v>1</v>
      </c>
      <c r="K32" s="2">
        <f t="shared" si="2"/>
        <v>1</v>
      </c>
    </row>
    <row r="33" spans="1:11" s="1" customFormat="1" ht="15" customHeight="1" x14ac:dyDescent="0.25">
      <c r="A33" s="2" t="s">
        <v>84</v>
      </c>
      <c r="B33" s="2" t="s">
        <v>85</v>
      </c>
      <c r="C33" s="2" t="s">
        <v>57</v>
      </c>
      <c r="D33" s="2" t="s">
        <v>20</v>
      </c>
      <c r="E33" s="8">
        <v>1195.42</v>
      </c>
      <c r="F33" s="2">
        <v>4</v>
      </c>
      <c r="G33" s="28">
        <f>VLOOKUP(C33,Table1[#All],3,FALSE)*F33</f>
        <v>42</v>
      </c>
      <c r="H33" s="29">
        <f>IF(E33&gt;VLOOKUP(C33,Table1[#All],4,FALSE)*Monday!F33,(Monday!E33-(VLOOKUP(Monday!C33,Table1[#All],4,FALSE)*Monday!F33))*VLOOKUP(Monday!C33,Table1[#All],5,FALSE),0)</f>
        <v>7.954200000000001</v>
      </c>
      <c r="I33" s="29">
        <f t="shared" si="0"/>
        <v>49.9542</v>
      </c>
      <c r="J33" s="2">
        <f t="shared" si="1"/>
        <v>1</v>
      </c>
      <c r="K33" s="2">
        <f t="shared" si="2"/>
        <v>1</v>
      </c>
    </row>
    <row r="34" spans="1:11" s="1" customFormat="1" ht="15" customHeight="1" x14ac:dyDescent="0.25">
      <c r="A34" s="2" t="s">
        <v>9</v>
      </c>
      <c r="B34" s="2" t="s">
        <v>10</v>
      </c>
      <c r="C34" s="2" t="s">
        <v>5</v>
      </c>
      <c r="D34" s="2" t="s">
        <v>11</v>
      </c>
      <c r="E34" s="8">
        <v>0</v>
      </c>
      <c r="F34" s="2">
        <v>0</v>
      </c>
      <c r="G34" s="28">
        <f>VLOOKUP(C34,Table1[#All],3,FALSE)*F34</f>
        <v>0</v>
      </c>
      <c r="H34" s="29">
        <f>IF(E34&gt;VLOOKUP(C34,Table1[#All],4,FALSE)*Monday!F34,(Monday!E34-(VLOOKUP(Monday!C34,Table1[#All],4,FALSE)*Monday!F34))*VLOOKUP(Monday!C34,Table1[#All],5,FALSE),0)</f>
        <v>0</v>
      </c>
      <c r="I34" s="29">
        <f t="shared" si="0"/>
        <v>0</v>
      </c>
      <c r="J34" s="2">
        <f t="shared" si="1"/>
        <v>0</v>
      </c>
      <c r="K34" s="2">
        <f t="shared" si="2"/>
        <v>0</v>
      </c>
    </row>
    <row r="35" spans="1:11" ht="15" customHeight="1" x14ac:dyDescent="0.25">
      <c r="A35" s="2" t="s">
        <v>86</v>
      </c>
      <c r="B35" s="2" t="s">
        <v>87</v>
      </c>
      <c r="C35" s="2" t="s">
        <v>44</v>
      </c>
      <c r="D35" s="2" t="s">
        <v>20</v>
      </c>
      <c r="E35" s="8">
        <v>1745.9</v>
      </c>
      <c r="F35" s="2">
        <v>2</v>
      </c>
      <c r="G35" s="28">
        <f>VLOOKUP(C35,Table1[#All],3,FALSE)*F35</f>
        <v>23.5</v>
      </c>
      <c r="H35" s="29">
        <f>IF(E35&gt;VLOOKUP(C35,Table1[#All],4,FALSE)*Monday!F35,(Monday!E35-(VLOOKUP(Monday!C35,Table1[#All],4,FALSE)*Monday!F35))*VLOOKUP(Monday!C35,Table1[#All],5,FALSE),0)</f>
        <v>22.438500000000001</v>
      </c>
      <c r="I35" s="29">
        <f t="shared" si="0"/>
        <v>45.938500000000005</v>
      </c>
      <c r="J35" s="2">
        <f t="shared" si="1"/>
        <v>1</v>
      </c>
      <c r="K35" s="2">
        <f t="shared" si="2"/>
        <v>1</v>
      </c>
    </row>
    <row r="36" spans="1:11" ht="15" customHeight="1" x14ac:dyDescent="0.25">
      <c r="A36" s="2" t="s">
        <v>25</v>
      </c>
      <c r="B36" s="2" t="s">
        <v>26</v>
      </c>
      <c r="C36" s="2" t="s">
        <v>19</v>
      </c>
      <c r="D36" s="2" t="s">
        <v>54</v>
      </c>
      <c r="E36" s="8">
        <v>2822.5</v>
      </c>
      <c r="F36" s="2">
        <v>6</v>
      </c>
      <c r="G36" s="28">
        <f>VLOOKUP(C36,Table1[#All],3,FALSE)*F36</f>
        <v>81</v>
      </c>
      <c r="H36" s="29">
        <f>IF(E36&gt;VLOOKUP(C36,Table1[#All],4,FALSE)*Monday!F36,(Monday!E36-(VLOOKUP(Monday!C36,Table1[#All],4,FALSE)*Monday!F36))*VLOOKUP(Monday!C36,Table1[#All],5,FALSE),0)</f>
        <v>38.450000000000003</v>
      </c>
      <c r="I36" s="29">
        <f t="shared" si="0"/>
        <v>119.45</v>
      </c>
      <c r="J36" s="2">
        <f t="shared" si="1"/>
        <v>1</v>
      </c>
      <c r="K36" s="2">
        <f t="shared" si="2"/>
        <v>1</v>
      </c>
    </row>
    <row r="37" spans="1:11" ht="15" customHeight="1" x14ac:dyDescent="0.25">
      <c r="A37" s="2" t="s">
        <v>110</v>
      </c>
      <c r="B37" s="2" t="s">
        <v>111</v>
      </c>
      <c r="C37" s="2" t="s">
        <v>19</v>
      </c>
      <c r="D37" s="2" t="s">
        <v>54</v>
      </c>
      <c r="E37" s="8">
        <v>657.56</v>
      </c>
      <c r="F37" s="2">
        <v>8</v>
      </c>
      <c r="G37" s="28">
        <f>VLOOKUP(C37,Table1[#All],3,FALSE)*F37</f>
        <v>108</v>
      </c>
      <c r="H37" s="29">
        <f>IF(E37&gt;VLOOKUP(C37,Table1[#All],4,FALSE)*Monday!F37,(Monday!E37-(VLOOKUP(Monday!C37,Table1[#All],4,FALSE)*Monday!F37))*VLOOKUP(Monday!C37,Table1[#All],5,FALSE),0)</f>
        <v>0</v>
      </c>
      <c r="I37" s="29">
        <f t="shared" si="0"/>
        <v>108</v>
      </c>
      <c r="J37" s="2">
        <f t="shared" si="1"/>
        <v>0</v>
      </c>
      <c r="K37" s="2">
        <f t="shared" si="2"/>
        <v>1</v>
      </c>
    </row>
    <row r="38" spans="1:11" ht="15" customHeight="1" x14ac:dyDescent="0.25">
      <c r="A38" s="2" t="s">
        <v>92</v>
      </c>
      <c r="B38" s="2" t="s">
        <v>93</v>
      </c>
      <c r="C38" s="2" t="s">
        <v>33</v>
      </c>
      <c r="D38" s="2" t="s">
        <v>8</v>
      </c>
      <c r="E38" s="8">
        <v>1398.88</v>
      </c>
      <c r="F38" s="2">
        <v>6</v>
      </c>
      <c r="G38" s="28">
        <f>VLOOKUP(C38,Table1[#All],3,FALSE)*F38</f>
        <v>90</v>
      </c>
      <c r="H38" s="29">
        <f>IF(E38&gt;VLOOKUP(C38,Table1[#All],4,FALSE)*Monday!F38,(Monday!E38-(VLOOKUP(Monday!C38,Table1[#All],4,FALSE)*Monday!F38))*VLOOKUP(Monday!C38,Table1[#All],5,FALSE),0)</f>
        <v>8.7220000000000031</v>
      </c>
      <c r="I38" s="29">
        <f t="shared" si="0"/>
        <v>98.722000000000008</v>
      </c>
      <c r="J38" s="2">
        <f t="shared" si="1"/>
        <v>1</v>
      </c>
      <c r="K38" s="2">
        <f t="shared" si="2"/>
        <v>1</v>
      </c>
    </row>
    <row r="39" spans="1:11" ht="15" customHeight="1" x14ac:dyDescent="0.25">
      <c r="A39" s="2" t="s">
        <v>112</v>
      </c>
      <c r="B39" s="2" t="s">
        <v>113</v>
      </c>
      <c r="C39" s="2" t="s">
        <v>33</v>
      </c>
      <c r="D39" s="2" t="s">
        <v>54</v>
      </c>
      <c r="E39" s="8">
        <v>0</v>
      </c>
      <c r="F39" s="2">
        <v>0</v>
      </c>
      <c r="G39" s="28">
        <f>VLOOKUP(C39,Table1[#All],3,FALSE)*F39</f>
        <v>0</v>
      </c>
      <c r="H39" s="29">
        <f>IF(E39&gt;VLOOKUP(C39,Table1[#All],4,FALSE)*Monday!F39,(Monday!E39-(VLOOKUP(Monday!C39,Table1[#All],4,FALSE)*Monday!F39))*VLOOKUP(Monday!C39,Table1[#All],5,FALSE),0)</f>
        <v>0</v>
      </c>
      <c r="I39" s="29">
        <f t="shared" si="0"/>
        <v>0</v>
      </c>
      <c r="J39" s="2">
        <f t="shared" si="1"/>
        <v>0</v>
      </c>
      <c r="K39" s="2">
        <f t="shared" si="2"/>
        <v>0</v>
      </c>
    </row>
    <row r="40" spans="1:11" ht="15" customHeight="1" x14ac:dyDescent="0.25">
      <c r="A40" s="2" t="s">
        <v>94</v>
      </c>
      <c r="B40" s="2" t="s">
        <v>95</v>
      </c>
      <c r="C40" s="2" t="s">
        <v>57</v>
      </c>
      <c r="D40" s="2" t="s">
        <v>55</v>
      </c>
      <c r="E40" s="8">
        <v>0</v>
      </c>
      <c r="F40" s="2">
        <v>0</v>
      </c>
      <c r="G40" s="28">
        <f>VLOOKUP(C40,Table1[#All],3,FALSE)*F40</f>
        <v>0</v>
      </c>
      <c r="H40" s="29">
        <f>IF(E40&gt;VLOOKUP(C40,Table1[#All],4,FALSE)*Monday!F40,(Monday!E40-(VLOOKUP(Monday!C40,Table1[#All],4,FALSE)*Monday!F40))*VLOOKUP(Monday!C40,Table1[#All],5,FALSE),0)</f>
        <v>0</v>
      </c>
      <c r="I40" s="29">
        <f t="shared" si="0"/>
        <v>0</v>
      </c>
      <c r="J40" s="2">
        <f t="shared" si="1"/>
        <v>0</v>
      </c>
      <c r="K40" s="2">
        <f t="shared" si="2"/>
        <v>0</v>
      </c>
    </row>
    <row r="41" spans="1:11" ht="15" customHeight="1" x14ac:dyDescent="0.25">
      <c r="A41" s="2" t="s">
        <v>88</v>
      </c>
      <c r="B41" s="2" t="s">
        <v>89</v>
      </c>
      <c r="C41" s="2" t="s">
        <v>19</v>
      </c>
      <c r="D41" s="2" t="s">
        <v>8</v>
      </c>
      <c r="E41" s="8">
        <v>3519.79</v>
      </c>
      <c r="F41" s="2">
        <v>4</v>
      </c>
      <c r="G41" s="28">
        <f>VLOOKUP(C41,Table1[#All],3,FALSE)*F41</f>
        <v>54</v>
      </c>
      <c r="H41" s="29">
        <f>IF(E41&gt;VLOOKUP(C41,Table1[#All],4,FALSE)*Monday!F41,(Monday!E41-(VLOOKUP(Monday!C41,Table1[#All],4,FALSE)*Monday!F41))*VLOOKUP(Monday!C41,Table1[#All],5,FALSE),0)</f>
        <v>58.395800000000001</v>
      </c>
      <c r="I41" s="29">
        <f t="shared" si="0"/>
        <v>112.39580000000001</v>
      </c>
      <c r="J41" s="2">
        <f t="shared" si="1"/>
        <v>1</v>
      </c>
      <c r="K41" s="2">
        <f t="shared" si="2"/>
        <v>1</v>
      </c>
    </row>
    <row r="42" spans="1:11" ht="15" customHeight="1" x14ac:dyDescent="0.25">
      <c r="A42" s="2" t="s">
        <v>90</v>
      </c>
      <c r="B42" s="2" t="s">
        <v>91</v>
      </c>
      <c r="C42" s="2" t="s">
        <v>57</v>
      </c>
      <c r="D42" s="2" t="s">
        <v>8</v>
      </c>
      <c r="E42" s="8">
        <v>2810.02</v>
      </c>
      <c r="F42" s="2">
        <v>5</v>
      </c>
      <c r="G42" s="28">
        <f>VLOOKUP(C42,Table1[#All],3,FALSE)*F42</f>
        <v>52.5</v>
      </c>
      <c r="H42" s="29">
        <f>IF(E42&gt;VLOOKUP(C42,Table1[#All],4,FALSE)*Monday!F42,(Monday!E42-(VLOOKUP(Monday!C42,Table1[#All],4,FALSE)*Monday!F42))*VLOOKUP(Monday!C42,Table1[#All],5,FALSE),0)</f>
        <v>23.100200000000001</v>
      </c>
      <c r="I42" s="29">
        <f t="shared" si="0"/>
        <v>75.600200000000001</v>
      </c>
      <c r="J42" s="2">
        <f t="shared" si="1"/>
        <v>1</v>
      </c>
      <c r="K42" s="2">
        <f t="shared" si="2"/>
        <v>1</v>
      </c>
    </row>
    <row r="43" spans="1:11" ht="15" customHeight="1" x14ac:dyDescent="0.25">
      <c r="A43" s="2" t="s">
        <v>72</v>
      </c>
      <c r="B43" s="2" t="s">
        <v>73</v>
      </c>
      <c r="C43" s="2" t="s">
        <v>19</v>
      </c>
      <c r="D43" s="2" t="s">
        <v>11</v>
      </c>
      <c r="E43" s="8">
        <v>6768.68</v>
      </c>
      <c r="F43" s="2">
        <v>6</v>
      </c>
      <c r="G43" s="28">
        <f>VLOOKUP(C43,Table1[#All],3,FALSE)*F43</f>
        <v>81</v>
      </c>
      <c r="H43" s="29">
        <f>IF(E43&gt;VLOOKUP(C43,Table1[#All],4,FALSE)*Monday!F43,(Monday!E43-(VLOOKUP(Monday!C43,Table1[#All],4,FALSE)*Monday!F43))*VLOOKUP(Monday!C43,Table1[#All],5,FALSE),0)</f>
        <v>117.37360000000001</v>
      </c>
      <c r="I43" s="29">
        <f t="shared" si="0"/>
        <v>198.37360000000001</v>
      </c>
      <c r="J43" s="2">
        <f t="shared" si="1"/>
        <v>1</v>
      </c>
      <c r="K43" s="2">
        <f t="shared" si="2"/>
        <v>1</v>
      </c>
    </row>
    <row r="44" spans="1:11" ht="15" customHeight="1" x14ac:dyDescent="0.25">
      <c r="A44" s="2" t="s">
        <v>12</v>
      </c>
      <c r="B44" s="2" t="s">
        <v>13</v>
      </c>
      <c r="C44" s="2" t="s">
        <v>5</v>
      </c>
      <c r="D44" s="2" t="s">
        <v>56</v>
      </c>
      <c r="E44" s="8">
        <v>1047.6600000000001</v>
      </c>
      <c r="F44" s="2">
        <v>5</v>
      </c>
      <c r="G44" s="28">
        <f>VLOOKUP(C44,Table1[#All],3,FALSE)*F44</f>
        <v>117.5</v>
      </c>
      <c r="H44" s="29">
        <f>IF(E44&gt;VLOOKUP(C44,Table1[#All],4,FALSE)*Monday!F44,(Monday!E44-(VLOOKUP(Monday!C44,Table1[#All],4,FALSE)*Monday!F44))*VLOOKUP(Monday!C44,Table1[#All],5,FALSE),0)</f>
        <v>1.4298000000000024</v>
      </c>
      <c r="I44" s="29">
        <f t="shared" si="0"/>
        <v>118.9298</v>
      </c>
      <c r="J44" s="2">
        <f t="shared" si="1"/>
        <v>1</v>
      </c>
      <c r="K44" s="2">
        <f t="shared" si="2"/>
        <v>1</v>
      </c>
    </row>
    <row r="45" spans="1:11" ht="15" customHeight="1" x14ac:dyDescent="0.25">
      <c r="A45" s="2" t="s">
        <v>47</v>
      </c>
      <c r="B45" s="2" t="s">
        <v>48</v>
      </c>
      <c r="C45" s="2" t="s">
        <v>44</v>
      </c>
      <c r="D45" s="2" t="s">
        <v>54</v>
      </c>
      <c r="E45" s="8">
        <v>0</v>
      </c>
      <c r="F45" s="2">
        <v>0</v>
      </c>
      <c r="G45" s="28">
        <f>VLOOKUP(C45,Table1[#All],3,FALSE)*F45</f>
        <v>0</v>
      </c>
      <c r="H45" s="29">
        <f>IF(E45&gt;VLOOKUP(C45,Table1[#All],4,FALSE)*Monday!F45,(Monday!E45-(VLOOKUP(Monday!C45,Table1[#All],4,FALSE)*Monday!F45))*VLOOKUP(Monday!C45,Table1[#All],5,FALSE),0)</f>
        <v>0</v>
      </c>
      <c r="I45" s="29">
        <f t="shared" si="0"/>
        <v>0</v>
      </c>
      <c r="J45" s="2">
        <f t="shared" si="1"/>
        <v>0</v>
      </c>
      <c r="K45" s="2">
        <f t="shared" si="2"/>
        <v>0</v>
      </c>
    </row>
    <row r="46" spans="1:11" ht="15" customHeight="1" x14ac:dyDescent="0.25">
      <c r="A46" s="2" t="s">
        <v>49</v>
      </c>
      <c r="B46" s="2" t="s">
        <v>50</v>
      </c>
      <c r="C46" s="2" t="s">
        <v>44</v>
      </c>
      <c r="D46" s="2" t="s">
        <v>8</v>
      </c>
      <c r="E46" s="8">
        <v>0</v>
      </c>
      <c r="F46" s="2">
        <v>0</v>
      </c>
      <c r="G46" s="28">
        <f>VLOOKUP(C46,Table1[#All],3,FALSE)*F46</f>
        <v>0</v>
      </c>
      <c r="H46" s="29">
        <f>IF(E46&gt;VLOOKUP(C46,Table1[#All],4,FALSE)*Monday!F46,(Monday!E46-(VLOOKUP(Monday!C46,Table1[#All],4,FALSE)*Monday!F46))*VLOOKUP(Monday!C46,Table1[#All],5,FALSE),0)</f>
        <v>0</v>
      </c>
      <c r="I46" s="29">
        <f t="shared" si="0"/>
        <v>0</v>
      </c>
      <c r="J46" s="2">
        <f t="shared" si="1"/>
        <v>0</v>
      </c>
      <c r="K46" s="2">
        <f t="shared" si="2"/>
        <v>0</v>
      </c>
    </row>
    <row r="47" spans="1:11" ht="15" customHeight="1" x14ac:dyDescent="0.25">
      <c r="A47" s="2" t="s">
        <v>38</v>
      </c>
      <c r="B47" s="2" t="s">
        <v>39</v>
      </c>
      <c r="C47" s="2" t="s">
        <v>33</v>
      </c>
      <c r="D47" s="2" t="s">
        <v>54</v>
      </c>
      <c r="E47" s="8">
        <v>1532.87</v>
      </c>
      <c r="F47" s="2">
        <v>5</v>
      </c>
      <c r="G47" s="28">
        <f>VLOOKUP(C47,Table1[#All],3,FALSE)*F47</f>
        <v>75</v>
      </c>
      <c r="H47" s="29">
        <f>IF(E47&gt;VLOOKUP(C47,Table1[#All],4,FALSE)*Monday!F47,(Monday!E47-(VLOOKUP(Monday!C47,Table1[#All],4,FALSE)*Monday!F47))*VLOOKUP(Monday!C47,Table1[#All],5,FALSE),0)</f>
        <v>16.446749999999998</v>
      </c>
      <c r="I47" s="29">
        <f t="shared" si="0"/>
        <v>91.446749999999994</v>
      </c>
      <c r="J47" s="2">
        <f t="shared" si="1"/>
        <v>1</v>
      </c>
      <c r="K47" s="2">
        <f t="shared" si="2"/>
        <v>1</v>
      </c>
    </row>
    <row r="48" spans="1:11" ht="15" customHeight="1" x14ac:dyDescent="0.25">
      <c r="A48" s="2" t="s">
        <v>114</v>
      </c>
      <c r="B48" s="2" t="s">
        <v>115</v>
      </c>
      <c r="C48" s="2" t="s">
        <v>33</v>
      </c>
      <c r="D48" s="2" t="s">
        <v>55</v>
      </c>
      <c r="E48" s="8">
        <v>0</v>
      </c>
      <c r="F48" s="2">
        <v>8</v>
      </c>
      <c r="G48" s="28">
        <f>VLOOKUP(C48,Table1[#All],3,FALSE)*F48</f>
        <v>120</v>
      </c>
      <c r="H48" s="29">
        <f>IF(E48&gt;VLOOKUP(C48,Table1[#All],4,FALSE)*Monday!F48,(Monday!E48-(VLOOKUP(Monday!C48,Table1[#All],4,FALSE)*Monday!F48))*VLOOKUP(Monday!C48,Table1[#All],5,FALSE),0)</f>
        <v>0</v>
      </c>
      <c r="I48" s="29">
        <f t="shared" si="0"/>
        <v>120</v>
      </c>
      <c r="J48" s="2">
        <f t="shared" si="1"/>
        <v>0</v>
      </c>
      <c r="K48" s="2">
        <f t="shared" si="2"/>
        <v>1</v>
      </c>
    </row>
    <row r="49" spans="1:11" ht="15" customHeight="1" x14ac:dyDescent="0.25">
      <c r="A49" s="2" t="s">
        <v>27</v>
      </c>
      <c r="B49" s="2" t="s">
        <v>28</v>
      </c>
      <c r="C49" s="2" t="s">
        <v>19</v>
      </c>
      <c r="D49" s="2" t="s">
        <v>55</v>
      </c>
      <c r="E49" s="8">
        <v>1486.22</v>
      </c>
      <c r="F49" s="2">
        <v>5</v>
      </c>
      <c r="G49" s="28">
        <f>VLOOKUP(C49,Table1[#All],3,FALSE)*F49</f>
        <v>67.5</v>
      </c>
      <c r="H49" s="29">
        <f>IF(E49&gt;VLOOKUP(C49,Table1[#All],4,FALSE)*Monday!F49,(Monday!E49-(VLOOKUP(Monday!C49,Table1[#All],4,FALSE)*Monday!F49))*VLOOKUP(Monday!C49,Table1[#All],5,FALSE),0)</f>
        <v>14.724400000000001</v>
      </c>
      <c r="I49" s="29">
        <f t="shared" si="0"/>
        <v>82.224400000000003</v>
      </c>
      <c r="J49" s="2">
        <f t="shared" si="1"/>
        <v>1</v>
      </c>
      <c r="K49" s="2">
        <f t="shared" si="2"/>
        <v>1</v>
      </c>
    </row>
    <row r="50" spans="1:11" ht="15" customHeight="1" x14ac:dyDescent="0.25">
      <c r="A50" s="2" t="s">
        <v>96</v>
      </c>
      <c r="B50" s="2" t="s">
        <v>97</v>
      </c>
      <c r="C50" s="2" t="s">
        <v>57</v>
      </c>
      <c r="D50" s="2" t="s">
        <v>55</v>
      </c>
      <c r="E50" s="8">
        <v>0</v>
      </c>
      <c r="F50" s="2">
        <v>0</v>
      </c>
      <c r="G50" s="28">
        <f>VLOOKUP(C50,Table1[#All],3,FALSE)*F50</f>
        <v>0</v>
      </c>
      <c r="H50" s="29">
        <f>IF(E50&gt;VLOOKUP(C50,Table1[#All],4,FALSE)*Monday!F50,(Monday!E50-(VLOOKUP(Monday!C50,Table1[#All],4,FALSE)*Monday!F50))*VLOOKUP(Monday!C50,Table1[#All],5,FALSE),0)</f>
        <v>0</v>
      </c>
      <c r="I50" s="29">
        <f t="shared" si="0"/>
        <v>0</v>
      </c>
      <c r="J50" s="2">
        <f t="shared" si="1"/>
        <v>0</v>
      </c>
      <c r="K50" s="2">
        <f t="shared" si="2"/>
        <v>0</v>
      </c>
    </row>
    <row r="51" spans="1:11" ht="15" customHeight="1" x14ac:dyDescent="0.25">
      <c r="A51" s="2" t="s">
        <v>14</v>
      </c>
      <c r="B51" s="2" t="s">
        <v>15</v>
      </c>
      <c r="C51" s="2" t="s">
        <v>5</v>
      </c>
      <c r="D51" s="2" t="s">
        <v>16</v>
      </c>
      <c r="E51" s="8">
        <v>0</v>
      </c>
      <c r="F51" s="2">
        <v>0</v>
      </c>
      <c r="G51" s="28">
        <f>VLOOKUP(C51,Table1[#All],3,FALSE)*F51</f>
        <v>0</v>
      </c>
      <c r="H51" s="29">
        <f>IF(E51&gt;VLOOKUP(C51,Table1[#All],4,FALSE)*Monday!F51,(Monday!E51-(VLOOKUP(Monday!C51,Table1[#All],4,FALSE)*Monday!F51))*VLOOKUP(Monday!C51,Table1[#All],5,FALSE),0)</f>
        <v>0</v>
      </c>
      <c r="I51" s="29">
        <f t="shared" si="0"/>
        <v>0</v>
      </c>
      <c r="J51" s="2">
        <f t="shared" si="1"/>
        <v>0</v>
      </c>
      <c r="K51" s="2">
        <f t="shared" si="2"/>
        <v>0</v>
      </c>
    </row>
    <row r="52" spans="1:11" ht="15" customHeight="1" x14ac:dyDescent="0.25">
      <c r="A52" s="2" t="s">
        <v>98</v>
      </c>
      <c r="B52" s="2" t="s">
        <v>99</v>
      </c>
      <c r="C52" s="2" t="s">
        <v>33</v>
      </c>
      <c r="D52" s="2" t="s">
        <v>55</v>
      </c>
      <c r="E52" s="8">
        <v>2719.75</v>
      </c>
      <c r="F52" s="2">
        <v>6</v>
      </c>
      <c r="G52" s="28">
        <f>VLOOKUP(C52,Table1[#All],3,FALSE)*F52</f>
        <v>90</v>
      </c>
      <c r="H52" s="29">
        <f>IF(E52&gt;VLOOKUP(C52,Table1[#All],4,FALSE)*Monday!F52,(Monday!E52-(VLOOKUP(Monday!C52,Table1[#All],4,FALSE)*Monday!F52))*VLOOKUP(Monday!C52,Table1[#All],5,FALSE),0)</f>
        <v>41.743750000000006</v>
      </c>
      <c r="I52" s="29">
        <f t="shared" si="0"/>
        <v>131.74375000000001</v>
      </c>
      <c r="J52" s="2">
        <f t="shared" si="1"/>
        <v>1</v>
      </c>
      <c r="K52" s="2">
        <f t="shared" si="2"/>
        <v>1</v>
      </c>
    </row>
    <row r="53" spans="1:11" ht="15" customHeight="1" x14ac:dyDescent="0.25">
      <c r="A53" s="2" t="s">
        <v>40</v>
      </c>
      <c r="B53" s="2" t="s">
        <v>41</v>
      </c>
      <c r="C53" s="2" t="s">
        <v>33</v>
      </c>
      <c r="D53" s="2" t="s">
        <v>54</v>
      </c>
      <c r="E53" s="8">
        <v>1994.48</v>
      </c>
      <c r="F53" s="2">
        <v>8</v>
      </c>
      <c r="G53" s="28">
        <f>VLOOKUP(C53,Table1[#All],3,FALSE)*F53</f>
        <v>120</v>
      </c>
      <c r="H53" s="29">
        <f>IF(E53&gt;VLOOKUP(C53,Table1[#All],4,FALSE)*Monday!F53,(Monday!E53-(VLOOKUP(Monday!C53,Table1[#All],4,FALSE)*Monday!F53))*VLOOKUP(Monday!C53,Table1[#All],5,FALSE),0)</f>
        <v>14.862000000000002</v>
      </c>
      <c r="I53" s="29">
        <f t="shared" si="0"/>
        <v>134.86199999999999</v>
      </c>
      <c r="J53" s="2">
        <f t="shared" si="1"/>
        <v>1</v>
      </c>
      <c r="K53" s="2">
        <f t="shared" si="2"/>
        <v>1</v>
      </c>
    </row>
    <row r="54" spans="1:11" ht="15" customHeight="1" x14ac:dyDescent="0.25">
      <c r="A54" s="2" t="s">
        <v>29</v>
      </c>
      <c r="B54" s="2" t="s">
        <v>30</v>
      </c>
      <c r="C54" s="2" t="s">
        <v>19</v>
      </c>
      <c r="D54" s="2" t="s">
        <v>55</v>
      </c>
      <c r="E54" s="8">
        <v>2127.3200000000002</v>
      </c>
      <c r="F54" s="2">
        <v>8</v>
      </c>
      <c r="G54" s="28">
        <f>VLOOKUP(C54,Table1[#All],3,FALSE)*F54</f>
        <v>108</v>
      </c>
      <c r="H54" s="29">
        <f>IF(E54&gt;VLOOKUP(C54,Table1[#All],4,FALSE)*Monday!F54,(Monday!E54-(VLOOKUP(Monday!C54,Table1[#All],4,FALSE)*Monday!F54))*VLOOKUP(Monday!C54,Table1[#All],5,FALSE),0)</f>
        <v>18.546400000000002</v>
      </c>
      <c r="I54" s="29">
        <f t="shared" si="0"/>
        <v>126.54640000000001</v>
      </c>
      <c r="J54" s="2">
        <f t="shared" si="1"/>
        <v>1</v>
      </c>
      <c r="K54" s="2">
        <f t="shared" si="2"/>
        <v>1</v>
      </c>
    </row>
    <row r="55" spans="1:11" ht="15" customHeight="1" x14ac:dyDescent="0.25">
      <c r="A55" s="2" t="s">
        <v>116</v>
      </c>
      <c r="B55" s="2" t="s">
        <v>117</v>
      </c>
      <c r="C55" s="2" t="s">
        <v>19</v>
      </c>
      <c r="D55" s="2" t="s">
        <v>11</v>
      </c>
      <c r="E55" s="8">
        <v>0</v>
      </c>
      <c r="F55" s="2">
        <v>2</v>
      </c>
      <c r="G55" s="28">
        <f>VLOOKUP(C55,Table1[#All],3,FALSE)*F55</f>
        <v>27</v>
      </c>
      <c r="H55" s="29">
        <f>IF(E55&gt;VLOOKUP(C55,Table1[#All],4,FALSE)*Monday!F55,(Monday!E55-(VLOOKUP(Monday!C55,Table1[#All],4,FALSE)*Monday!F55))*VLOOKUP(Monday!C55,Table1[#All],5,FALSE),0)</f>
        <v>0</v>
      </c>
      <c r="I55" s="29">
        <f t="shared" si="0"/>
        <v>27</v>
      </c>
      <c r="J55" s="2">
        <f t="shared" si="1"/>
        <v>0</v>
      </c>
      <c r="K55" s="2">
        <f t="shared" si="2"/>
        <v>1</v>
      </c>
    </row>
    <row r="56" spans="1:11" ht="15" customHeight="1" x14ac:dyDescent="0.25">
      <c r="A56" s="2" t="s">
        <v>51</v>
      </c>
      <c r="B56" s="2" t="s">
        <v>52</v>
      </c>
      <c r="C56" s="2" t="s">
        <v>44</v>
      </c>
      <c r="D56" s="2" t="s">
        <v>16</v>
      </c>
      <c r="E56" s="8">
        <v>0</v>
      </c>
      <c r="F56" s="2">
        <v>0</v>
      </c>
      <c r="G56" s="28">
        <f>VLOOKUP(C56,Table1[#All],3,FALSE)*F56</f>
        <v>0</v>
      </c>
      <c r="H56" s="29">
        <f>IF(E56&gt;VLOOKUP(C56,Table1[#All],4,FALSE)*Monday!F56,(Monday!E56-(VLOOKUP(Monday!C56,Table1[#All],4,FALSE)*Monday!F56))*VLOOKUP(Monday!C56,Table1[#All],5,FALSE),0)</f>
        <v>0</v>
      </c>
      <c r="I56" s="29">
        <f t="shared" si="0"/>
        <v>0</v>
      </c>
      <c r="J56" s="2">
        <f t="shared" si="1"/>
        <v>0</v>
      </c>
      <c r="K56" s="2">
        <f t="shared" si="2"/>
        <v>0</v>
      </c>
    </row>
    <row r="57" spans="1:11" x14ac:dyDescent="0.25">
      <c r="F57" s="6"/>
    </row>
    <row r="59" spans="1:11" x14ac:dyDescent="0.25">
      <c r="A59" s="2" t="s">
        <v>137</v>
      </c>
      <c r="E59" s="31">
        <f>SUM(E5:E56)</f>
        <v>69476.150000000009</v>
      </c>
      <c r="G59" s="29">
        <f>SUM(G5:G56)</f>
        <v>3110</v>
      </c>
      <c r="H59" s="29">
        <f>SUM(H5:H56)</f>
        <v>765.53079999999966</v>
      </c>
      <c r="I59" s="29">
        <f>SUM(I5:I56)</f>
        <v>3875.5308000000009</v>
      </c>
      <c r="J59" s="33">
        <f>SUM(J5:J56)</f>
        <v>28</v>
      </c>
      <c r="K59" s="33">
        <f>SUM(K5:K56)</f>
        <v>37</v>
      </c>
    </row>
    <row r="60" spans="1:11" ht="15" customHeight="1" x14ac:dyDescent="0.25">
      <c r="A60" s="2" t="s">
        <v>138</v>
      </c>
      <c r="E60" s="31">
        <f>AVERAGE(E5:E56)</f>
        <v>1336.0798076923079</v>
      </c>
      <c r="G60" s="29">
        <f>AVERAGE(G5:G56)</f>
        <v>59.807692307692307</v>
      </c>
      <c r="H60" s="29">
        <f>AVERAGE(H5:H56)</f>
        <v>14.721746153846148</v>
      </c>
      <c r="I60" s="29">
        <f>AVERAGE(I5:I56)</f>
        <v>74.529438461538476</v>
      </c>
      <c r="K60" s="32">
        <f>J59/K59</f>
        <v>0.7567567567567568</v>
      </c>
    </row>
    <row r="61" spans="1:11" ht="18" customHeight="1" x14ac:dyDescent="0.25">
      <c r="A61" s="2" t="s">
        <v>139</v>
      </c>
      <c r="E61" s="31">
        <f>MIN(E5:E56)</f>
        <v>0</v>
      </c>
      <c r="G61" s="29">
        <f>MIN(G5:G56)</f>
        <v>0</v>
      </c>
      <c r="H61" s="29">
        <f>MIN(H5:H56)</f>
        <v>0</v>
      </c>
      <c r="I61" s="29">
        <f>MIN(I5:I56)</f>
        <v>0</v>
      </c>
    </row>
    <row r="62" spans="1:11" x14ac:dyDescent="0.25">
      <c r="A62" s="2" t="s">
        <v>140</v>
      </c>
      <c r="E62" s="8">
        <f>(MAX(E5:E56))</f>
        <v>6768.68</v>
      </c>
      <c r="G62" s="29">
        <f>MAX(G5:G56)</f>
        <v>188</v>
      </c>
      <c r="H62" s="29">
        <f>MAX(H5:H56)</f>
        <v>117.37360000000001</v>
      </c>
      <c r="I62" s="29">
        <f>MAX(I5:I56)</f>
        <v>219.63319999999999</v>
      </c>
    </row>
  </sheetData>
  <mergeCells count="3">
    <mergeCell ref="A1:K1"/>
    <mergeCell ref="A2:K2"/>
    <mergeCell ref="A3:K3"/>
  </mergeCells>
  <phoneticPr fontId="1" type="noConversion"/>
  <printOptions headings="1" gridLines="1"/>
  <pageMargins left="0.75" right="0.75" top="1" bottom="1" header="0.5" footer="0.5"/>
  <pageSetup scale="54" orientation="landscape" blackAndWhite="1" horizontalDpi="300" verticalDpi="300" r:id="rId1"/>
  <headerFooter alignWithMargins="0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65"/>
  <sheetViews>
    <sheetView topLeftCell="A4" workbookViewId="0">
      <selection activeCell="D22" sqref="D22"/>
    </sheetView>
  </sheetViews>
  <sheetFormatPr defaultColWidth="9.109375" defaultRowHeight="13.2" x14ac:dyDescent="0.25"/>
  <cols>
    <col min="1" max="1" width="12.6640625" style="2" customWidth="1"/>
    <col min="2" max="2" width="12.88671875" style="2" customWidth="1"/>
    <col min="3" max="3" width="15.109375" style="2" customWidth="1"/>
    <col min="4" max="4" width="17" style="2" customWidth="1"/>
    <col min="5" max="5" width="14.44140625" customWidth="1"/>
    <col min="6" max="6" width="15.6640625" style="3" customWidth="1"/>
    <col min="7" max="7" width="13" style="2" customWidth="1"/>
    <col min="8" max="8" width="15.44140625" style="2" customWidth="1"/>
    <col min="9" max="9" width="13.5546875" style="2" customWidth="1"/>
    <col min="10" max="10" width="13.6640625" style="2" customWidth="1"/>
    <col min="11" max="11" width="15.6640625" style="2" customWidth="1"/>
    <col min="12" max="16384" width="9.109375" style="2"/>
  </cols>
  <sheetData>
    <row r="1" spans="1:11" ht="22.5" customHeight="1" x14ac:dyDescent="0.25">
      <c r="A1" s="69" t="s">
        <v>119</v>
      </c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1" x14ac:dyDescent="0.25">
      <c r="A2" s="70" t="s">
        <v>120</v>
      </c>
      <c r="B2" s="70"/>
      <c r="C2" s="70"/>
      <c r="D2" s="70"/>
      <c r="E2" s="70"/>
      <c r="F2" s="70"/>
      <c r="G2" s="70"/>
      <c r="H2" s="70"/>
      <c r="I2" s="70"/>
      <c r="J2" s="70"/>
      <c r="K2" s="70"/>
    </row>
    <row r="3" spans="1:11" ht="12" customHeight="1" x14ac:dyDescent="0.25">
      <c r="A3" s="71">
        <f ca="1">NOW()</f>
        <v>43760.754998263888</v>
      </c>
      <c r="B3" s="71"/>
      <c r="C3" s="71"/>
      <c r="D3" s="71"/>
      <c r="E3" s="71"/>
      <c r="F3" s="71"/>
      <c r="G3" s="71"/>
      <c r="H3" s="71"/>
      <c r="I3" s="71"/>
      <c r="J3" s="71"/>
      <c r="K3" s="71"/>
    </row>
    <row r="4" spans="1:11" customFormat="1" ht="16.5" customHeight="1" x14ac:dyDescent="0.25">
      <c r="A4" s="9" t="s">
        <v>0</v>
      </c>
      <c r="B4" s="9" t="s">
        <v>1</v>
      </c>
      <c r="C4" s="9" t="s">
        <v>58</v>
      </c>
      <c r="D4" s="9" t="s">
        <v>2</v>
      </c>
      <c r="E4" s="9" t="s">
        <v>53</v>
      </c>
      <c r="F4" s="9" t="s">
        <v>118</v>
      </c>
      <c r="G4" s="9" t="s">
        <v>121</v>
      </c>
      <c r="H4" s="9" t="s">
        <v>133</v>
      </c>
      <c r="I4" s="9" t="s">
        <v>134</v>
      </c>
      <c r="J4" s="9" t="s">
        <v>135</v>
      </c>
      <c r="K4" s="9" t="s">
        <v>136</v>
      </c>
    </row>
    <row r="5" spans="1:11" ht="15" customHeight="1" x14ac:dyDescent="0.25">
      <c r="A5" s="2" t="s">
        <v>3</v>
      </c>
      <c r="B5" s="2" t="s">
        <v>4</v>
      </c>
      <c r="C5" s="2" t="s">
        <v>5</v>
      </c>
      <c r="D5" s="2" t="s">
        <v>54</v>
      </c>
      <c r="E5" s="8">
        <v>1927.74</v>
      </c>
      <c r="F5" s="2">
        <v>8</v>
      </c>
      <c r="G5" s="28">
        <f>VLOOKUP(C5,Table1[#All],3,FALSE)*F5</f>
        <v>188</v>
      </c>
      <c r="H5" s="29">
        <f>IF(E5&gt;VLOOKUP(C5,Table1[#All],4,FALSE)*Tuesday!F5,(Tuesday!E5-(VLOOKUP(Tuesday!C5,Table1[#All],4,FALSE)*Tuesday!F5))*VLOOKUP(Tuesday!C5,Table1[#All],5,FALSE),0)</f>
        <v>9.8322000000000003</v>
      </c>
      <c r="I5" s="29">
        <f>G5+H5</f>
        <v>197.8322</v>
      </c>
      <c r="J5" s="2">
        <f>IF(H5&gt;0,1,0)</f>
        <v>1</v>
      </c>
      <c r="K5" s="2">
        <f>IF(F5&gt;0,1,0)</f>
        <v>1</v>
      </c>
    </row>
    <row r="6" spans="1:11" ht="15" customHeight="1" x14ac:dyDescent="0.25">
      <c r="A6" s="2" t="s">
        <v>42</v>
      </c>
      <c r="B6" s="2" t="s">
        <v>43</v>
      </c>
      <c r="C6" s="2" t="s">
        <v>44</v>
      </c>
      <c r="D6" s="2" t="s">
        <v>54</v>
      </c>
      <c r="E6" s="8">
        <v>145.02000000000001</v>
      </c>
      <c r="F6" s="2">
        <v>2</v>
      </c>
      <c r="G6" s="28">
        <f>VLOOKUP(C6,Table1[#All],3,FALSE)*F6</f>
        <v>23.5</v>
      </c>
      <c r="H6" s="29">
        <f>IF(E6&gt;VLOOKUP(C6,Table1[#All],4,FALSE)*Tuesday!F6,(Tuesday!E6-(VLOOKUP(Tuesday!C6,Table1[#All],4,FALSE)*Tuesday!F6))*VLOOKUP(Tuesday!C6,Table1[#All],5,FALSE),0)</f>
        <v>0</v>
      </c>
      <c r="I6" s="29">
        <f t="shared" ref="I6:I56" si="0">G6+H6</f>
        <v>23.5</v>
      </c>
      <c r="J6" s="2">
        <f t="shared" ref="J6:J56" si="1">IF(H6&gt;0,1,0)</f>
        <v>0</v>
      </c>
      <c r="K6" s="2">
        <f t="shared" ref="K6:K56" si="2">IF(F6&gt;0,1,0)</f>
        <v>1</v>
      </c>
    </row>
    <row r="7" spans="1:11" ht="15" customHeight="1" x14ac:dyDescent="0.25">
      <c r="A7" s="2" t="s">
        <v>31</v>
      </c>
      <c r="B7" s="2" t="s">
        <v>32</v>
      </c>
      <c r="C7" s="2" t="s">
        <v>33</v>
      </c>
      <c r="D7" s="2" t="s">
        <v>16</v>
      </c>
      <c r="E7" s="8">
        <v>1674.25</v>
      </c>
      <c r="F7" s="2">
        <v>8</v>
      </c>
      <c r="G7" s="28">
        <f>VLOOKUP(C7,Table1[#All],3,FALSE)*F7</f>
        <v>120</v>
      </c>
      <c r="H7" s="29">
        <f>IF(E7&gt;VLOOKUP(C7,Table1[#All],4,FALSE)*Tuesday!F7,(Tuesday!E7-(VLOOKUP(Tuesday!C7,Table1[#All],4,FALSE)*Tuesday!F7))*VLOOKUP(Tuesday!C7,Table1[#All],5,FALSE),0)</f>
        <v>6.8562500000000002</v>
      </c>
      <c r="I7" s="29">
        <f t="shared" si="0"/>
        <v>126.85625</v>
      </c>
      <c r="J7" s="2">
        <f t="shared" si="1"/>
        <v>1</v>
      </c>
      <c r="K7" s="2">
        <f t="shared" si="2"/>
        <v>1</v>
      </c>
    </row>
    <row r="8" spans="1:11" ht="15" customHeight="1" x14ac:dyDescent="0.25">
      <c r="A8" s="2" t="s">
        <v>34</v>
      </c>
      <c r="B8" s="2" t="s">
        <v>35</v>
      </c>
      <c r="C8" s="2" t="s">
        <v>33</v>
      </c>
      <c r="D8" s="2" t="s">
        <v>20</v>
      </c>
      <c r="E8" s="8">
        <v>718.63</v>
      </c>
      <c r="F8" s="2">
        <v>5</v>
      </c>
      <c r="G8" s="28">
        <f>VLOOKUP(C8,Table1[#All],3,FALSE)*F8</f>
        <v>75</v>
      </c>
      <c r="H8" s="29">
        <f>IF(E8&gt;VLOOKUP(C8,Table1[#All],4,FALSE)*Tuesday!F8,(Tuesday!E8-(VLOOKUP(Tuesday!C8,Table1[#All],4,FALSE)*Tuesday!F8))*VLOOKUP(Tuesday!C8,Table1[#All],5,FALSE),0)</f>
        <v>0</v>
      </c>
      <c r="I8" s="29">
        <f t="shared" si="0"/>
        <v>75</v>
      </c>
      <c r="J8" s="2">
        <f t="shared" si="1"/>
        <v>0</v>
      </c>
      <c r="K8" s="2">
        <f t="shared" si="2"/>
        <v>1</v>
      </c>
    </row>
    <row r="9" spans="1:11" ht="15" customHeight="1" x14ac:dyDescent="0.25">
      <c r="A9" s="2" t="s">
        <v>6</v>
      </c>
      <c r="B9" s="2" t="s">
        <v>7</v>
      </c>
      <c r="C9" s="2" t="s">
        <v>5</v>
      </c>
      <c r="D9" s="2" t="s">
        <v>8</v>
      </c>
      <c r="E9" s="8">
        <v>1501.8</v>
      </c>
      <c r="F9" s="2">
        <v>8</v>
      </c>
      <c r="G9" s="28">
        <f>VLOOKUP(C9,Table1[#All],3,FALSE)*F9</f>
        <v>188</v>
      </c>
      <c r="H9" s="29">
        <f>IF(E9&gt;VLOOKUP(C9,Table1[#All],4,FALSE)*Tuesday!F9,(Tuesday!E9-(VLOOKUP(Tuesday!C9,Table1[#All],4,FALSE)*Tuesday!F9))*VLOOKUP(Tuesday!C9,Table1[#All],5,FALSE),0)</f>
        <v>0</v>
      </c>
      <c r="I9" s="29">
        <f t="shared" si="0"/>
        <v>188</v>
      </c>
      <c r="J9" s="2">
        <f t="shared" si="1"/>
        <v>0</v>
      </c>
      <c r="K9" s="2">
        <f t="shared" si="2"/>
        <v>1</v>
      </c>
    </row>
    <row r="10" spans="1:11" ht="15" customHeight="1" x14ac:dyDescent="0.25">
      <c r="A10" s="2" t="s">
        <v>100</v>
      </c>
      <c r="B10" s="2" t="s">
        <v>15</v>
      </c>
      <c r="C10" s="2" t="s">
        <v>57</v>
      </c>
      <c r="D10" s="2" t="s">
        <v>11</v>
      </c>
      <c r="E10" s="8">
        <v>5600</v>
      </c>
      <c r="F10" s="2">
        <v>4</v>
      </c>
      <c r="G10" s="28">
        <f>VLOOKUP(C10,Table1[#All],3,FALSE)*F10</f>
        <v>42</v>
      </c>
      <c r="H10" s="29">
        <f>IF(E10&gt;VLOOKUP(C10,Table1[#All],4,FALSE)*Tuesday!F10,(Tuesday!E10-(VLOOKUP(Tuesday!C10,Table1[#All],4,FALSE)*Tuesday!F10))*VLOOKUP(Tuesday!C10,Table1[#All],5,FALSE),0)</f>
        <v>52</v>
      </c>
      <c r="I10" s="29">
        <f t="shared" si="0"/>
        <v>94</v>
      </c>
      <c r="J10" s="2">
        <f t="shared" si="1"/>
        <v>1</v>
      </c>
      <c r="K10" s="2">
        <f t="shared" si="2"/>
        <v>1</v>
      </c>
    </row>
    <row r="11" spans="1:11" ht="15" customHeight="1" x14ac:dyDescent="0.25">
      <c r="A11" s="2" t="s">
        <v>63</v>
      </c>
      <c r="B11" s="2" t="s">
        <v>64</v>
      </c>
      <c r="C11" s="2" t="s">
        <v>57</v>
      </c>
      <c r="D11" s="2" t="s">
        <v>56</v>
      </c>
      <c r="E11" s="8">
        <v>0</v>
      </c>
      <c r="F11" s="2">
        <v>0</v>
      </c>
      <c r="G11" s="28">
        <f>VLOOKUP(C11,Table1[#All],3,FALSE)*F11</f>
        <v>0</v>
      </c>
      <c r="H11" s="29">
        <f>IF(E11&gt;VLOOKUP(C11,Table1[#All],4,FALSE)*Tuesday!F11,(Tuesday!E11-(VLOOKUP(Tuesday!C11,Table1[#All],4,FALSE)*Tuesday!F11))*VLOOKUP(Tuesday!C11,Table1[#All],5,FALSE),0)</f>
        <v>0</v>
      </c>
      <c r="I11" s="29">
        <f t="shared" si="0"/>
        <v>0</v>
      </c>
      <c r="J11" s="2">
        <f t="shared" si="1"/>
        <v>0</v>
      </c>
      <c r="K11" s="2">
        <f t="shared" si="2"/>
        <v>0</v>
      </c>
    </row>
    <row r="12" spans="1:11" ht="15" customHeight="1" x14ac:dyDescent="0.25">
      <c r="A12" s="2" t="s">
        <v>61</v>
      </c>
      <c r="B12" s="2" t="s">
        <v>62</v>
      </c>
      <c r="C12" s="2" t="s">
        <v>19</v>
      </c>
      <c r="D12" s="2" t="s">
        <v>56</v>
      </c>
      <c r="E12" s="8">
        <v>1565.72</v>
      </c>
      <c r="F12" s="2">
        <v>6</v>
      </c>
      <c r="G12" s="28">
        <f>VLOOKUP(C12,Table1[#All],3,FALSE)*F12</f>
        <v>81</v>
      </c>
      <c r="H12" s="29">
        <f>IF(E12&gt;VLOOKUP(C12,Table1[#All],4,FALSE)*Tuesday!F12,(Tuesday!E12-(VLOOKUP(Tuesday!C12,Table1[#All],4,FALSE)*Tuesday!F12))*VLOOKUP(Tuesday!C12,Table1[#All],5,FALSE),0)</f>
        <v>13.314400000000001</v>
      </c>
      <c r="I12" s="29">
        <f t="shared" si="0"/>
        <v>94.314400000000006</v>
      </c>
      <c r="J12" s="2">
        <f t="shared" si="1"/>
        <v>1</v>
      </c>
      <c r="K12" s="2">
        <f t="shared" si="2"/>
        <v>1</v>
      </c>
    </row>
    <row r="13" spans="1:11" ht="15" customHeight="1" x14ac:dyDescent="0.25">
      <c r="A13" s="2" t="s">
        <v>101</v>
      </c>
      <c r="B13" s="2" t="s">
        <v>102</v>
      </c>
      <c r="C13" s="2" t="s">
        <v>57</v>
      </c>
      <c r="D13" s="2" t="s">
        <v>54</v>
      </c>
      <c r="E13" s="8">
        <v>640.89</v>
      </c>
      <c r="F13" s="2">
        <v>5</v>
      </c>
      <c r="G13" s="28">
        <f>VLOOKUP(C13,Table1[#All],3,FALSE)*F13</f>
        <v>52.5</v>
      </c>
      <c r="H13" s="29">
        <f>IF(E13&gt;VLOOKUP(C13,Table1[#All],4,FALSE)*Tuesday!F13,(Tuesday!E13-(VLOOKUP(Tuesday!C13,Table1[#All],4,FALSE)*Tuesday!F13))*VLOOKUP(Tuesday!C13,Table1[#All],5,FALSE),0)</f>
        <v>1.4088999999999998</v>
      </c>
      <c r="I13" s="29">
        <f t="shared" si="0"/>
        <v>53.908900000000003</v>
      </c>
      <c r="J13" s="2">
        <f t="shared" si="1"/>
        <v>1</v>
      </c>
      <c r="K13" s="2">
        <f t="shared" si="2"/>
        <v>1</v>
      </c>
    </row>
    <row r="14" spans="1:11" ht="15" customHeight="1" x14ac:dyDescent="0.25">
      <c r="A14" s="2" t="s">
        <v>65</v>
      </c>
      <c r="B14" s="2" t="s">
        <v>66</v>
      </c>
      <c r="C14" s="2" t="s">
        <v>57</v>
      </c>
      <c r="D14" s="2" t="s">
        <v>56</v>
      </c>
      <c r="E14" s="8">
        <v>0</v>
      </c>
      <c r="F14" s="2">
        <v>0</v>
      </c>
      <c r="G14" s="28">
        <f>VLOOKUP(C14,Table1[#All],3,FALSE)*F14</f>
        <v>0</v>
      </c>
      <c r="H14" s="29">
        <f>IF(E14&gt;VLOOKUP(C14,Table1[#All],4,FALSE)*Tuesday!F14,(Tuesday!E14-(VLOOKUP(Tuesday!C14,Table1[#All],4,FALSE)*Tuesday!F14))*VLOOKUP(Tuesday!C14,Table1[#All],5,FALSE),0)</f>
        <v>0</v>
      </c>
      <c r="I14" s="29">
        <f t="shared" si="0"/>
        <v>0</v>
      </c>
      <c r="J14" s="2">
        <f t="shared" si="1"/>
        <v>0</v>
      </c>
      <c r="K14" s="2">
        <f t="shared" si="2"/>
        <v>0</v>
      </c>
    </row>
    <row r="15" spans="1:11" ht="15" customHeight="1" x14ac:dyDescent="0.25">
      <c r="A15" s="2" t="s">
        <v>69</v>
      </c>
      <c r="B15" s="2" t="s">
        <v>10</v>
      </c>
      <c r="C15" s="2" t="s">
        <v>44</v>
      </c>
      <c r="D15" s="2" t="s">
        <v>16</v>
      </c>
      <c r="E15" s="8">
        <v>2489.42</v>
      </c>
      <c r="F15" s="2">
        <v>8</v>
      </c>
      <c r="G15" s="28">
        <f>VLOOKUP(C15,Table1[#All],3,FALSE)*F15</f>
        <v>94</v>
      </c>
      <c r="H15" s="29">
        <f>IF(E15&gt;VLOOKUP(C15,Table1[#All],4,FALSE)*Tuesday!F15,(Tuesday!E15-(VLOOKUP(Tuesday!C15,Table1[#All],4,FALSE)*Tuesday!F15))*VLOOKUP(Tuesday!C15,Table1[#All],5,FALSE),0)</f>
        <v>22.3413</v>
      </c>
      <c r="I15" s="29">
        <f t="shared" si="0"/>
        <v>116.3413</v>
      </c>
      <c r="J15" s="2">
        <f t="shared" si="1"/>
        <v>1</v>
      </c>
      <c r="K15" s="2">
        <f t="shared" si="2"/>
        <v>1</v>
      </c>
    </row>
    <row r="16" spans="1:11" ht="15" customHeight="1" x14ac:dyDescent="0.25">
      <c r="A16" s="2" t="s">
        <v>67</v>
      </c>
      <c r="B16" s="2" t="s">
        <v>68</v>
      </c>
      <c r="C16" s="2" t="s">
        <v>33</v>
      </c>
      <c r="D16" s="2" t="s">
        <v>56</v>
      </c>
      <c r="E16" s="8">
        <v>0</v>
      </c>
      <c r="F16" s="2">
        <v>0</v>
      </c>
      <c r="G16" s="28">
        <f>VLOOKUP(C16,Table1[#All],3,FALSE)*F16</f>
        <v>0</v>
      </c>
      <c r="H16" s="29">
        <f>IF(E16&gt;VLOOKUP(C16,Table1[#All],4,FALSE)*Tuesday!F16,(Tuesday!E16-(VLOOKUP(Tuesday!C16,Table1[#All],4,FALSE)*Tuesday!F16))*VLOOKUP(Tuesday!C16,Table1[#All],5,FALSE),0)</f>
        <v>0</v>
      </c>
      <c r="I16" s="29">
        <f t="shared" si="0"/>
        <v>0</v>
      </c>
      <c r="J16" s="2">
        <f t="shared" si="1"/>
        <v>0</v>
      </c>
      <c r="K16" s="2">
        <f t="shared" si="2"/>
        <v>0</v>
      </c>
    </row>
    <row r="17" spans="1:11" ht="15" customHeight="1" x14ac:dyDescent="0.25">
      <c r="A17" s="2" t="s">
        <v>74</v>
      </c>
      <c r="B17" s="2" t="s">
        <v>75</v>
      </c>
      <c r="C17" s="2" t="s">
        <v>19</v>
      </c>
      <c r="D17" s="2" t="s">
        <v>11</v>
      </c>
      <c r="E17" s="8">
        <v>0</v>
      </c>
      <c r="F17" s="2">
        <v>0</v>
      </c>
      <c r="G17" s="28">
        <f>VLOOKUP(C17,Table1[#All],3,FALSE)*F17</f>
        <v>0</v>
      </c>
      <c r="H17" s="29">
        <f>IF(E17&gt;VLOOKUP(C17,Table1[#All],4,FALSE)*Tuesday!F17,(Tuesday!E17-(VLOOKUP(Tuesday!C17,Table1[#All],4,FALSE)*Tuesday!F17))*VLOOKUP(Tuesday!C17,Table1[#All],5,FALSE),0)</f>
        <v>0</v>
      </c>
      <c r="I17" s="29">
        <f t="shared" si="0"/>
        <v>0</v>
      </c>
      <c r="J17" s="2">
        <f t="shared" si="1"/>
        <v>0</v>
      </c>
      <c r="K17" s="2">
        <f t="shared" si="2"/>
        <v>0</v>
      </c>
    </row>
    <row r="18" spans="1:11" ht="15" customHeight="1" x14ac:dyDescent="0.25">
      <c r="A18" s="2" t="s">
        <v>70</v>
      </c>
      <c r="B18" s="2" t="s">
        <v>71</v>
      </c>
      <c r="C18" s="2" t="s">
        <v>19</v>
      </c>
      <c r="D18" s="2" t="s">
        <v>16</v>
      </c>
      <c r="E18" s="8">
        <v>1349.77</v>
      </c>
      <c r="F18" s="2">
        <v>8</v>
      </c>
      <c r="G18" s="28">
        <f>VLOOKUP(C18,Table1[#All],3,FALSE)*F18</f>
        <v>108</v>
      </c>
      <c r="H18" s="29">
        <f>IF(E18&gt;VLOOKUP(C18,Table1[#All],4,FALSE)*Tuesday!F18,(Tuesday!E18-(VLOOKUP(Tuesday!C18,Table1[#All],4,FALSE)*Tuesday!F18))*VLOOKUP(Tuesday!C18,Table1[#All],5,FALSE),0)</f>
        <v>2.9953999999999996</v>
      </c>
      <c r="I18" s="29">
        <f t="shared" si="0"/>
        <v>110.9954</v>
      </c>
      <c r="J18" s="2">
        <f t="shared" si="1"/>
        <v>1</v>
      </c>
      <c r="K18" s="2">
        <f t="shared" si="2"/>
        <v>1</v>
      </c>
    </row>
    <row r="19" spans="1:11" ht="15" customHeight="1" x14ac:dyDescent="0.25">
      <c r="A19" s="2" t="s">
        <v>17</v>
      </c>
      <c r="B19" s="2" t="s">
        <v>18</v>
      </c>
      <c r="C19" s="2" t="s">
        <v>19</v>
      </c>
      <c r="D19" s="2" t="s">
        <v>20</v>
      </c>
      <c r="E19" s="8">
        <v>784.67</v>
      </c>
      <c r="F19" s="2">
        <v>4</v>
      </c>
      <c r="G19" s="28">
        <f>VLOOKUP(C19,Table1[#All],3,FALSE)*F19</f>
        <v>54</v>
      </c>
      <c r="H19" s="29">
        <f>IF(E19&gt;VLOOKUP(C19,Table1[#All],4,FALSE)*Tuesday!F19,(Tuesday!E19-(VLOOKUP(Tuesday!C19,Table1[#All],4,FALSE)*Tuesday!F19))*VLOOKUP(Tuesday!C19,Table1[#All],5,FALSE),0)</f>
        <v>3.6933999999999991</v>
      </c>
      <c r="I19" s="29">
        <f t="shared" si="0"/>
        <v>57.693399999999997</v>
      </c>
      <c r="J19" s="2">
        <f t="shared" si="1"/>
        <v>1</v>
      </c>
      <c r="K19" s="2">
        <f t="shared" si="2"/>
        <v>1</v>
      </c>
    </row>
    <row r="20" spans="1:11" ht="15" customHeight="1" x14ac:dyDescent="0.25">
      <c r="A20" s="2" t="s">
        <v>103</v>
      </c>
      <c r="B20" s="2" t="s">
        <v>104</v>
      </c>
      <c r="C20" s="2" t="s">
        <v>57</v>
      </c>
      <c r="D20" s="2" t="s">
        <v>55</v>
      </c>
      <c r="E20" s="8">
        <v>1208.96</v>
      </c>
      <c r="F20" s="2">
        <v>6</v>
      </c>
      <c r="G20" s="28">
        <f>VLOOKUP(C20,Table1[#All],3,FALSE)*F20</f>
        <v>63</v>
      </c>
      <c r="H20" s="29">
        <f>IF(E20&gt;VLOOKUP(C20,Table1[#All],4,FALSE)*Tuesday!F20,(Tuesday!E20-(VLOOKUP(Tuesday!C20,Table1[#All],4,FALSE)*Tuesday!F20))*VLOOKUP(Tuesday!C20,Table1[#All],5,FALSE),0)</f>
        <v>6.0896000000000008</v>
      </c>
      <c r="I20" s="29">
        <f t="shared" si="0"/>
        <v>69.089600000000004</v>
      </c>
      <c r="J20" s="2">
        <f t="shared" si="1"/>
        <v>1</v>
      </c>
      <c r="K20" s="2">
        <f t="shared" si="2"/>
        <v>1</v>
      </c>
    </row>
    <row r="21" spans="1:11" ht="15" customHeight="1" x14ac:dyDescent="0.25">
      <c r="A21" s="2" t="s">
        <v>76</v>
      </c>
      <c r="B21" s="2" t="s">
        <v>77</v>
      </c>
      <c r="C21" s="2" t="s">
        <v>57</v>
      </c>
      <c r="D21" s="2" t="s">
        <v>11</v>
      </c>
      <c r="E21" s="8">
        <v>5414.32</v>
      </c>
      <c r="F21" s="2">
        <v>7</v>
      </c>
      <c r="G21" s="28">
        <f>VLOOKUP(C21,Table1[#All],3,FALSE)*F21</f>
        <v>73.5</v>
      </c>
      <c r="H21" s="29">
        <f>IF(E21&gt;VLOOKUP(C21,Table1[#All],4,FALSE)*Tuesday!F21,(Tuesday!E21-(VLOOKUP(Tuesday!C21,Table1[#All],4,FALSE)*Tuesday!F21))*VLOOKUP(Tuesday!C21,Table1[#All],5,FALSE),0)</f>
        <v>47.1432</v>
      </c>
      <c r="I21" s="29">
        <f t="shared" si="0"/>
        <v>120.64320000000001</v>
      </c>
      <c r="J21" s="2">
        <f t="shared" si="1"/>
        <v>1</v>
      </c>
      <c r="K21" s="2">
        <f t="shared" si="2"/>
        <v>1</v>
      </c>
    </row>
    <row r="22" spans="1:11" ht="15" customHeight="1" x14ac:dyDescent="0.25">
      <c r="A22" s="2" t="s">
        <v>78</v>
      </c>
      <c r="B22" s="2" t="s">
        <v>79</v>
      </c>
      <c r="C22" s="2" t="s">
        <v>44</v>
      </c>
      <c r="D22" s="2" t="s">
        <v>11</v>
      </c>
      <c r="E22" s="8">
        <v>10031.4</v>
      </c>
      <c r="F22" s="2">
        <v>2</v>
      </c>
      <c r="G22" s="28">
        <f>VLOOKUP(C22,Table1[#All],3,FALSE)*F22</f>
        <v>23.5</v>
      </c>
      <c r="H22" s="29">
        <f>IF(E22&gt;VLOOKUP(C22,Table1[#All],4,FALSE)*Tuesday!F22,(Tuesday!E22-(VLOOKUP(Tuesday!C22,Table1[#All],4,FALSE)*Tuesday!F22))*VLOOKUP(Tuesday!C22,Table1[#All],5,FALSE),0)</f>
        <v>146.72099999999998</v>
      </c>
      <c r="I22" s="29">
        <f t="shared" si="0"/>
        <v>170.22099999999998</v>
      </c>
      <c r="J22" s="2">
        <f t="shared" si="1"/>
        <v>1</v>
      </c>
      <c r="K22" s="2">
        <f t="shared" si="2"/>
        <v>1</v>
      </c>
    </row>
    <row r="23" spans="1:11" ht="15" customHeight="1" x14ac:dyDescent="0.25">
      <c r="A23" s="2" t="s">
        <v>21</v>
      </c>
      <c r="B23" s="2" t="s">
        <v>22</v>
      </c>
      <c r="C23" s="2" t="s">
        <v>19</v>
      </c>
      <c r="D23" s="2" t="s">
        <v>16</v>
      </c>
      <c r="E23" s="8">
        <v>800.36</v>
      </c>
      <c r="F23" s="2">
        <v>8</v>
      </c>
      <c r="G23" s="28">
        <f>VLOOKUP(C23,Table1[#All],3,FALSE)*F23</f>
        <v>108</v>
      </c>
      <c r="H23" s="29">
        <f>IF(E23&gt;VLOOKUP(C23,Table1[#All],4,FALSE)*Tuesday!F23,(Tuesday!E23-(VLOOKUP(Tuesday!C23,Table1[#All],4,FALSE)*Tuesday!F23))*VLOOKUP(Tuesday!C23,Table1[#All],5,FALSE),0)</f>
        <v>0</v>
      </c>
      <c r="I23" s="29">
        <f t="shared" si="0"/>
        <v>108</v>
      </c>
      <c r="J23" s="2">
        <f t="shared" si="1"/>
        <v>0</v>
      </c>
      <c r="K23" s="2">
        <f t="shared" si="2"/>
        <v>1</v>
      </c>
    </row>
    <row r="24" spans="1:11" ht="15" customHeight="1" x14ac:dyDescent="0.25">
      <c r="A24" s="2" t="s">
        <v>80</v>
      </c>
      <c r="B24" s="2" t="s">
        <v>81</v>
      </c>
      <c r="C24" s="2" t="s">
        <v>5</v>
      </c>
      <c r="D24" s="2" t="s">
        <v>20</v>
      </c>
      <c r="E24" s="8">
        <v>1631.42</v>
      </c>
      <c r="F24" s="2">
        <v>8</v>
      </c>
      <c r="G24" s="28">
        <f>VLOOKUP(C24,Table1[#All],3,FALSE)*F24</f>
        <v>188</v>
      </c>
      <c r="H24" s="29">
        <f>IF(E24&gt;VLOOKUP(C24,Table1[#All],4,FALSE)*Tuesday!F24,(Tuesday!E24-(VLOOKUP(Tuesday!C24,Table1[#All],4,FALSE)*Tuesday!F24))*VLOOKUP(Tuesday!C24,Table1[#All],5,FALSE),0)</f>
        <v>0.9426000000000021</v>
      </c>
      <c r="I24" s="29">
        <f t="shared" si="0"/>
        <v>188.9426</v>
      </c>
      <c r="J24" s="2">
        <f t="shared" si="1"/>
        <v>1</v>
      </c>
      <c r="K24" s="2">
        <f t="shared" si="2"/>
        <v>1</v>
      </c>
    </row>
    <row r="25" spans="1:11" ht="15" customHeight="1" x14ac:dyDescent="0.25">
      <c r="A25" s="2" t="s">
        <v>45</v>
      </c>
      <c r="B25" s="2" t="s">
        <v>46</v>
      </c>
      <c r="C25" s="2" t="s">
        <v>44</v>
      </c>
      <c r="D25" s="2" t="s">
        <v>11</v>
      </c>
      <c r="E25" s="8">
        <v>0</v>
      </c>
      <c r="F25" s="2">
        <v>0</v>
      </c>
      <c r="G25" s="28">
        <f>VLOOKUP(C25,Table1[#All],3,FALSE)*F25</f>
        <v>0</v>
      </c>
      <c r="H25" s="29">
        <f>IF(E25&gt;VLOOKUP(C25,Table1[#All],4,FALSE)*Tuesday!F25,(Tuesday!E25-(VLOOKUP(Tuesday!C25,Table1[#All],4,FALSE)*Tuesday!F25))*VLOOKUP(Tuesday!C25,Table1[#All],5,FALSE),0)</f>
        <v>0</v>
      </c>
      <c r="I25" s="29">
        <f t="shared" si="0"/>
        <v>0</v>
      </c>
      <c r="J25" s="2">
        <f t="shared" si="1"/>
        <v>0</v>
      </c>
      <c r="K25" s="2">
        <f t="shared" si="2"/>
        <v>0</v>
      </c>
    </row>
    <row r="26" spans="1:11" ht="15" customHeight="1" x14ac:dyDescent="0.25">
      <c r="A26" s="2" t="s">
        <v>105</v>
      </c>
      <c r="B26" s="2" t="s">
        <v>77</v>
      </c>
      <c r="C26" s="2" t="s">
        <v>44</v>
      </c>
      <c r="D26" s="2" t="s">
        <v>16</v>
      </c>
      <c r="E26" s="8">
        <v>888.98</v>
      </c>
      <c r="F26" s="2">
        <v>4</v>
      </c>
      <c r="G26" s="28">
        <f>VLOOKUP(C26,Table1[#All],3,FALSE)*F26</f>
        <v>47</v>
      </c>
      <c r="H26" s="29">
        <f>IF(E26&gt;VLOOKUP(C26,Table1[#All],4,FALSE)*Tuesday!F26,(Tuesday!E26-(VLOOKUP(Tuesday!C26,Table1[#All],4,FALSE)*Tuesday!F26))*VLOOKUP(Tuesday!C26,Table1[#All],5,FALSE),0)</f>
        <v>5.8346999999999998</v>
      </c>
      <c r="I26" s="29">
        <f t="shared" si="0"/>
        <v>52.834699999999998</v>
      </c>
      <c r="J26" s="2">
        <f t="shared" si="1"/>
        <v>1</v>
      </c>
      <c r="K26" s="2">
        <f t="shared" si="2"/>
        <v>1</v>
      </c>
    </row>
    <row r="27" spans="1:11" ht="15" customHeight="1" x14ac:dyDescent="0.25">
      <c r="A27" s="2" t="s">
        <v>59</v>
      </c>
      <c r="B27" s="2" t="s">
        <v>60</v>
      </c>
      <c r="C27" s="2" t="s">
        <v>19</v>
      </c>
      <c r="D27" s="2" t="s">
        <v>56</v>
      </c>
      <c r="E27" s="8">
        <v>2994.38</v>
      </c>
      <c r="F27" s="2">
        <v>6</v>
      </c>
      <c r="G27" s="28">
        <f>VLOOKUP(C27,Table1[#All],3,FALSE)*F27</f>
        <v>81</v>
      </c>
      <c r="H27" s="29">
        <f>IF(E27&gt;VLOOKUP(C27,Table1[#All],4,FALSE)*Tuesday!F27,(Tuesday!E27-(VLOOKUP(Tuesday!C27,Table1[#All],4,FALSE)*Tuesday!F27))*VLOOKUP(Tuesday!C27,Table1[#All],5,FALSE),0)</f>
        <v>41.887600000000006</v>
      </c>
      <c r="I27" s="29">
        <f t="shared" si="0"/>
        <v>122.88760000000001</v>
      </c>
      <c r="J27" s="2">
        <f t="shared" si="1"/>
        <v>1</v>
      </c>
      <c r="K27" s="2">
        <f t="shared" si="2"/>
        <v>1</v>
      </c>
    </row>
    <row r="28" spans="1:11" ht="15" customHeight="1" x14ac:dyDescent="0.25">
      <c r="A28" s="2" t="s">
        <v>23</v>
      </c>
      <c r="B28" s="2" t="s">
        <v>24</v>
      </c>
      <c r="C28" s="2" t="s">
        <v>5</v>
      </c>
      <c r="D28" s="2" t="s">
        <v>55</v>
      </c>
      <c r="E28" s="8">
        <v>3565.69</v>
      </c>
      <c r="F28" s="2">
        <v>8</v>
      </c>
      <c r="G28" s="28">
        <f>VLOOKUP(C28,Table1[#All],3,FALSE)*F28</f>
        <v>188</v>
      </c>
      <c r="H28" s="29">
        <f>IF(E28&gt;VLOOKUP(C28,Table1[#All],4,FALSE)*Tuesday!F28,(Tuesday!E28-(VLOOKUP(Tuesday!C28,Table1[#All],4,FALSE)*Tuesday!F28))*VLOOKUP(Tuesday!C28,Table1[#All],5,FALSE),0)</f>
        <v>58.970700000000001</v>
      </c>
      <c r="I28" s="29">
        <f t="shared" si="0"/>
        <v>246.97069999999999</v>
      </c>
      <c r="J28" s="2">
        <f t="shared" si="1"/>
        <v>1</v>
      </c>
      <c r="K28" s="2">
        <f t="shared" si="2"/>
        <v>1</v>
      </c>
    </row>
    <row r="29" spans="1:11" ht="15" customHeight="1" x14ac:dyDescent="0.25">
      <c r="A29" s="2" t="s">
        <v>106</v>
      </c>
      <c r="B29" s="2" t="s">
        <v>107</v>
      </c>
      <c r="C29" s="2" t="s">
        <v>44</v>
      </c>
      <c r="D29" s="2" t="s">
        <v>56</v>
      </c>
      <c r="E29" s="8">
        <v>0</v>
      </c>
      <c r="F29" s="2">
        <v>0</v>
      </c>
      <c r="G29" s="28">
        <f>VLOOKUP(C29,Table1[#All],3,FALSE)*F29</f>
        <v>0</v>
      </c>
      <c r="H29" s="29">
        <f>IF(E29&gt;VLOOKUP(C29,Table1[#All],4,FALSE)*Tuesday!F29,(Tuesday!E29-(VLOOKUP(Tuesday!C29,Table1[#All],4,FALSE)*Tuesday!F29))*VLOOKUP(Tuesday!C29,Table1[#All],5,FALSE),0)</f>
        <v>0</v>
      </c>
      <c r="I29" s="29">
        <f t="shared" si="0"/>
        <v>0</v>
      </c>
      <c r="J29" s="2">
        <f t="shared" si="1"/>
        <v>0</v>
      </c>
      <c r="K29" s="2">
        <f t="shared" si="2"/>
        <v>0</v>
      </c>
    </row>
    <row r="30" spans="1:11" s="1" customFormat="1" ht="15" customHeight="1" x14ac:dyDescent="0.25">
      <c r="A30" s="2" t="s">
        <v>82</v>
      </c>
      <c r="B30" s="2" t="s">
        <v>83</v>
      </c>
      <c r="C30" s="2" t="s">
        <v>19</v>
      </c>
      <c r="D30" s="2" t="s">
        <v>20</v>
      </c>
      <c r="E30" s="8">
        <v>2440.4</v>
      </c>
      <c r="F30" s="2">
        <v>8</v>
      </c>
      <c r="G30" s="28">
        <f>VLOOKUP(C30,Table1[#All],3,FALSE)*F30</f>
        <v>108</v>
      </c>
      <c r="H30" s="29">
        <f>IF(E30&gt;VLOOKUP(C30,Table1[#All],4,FALSE)*Tuesday!F30,(Tuesday!E30-(VLOOKUP(Tuesday!C30,Table1[#All],4,FALSE)*Tuesday!F30))*VLOOKUP(Tuesday!C30,Table1[#All],5,FALSE),0)</f>
        <v>24.808000000000003</v>
      </c>
      <c r="I30" s="29">
        <f t="shared" si="0"/>
        <v>132.80799999999999</v>
      </c>
      <c r="J30" s="2">
        <f t="shared" si="1"/>
        <v>1</v>
      </c>
      <c r="K30" s="2">
        <f t="shared" si="2"/>
        <v>1</v>
      </c>
    </row>
    <row r="31" spans="1:11" s="1" customFormat="1" ht="15" customHeight="1" x14ac:dyDescent="0.25">
      <c r="A31" s="2" t="s">
        <v>108</v>
      </c>
      <c r="B31" s="2" t="s">
        <v>109</v>
      </c>
      <c r="C31" s="2" t="s">
        <v>19</v>
      </c>
      <c r="D31" s="2" t="s">
        <v>8</v>
      </c>
      <c r="E31" s="8">
        <v>0</v>
      </c>
      <c r="F31" s="2">
        <v>2</v>
      </c>
      <c r="G31" s="28">
        <f>VLOOKUP(C31,Table1[#All],3,FALSE)*F31</f>
        <v>27</v>
      </c>
      <c r="H31" s="29">
        <f>IF(E31&gt;VLOOKUP(C31,Table1[#All],4,FALSE)*Tuesday!F31,(Tuesday!E31-(VLOOKUP(Tuesday!C31,Table1[#All],4,FALSE)*Tuesday!F31))*VLOOKUP(Tuesday!C31,Table1[#All],5,FALSE),0)</f>
        <v>0</v>
      </c>
      <c r="I31" s="29">
        <f t="shared" si="0"/>
        <v>27</v>
      </c>
      <c r="J31" s="2">
        <f t="shared" si="1"/>
        <v>0</v>
      </c>
      <c r="K31" s="2">
        <f t="shared" si="2"/>
        <v>1</v>
      </c>
    </row>
    <row r="32" spans="1:11" s="1" customFormat="1" ht="15" customHeight="1" x14ac:dyDescent="0.25">
      <c r="A32" s="2" t="s">
        <v>36</v>
      </c>
      <c r="B32" s="2" t="s">
        <v>37</v>
      </c>
      <c r="C32" s="2" t="s">
        <v>33</v>
      </c>
      <c r="D32" s="2" t="s">
        <v>8</v>
      </c>
      <c r="E32" s="8">
        <v>1549.63</v>
      </c>
      <c r="F32" s="2">
        <v>8</v>
      </c>
      <c r="G32" s="28">
        <f>VLOOKUP(C32,Table1[#All],3,FALSE)*F32</f>
        <v>120</v>
      </c>
      <c r="H32" s="29">
        <f>IF(E32&gt;VLOOKUP(C32,Table1[#All],4,FALSE)*Tuesday!F32,(Tuesday!E32-(VLOOKUP(Tuesday!C32,Table1[#All],4,FALSE)*Tuesday!F32))*VLOOKUP(Tuesday!C32,Table1[#All],5,FALSE),0)</f>
        <v>3.7407500000000029</v>
      </c>
      <c r="I32" s="29">
        <f t="shared" si="0"/>
        <v>123.74075000000001</v>
      </c>
      <c r="J32" s="2">
        <f t="shared" si="1"/>
        <v>1</v>
      </c>
      <c r="K32" s="2">
        <f t="shared" si="2"/>
        <v>1</v>
      </c>
    </row>
    <row r="33" spans="1:11" s="1" customFormat="1" ht="15" customHeight="1" x14ac:dyDescent="0.25">
      <c r="A33" s="2" t="s">
        <v>84</v>
      </c>
      <c r="B33" s="2" t="s">
        <v>85</v>
      </c>
      <c r="C33" s="2" t="s">
        <v>57</v>
      </c>
      <c r="D33" s="2" t="s">
        <v>20</v>
      </c>
      <c r="E33" s="8">
        <v>1296.1199999999999</v>
      </c>
      <c r="F33" s="2">
        <v>4</v>
      </c>
      <c r="G33" s="28">
        <f>VLOOKUP(C33,Table1[#All],3,FALSE)*F33</f>
        <v>42</v>
      </c>
      <c r="H33" s="29">
        <f>IF(E33&gt;VLOOKUP(C33,Table1[#All],4,FALSE)*Tuesday!F33,(Tuesday!E33-(VLOOKUP(Tuesday!C33,Table1[#All],4,FALSE)*Tuesday!F33))*VLOOKUP(Tuesday!C33,Table1[#All],5,FALSE),0)</f>
        <v>8.9611999999999998</v>
      </c>
      <c r="I33" s="29">
        <f t="shared" si="0"/>
        <v>50.961199999999998</v>
      </c>
      <c r="J33" s="2">
        <f t="shared" si="1"/>
        <v>1</v>
      </c>
      <c r="K33" s="2">
        <f t="shared" si="2"/>
        <v>1</v>
      </c>
    </row>
    <row r="34" spans="1:11" s="1" customFormat="1" ht="15" customHeight="1" x14ac:dyDescent="0.25">
      <c r="A34" s="2" t="s">
        <v>9</v>
      </c>
      <c r="B34" s="2" t="s">
        <v>10</v>
      </c>
      <c r="C34" s="2" t="s">
        <v>5</v>
      </c>
      <c r="D34" s="2" t="s">
        <v>11</v>
      </c>
      <c r="E34" s="8">
        <v>13354.9</v>
      </c>
      <c r="F34" s="2">
        <v>5</v>
      </c>
      <c r="G34" s="28">
        <f>VLOOKUP(C34,Table1[#All],3,FALSE)*F34</f>
        <v>117.5</v>
      </c>
      <c r="H34" s="29">
        <f>IF(E34&gt;VLOOKUP(C34,Table1[#All],4,FALSE)*Tuesday!F34,(Tuesday!E34-(VLOOKUP(Tuesday!C34,Table1[#All],4,FALSE)*Tuesday!F34))*VLOOKUP(Tuesday!C34,Table1[#All],5,FALSE),0)</f>
        <v>370.64699999999999</v>
      </c>
      <c r="I34" s="29">
        <f t="shared" si="0"/>
        <v>488.14699999999999</v>
      </c>
      <c r="J34" s="2">
        <f t="shared" si="1"/>
        <v>1</v>
      </c>
      <c r="K34" s="2">
        <f t="shared" si="2"/>
        <v>1</v>
      </c>
    </row>
    <row r="35" spans="1:11" ht="15" customHeight="1" x14ac:dyDescent="0.25">
      <c r="A35" s="2" t="s">
        <v>86</v>
      </c>
      <c r="B35" s="2" t="s">
        <v>87</v>
      </c>
      <c r="C35" s="2" t="s">
        <v>44</v>
      </c>
      <c r="D35" s="2" t="s">
        <v>20</v>
      </c>
      <c r="E35" s="8">
        <v>393.54</v>
      </c>
      <c r="F35" s="2">
        <v>4</v>
      </c>
      <c r="G35" s="28">
        <f>VLOOKUP(C35,Table1[#All],3,FALSE)*F35</f>
        <v>47</v>
      </c>
      <c r="H35" s="29">
        <f>IF(E35&gt;VLOOKUP(C35,Table1[#All],4,FALSE)*Tuesday!F35,(Tuesday!E35-(VLOOKUP(Tuesday!C35,Table1[#All],4,FALSE)*Tuesday!F35))*VLOOKUP(Tuesday!C35,Table1[#All],5,FALSE),0)</f>
        <v>0</v>
      </c>
      <c r="I35" s="29">
        <f t="shared" si="0"/>
        <v>47</v>
      </c>
      <c r="J35" s="2">
        <f t="shared" si="1"/>
        <v>0</v>
      </c>
      <c r="K35" s="2">
        <f t="shared" si="2"/>
        <v>1</v>
      </c>
    </row>
    <row r="36" spans="1:11" ht="15" customHeight="1" x14ac:dyDescent="0.25">
      <c r="A36" s="2" t="s">
        <v>25</v>
      </c>
      <c r="B36" s="2" t="s">
        <v>26</v>
      </c>
      <c r="C36" s="2" t="s">
        <v>19</v>
      </c>
      <c r="D36" s="2" t="s">
        <v>54</v>
      </c>
      <c r="E36" s="8">
        <v>2221.5100000000002</v>
      </c>
      <c r="F36" s="2">
        <v>8</v>
      </c>
      <c r="G36" s="28">
        <f>VLOOKUP(C36,Table1[#All],3,FALSE)*F36</f>
        <v>108</v>
      </c>
      <c r="H36" s="29">
        <f>IF(E36&gt;VLOOKUP(C36,Table1[#All],4,FALSE)*Tuesday!F36,(Tuesday!E36-(VLOOKUP(Tuesday!C36,Table1[#All],4,FALSE)*Tuesday!F36))*VLOOKUP(Tuesday!C36,Table1[#All],5,FALSE),0)</f>
        <v>20.430200000000006</v>
      </c>
      <c r="I36" s="29">
        <f t="shared" si="0"/>
        <v>128.43020000000001</v>
      </c>
      <c r="J36" s="2">
        <f t="shared" si="1"/>
        <v>1</v>
      </c>
      <c r="K36" s="2">
        <f t="shared" si="2"/>
        <v>1</v>
      </c>
    </row>
    <row r="37" spans="1:11" ht="15" customHeight="1" x14ac:dyDescent="0.25">
      <c r="A37" s="2" t="s">
        <v>110</v>
      </c>
      <c r="B37" s="2" t="s">
        <v>111</v>
      </c>
      <c r="C37" s="2" t="s">
        <v>19</v>
      </c>
      <c r="D37" s="2" t="s">
        <v>54</v>
      </c>
      <c r="E37" s="8">
        <v>367.89</v>
      </c>
      <c r="F37" s="2">
        <v>2</v>
      </c>
      <c r="G37" s="28">
        <f>VLOOKUP(C37,Table1[#All],3,FALSE)*F37</f>
        <v>27</v>
      </c>
      <c r="H37" s="29">
        <f>IF(E37&gt;VLOOKUP(C37,Table1[#All],4,FALSE)*Tuesday!F37,(Tuesday!E37-(VLOOKUP(Tuesday!C37,Table1[#All],4,FALSE)*Tuesday!F37))*VLOOKUP(Tuesday!C37,Table1[#All],5,FALSE),0)</f>
        <v>1.3577999999999997</v>
      </c>
      <c r="I37" s="29">
        <f t="shared" si="0"/>
        <v>28.357800000000001</v>
      </c>
      <c r="J37" s="2">
        <f t="shared" si="1"/>
        <v>1</v>
      </c>
      <c r="K37" s="2">
        <f t="shared" si="2"/>
        <v>1</v>
      </c>
    </row>
    <row r="38" spans="1:11" ht="15" customHeight="1" x14ac:dyDescent="0.25">
      <c r="A38" s="2" t="s">
        <v>92</v>
      </c>
      <c r="B38" s="2" t="s">
        <v>93</v>
      </c>
      <c r="C38" s="2" t="s">
        <v>33</v>
      </c>
      <c r="D38" s="2" t="s">
        <v>8</v>
      </c>
      <c r="E38" s="8">
        <v>861.81</v>
      </c>
      <c r="F38" s="2">
        <v>5</v>
      </c>
      <c r="G38" s="28">
        <f>VLOOKUP(C38,Table1[#All],3,FALSE)*F38</f>
        <v>75</v>
      </c>
      <c r="H38" s="29">
        <f>IF(E38&gt;VLOOKUP(C38,Table1[#All],4,FALSE)*Tuesday!F38,(Tuesday!E38-(VLOOKUP(Tuesday!C38,Table1[#All],4,FALSE)*Tuesday!F38))*VLOOKUP(Tuesday!C38,Table1[#All],5,FALSE),0)</f>
        <v>0</v>
      </c>
      <c r="I38" s="29">
        <f t="shared" si="0"/>
        <v>75</v>
      </c>
      <c r="J38" s="2">
        <f t="shared" si="1"/>
        <v>0</v>
      </c>
      <c r="K38" s="2">
        <f t="shared" si="2"/>
        <v>1</v>
      </c>
    </row>
    <row r="39" spans="1:11" ht="15" customHeight="1" x14ac:dyDescent="0.25">
      <c r="A39" s="2" t="s">
        <v>112</v>
      </c>
      <c r="B39" s="2" t="s">
        <v>113</v>
      </c>
      <c r="C39" s="2" t="s">
        <v>33</v>
      </c>
      <c r="D39" s="2" t="s">
        <v>54</v>
      </c>
      <c r="E39" s="8">
        <v>0</v>
      </c>
      <c r="F39" s="2">
        <v>0</v>
      </c>
      <c r="G39" s="28">
        <f>VLOOKUP(C39,Table1[#All],3,FALSE)*F39</f>
        <v>0</v>
      </c>
      <c r="H39" s="29">
        <f>IF(E39&gt;VLOOKUP(C39,Table1[#All],4,FALSE)*Tuesday!F39,(Tuesday!E39-(VLOOKUP(Tuesday!C39,Table1[#All],4,FALSE)*Tuesday!F39))*VLOOKUP(Tuesday!C39,Table1[#All],5,FALSE),0)</f>
        <v>0</v>
      </c>
      <c r="I39" s="29">
        <f t="shared" si="0"/>
        <v>0</v>
      </c>
      <c r="J39" s="2">
        <f t="shared" si="1"/>
        <v>0</v>
      </c>
      <c r="K39" s="2">
        <f t="shared" si="2"/>
        <v>0</v>
      </c>
    </row>
    <row r="40" spans="1:11" ht="15" customHeight="1" x14ac:dyDescent="0.25">
      <c r="A40" s="2" t="s">
        <v>94</v>
      </c>
      <c r="B40" s="2" t="s">
        <v>95</v>
      </c>
      <c r="C40" s="2" t="s">
        <v>57</v>
      </c>
      <c r="D40" s="2" t="s">
        <v>55</v>
      </c>
      <c r="E40" s="8">
        <v>0</v>
      </c>
      <c r="F40" s="2">
        <v>0</v>
      </c>
      <c r="G40" s="28">
        <f>VLOOKUP(C40,Table1[#All],3,FALSE)*F40</f>
        <v>0</v>
      </c>
      <c r="H40" s="29">
        <f>IF(E40&gt;VLOOKUP(C40,Table1[#All],4,FALSE)*Tuesday!F40,(Tuesday!E40-(VLOOKUP(Tuesday!C40,Table1[#All],4,FALSE)*Tuesday!F40))*VLOOKUP(Tuesday!C40,Table1[#All],5,FALSE),0)</f>
        <v>0</v>
      </c>
      <c r="I40" s="29">
        <f t="shared" si="0"/>
        <v>0</v>
      </c>
      <c r="J40" s="2">
        <f t="shared" si="1"/>
        <v>0</v>
      </c>
      <c r="K40" s="2">
        <f t="shared" si="2"/>
        <v>0</v>
      </c>
    </row>
    <row r="41" spans="1:11" ht="15" customHeight="1" x14ac:dyDescent="0.25">
      <c r="A41" s="2" t="s">
        <v>88</v>
      </c>
      <c r="B41" s="2" t="s">
        <v>89</v>
      </c>
      <c r="C41" s="2" t="s">
        <v>19</v>
      </c>
      <c r="D41" s="2" t="s">
        <v>8</v>
      </c>
      <c r="E41" s="8">
        <v>1564.52</v>
      </c>
      <c r="F41" s="2">
        <v>8</v>
      </c>
      <c r="G41" s="28">
        <f>VLOOKUP(C41,Table1[#All],3,FALSE)*F41</f>
        <v>108</v>
      </c>
      <c r="H41" s="29">
        <f>IF(E41&gt;VLOOKUP(C41,Table1[#All],4,FALSE)*Tuesday!F41,(Tuesday!E41-(VLOOKUP(Tuesday!C41,Table1[#All],4,FALSE)*Tuesday!F41))*VLOOKUP(Tuesday!C41,Table1[#All],5,FALSE),0)</f>
        <v>7.2904</v>
      </c>
      <c r="I41" s="29">
        <f t="shared" si="0"/>
        <v>115.29040000000001</v>
      </c>
      <c r="J41" s="2">
        <f t="shared" si="1"/>
        <v>1</v>
      </c>
      <c r="K41" s="2">
        <f t="shared" si="2"/>
        <v>1</v>
      </c>
    </row>
    <row r="42" spans="1:11" ht="15" customHeight="1" x14ac:dyDescent="0.25">
      <c r="A42" s="2" t="s">
        <v>90</v>
      </c>
      <c r="B42" s="2" t="s">
        <v>91</v>
      </c>
      <c r="C42" s="2" t="s">
        <v>57</v>
      </c>
      <c r="D42" s="2" t="s">
        <v>8</v>
      </c>
      <c r="E42" s="8">
        <v>0</v>
      </c>
      <c r="F42" s="2">
        <v>0</v>
      </c>
      <c r="G42" s="28">
        <f>VLOOKUP(C42,Table1[#All],3,FALSE)*F42</f>
        <v>0</v>
      </c>
      <c r="H42" s="29">
        <f>IF(E42&gt;VLOOKUP(C42,Table1[#All],4,FALSE)*Tuesday!F42,(Tuesday!E42-(VLOOKUP(Tuesday!C42,Table1[#All],4,FALSE)*Tuesday!F42))*VLOOKUP(Tuesday!C42,Table1[#All],5,FALSE),0)</f>
        <v>0</v>
      </c>
      <c r="I42" s="29">
        <f t="shared" si="0"/>
        <v>0</v>
      </c>
      <c r="J42" s="2">
        <f t="shared" si="1"/>
        <v>0</v>
      </c>
      <c r="K42" s="2">
        <f t="shared" si="2"/>
        <v>0</v>
      </c>
    </row>
    <row r="43" spans="1:11" ht="15" customHeight="1" x14ac:dyDescent="0.25">
      <c r="A43" s="2" t="s">
        <v>72</v>
      </c>
      <c r="B43" s="2" t="s">
        <v>73</v>
      </c>
      <c r="C43" s="2" t="s">
        <v>19</v>
      </c>
      <c r="D43" s="2" t="s">
        <v>11</v>
      </c>
      <c r="E43" s="8">
        <v>9999.2900000000009</v>
      </c>
      <c r="F43" s="2">
        <v>8</v>
      </c>
      <c r="G43" s="28">
        <f>VLOOKUP(C43,Table1[#All],3,FALSE)*F43</f>
        <v>108</v>
      </c>
      <c r="H43" s="29">
        <f>IF(E43&gt;VLOOKUP(C43,Table1[#All],4,FALSE)*Tuesday!F43,(Tuesday!E43-(VLOOKUP(Tuesday!C43,Table1[#All],4,FALSE)*Tuesday!F43))*VLOOKUP(Tuesday!C43,Table1[#All],5,FALSE),0)</f>
        <v>175.98580000000001</v>
      </c>
      <c r="I43" s="29">
        <f t="shared" si="0"/>
        <v>283.98580000000004</v>
      </c>
      <c r="J43" s="2">
        <f t="shared" si="1"/>
        <v>1</v>
      </c>
      <c r="K43" s="2">
        <f t="shared" si="2"/>
        <v>1</v>
      </c>
    </row>
    <row r="44" spans="1:11" ht="15" customHeight="1" x14ac:dyDescent="0.25">
      <c r="A44" s="2" t="s">
        <v>12</v>
      </c>
      <c r="B44" s="2" t="s">
        <v>13</v>
      </c>
      <c r="C44" s="2" t="s">
        <v>5</v>
      </c>
      <c r="D44" s="2" t="s">
        <v>56</v>
      </c>
      <c r="E44" s="8">
        <v>1117.46</v>
      </c>
      <c r="F44" s="2">
        <v>8</v>
      </c>
      <c r="G44" s="28">
        <f>VLOOKUP(C44,Table1[#All],3,FALSE)*F44</f>
        <v>188</v>
      </c>
      <c r="H44" s="29">
        <f>IF(E44&gt;VLOOKUP(C44,Table1[#All],4,FALSE)*Tuesday!F44,(Tuesday!E44-(VLOOKUP(Tuesday!C44,Table1[#All],4,FALSE)*Tuesday!F44))*VLOOKUP(Tuesday!C44,Table1[#All],5,FALSE),0)</f>
        <v>0</v>
      </c>
      <c r="I44" s="29">
        <f t="shared" si="0"/>
        <v>188</v>
      </c>
      <c r="J44" s="2">
        <f t="shared" si="1"/>
        <v>0</v>
      </c>
      <c r="K44" s="2">
        <f t="shared" si="2"/>
        <v>1</v>
      </c>
    </row>
    <row r="45" spans="1:11" ht="15" customHeight="1" x14ac:dyDescent="0.25">
      <c r="A45" s="2" t="s">
        <v>47</v>
      </c>
      <c r="B45" s="2" t="s">
        <v>48</v>
      </c>
      <c r="C45" s="2" t="s">
        <v>44</v>
      </c>
      <c r="D45" s="2" t="s">
        <v>54</v>
      </c>
      <c r="E45" s="8">
        <v>199.91</v>
      </c>
      <c r="F45" s="2">
        <v>2</v>
      </c>
      <c r="G45" s="28">
        <f>VLOOKUP(C45,Table1[#All],3,FALSE)*F45</f>
        <v>23.5</v>
      </c>
      <c r="H45" s="29">
        <f>IF(E45&gt;VLOOKUP(C45,Table1[#All],4,FALSE)*Tuesday!F45,(Tuesday!E45-(VLOOKUP(Tuesday!C45,Table1[#All],4,FALSE)*Tuesday!F45))*VLOOKUP(Tuesday!C45,Table1[#All],5,FALSE),0)</f>
        <v>0</v>
      </c>
      <c r="I45" s="29">
        <f t="shared" si="0"/>
        <v>23.5</v>
      </c>
      <c r="J45" s="2">
        <f t="shared" si="1"/>
        <v>0</v>
      </c>
      <c r="K45" s="2">
        <f t="shared" si="2"/>
        <v>1</v>
      </c>
    </row>
    <row r="46" spans="1:11" ht="15" customHeight="1" x14ac:dyDescent="0.25">
      <c r="A46" s="2" t="s">
        <v>49</v>
      </c>
      <c r="B46" s="2" t="s">
        <v>50</v>
      </c>
      <c r="C46" s="2" t="s">
        <v>44</v>
      </c>
      <c r="D46" s="2" t="s">
        <v>8</v>
      </c>
      <c r="E46" s="8">
        <v>597.49</v>
      </c>
      <c r="F46" s="2">
        <v>4</v>
      </c>
      <c r="G46" s="28">
        <f>VLOOKUP(C46,Table1[#All],3,FALSE)*F46</f>
        <v>47</v>
      </c>
      <c r="H46" s="29">
        <f>IF(E46&gt;VLOOKUP(C46,Table1[#All],4,FALSE)*Tuesday!F46,(Tuesday!E46-(VLOOKUP(Tuesday!C46,Table1[#All],4,FALSE)*Tuesday!F46))*VLOOKUP(Tuesday!C46,Table1[#All],5,FALSE),0)</f>
        <v>1.46235</v>
      </c>
      <c r="I46" s="29">
        <f t="shared" si="0"/>
        <v>48.462350000000001</v>
      </c>
      <c r="J46" s="2">
        <f t="shared" si="1"/>
        <v>1</v>
      </c>
      <c r="K46" s="2">
        <f t="shared" si="2"/>
        <v>1</v>
      </c>
    </row>
    <row r="47" spans="1:11" ht="15" customHeight="1" x14ac:dyDescent="0.25">
      <c r="A47" s="2" t="s">
        <v>38</v>
      </c>
      <c r="B47" s="2" t="s">
        <v>39</v>
      </c>
      <c r="C47" s="2" t="s">
        <v>33</v>
      </c>
      <c r="D47" s="2" t="s">
        <v>54</v>
      </c>
      <c r="E47" s="8">
        <v>3593.96</v>
      </c>
      <c r="F47" s="2">
        <v>8</v>
      </c>
      <c r="G47" s="28">
        <f>VLOOKUP(C47,Table1[#All],3,FALSE)*F47</f>
        <v>120</v>
      </c>
      <c r="H47" s="29">
        <f>IF(E47&gt;VLOOKUP(C47,Table1[#All],4,FALSE)*Tuesday!F47,(Tuesday!E47-(VLOOKUP(Tuesday!C47,Table1[#All],4,FALSE)*Tuesday!F47))*VLOOKUP(Tuesday!C47,Table1[#All],5,FALSE),0)</f>
        <v>54.849000000000004</v>
      </c>
      <c r="I47" s="29">
        <f t="shared" si="0"/>
        <v>174.84899999999999</v>
      </c>
      <c r="J47" s="2">
        <f t="shared" si="1"/>
        <v>1</v>
      </c>
      <c r="K47" s="2">
        <f t="shared" si="2"/>
        <v>1</v>
      </c>
    </row>
    <row r="48" spans="1:11" ht="15" customHeight="1" x14ac:dyDescent="0.25">
      <c r="A48" s="2" t="s">
        <v>114</v>
      </c>
      <c r="B48" s="2" t="s">
        <v>115</v>
      </c>
      <c r="C48" s="2" t="s">
        <v>33</v>
      </c>
      <c r="D48" s="2" t="s">
        <v>55</v>
      </c>
      <c r="E48" s="8">
        <v>3385.26</v>
      </c>
      <c r="F48" s="2">
        <v>10</v>
      </c>
      <c r="G48" s="28">
        <f>VLOOKUP(C48,Table1[#All],3,FALSE)*F48</f>
        <v>150</v>
      </c>
      <c r="H48" s="29">
        <f>IF(E48&gt;VLOOKUP(C48,Table1[#All],4,FALSE)*Tuesday!F48,(Tuesday!E48-(VLOOKUP(Tuesday!C48,Table1[#All],4,FALSE)*Tuesday!F48))*VLOOKUP(Tuesday!C48,Table1[#All],5,FALSE),0)</f>
        <v>40.88150000000001</v>
      </c>
      <c r="I48" s="29">
        <f t="shared" si="0"/>
        <v>190.88150000000002</v>
      </c>
      <c r="J48" s="2">
        <f t="shared" si="1"/>
        <v>1</v>
      </c>
      <c r="K48" s="2">
        <f t="shared" si="2"/>
        <v>1</v>
      </c>
    </row>
    <row r="49" spans="1:11" ht="15" customHeight="1" x14ac:dyDescent="0.25">
      <c r="A49" s="2" t="s">
        <v>27</v>
      </c>
      <c r="B49" s="2" t="s">
        <v>28</v>
      </c>
      <c r="C49" s="2" t="s">
        <v>19</v>
      </c>
      <c r="D49" s="2" t="s">
        <v>55</v>
      </c>
      <c r="E49" s="8">
        <v>4864.47</v>
      </c>
      <c r="F49" s="2">
        <v>8</v>
      </c>
      <c r="G49" s="28">
        <f>VLOOKUP(C49,Table1[#All],3,FALSE)*F49</f>
        <v>108</v>
      </c>
      <c r="H49" s="29">
        <f>IF(E49&gt;VLOOKUP(C49,Table1[#All],4,FALSE)*Tuesday!F49,(Tuesday!E49-(VLOOKUP(Tuesday!C49,Table1[#All],4,FALSE)*Tuesday!F49))*VLOOKUP(Tuesday!C49,Table1[#All],5,FALSE),0)</f>
        <v>73.289400000000001</v>
      </c>
      <c r="I49" s="29">
        <f t="shared" si="0"/>
        <v>181.2894</v>
      </c>
      <c r="J49" s="2">
        <f t="shared" si="1"/>
        <v>1</v>
      </c>
      <c r="K49" s="2">
        <f t="shared" si="2"/>
        <v>1</v>
      </c>
    </row>
    <row r="50" spans="1:11" ht="15" customHeight="1" x14ac:dyDescent="0.25">
      <c r="A50" s="2" t="s">
        <v>96</v>
      </c>
      <c r="B50" s="2" t="s">
        <v>97</v>
      </c>
      <c r="C50" s="2" t="s">
        <v>57</v>
      </c>
      <c r="D50" s="2" t="s">
        <v>55</v>
      </c>
      <c r="E50" s="8">
        <v>0</v>
      </c>
      <c r="F50" s="2">
        <v>0</v>
      </c>
      <c r="G50" s="28">
        <f>VLOOKUP(C50,Table1[#All],3,FALSE)*F50</f>
        <v>0</v>
      </c>
      <c r="H50" s="29">
        <f>IF(E50&gt;VLOOKUP(C50,Table1[#All],4,FALSE)*Tuesday!F50,(Tuesday!E50-(VLOOKUP(Tuesday!C50,Table1[#All],4,FALSE)*Tuesday!F50))*VLOOKUP(Tuesday!C50,Table1[#All],5,FALSE),0)</f>
        <v>0</v>
      </c>
      <c r="I50" s="29">
        <f t="shared" si="0"/>
        <v>0</v>
      </c>
      <c r="J50" s="2">
        <f t="shared" si="1"/>
        <v>0</v>
      </c>
      <c r="K50" s="2">
        <f t="shared" si="2"/>
        <v>0</v>
      </c>
    </row>
    <row r="51" spans="1:11" ht="15" customHeight="1" x14ac:dyDescent="0.25">
      <c r="A51" s="2" t="s">
        <v>14</v>
      </c>
      <c r="B51" s="2" t="s">
        <v>15</v>
      </c>
      <c r="C51" s="2" t="s">
        <v>5</v>
      </c>
      <c r="D51" s="2" t="s">
        <v>16</v>
      </c>
      <c r="E51" s="8">
        <v>490.64</v>
      </c>
      <c r="F51" s="2">
        <v>4</v>
      </c>
      <c r="G51" s="28">
        <f>VLOOKUP(C51,Table1[#All],3,FALSE)*F51</f>
        <v>94</v>
      </c>
      <c r="H51" s="29">
        <f>IF(E51&gt;VLOOKUP(C51,Table1[#All],4,FALSE)*Tuesday!F51,(Tuesday!E51-(VLOOKUP(Tuesday!C51,Table1[#All],4,FALSE)*Tuesday!F51))*VLOOKUP(Tuesday!C51,Table1[#All],5,FALSE),0)</f>
        <v>0</v>
      </c>
      <c r="I51" s="29">
        <f t="shared" si="0"/>
        <v>94</v>
      </c>
      <c r="J51" s="2">
        <f t="shared" si="1"/>
        <v>0</v>
      </c>
      <c r="K51" s="2">
        <f t="shared" si="2"/>
        <v>1</v>
      </c>
    </row>
    <row r="52" spans="1:11" ht="15" customHeight="1" x14ac:dyDescent="0.25">
      <c r="A52" s="2" t="s">
        <v>98</v>
      </c>
      <c r="B52" s="2" t="s">
        <v>99</v>
      </c>
      <c r="C52" s="2" t="s">
        <v>33</v>
      </c>
      <c r="D52" s="2" t="s">
        <v>55</v>
      </c>
      <c r="E52" s="8">
        <v>3389.92</v>
      </c>
      <c r="F52" s="2">
        <v>8</v>
      </c>
      <c r="G52" s="28">
        <f>VLOOKUP(C52,Table1[#All],3,FALSE)*F52</f>
        <v>120</v>
      </c>
      <c r="H52" s="29">
        <f>IF(E52&gt;VLOOKUP(C52,Table1[#All],4,FALSE)*Tuesday!F52,(Tuesday!E52-(VLOOKUP(Tuesday!C52,Table1[#All],4,FALSE)*Tuesday!F52))*VLOOKUP(Tuesday!C52,Table1[#All],5,FALSE),0)</f>
        <v>49.748000000000005</v>
      </c>
      <c r="I52" s="29">
        <f t="shared" si="0"/>
        <v>169.74799999999999</v>
      </c>
      <c r="J52" s="2">
        <f t="shared" si="1"/>
        <v>1</v>
      </c>
      <c r="K52" s="2">
        <f t="shared" si="2"/>
        <v>1</v>
      </c>
    </row>
    <row r="53" spans="1:11" ht="15" customHeight="1" x14ac:dyDescent="0.25">
      <c r="A53" s="2" t="s">
        <v>40</v>
      </c>
      <c r="B53" s="2" t="s">
        <v>41</v>
      </c>
      <c r="C53" s="2" t="s">
        <v>33</v>
      </c>
      <c r="D53" s="2" t="s">
        <v>54</v>
      </c>
      <c r="E53" s="8">
        <v>2080.44</v>
      </c>
      <c r="F53" s="2">
        <v>8</v>
      </c>
      <c r="G53" s="28">
        <f>VLOOKUP(C53,Table1[#All],3,FALSE)*F53</f>
        <v>120</v>
      </c>
      <c r="H53" s="29">
        <f>IF(E53&gt;VLOOKUP(C53,Table1[#All],4,FALSE)*Tuesday!F53,(Tuesday!E53-(VLOOKUP(Tuesday!C53,Table1[#All],4,FALSE)*Tuesday!F53))*VLOOKUP(Tuesday!C53,Table1[#All],5,FALSE),0)</f>
        <v>17.011000000000003</v>
      </c>
      <c r="I53" s="29">
        <f t="shared" si="0"/>
        <v>137.011</v>
      </c>
      <c r="J53" s="2">
        <f t="shared" si="1"/>
        <v>1</v>
      </c>
      <c r="K53" s="2">
        <f t="shared" si="2"/>
        <v>1</v>
      </c>
    </row>
    <row r="54" spans="1:11" ht="15" customHeight="1" x14ac:dyDescent="0.25">
      <c r="A54" s="2" t="s">
        <v>29</v>
      </c>
      <c r="B54" s="2" t="s">
        <v>30</v>
      </c>
      <c r="C54" s="2" t="s">
        <v>19</v>
      </c>
      <c r="D54" s="2" t="s">
        <v>55</v>
      </c>
      <c r="E54" s="8">
        <v>1967.8</v>
      </c>
      <c r="F54" s="2">
        <v>8</v>
      </c>
      <c r="G54" s="28">
        <f>VLOOKUP(C54,Table1[#All],3,FALSE)*F54</f>
        <v>108</v>
      </c>
      <c r="H54" s="29">
        <f>IF(E54&gt;VLOOKUP(C54,Table1[#All],4,FALSE)*Tuesday!F54,(Tuesday!E54-(VLOOKUP(Tuesday!C54,Table1[#All],4,FALSE)*Tuesday!F54))*VLOOKUP(Tuesday!C54,Table1[#All],5,FALSE),0)</f>
        <v>15.356</v>
      </c>
      <c r="I54" s="29">
        <f t="shared" si="0"/>
        <v>123.35599999999999</v>
      </c>
      <c r="J54" s="2">
        <f t="shared" si="1"/>
        <v>1</v>
      </c>
      <c r="K54" s="2">
        <f t="shared" si="2"/>
        <v>1</v>
      </c>
    </row>
    <row r="55" spans="1:11" ht="15" customHeight="1" x14ac:dyDescent="0.25">
      <c r="A55" s="2" t="s">
        <v>116</v>
      </c>
      <c r="B55" s="2" t="s">
        <v>117</v>
      </c>
      <c r="C55" s="2" t="s">
        <v>19</v>
      </c>
      <c r="D55" s="2" t="s">
        <v>11</v>
      </c>
      <c r="E55" s="8">
        <v>456.98</v>
      </c>
      <c r="F55" s="2">
        <v>2</v>
      </c>
      <c r="G55" s="28">
        <f>VLOOKUP(C55,Table1[#All],3,FALSE)*F55</f>
        <v>27</v>
      </c>
      <c r="H55" s="29">
        <f>IF(E55&gt;VLOOKUP(C55,Table1[#All],4,FALSE)*Tuesday!F55,(Tuesday!E55-(VLOOKUP(Tuesday!C55,Table1[#All],4,FALSE)*Tuesday!F55))*VLOOKUP(Tuesday!C55,Table1[#All],5,FALSE),0)</f>
        <v>3.1396000000000006</v>
      </c>
      <c r="I55" s="29">
        <f t="shared" si="0"/>
        <v>30.139600000000002</v>
      </c>
      <c r="J55" s="2">
        <f t="shared" si="1"/>
        <v>1</v>
      </c>
      <c r="K55" s="2">
        <f t="shared" si="2"/>
        <v>1</v>
      </c>
    </row>
    <row r="56" spans="1:11" ht="15" customHeight="1" x14ac:dyDescent="0.25">
      <c r="A56" s="2" t="s">
        <v>51</v>
      </c>
      <c r="B56" s="2" t="s">
        <v>52</v>
      </c>
      <c r="C56" s="2" t="s">
        <v>44</v>
      </c>
      <c r="D56" s="2" t="s">
        <v>16</v>
      </c>
      <c r="E56" s="8">
        <v>0</v>
      </c>
      <c r="F56" s="2">
        <v>0</v>
      </c>
      <c r="G56" s="28">
        <f>VLOOKUP(C56,Table1[#All],3,FALSE)*F56</f>
        <v>0</v>
      </c>
      <c r="H56" s="29">
        <f>IF(E56&gt;VLOOKUP(C56,Table1[#All],4,FALSE)*Tuesday!F56,(Tuesday!E56-(VLOOKUP(Tuesday!C56,Table1[#All],4,FALSE)*Tuesday!F56))*VLOOKUP(Tuesday!C56,Table1[#All],5,FALSE),0)</f>
        <v>0</v>
      </c>
      <c r="I56" s="29">
        <f t="shared" si="0"/>
        <v>0</v>
      </c>
      <c r="J56" s="2">
        <f t="shared" si="1"/>
        <v>0</v>
      </c>
      <c r="K56" s="2">
        <f t="shared" si="2"/>
        <v>0</v>
      </c>
    </row>
    <row r="57" spans="1:11" x14ac:dyDescent="0.25">
      <c r="F57" s="6"/>
    </row>
    <row r="58" spans="1:11" x14ac:dyDescent="0.25">
      <c r="F58" s="2"/>
    </row>
    <row r="59" spans="1:11" x14ac:dyDescent="0.25">
      <c r="A59" s="2" t="s">
        <v>137</v>
      </c>
      <c r="E59" s="31">
        <f>SUM(E5:E56)</f>
        <v>101127.36000000002</v>
      </c>
      <c r="F59" s="2"/>
      <c r="G59" s="29">
        <f>SUM(G5:G56)</f>
        <v>3791</v>
      </c>
      <c r="H59" s="29">
        <f>SUM(H5:H56)</f>
        <v>1288.9892499999999</v>
      </c>
      <c r="I59" s="29">
        <f>SUM(I5:I56)</f>
        <v>5079.9892500000005</v>
      </c>
      <c r="J59" s="33">
        <f>SUM(J5:J56)</f>
        <v>31</v>
      </c>
      <c r="K59" s="33">
        <f>SUM(K5:K56)</f>
        <v>41</v>
      </c>
    </row>
    <row r="60" spans="1:11" ht="15" customHeight="1" x14ac:dyDescent="0.25">
      <c r="A60" s="2" t="s">
        <v>138</v>
      </c>
      <c r="E60" s="31">
        <f>AVERAGE(E5:E56)</f>
        <v>1944.7569230769234</v>
      </c>
      <c r="F60" s="2"/>
      <c r="G60" s="29">
        <f>AVERAGE(G5:G56)</f>
        <v>72.90384615384616</v>
      </c>
      <c r="H60" s="29">
        <f>AVERAGE(H5:H56)</f>
        <v>24.788254807692304</v>
      </c>
      <c r="I60" s="29">
        <f>AVERAGE(I5:I56)</f>
        <v>97.692100961538472</v>
      </c>
      <c r="K60" s="32">
        <f>J59/K59</f>
        <v>0.75609756097560976</v>
      </c>
    </row>
    <row r="61" spans="1:11" ht="18" customHeight="1" x14ac:dyDescent="0.25">
      <c r="A61" s="2" t="s">
        <v>139</v>
      </c>
      <c r="E61" s="31">
        <f>MIN(E5:E56)</f>
        <v>0</v>
      </c>
      <c r="F61" s="2"/>
      <c r="G61" s="29">
        <f>MIN(G5:G56)</f>
        <v>0</v>
      </c>
      <c r="H61" s="29">
        <f>MIN(H5:H56)</f>
        <v>0</v>
      </c>
      <c r="I61" s="29">
        <f>MIN(I5:I56)</f>
        <v>0</v>
      </c>
    </row>
    <row r="62" spans="1:11" ht="15" customHeight="1" x14ac:dyDescent="0.25">
      <c r="A62" s="2" t="s">
        <v>140</v>
      </c>
      <c r="E62" s="8">
        <f>(MAX(E5:E56))</f>
        <v>13354.9</v>
      </c>
      <c r="F62" s="2"/>
      <c r="G62" s="29">
        <f>MAX(G5:G56)</f>
        <v>188</v>
      </c>
      <c r="H62" s="29">
        <f>MAX(H5:H56)</f>
        <v>370.64699999999999</v>
      </c>
      <c r="I62" s="29">
        <f>MAX(I5:I56)</f>
        <v>488.14699999999999</v>
      </c>
    </row>
    <row r="63" spans="1:11" ht="15" customHeight="1" x14ac:dyDescent="0.25">
      <c r="F63" s="2"/>
    </row>
    <row r="64" spans="1:11" ht="15" customHeight="1" x14ac:dyDescent="0.25">
      <c r="F64" s="2"/>
    </row>
    <row r="65" ht="15" customHeight="1" x14ac:dyDescent="0.25"/>
  </sheetData>
  <mergeCells count="3">
    <mergeCell ref="A1:K1"/>
    <mergeCell ref="A2:K2"/>
    <mergeCell ref="A3:K3"/>
  </mergeCells>
  <phoneticPr fontId="1" type="noConversion"/>
  <printOptions headings="1" gridLines="1"/>
  <pageMargins left="0.75" right="0.75" top="1" bottom="1" header="0.5" footer="0.5"/>
  <pageSetup scale="54" orientation="landscape" blackAndWhite="1" horizontalDpi="300" verticalDpi="300" r:id="rId1"/>
  <headerFooter alignWithMargins="0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65"/>
  <sheetViews>
    <sheetView workbookViewId="0">
      <selection activeCell="C6" sqref="C6"/>
    </sheetView>
  </sheetViews>
  <sheetFormatPr defaultColWidth="9.109375" defaultRowHeight="13.2" x14ac:dyDescent="0.25"/>
  <cols>
    <col min="1" max="1" width="12.6640625" style="2" customWidth="1"/>
    <col min="2" max="2" width="13.5546875" style="2" customWidth="1"/>
    <col min="3" max="3" width="15.44140625" style="2" customWidth="1"/>
    <col min="4" max="4" width="17" style="2" customWidth="1"/>
    <col min="5" max="5" width="14.44140625" customWidth="1"/>
    <col min="6" max="6" width="15.6640625" style="3" customWidth="1"/>
    <col min="7" max="7" width="13.5546875" style="2" customWidth="1"/>
    <col min="8" max="8" width="15.44140625" style="2" customWidth="1"/>
    <col min="9" max="9" width="13.5546875" style="2" customWidth="1"/>
    <col min="10" max="10" width="13.6640625" style="2" customWidth="1"/>
    <col min="11" max="11" width="15.6640625" style="2" customWidth="1"/>
    <col min="12" max="16384" width="9.109375" style="2"/>
  </cols>
  <sheetData>
    <row r="1" spans="1:11" ht="28.5" customHeight="1" x14ac:dyDescent="0.25">
      <c r="A1" s="69" t="s">
        <v>119</v>
      </c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1" x14ac:dyDescent="0.25">
      <c r="A2" s="70" t="s">
        <v>120</v>
      </c>
      <c r="B2" s="70"/>
      <c r="C2" s="70"/>
      <c r="D2" s="70"/>
      <c r="E2" s="70"/>
      <c r="F2" s="70"/>
      <c r="G2" s="70"/>
      <c r="H2" s="70"/>
      <c r="I2" s="70"/>
      <c r="J2" s="70"/>
      <c r="K2" s="70"/>
    </row>
    <row r="3" spans="1:11" x14ac:dyDescent="0.25">
      <c r="A3" s="71">
        <f ca="1">NOW()</f>
        <v>43760.754998263888</v>
      </c>
      <c r="B3" s="71"/>
      <c r="C3" s="71"/>
      <c r="D3" s="71"/>
      <c r="E3" s="71"/>
      <c r="F3" s="71"/>
      <c r="G3" s="71"/>
      <c r="H3" s="71"/>
      <c r="I3" s="71"/>
      <c r="J3" s="71"/>
      <c r="K3" s="71"/>
    </row>
    <row r="4" spans="1:11" customFormat="1" x14ac:dyDescent="0.25">
      <c r="A4" s="9" t="s">
        <v>0</v>
      </c>
      <c r="B4" s="9" t="s">
        <v>1</v>
      </c>
      <c r="C4" s="9" t="s">
        <v>58</v>
      </c>
      <c r="D4" s="9" t="s">
        <v>2</v>
      </c>
      <c r="E4" s="9" t="s">
        <v>53</v>
      </c>
      <c r="F4" s="9" t="s">
        <v>118</v>
      </c>
      <c r="G4" s="9" t="s">
        <v>121</v>
      </c>
      <c r="H4" s="9" t="s">
        <v>133</v>
      </c>
      <c r="I4" s="9" t="s">
        <v>134</v>
      </c>
      <c r="J4" s="9" t="s">
        <v>135</v>
      </c>
      <c r="K4" s="9" t="s">
        <v>136</v>
      </c>
    </row>
    <row r="5" spans="1:11" ht="15" customHeight="1" x14ac:dyDescent="0.25">
      <c r="A5" s="2" t="s">
        <v>3</v>
      </c>
      <c r="B5" s="2" t="s">
        <v>4</v>
      </c>
      <c r="C5" s="2" t="s">
        <v>5</v>
      </c>
      <c r="D5" s="2" t="s">
        <v>54</v>
      </c>
      <c r="E5" s="8">
        <v>0</v>
      </c>
      <c r="F5" s="2">
        <v>0</v>
      </c>
      <c r="G5" s="28">
        <f>VLOOKUP(C5,Table1[#All],3,FALSE)*F5</f>
        <v>0</v>
      </c>
      <c r="H5" s="29">
        <f>IF(E5&gt;VLOOKUP(C5,Table1[#All],4,FALSE)*Wed!F5,(Wed!E5-(VLOOKUP(Wed!C5,Table1[#All],4,FALSE)*Wed!F5))*VLOOKUP(Wed!C5,Table1[#All],5,FALSE),0)</f>
        <v>0</v>
      </c>
      <c r="I5" s="29">
        <f>G5+H5</f>
        <v>0</v>
      </c>
      <c r="J5" s="2">
        <f>IF(H5&gt;0,1,0)</f>
        <v>0</v>
      </c>
      <c r="K5" s="2">
        <f>IF(F5&gt;0,1,0)</f>
        <v>0</v>
      </c>
    </row>
    <row r="6" spans="1:11" ht="15" customHeight="1" x14ac:dyDescent="0.25">
      <c r="A6" s="2" t="s">
        <v>42</v>
      </c>
      <c r="B6" s="2" t="s">
        <v>43</v>
      </c>
      <c r="C6" s="2" t="s">
        <v>44</v>
      </c>
      <c r="D6" s="2" t="s">
        <v>54</v>
      </c>
      <c r="E6" s="8">
        <v>791.85</v>
      </c>
      <c r="F6" s="2">
        <v>2</v>
      </c>
      <c r="G6" s="28">
        <f>VLOOKUP(C6,Table1[#All],3,FALSE)*F6</f>
        <v>23.5</v>
      </c>
      <c r="H6" s="29">
        <f>IF(E6&gt;VLOOKUP(C6,Table1[#All],4,FALSE)*Wed!F6,(Wed!E6-(VLOOKUP(Wed!C6,Table1[#All],4,FALSE)*Wed!F6))*VLOOKUP(Wed!C6,Table1[#All],5,FALSE),0)</f>
        <v>8.1277500000000007</v>
      </c>
      <c r="I6" s="29">
        <f t="shared" ref="I6:I56" si="0">G6+H6</f>
        <v>31.627749999999999</v>
      </c>
      <c r="J6" s="2">
        <f t="shared" ref="J6:J56" si="1">IF(H6&gt;0,1,0)</f>
        <v>1</v>
      </c>
      <c r="K6" s="2">
        <f t="shared" ref="K6:K56" si="2">IF(F6&gt;0,1,0)</f>
        <v>1</v>
      </c>
    </row>
    <row r="7" spans="1:11" ht="15" customHeight="1" x14ac:dyDescent="0.25">
      <c r="A7" s="2" t="s">
        <v>31</v>
      </c>
      <c r="B7" s="2" t="s">
        <v>32</v>
      </c>
      <c r="C7" s="2" t="s">
        <v>33</v>
      </c>
      <c r="D7" s="2" t="s">
        <v>16</v>
      </c>
      <c r="E7" s="8">
        <v>0</v>
      </c>
      <c r="F7" s="2">
        <v>0</v>
      </c>
      <c r="G7" s="28">
        <f>VLOOKUP(C7,Table1[#All],3,FALSE)*F7</f>
        <v>0</v>
      </c>
      <c r="H7" s="29">
        <f>IF(E7&gt;VLOOKUP(C7,Table1[#All],4,FALSE)*Wed!F7,(Wed!E7-(VLOOKUP(Wed!C7,Table1[#All],4,FALSE)*Wed!F7))*VLOOKUP(Wed!C7,Table1[#All],5,FALSE),0)</f>
        <v>0</v>
      </c>
      <c r="I7" s="29">
        <f t="shared" si="0"/>
        <v>0</v>
      </c>
      <c r="J7" s="2">
        <f t="shared" si="1"/>
        <v>0</v>
      </c>
      <c r="K7" s="2">
        <f t="shared" si="2"/>
        <v>0</v>
      </c>
    </row>
    <row r="8" spans="1:11" ht="15" customHeight="1" x14ac:dyDescent="0.25">
      <c r="A8" s="2" t="s">
        <v>34</v>
      </c>
      <c r="B8" s="2" t="s">
        <v>35</v>
      </c>
      <c r="C8" s="2" t="s">
        <v>33</v>
      </c>
      <c r="D8" s="2" t="s">
        <v>20</v>
      </c>
      <c r="E8" s="8">
        <v>0</v>
      </c>
      <c r="F8" s="2">
        <v>0</v>
      </c>
      <c r="G8" s="28">
        <f>VLOOKUP(C8,Table1[#All],3,FALSE)*F8</f>
        <v>0</v>
      </c>
      <c r="H8" s="29">
        <f>IF(E8&gt;VLOOKUP(C8,Table1[#All],4,FALSE)*Wed!F8,(Wed!E8-(VLOOKUP(Wed!C8,Table1[#All],4,FALSE)*Wed!F8))*VLOOKUP(Wed!C8,Table1[#All],5,FALSE),0)</f>
        <v>0</v>
      </c>
      <c r="I8" s="29">
        <f t="shared" si="0"/>
        <v>0</v>
      </c>
      <c r="J8" s="2">
        <f t="shared" si="1"/>
        <v>0</v>
      </c>
      <c r="K8" s="2">
        <f t="shared" si="2"/>
        <v>0</v>
      </c>
    </row>
    <row r="9" spans="1:11" ht="15" customHeight="1" x14ac:dyDescent="0.25">
      <c r="A9" s="2" t="s">
        <v>6</v>
      </c>
      <c r="B9" s="2" t="s">
        <v>7</v>
      </c>
      <c r="C9" s="2" t="s">
        <v>5</v>
      </c>
      <c r="D9" s="2" t="s">
        <v>8</v>
      </c>
      <c r="E9" s="8">
        <v>1866.99</v>
      </c>
      <c r="F9" s="2">
        <v>7</v>
      </c>
      <c r="G9" s="28">
        <f>VLOOKUP(C9,Table1[#All],3,FALSE)*F9</f>
        <v>164.5</v>
      </c>
      <c r="H9" s="29">
        <f>IF(E9&gt;VLOOKUP(C9,Table1[#All],4,FALSE)*Wed!F9,(Wed!E9-(VLOOKUP(Wed!C9,Table1[#All],4,FALSE)*Wed!F9))*VLOOKUP(Wed!C9,Table1[#All],5,FALSE),0)</f>
        <v>14.0097</v>
      </c>
      <c r="I9" s="29">
        <f t="shared" si="0"/>
        <v>178.50970000000001</v>
      </c>
      <c r="J9" s="2">
        <f t="shared" si="1"/>
        <v>1</v>
      </c>
      <c r="K9" s="2">
        <f t="shared" si="2"/>
        <v>1</v>
      </c>
    </row>
    <row r="10" spans="1:11" ht="15" customHeight="1" x14ac:dyDescent="0.25">
      <c r="A10" s="2" t="s">
        <v>100</v>
      </c>
      <c r="B10" s="2" t="s">
        <v>15</v>
      </c>
      <c r="C10" s="2" t="s">
        <v>57</v>
      </c>
      <c r="D10" s="2" t="s">
        <v>11</v>
      </c>
      <c r="E10" s="8">
        <v>369.87</v>
      </c>
      <c r="F10" s="2">
        <v>4</v>
      </c>
      <c r="G10" s="28">
        <f>VLOOKUP(C10,Table1[#All],3,FALSE)*F10</f>
        <v>42</v>
      </c>
      <c r="H10" s="29">
        <f>IF(E10&gt;VLOOKUP(C10,Table1[#All],4,FALSE)*Wed!F10,(Wed!E10-(VLOOKUP(Wed!C10,Table1[#All],4,FALSE)*Wed!F10))*VLOOKUP(Wed!C10,Table1[#All],5,FALSE),0)</f>
        <v>0</v>
      </c>
      <c r="I10" s="29">
        <f t="shared" si="0"/>
        <v>42</v>
      </c>
      <c r="J10" s="2">
        <f t="shared" si="1"/>
        <v>0</v>
      </c>
      <c r="K10" s="2">
        <f t="shared" si="2"/>
        <v>1</v>
      </c>
    </row>
    <row r="11" spans="1:11" ht="15" customHeight="1" x14ac:dyDescent="0.25">
      <c r="A11" s="2" t="s">
        <v>63</v>
      </c>
      <c r="B11" s="2" t="s">
        <v>64</v>
      </c>
      <c r="C11" s="2" t="s">
        <v>57</v>
      </c>
      <c r="D11" s="2" t="s">
        <v>56</v>
      </c>
      <c r="E11" s="8">
        <v>4369.22</v>
      </c>
      <c r="F11" s="2">
        <v>8</v>
      </c>
      <c r="G11" s="28">
        <f>VLOOKUP(C11,Table1[#All],3,FALSE)*F11</f>
        <v>84</v>
      </c>
      <c r="H11" s="29">
        <f>IF(E11&gt;VLOOKUP(C11,Table1[#All],4,FALSE)*Wed!F11,(Wed!E11-(VLOOKUP(Wed!C11,Table1[#All],4,FALSE)*Wed!F11))*VLOOKUP(Wed!C11,Table1[#All],5,FALSE),0)</f>
        <v>35.692200000000007</v>
      </c>
      <c r="I11" s="29">
        <f t="shared" si="0"/>
        <v>119.69220000000001</v>
      </c>
      <c r="J11" s="2">
        <f t="shared" si="1"/>
        <v>1</v>
      </c>
      <c r="K11" s="2">
        <f t="shared" si="2"/>
        <v>1</v>
      </c>
    </row>
    <row r="12" spans="1:11" ht="15" customHeight="1" x14ac:dyDescent="0.25">
      <c r="A12" s="2" t="s">
        <v>61</v>
      </c>
      <c r="B12" s="2" t="s">
        <v>62</v>
      </c>
      <c r="C12" s="2" t="s">
        <v>19</v>
      </c>
      <c r="D12" s="2" t="s">
        <v>56</v>
      </c>
      <c r="E12" s="8">
        <v>0</v>
      </c>
      <c r="F12" s="2">
        <v>0</v>
      </c>
      <c r="G12" s="28">
        <f>VLOOKUP(C12,Table1[#All],3,FALSE)*F12</f>
        <v>0</v>
      </c>
      <c r="H12" s="29">
        <f>IF(E12&gt;VLOOKUP(C12,Table1[#All],4,FALSE)*Wed!F12,(Wed!E12-(VLOOKUP(Wed!C12,Table1[#All],4,FALSE)*Wed!F12))*VLOOKUP(Wed!C12,Table1[#All],5,FALSE),0)</f>
        <v>0</v>
      </c>
      <c r="I12" s="29">
        <f t="shared" si="0"/>
        <v>0</v>
      </c>
      <c r="J12" s="2">
        <f t="shared" si="1"/>
        <v>0</v>
      </c>
      <c r="K12" s="2">
        <f t="shared" si="2"/>
        <v>0</v>
      </c>
    </row>
    <row r="13" spans="1:11" ht="15" customHeight="1" x14ac:dyDescent="0.25">
      <c r="A13" s="2" t="s">
        <v>101</v>
      </c>
      <c r="B13" s="2" t="s">
        <v>102</v>
      </c>
      <c r="C13" s="2" t="s">
        <v>57</v>
      </c>
      <c r="D13" s="2" t="s">
        <v>54</v>
      </c>
      <c r="E13" s="8">
        <v>0</v>
      </c>
      <c r="F13" s="2">
        <v>0</v>
      </c>
      <c r="G13" s="28">
        <f>VLOOKUP(C13,Table1[#All],3,FALSE)*F13</f>
        <v>0</v>
      </c>
      <c r="H13" s="29">
        <f>IF(E13&gt;VLOOKUP(C13,Table1[#All],4,FALSE)*Wed!F13,(Wed!E13-(VLOOKUP(Wed!C13,Table1[#All],4,FALSE)*Wed!F13))*VLOOKUP(Wed!C13,Table1[#All],5,FALSE),0)</f>
        <v>0</v>
      </c>
      <c r="I13" s="29">
        <f t="shared" si="0"/>
        <v>0</v>
      </c>
      <c r="J13" s="2">
        <f t="shared" si="1"/>
        <v>0</v>
      </c>
      <c r="K13" s="2">
        <f t="shared" si="2"/>
        <v>0</v>
      </c>
    </row>
    <row r="14" spans="1:11" ht="15" customHeight="1" x14ac:dyDescent="0.25">
      <c r="A14" s="2" t="s">
        <v>65</v>
      </c>
      <c r="B14" s="2" t="s">
        <v>66</v>
      </c>
      <c r="C14" s="2" t="s">
        <v>57</v>
      </c>
      <c r="D14" s="2" t="s">
        <v>56</v>
      </c>
      <c r="E14" s="8">
        <v>3865.87</v>
      </c>
      <c r="F14" s="2">
        <v>8</v>
      </c>
      <c r="G14" s="28">
        <f>VLOOKUP(C14,Table1[#All],3,FALSE)*F14</f>
        <v>84</v>
      </c>
      <c r="H14" s="29">
        <f>IF(E14&gt;VLOOKUP(C14,Table1[#All],4,FALSE)*Wed!F14,(Wed!E14-(VLOOKUP(Wed!C14,Table1[#All],4,FALSE)*Wed!F14))*VLOOKUP(Wed!C14,Table1[#All],5,FALSE),0)</f>
        <v>30.6587</v>
      </c>
      <c r="I14" s="29">
        <f t="shared" si="0"/>
        <v>114.6587</v>
      </c>
      <c r="J14" s="2">
        <f t="shared" si="1"/>
        <v>1</v>
      </c>
      <c r="K14" s="2">
        <f t="shared" si="2"/>
        <v>1</v>
      </c>
    </row>
    <row r="15" spans="1:11" ht="15" customHeight="1" x14ac:dyDescent="0.25">
      <c r="A15" s="2" t="s">
        <v>69</v>
      </c>
      <c r="B15" s="2" t="s">
        <v>10</v>
      </c>
      <c r="C15" s="2" t="s">
        <v>44</v>
      </c>
      <c r="D15" s="2" t="s">
        <v>16</v>
      </c>
      <c r="E15" s="8">
        <v>2336.66</v>
      </c>
      <c r="F15" s="2">
        <v>5</v>
      </c>
      <c r="G15" s="28">
        <f>VLOOKUP(C15,Table1[#All],3,FALSE)*F15</f>
        <v>58.75</v>
      </c>
      <c r="H15" s="29">
        <f>IF(E15&gt;VLOOKUP(C15,Table1[#All],4,FALSE)*Wed!F15,(Wed!E15-(VLOOKUP(Wed!C15,Table1[#All],4,FALSE)*Wed!F15))*VLOOKUP(Wed!C15,Table1[#All],5,FALSE),0)</f>
        <v>25.674899999999997</v>
      </c>
      <c r="I15" s="29">
        <f t="shared" si="0"/>
        <v>84.424899999999994</v>
      </c>
      <c r="J15" s="2">
        <f t="shared" si="1"/>
        <v>1</v>
      </c>
      <c r="K15" s="2">
        <f t="shared" si="2"/>
        <v>1</v>
      </c>
    </row>
    <row r="16" spans="1:11" ht="15" customHeight="1" x14ac:dyDescent="0.25">
      <c r="A16" s="2" t="s">
        <v>67</v>
      </c>
      <c r="B16" s="2" t="s">
        <v>68</v>
      </c>
      <c r="C16" s="2" t="s">
        <v>33</v>
      </c>
      <c r="D16" s="2" t="s">
        <v>56</v>
      </c>
      <c r="E16" s="8">
        <v>1522.64</v>
      </c>
      <c r="F16" s="2">
        <v>5</v>
      </c>
      <c r="G16" s="28">
        <f>VLOOKUP(C16,Table1[#All],3,FALSE)*F16</f>
        <v>75</v>
      </c>
      <c r="H16" s="29">
        <f>IF(E16&gt;VLOOKUP(C16,Table1[#All],4,FALSE)*Wed!F16,(Wed!E16-(VLOOKUP(Wed!C16,Table1[#All],4,FALSE)*Wed!F16))*VLOOKUP(Wed!C16,Table1[#All],5,FALSE),0)</f>
        <v>16.191000000000003</v>
      </c>
      <c r="I16" s="29">
        <f t="shared" si="0"/>
        <v>91.191000000000003</v>
      </c>
      <c r="J16" s="2">
        <f t="shared" si="1"/>
        <v>1</v>
      </c>
      <c r="K16" s="2">
        <f t="shared" si="2"/>
        <v>1</v>
      </c>
    </row>
    <row r="17" spans="1:11" ht="15" customHeight="1" x14ac:dyDescent="0.25">
      <c r="A17" s="2" t="s">
        <v>74</v>
      </c>
      <c r="B17" s="2" t="s">
        <v>75</v>
      </c>
      <c r="C17" s="2" t="s">
        <v>19</v>
      </c>
      <c r="D17" s="2" t="s">
        <v>11</v>
      </c>
      <c r="E17" s="8">
        <v>7726.69</v>
      </c>
      <c r="F17" s="2">
        <v>6</v>
      </c>
      <c r="G17" s="28">
        <f>VLOOKUP(C17,Table1[#All],3,FALSE)*F17</f>
        <v>81</v>
      </c>
      <c r="H17" s="29">
        <f>IF(E17&gt;VLOOKUP(C17,Table1[#All],4,FALSE)*Wed!F17,(Wed!E17-(VLOOKUP(Wed!C17,Table1[#All],4,FALSE)*Wed!F17))*VLOOKUP(Wed!C17,Table1[#All],5,FALSE),0)</f>
        <v>136.53379999999999</v>
      </c>
      <c r="I17" s="29">
        <f t="shared" si="0"/>
        <v>217.53379999999999</v>
      </c>
      <c r="J17" s="2">
        <f t="shared" si="1"/>
        <v>1</v>
      </c>
      <c r="K17" s="2">
        <f t="shared" si="2"/>
        <v>1</v>
      </c>
    </row>
    <row r="18" spans="1:11" ht="15" customHeight="1" x14ac:dyDescent="0.25">
      <c r="A18" s="2" t="s">
        <v>70</v>
      </c>
      <c r="B18" s="2" t="s">
        <v>71</v>
      </c>
      <c r="C18" s="2" t="s">
        <v>19</v>
      </c>
      <c r="D18" s="2" t="s">
        <v>16</v>
      </c>
      <c r="E18" s="8">
        <v>0</v>
      </c>
      <c r="F18" s="2">
        <v>0</v>
      </c>
      <c r="G18" s="28">
        <f>VLOOKUP(C18,Table1[#All],3,FALSE)*F18</f>
        <v>0</v>
      </c>
      <c r="H18" s="29">
        <f>IF(E18&gt;VLOOKUP(C18,Table1[#All],4,FALSE)*Wed!F18,(Wed!E18-(VLOOKUP(Wed!C18,Table1[#All],4,FALSE)*Wed!F18))*VLOOKUP(Wed!C18,Table1[#All],5,FALSE),0)</f>
        <v>0</v>
      </c>
      <c r="I18" s="29">
        <f t="shared" si="0"/>
        <v>0</v>
      </c>
      <c r="J18" s="2">
        <f t="shared" si="1"/>
        <v>0</v>
      </c>
      <c r="K18" s="2">
        <f t="shared" si="2"/>
        <v>0</v>
      </c>
    </row>
    <row r="19" spans="1:11" ht="15" customHeight="1" x14ac:dyDescent="0.25">
      <c r="A19" s="2" t="s">
        <v>17</v>
      </c>
      <c r="B19" s="2" t="s">
        <v>18</v>
      </c>
      <c r="C19" s="2" t="s">
        <v>19</v>
      </c>
      <c r="D19" s="2" t="s">
        <v>20</v>
      </c>
      <c r="E19" s="8">
        <v>1846.25</v>
      </c>
      <c r="F19" s="2">
        <v>8</v>
      </c>
      <c r="G19" s="28">
        <f>VLOOKUP(C19,Table1[#All],3,FALSE)*F19</f>
        <v>108</v>
      </c>
      <c r="H19" s="29">
        <f>IF(E19&gt;VLOOKUP(C19,Table1[#All],4,FALSE)*Wed!F19,(Wed!E19-(VLOOKUP(Wed!C19,Table1[#All],4,FALSE)*Wed!F19))*VLOOKUP(Wed!C19,Table1[#All],5,FALSE),0)</f>
        <v>12.925000000000001</v>
      </c>
      <c r="I19" s="29">
        <f t="shared" si="0"/>
        <v>120.925</v>
      </c>
      <c r="J19" s="2">
        <f t="shared" si="1"/>
        <v>1</v>
      </c>
      <c r="K19" s="2">
        <f t="shared" si="2"/>
        <v>1</v>
      </c>
    </row>
    <row r="20" spans="1:11" ht="15" customHeight="1" x14ac:dyDescent="0.25">
      <c r="A20" s="2" t="s">
        <v>103</v>
      </c>
      <c r="B20" s="2" t="s">
        <v>104</v>
      </c>
      <c r="C20" s="2" t="s">
        <v>57</v>
      </c>
      <c r="D20" s="2" t="s">
        <v>55</v>
      </c>
      <c r="E20" s="8">
        <v>0</v>
      </c>
      <c r="F20" s="2">
        <v>0</v>
      </c>
      <c r="G20" s="28">
        <f>VLOOKUP(C20,Table1[#All],3,FALSE)*F20</f>
        <v>0</v>
      </c>
      <c r="H20" s="29">
        <f>IF(E20&gt;VLOOKUP(C20,Table1[#All],4,FALSE)*Wed!F20,(Wed!E20-(VLOOKUP(Wed!C20,Table1[#All],4,FALSE)*Wed!F20))*VLOOKUP(Wed!C20,Table1[#All],5,FALSE),0)</f>
        <v>0</v>
      </c>
      <c r="I20" s="29">
        <f t="shared" si="0"/>
        <v>0</v>
      </c>
      <c r="J20" s="2">
        <f t="shared" si="1"/>
        <v>0</v>
      </c>
      <c r="K20" s="2">
        <f t="shared" si="2"/>
        <v>0</v>
      </c>
    </row>
    <row r="21" spans="1:11" ht="15" customHeight="1" x14ac:dyDescent="0.25">
      <c r="A21" s="2" t="s">
        <v>76</v>
      </c>
      <c r="B21" s="2" t="s">
        <v>77</v>
      </c>
      <c r="C21" s="2" t="s">
        <v>57</v>
      </c>
      <c r="D21" s="2" t="s">
        <v>11</v>
      </c>
      <c r="E21" s="8">
        <v>27746.32</v>
      </c>
      <c r="F21" s="2">
        <v>8</v>
      </c>
      <c r="G21" s="28">
        <f>VLOOKUP(C21,Table1[#All],3,FALSE)*F21</f>
        <v>84</v>
      </c>
      <c r="H21" s="29">
        <f>IF(E21&gt;VLOOKUP(C21,Table1[#All],4,FALSE)*Wed!F21,(Wed!E21-(VLOOKUP(Wed!C21,Table1[#All],4,FALSE)*Wed!F21))*VLOOKUP(Wed!C21,Table1[#All],5,FALSE),0)</f>
        <v>269.46320000000003</v>
      </c>
      <c r="I21" s="29">
        <f t="shared" si="0"/>
        <v>353.46320000000003</v>
      </c>
      <c r="J21" s="2">
        <f t="shared" si="1"/>
        <v>1</v>
      </c>
      <c r="K21" s="2">
        <f t="shared" si="2"/>
        <v>1</v>
      </c>
    </row>
    <row r="22" spans="1:11" ht="15" customHeight="1" x14ac:dyDescent="0.25">
      <c r="A22" s="2" t="s">
        <v>78</v>
      </c>
      <c r="B22" s="2" t="s">
        <v>79</v>
      </c>
      <c r="C22" s="2" t="s">
        <v>44</v>
      </c>
      <c r="D22" s="2" t="s">
        <v>11</v>
      </c>
      <c r="E22" s="8">
        <v>0</v>
      </c>
      <c r="F22" s="2">
        <v>5</v>
      </c>
      <c r="G22" s="28">
        <f>VLOOKUP(C22,Table1[#All],3,FALSE)*F22</f>
        <v>58.75</v>
      </c>
      <c r="H22" s="29">
        <f>IF(E22&gt;VLOOKUP(C22,Table1[#All],4,FALSE)*Wed!F22,(Wed!E22-(VLOOKUP(Wed!C22,Table1[#All],4,FALSE)*Wed!F22))*VLOOKUP(Wed!C22,Table1[#All],5,FALSE),0)</f>
        <v>0</v>
      </c>
      <c r="I22" s="29">
        <f t="shared" si="0"/>
        <v>58.75</v>
      </c>
      <c r="J22" s="2">
        <f t="shared" si="1"/>
        <v>0</v>
      </c>
      <c r="K22" s="2">
        <f t="shared" si="2"/>
        <v>1</v>
      </c>
    </row>
    <row r="23" spans="1:11" ht="15" customHeight="1" x14ac:dyDescent="0.25">
      <c r="A23" s="2" t="s">
        <v>21</v>
      </c>
      <c r="B23" s="2" t="s">
        <v>22</v>
      </c>
      <c r="C23" s="2" t="s">
        <v>19</v>
      </c>
      <c r="D23" s="2" t="s">
        <v>16</v>
      </c>
      <c r="E23" s="8">
        <v>0</v>
      </c>
      <c r="F23" s="2">
        <v>0</v>
      </c>
      <c r="G23" s="28">
        <f>VLOOKUP(C23,Table1[#All],3,FALSE)*F23</f>
        <v>0</v>
      </c>
      <c r="H23" s="29">
        <f>IF(E23&gt;VLOOKUP(C23,Table1[#All],4,FALSE)*Wed!F23,(Wed!E23-(VLOOKUP(Wed!C23,Table1[#All],4,FALSE)*Wed!F23))*VLOOKUP(Wed!C23,Table1[#All],5,FALSE),0)</f>
        <v>0</v>
      </c>
      <c r="I23" s="29">
        <f t="shared" si="0"/>
        <v>0</v>
      </c>
      <c r="J23" s="2">
        <f t="shared" si="1"/>
        <v>0</v>
      </c>
      <c r="K23" s="2">
        <f t="shared" si="2"/>
        <v>0</v>
      </c>
    </row>
    <row r="24" spans="1:11" ht="15" customHeight="1" x14ac:dyDescent="0.25">
      <c r="A24" s="2" t="s">
        <v>80</v>
      </c>
      <c r="B24" s="2" t="s">
        <v>81</v>
      </c>
      <c r="C24" s="2" t="s">
        <v>5</v>
      </c>
      <c r="D24" s="2" t="s">
        <v>20</v>
      </c>
      <c r="E24" s="8">
        <v>0</v>
      </c>
      <c r="F24" s="2">
        <v>0</v>
      </c>
      <c r="G24" s="28">
        <f>VLOOKUP(C24,Table1[#All],3,FALSE)*F24</f>
        <v>0</v>
      </c>
      <c r="H24" s="29">
        <f>IF(E24&gt;VLOOKUP(C24,Table1[#All],4,FALSE)*Wed!F24,(Wed!E24-(VLOOKUP(Wed!C24,Table1[#All],4,FALSE)*Wed!F24))*VLOOKUP(Wed!C24,Table1[#All],5,FALSE),0)</f>
        <v>0</v>
      </c>
      <c r="I24" s="29">
        <f t="shared" si="0"/>
        <v>0</v>
      </c>
      <c r="J24" s="2">
        <f t="shared" si="1"/>
        <v>0</v>
      </c>
      <c r="K24" s="2">
        <f t="shared" si="2"/>
        <v>0</v>
      </c>
    </row>
    <row r="25" spans="1:11" ht="15" customHeight="1" x14ac:dyDescent="0.25">
      <c r="A25" s="2" t="s">
        <v>45</v>
      </c>
      <c r="B25" s="2" t="s">
        <v>46</v>
      </c>
      <c r="C25" s="2" t="s">
        <v>44</v>
      </c>
      <c r="D25" s="2" t="s">
        <v>11</v>
      </c>
      <c r="E25" s="8">
        <v>0</v>
      </c>
      <c r="F25" s="2">
        <v>0</v>
      </c>
      <c r="G25" s="28">
        <f>VLOOKUP(C25,Table1[#All],3,FALSE)*F25</f>
        <v>0</v>
      </c>
      <c r="H25" s="29">
        <f>IF(E25&gt;VLOOKUP(C25,Table1[#All],4,FALSE)*Wed!F25,(Wed!E25-(VLOOKUP(Wed!C25,Table1[#All],4,FALSE)*Wed!F25))*VLOOKUP(Wed!C25,Table1[#All],5,FALSE),0)</f>
        <v>0</v>
      </c>
      <c r="I25" s="29">
        <f t="shared" si="0"/>
        <v>0</v>
      </c>
      <c r="J25" s="2">
        <f t="shared" si="1"/>
        <v>0</v>
      </c>
      <c r="K25" s="2">
        <f t="shared" si="2"/>
        <v>0</v>
      </c>
    </row>
    <row r="26" spans="1:11" ht="15" customHeight="1" x14ac:dyDescent="0.25">
      <c r="A26" s="2" t="s">
        <v>105</v>
      </c>
      <c r="B26" s="2" t="s">
        <v>77</v>
      </c>
      <c r="C26" s="2" t="s">
        <v>44</v>
      </c>
      <c r="D26" s="2" t="s">
        <v>16</v>
      </c>
      <c r="E26" s="8">
        <v>0</v>
      </c>
      <c r="F26" s="2">
        <v>0</v>
      </c>
      <c r="G26" s="28">
        <f>VLOOKUP(C26,Table1[#All],3,FALSE)*F26</f>
        <v>0</v>
      </c>
      <c r="H26" s="29">
        <f>IF(E26&gt;VLOOKUP(C26,Table1[#All],4,FALSE)*Wed!F26,(Wed!E26-(VLOOKUP(Wed!C26,Table1[#All],4,FALSE)*Wed!F26))*VLOOKUP(Wed!C26,Table1[#All],5,FALSE),0)</f>
        <v>0</v>
      </c>
      <c r="I26" s="29">
        <f t="shared" si="0"/>
        <v>0</v>
      </c>
      <c r="J26" s="2">
        <f t="shared" si="1"/>
        <v>0</v>
      </c>
      <c r="K26" s="2">
        <f t="shared" si="2"/>
        <v>0</v>
      </c>
    </row>
    <row r="27" spans="1:11" ht="15" customHeight="1" x14ac:dyDescent="0.25">
      <c r="A27" s="2" t="s">
        <v>59</v>
      </c>
      <c r="B27" s="2" t="s">
        <v>60</v>
      </c>
      <c r="C27" s="2" t="s">
        <v>19</v>
      </c>
      <c r="D27" s="2" t="s">
        <v>56</v>
      </c>
      <c r="E27" s="8">
        <v>2693.21</v>
      </c>
      <c r="F27" s="2">
        <v>8</v>
      </c>
      <c r="G27" s="28">
        <f>VLOOKUP(C27,Table1[#All],3,FALSE)*F27</f>
        <v>108</v>
      </c>
      <c r="H27" s="29">
        <f>IF(E27&gt;VLOOKUP(C27,Table1[#All],4,FALSE)*Wed!F27,(Wed!E27-(VLOOKUP(Wed!C27,Table1[#All],4,FALSE)*Wed!F27))*VLOOKUP(Wed!C27,Table1[#All],5,FALSE),0)</f>
        <v>29.8642</v>
      </c>
      <c r="I27" s="29">
        <f t="shared" si="0"/>
        <v>137.86420000000001</v>
      </c>
      <c r="J27" s="2">
        <f t="shared" si="1"/>
        <v>1</v>
      </c>
      <c r="K27" s="2">
        <f t="shared" si="2"/>
        <v>1</v>
      </c>
    </row>
    <row r="28" spans="1:11" ht="15" customHeight="1" x14ac:dyDescent="0.25">
      <c r="A28" s="2" t="s">
        <v>23</v>
      </c>
      <c r="B28" s="2" t="s">
        <v>24</v>
      </c>
      <c r="C28" s="2" t="s">
        <v>5</v>
      </c>
      <c r="D28" s="2" t="s">
        <v>55</v>
      </c>
      <c r="E28" s="8">
        <v>2461.87</v>
      </c>
      <c r="F28" s="2">
        <v>4</v>
      </c>
      <c r="G28" s="28">
        <f>VLOOKUP(C28,Table1[#All],3,FALSE)*F28</f>
        <v>94</v>
      </c>
      <c r="H28" s="29">
        <f>IF(E28&gt;VLOOKUP(C28,Table1[#All],4,FALSE)*Wed!F28,(Wed!E28-(VLOOKUP(Wed!C28,Table1[#All],4,FALSE)*Wed!F28))*VLOOKUP(Wed!C28,Table1[#All],5,FALSE),0)</f>
        <v>49.856099999999998</v>
      </c>
      <c r="I28" s="29">
        <f t="shared" si="0"/>
        <v>143.8561</v>
      </c>
      <c r="J28" s="2">
        <f t="shared" si="1"/>
        <v>1</v>
      </c>
      <c r="K28" s="2">
        <f t="shared" si="2"/>
        <v>1</v>
      </c>
    </row>
    <row r="29" spans="1:11" ht="15" customHeight="1" x14ac:dyDescent="0.25">
      <c r="A29" s="2" t="s">
        <v>106</v>
      </c>
      <c r="B29" s="2" t="s">
        <v>107</v>
      </c>
      <c r="C29" s="2" t="s">
        <v>44</v>
      </c>
      <c r="D29" s="2" t="s">
        <v>56</v>
      </c>
      <c r="E29" s="8">
        <v>150</v>
      </c>
      <c r="F29" s="2">
        <v>4</v>
      </c>
      <c r="G29" s="28">
        <f>VLOOKUP(C29,Table1[#All],3,FALSE)*F29</f>
        <v>47</v>
      </c>
      <c r="H29" s="29">
        <f>IF(E29&gt;VLOOKUP(C29,Table1[#All],4,FALSE)*Wed!F29,(Wed!E29-(VLOOKUP(Wed!C29,Table1[#All],4,FALSE)*Wed!F29))*VLOOKUP(Wed!C29,Table1[#All],5,FALSE),0)</f>
        <v>0</v>
      </c>
      <c r="I29" s="29">
        <f t="shared" si="0"/>
        <v>47</v>
      </c>
      <c r="J29" s="2">
        <f t="shared" si="1"/>
        <v>0</v>
      </c>
      <c r="K29" s="2">
        <f t="shared" si="2"/>
        <v>1</v>
      </c>
    </row>
    <row r="30" spans="1:11" s="1" customFormat="1" ht="15" customHeight="1" x14ac:dyDescent="0.25">
      <c r="A30" s="2" t="s">
        <v>82</v>
      </c>
      <c r="B30" s="2" t="s">
        <v>83</v>
      </c>
      <c r="C30" s="2" t="s">
        <v>19</v>
      </c>
      <c r="D30" s="2" t="s">
        <v>20</v>
      </c>
      <c r="E30" s="8">
        <v>0</v>
      </c>
      <c r="F30" s="2">
        <v>0</v>
      </c>
      <c r="G30" s="28">
        <f>VLOOKUP(C30,Table1[#All],3,FALSE)*F30</f>
        <v>0</v>
      </c>
      <c r="H30" s="29">
        <f>IF(E30&gt;VLOOKUP(C30,Table1[#All],4,FALSE)*Wed!F30,(Wed!E30-(VLOOKUP(Wed!C30,Table1[#All],4,FALSE)*Wed!F30))*VLOOKUP(Wed!C30,Table1[#All],5,FALSE),0)</f>
        <v>0</v>
      </c>
      <c r="I30" s="29">
        <f t="shared" si="0"/>
        <v>0</v>
      </c>
      <c r="J30" s="2">
        <f t="shared" si="1"/>
        <v>0</v>
      </c>
      <c r="K30" s="2">
        <f t="shared" si="2"/>
        <v>0</v>
      </c>
    </row>
    <row r="31" spans="1:11" s="1" customFormat="1" ht="15" customHeight="1" x14ac:dyDescent="0.25">
      <c r="A31" s="2" t="s">
        <v>108</v>
      </c>
      <c r="B31" s="2" t="s">
        <v>109</v>
      </c>
      <c r="C31" s="2" t="s">
        <v>19</v>
      </c>
      <c r="D31" s="2" t="s">
        <v>8</v>
      </c>
      <c r="E31" s="8">
        <v>263.23</v>
      </c>
      <c r="F31" s="2">
        <v>6</v>
      </c>
      <c r="G31" s="28">
        <f>VLOOKUP(C31,Table1[#All],3,FALSE)*F31</f>
        <v>81</v>
      </c>
      <c r="H31" s="29">
        <f>IF(E31&gt;VLOOKUP(C31,Table1[#All],4,FALSE)*Wed!F31,(Wed!E31-(VLOOKUP(Wed!C31,Table1[#All],4,FALSE)*Wed!F31))*VLOOKUP(Wed!C31,Table1[#All],5,FALSE),0)</f>
        <v>0</v>
      </c>
      <c r="I31" s="29">
        <f t="shared" si="0"/>
        <v>81</v>
      </c>
      <c r="J31" s="2">
        <f t="shared" si="1"/>
        <v>0</v>
      </c>
      <c r="K31" s="2">
        <f t="shared" si="2"/>
        <v>1</v>
      </c>
    </row>
    <row r="32" spans="1:11" s="1" customFormat="1" ht="15" customHeight="1" x14ac:dyDescent="0.25">
      <c r="A32" s="2" t="s">
        <v>36</v>
      </c>
      <c r="B32" s="2" t="s">
        <v>37</v>
      </c>
      <c r="C32" s="2" t="s">
        <v>33</v>
      </c>
      <c r="D32" s="2" t="s">
        <v>8</v>
      </c>
      <c r="E32" s="8">
        <v>2113.09</v>
      </c>
      <c r="F32" s="2">
        <v>5</v>
      </c>
      <c r="G32" s="28">
        <f>VLOOKUP(C32,Table1[#All],3,FALSE)*F32</f>
        <v>75</v>
      </c>
      <c r="H32" s="29">
        <f>IF(E32&gt;VLOOKUP(C32,Table1[#All],4,FALSE)*Wed!F32,(Wed!E32-(VLOOKUP(Wed!C32,Table1[#All],4,FALSE)*Wed!F32))*VLOOKUP(Wed!C32,Table1[#All],5,FALSE),0)</f>
        <v>30.952250000000006</v>
      </c>
      <c r="I32" s="29">
        <f t="shared" si="0"/>
        <v>105.95225000000001</v>
      </c>
      <c r="J32" s="2">
        <f t="shared" si="1"/>
        <v>1</v>
      </c>
      <c r="K32" s="2">
        <f t="shared" si="2"/>
        <v>1</v>
      </c>
    </row>
    <row r="33" spans="1:11" s="1" customFormat="1" ht="15" customHeight="1" x14ac:dyDescent="0.25">
      <c r="A33" s="2" t="s">
        <v>84</v>
      </c>
      <c r="B33" s="2" t="s">
        <v>85</v>
      </c>
      <c r="C33" s="2" t="s">
        <v>57</v>
      </c>
      <c r="D33" s="2" t="s">
        <v>20</v>
      </c>
      <c r="E33" s="8">
        <v>2275.9499999999998</v>
      </c>
      <c r="F33" s="2">
        <v>4</v>
      </c>
      <c r="G33" s="28">
        <f>VLOOKUP(C33,Table1[#All],3,FALSE)*F33</f>
        <v>42</v>
      </c>
      <c r="H33" s="29">
        <f>IF(E33&gt;VLOOKUP(C33,Table1[#All],4,FALSE)*Wed!F33,(Wed!E33-(VLOOKUP(Wed!C33,Table1[#All],4,FALSE)*Wed!F33))*VLOOKUP(Wed!C33,Table1[#All],5,FALSE),0)</f>
        <v>18.759499999999999</v>
      </c>
      <c r="I33" s="29">
        <f t="shared" si="0"/>
        <v>60.759500000000003</v>
      </c>
      <c r="J33" s="2">
        <f t="shared" si="1"/>
        <v>1</v>
      </c>
      <c r="K33" s="2">
        <f t="shared" si="2"/>
        <v>1</v>
      </c>
    </row>
    <row r="34" spans="1:11" s="1" customFormat="1" ht="15" customHeight="1" x14ac:dyDescent="0.25">
      <c r="A34" s="2" t="s">
        <v>9</v>
      </c>
      <c r="B34" s="2" t="s">
        <v>10</v>
      </c>
      <c r="C34" s="2" t="s">
        <v>5</v>
      </c>
      <c r="D34" s="2" t="s">
        <v>11</v>
      </c>
      <c r="E34" s="8">
        <v>8632.7199999999993</v>
      </c>
      <c r="F34" s="2">
        <v>8</v>
      </c>
      <c r="G34" s="28">
        <f>VLOOKUP(C34,Table1[#All],3,FALSE)*F34</f>
        <v>188</v>
      </c>
      <c r="H34" s="29">
        <f>IF(E34&gt;VLOOKUP(C34,Table1[#All],4,FALSE)*Wed!F34,(Wed!E34-(VLOOKUP(Wed!C34,Table1[#All],4,FALSE)*Wed!F34))*VLOOKUP(Wed!C34,Table1[#All],5,FALSE),0)</f>
        <v>210.98159999999999</v>
      </c>
      <c r="I34" s="29">
        <f t="shared" si="0"/>
        <v>398.98159999999996</v>
      </c>
      <c r="J34" s="2">
        <f t="shared" si="1"/>
        <v>1</v>
      </c>
      <c r="K34" s="2">
        <f t="shared" si="2"/>
        <v>1</v>
      </c>
    </row>
    <row r="35" spans="1:11" ht="15" customHeight="1" x14ac:dyDescent="0.25">
      <c r="A35" s="2" t="s">
        <v>86</v>
      </c>
      <c r="B35" s="2" t="s">
        <v>87</v>
      </c>
      <c r="C35" s="2" t="s">
        <v>44</v>
      </c>
      <c r="D35" s="2" t="s">
        <v>20</v>
      </c>
      <c r="E35" s="8">
        <v>1228.73</v>
      </c>
      <c r="F35" s="2">
        <v>4</v>
      </c>
      <c r="G35" s="28">
        <f>VLOOKUP(C35,Table1[#All],3,FALSE)*F35</f>
        <v>47</v>
      </c>
      <c r="H35" s="29">
        <f>IF(E35&gt;VLOOKUP(C35,Table1[#All],4,FALSE)*Wed!F35,(Wed!E35-(VLOOKUP(Wed!C35,Table1[#All],4,FALSE)*Wed!F35))*VLOOKUP(Wed!C35,Table1[#All],5,FALSE),0)</f>
        <v>10.930949999999999</v>
      </c>
      <c r="I35" s="29">
        <f t="shared" si="0"/>
        <v>57.930949999999996</v>
      </c>
      <c r="J35" s="2">
        <f t="shared" si="1"/>
        <v>1</v>
      </c>
      <c r="K35" s="2">
        <f t="shared" si="2"/>
        <v>1</v>
      </c>
    </row>
    <row r="36" spans="1:11" ht="15" customHeight="1" x14ac:dyDescent="0.25">
      <c r="A36" s="2" t="s">
        <v>25</v>
      </c>
      <c r="B36" s="2" t="s">
        <v>26</v>
      </c>
      <c r="C36" s="2" t="s">
        <v>19</v>
      </c>
      <c r="D36" s="2" t="s">
        <v>54</v>
      </c>
      <c r="E36" s="8">
        <v>3492.55</v>
      </c>
      <c r="F36" s="2">
        <v>8</v>
      </c>
      <c r="G36" s="28">
        <f>VLOOKUP(C36,Table1[#All],3,FALSE)*F36</f>
        <v>108</v>
      </c>
      <c r="H36" s="29">
        <f>IF(E36&gt;VLOOKUP(C36,Table1[#All],4,FALSE)*Wed!F36,(Wed!E36-(VLOOKUP(Wed!C36,Table1[#All],4,FALSE)*Wed!F36))*VLOOKUP(Wed!C36,Table1[#All],5,FALSE),0)</f>
        <v>45.851000000000006</v>
      </c>
      <c r="I36" s="29">
        <f t="shared" si="0"/>
        <v>153.851</v>
      </c>
      <c r="J36" s="2">
        <f t="shared" si="1"/>
        <v>1</v>
      </c>
      <c r="K36" s="2">
        <f t="shared" si="2"/>
        <v>1</v>
      </c>
    </row>
    <row r="37" spans="1:11" ht="15" customHeight="1" x14ac:dyDescent="0.25">
      <c r="A37" s="2" t="s">
        <v>110</v>
      </c>
      <c r="B37" s="2" t="s">
        <v>111</v>
      </c>
      <c r="C37" s="2" t="s">
        <v>19</v>
      </c>
      <c r="D37" s="2" t="s">
        <v>54</v>
      </c>
      <c r="E37" s="8">
        <v>986.25</v>
      </c>
      <c r="F37" s="2">
        <v>3</v>
      </c>
      <c r="G37" s="28">
        <f>VLOOKUP(C37,Table1[#All],3,FALSE)*F37</f>
        <v>40.5</v>
      </c>
      <c r="H37" s="29">
        <f>IF(E37&gt;VLOOKUP(C37,Table1[#All],4,FALSE)*Wed!F37,(Wed!E37-(VLOOKUP(Wed!C37,Table1[#All],4,FALSE)*Wed!F37))*VLOOKUP(Wed!C37,Table1[#All],5,FALSE),0)</f>
        <v>10.725</v>
      </c>
      <c r="I37" s="29">
        <f t="shared" si="0"/>
        <v>51.225000000000001</v>
      </c>
      <c r="J37" s="2">
        <f t="shared" si="1"/>
        <v>1</v>
      </c>
      <c r="K37" s="2">
        <f t="shared" si="2"/>
        <v>1</v>
      </c>
    </row>
    <row r="38" spans="1:11" ht="15" customHeight="1" x14ac:dyDescent="0.25">
      <c r="A38" s="2" t="s">
        <v>92</v>
      </c>
      <c r="B38" s="2" t="s">
        <v>93</v>
      </c>
      <c r="C38" s="2" t="s">
        <v>33</v>
      </c>
      <c r="D38" s="2" t="s">
        <v>8</v>
      </c>
      <c r="E38" s="8">
        <v>1080.1500000000001</v>
      </c>
      <c r="F38" s="2">
        <v>8</v>
      </c>
      <c r="G38" s="28">
        <f>VLOOKUP(C38,Table1[#All],3,FALSE)*F38</f>
        <v>120</v>
      </c>
      <c r="H38" s="29">
        <f>IF(E38&gt;VLOOKUP(C38,Table1[#All],4,FALSE)*Wed!F38,(Wed!E38-(VLOOKUP(Wed!C38,Table1[#All],4,FALSE)*Wed!F38))*VLOOKUP(Wed!C38,Table1[#All],5,FALSE),0)</f>
        <v>0</v>
      </c>
      <c r="I38" s="29">
        <f t="shared" si="0"/>
        <v>120</v>
      </c>
      <c r="J38" s="2">
        <f t="shared" si="1"/>
        <v>0</v>
      </c>
      <c r="K38" s="2">
        <f t="shared" si="2"/>
        <v>1</v>
      </c>
    </row>
    <row r="39" spans="1:11" ht="15" customHeight="1" x14ac:dyDescent="0.25">
      <c r="A39" s="2" t="s">
        <v>112</v>
      </c>
      <c r="B39" s="2" t="s">
        <v>113</v>
      </c>
      <c r="C39" s="2" t="s">
        <v>33</v>
      </c>
      <c r="D39" s="2" t="s">
        <v>54</v>
      </c>
      <c r="E39" s="8">
        <v>999.36</v>
      </c>
      <c r="F39" s="2">
        <v>8</v>
      </c>
      <c r="G39" s="28">
        <f>VLOOKUP(C39,Table1[#All],3,FALSE)*F39</f>
        <v>120</v>
      </c>
      <c r="H39" s="29">
        <f>IF(E39&gt;VLOOKUP(C39,Table1[#All],4,FALSE)*Wed!F39,(Wed!E39-(VLOOKUP(Wed!C39,Table1[#All],4,FALSE)*Wed!F39))*VLOOKUP(Wed!C39,Table1[#All],5,FALSE),0)</f>
        <v>0</v>
      </c>
      <c r="I39" s="29">
        <f t="shared" si="0"/>
        <v>120</v>
      </c>
      <c r="J39" s="2">
        <f t="shared" si="1"/>
        <v>0</v>
      </c>
      <c r="K39" s="2">
        <f t="shared" si="2"/>
        <v>1</v>
      </c>
    </row>
    <row r="40" spans="1:11" ht="15" customHeight="1" x14ac:dyDescent="0.25">
      <c r="A40" s="2" t="s">
        <v>94</v>
      </c>
      <c r="B40" s="2" t="s">
        <v>95</v>
      </c>
      <c r="C40" s="2" t="s">
        <v>57</v>
      </c>
      <c r="D40" s="2" t="s">
        <v>55</v>
      </c>
      <c r="E40" s="8">
        <v>1313.6</v>
      </c>
      <c r="F40" s="2">
        <v>7</v>
      </c>
      <c r="G40" s="28">
        <f>VLOOKUP(C40,Table1[#All],3,FALSE)*F40</f>
        <v>73.5</v>
      </c>
      <c r="H40" s="29">
        <f>IF(E40&gt;VLOOKUP(C40,Table1[#All],4,FALSE)*Wed!F40,(Wed!E40-(VLOOKUP(Wed!C40,Table1[#All],4,FALSE)*Wed!F40))*VLOOKUP(Wed!C40,Table1[#All],5,FALSE),0)</f>
        <v>6.1359999999999992</v>
      </c>
      <c r="I40" s="29">
        <f t="shared" si="0"/>
        <v>79.635999999999996</v>
      </c>
      <c r="J40" s="2">
        <f t="shared" si="1"/>
        <v>1</v>
      </c>
      <c r="K40" s="2">
        <f t="shared" si="2"/>
        <v>1</v>
      </c>
    </row>
    <row r="41" spans="1:11" ht="15" customHeight="1" x14ac:dyDescent="0.25">
      <c r="A41" s="2" t="s">
        <v>88</v>
      </c>
      <c r="B41" s="2" t="s">
        <v>89</v>
      </c>
      <c r="C41" s="2" t="s">
        <v>19</v>
      </c>
      <c r="D41" s="2" t="s">
        <v>8</v>
      </c>
      <c r="E41" s="8">
        <v>1590.69</v>
      </c>
      <c r="F41" s="2">
        <v>8</v>
      </c>
      <c r="G41" s="28">
        <f>VLOOKUP(C41,Table1[#All],3,FALSE)*F41</f>
        <v>108</v>
      </c>
      <c r="H41" s="29">
        <f>IF(E41&gt;VLOOKUP(C41,Table1[#All],4,FALSE)*Wed!F41,(Wed!E41-(VLOOKUP(Wed!C41,Table1[#All],4,FALSE)*Wed!F41))*VLOOKUP(Wed!C41,Table1[#All],5,FALSE),0)</f>
        <v>7.8138000000000014</v>
      </c>
      <c r="I41" s="29">
        <f t="shared" si="0"/>
        <v>115.8138</v>
      </c>
      <c r="J41" s="2">
        <f t="shared" si="1"/>
        <v>1</v>
      </c>
      <c r="K41" s="2">
        <f t="shared" si="2"/>
        <v>1</v>
      </c>
    </row>
    <row r="42" spans="1:11" ht="15" customHeight="1" x14ac:dyDescent="0.25">
      <c r="A42" s="2" t="s">
        <v>90</v>
      </c>
      <c r="B42" s="2" t="s">
        <v>91</v>
      </c>
      <c r="C42" s="2" t="s">
        <v>57</v>
      </c>
      <c r="D42" s="2" t="s">
        <v>8</v>
      </c>
      <c r="E42" s="8">
        <v>0</v>
      </c>
      <c r="F42" s="2">
        <v>0</v>
      </c>
      <c r="G42" s="28">
        <f>VLOOKUP(C42,Table1[#All],3,FALSE)*F42</f>
        <v>0</v>
      </c>
      <c r="H42" s="29">
        <f>IF(E42&gt;VLOOKUP(C42,Table1[#All],4,FALSE)*Wed!F42,(Wed!E42-(VLOOKUP(Wed!C42,Table1[#All],4,FALSE)*Wed!F42))*VLOOKUP(Wed!C42,Table1[#All],5,FALSE),0)</f>
        <v>0</v>
      </c>
      <c r="I42" s="29">
        <f t="shared" si="0"/>
        <v>0</v>
      </c>
      <c r="J42" s="2">
        <f t="shared" si="1"/>
        <v>0</v>
      </c>
      <c r="K42" s="2">
        <f t="shared" si="2"/>
        <v>0</v>
      </c>
    </row>
    <row r="43" spans="1:11" ht="15" customHeight="1" x14ac:dyDescent="0.25">
      <c r="A43" s="2" t="s">
        <v>72</v>
      </c>
      <c r="B43" s="2" t="s">
        <v>73</v>
      </c>
      <c r="C43" s="2" t="s">
        <v>19</v>
      </c>
      <c r="D43" s="2" t="s">
        <v>11</v>
      </c>
      <c r="E43" s="8">
        <v>0</v>
      </c>
      <c r="F43" s="2">
        <v>0</v>
      </c>
      <c r="G43" s="28">
        <f>VLOOKUP(C43,Table1[#All],3,FALSE)*F43</f>
        <v>0</v>
      </c>
      <c r="H43" s="29">
        <f>IF(E43&gt;VLOOKUP(C43,Table1[#All],4,FALSE)*Wed!F43,(Wed!E43-(VLOOKUP(Wed!C43,Table1[#All],4,FALSE)*Wed!F43))*VLOOKUP(Wed!C43,Table1[#All],5,FALSE),0)</f>
        <v>0</v>
      </c>
      <c r="I43" s="29">
        <f t="shared" si="0"/>
        <v>0</v>
      </c>
      <c r="J43" s="2">
        <f t="shared" si="1"/>
        <v>0</v>
      </c>
      <c r="K43" s="2">
        <f t="shared" si="2"/>
        <v>0</v>
      </c>
    </row>
    <row r="44" spans="1:11" ht="15" customHeight="1" x14ac:dyDescent="0.25">
      <c r="A44" s="2" t="s">
        <v>12</v>
      </c>
      <c r="B44" s="2" t="s">
        <v>13</v>
      </c>
      <c r="C44" s="2" t="s">
        <v>5</v>
      </c>
      <c r="D44" s="2" t="s">
        <v>56</v>
      </c>
      <c r="E44" s="8">
        <v>0</v>
      </c>
      <c r="F44" s="2">
        <v>0</v>
      </c>
      <c r="G44" s="28">
        <f>VLOOKUP(C44,Table1[#All],3,FALSE)*F44</f>
        <v>0</v>
      </c>
      <c r="H44" s="29">
        <f>IF(E44&gt;VLOOKUP(C44,Table1[#All],4,FALSE)*Wed!F44,(Wed!E44-(VLOOKUP(Wed!C44,Table1[#All],4,FALSE)*Wed!F44))*VLOOKUP(Wed!C44,Table1[#All],5,FALSE),0)</f>
        <v>0</v>
      </c>
      <c r="I44" s="29">
        <f t="shared" si="0"/>
        <v>0</v>
      </c>
      <c r="J44" s="2">
        <f t="shared" si="1"/>
        <v>0</v>
      </c>
      <c r="K44" s="2">
        <f t="shared" si="2"/>
        <v>0</v>
      </c>
    </row>
    <row r="45" spans="1:11" ht="15" customHeight="1" x14ac:dyDescent="0.25">
      <c r="A45" s="2" t="s">
        <v>47</v>
      </c>
      <c r="B45" s="2" t="s">
        <v>48</v>
      </c>
      <c r="C45" s="2" t="s">
        <v>44</v>
      </c>
      <c r="D45" s="2" t="s">
        <v>54</v>
      </c>
      <c r="E45" s="8">
        <v>790.53</v>
      </c>
      <c r="F45" s="2">
        <v>2</v>
      </c>
      <c r="G45" s="28">
        <f>VLOOKUP(C45,Table1[#All],3,FALSE)*F45</f>
        <v>23.5</v>
      </c>
      <c r="H45" s="29">
        <f>IF(E45&gt;VLOOKUP(C45,Table1[#All],4,FALSE)*Wed!F45,(Wed!E45-(VLOOKUP(Wed!C45,Table1[#All],4,FALSE)*Wed!F45))*VLOOKUP(Wed!C45,Table1[#All],5,FALSE),0)</f>
        <v>8.1079499999999989</v>
      </c>
      <c r="I45" s="29">
        <f t="shared" si="0"/>
        <v>31.607949999999999</v>
      </c>
      <c r="J45" s="2">
        <f t="shared" si="1"/>
        <v>1</v>
      </c>
      <c r="K45" s="2">
        <f t="shared" si="2"/>
        <v>1</v>
      </c>
    </row>
    <row r="46" spans="1:11" ht="15" customHeight="1" x14ac:dyDescent="0.25">
      <c r="A46" s="2" t="s">
        <v>49</v>
      </c>
      <c r="B46" s="2" t="s">
        <v>50</v>
      </c>
      <c r="C46" s="2" t="s">
        <v>44</v>
      </c>
      <c r="D46" s="2" t="s">
        <v>8</v>
      </c>
      <c r="E46" s="8">
        <v>3494.11</v>
      </c>
      <c r="F46" s="2">
        <v>8</v>
      </c>
      <c r="G46" s="28">
        <f>VLOOKUP(C46,Table1[#All],3,FALSE)*F46</f>
        <v>94</v>
      </c>
      <c r="H46" s="29">
        <f>IF(E46&gt;VLOOKUP(C46,Table1[#All],4,FALSE)*Wed!F46,(Wed!E46-(VLOOKUP(Wed!C46,Table1[#All],4,FALSE)*Wed!F46))*VLOOKUP(Wed!C46,Table1[#All],5,FALSE),0)</f>
        <v>37.411650000000002</v>
      </c>
      <c r="I46" s="29">
        <f t="shared" si="0"/>
        <v>131.41165000000001</v>
      </c>
      <c r="J46" s="2">
        <f t="shared" si="1"/>
        <v>1</v>
      </c>
      <c r="K46" s="2">
        <f t="shared" si="2"/>
        <v>1</v>
      </c>
    </row>
    <row r="47" spans="1:11" ht="15" customHeight="1" x14ac:dyDescent="0.25">
      <c r="A47" s="2" t="s">
        <v>38</v>
      </c>
      <c r="B47" s="2" t="s">
        <v>39</v>
      </c>
      <c r="C47" s="2" t="s">
        <v>33</v>
      </c>
      <c r="D47" s="2" t="s">
        <v>54</v>
      </c>
      <c r="E47" s="8">
        <v>0</v>
      </c>
      <c r="F47" s="2">
        <v>0</v>
      </c>
      <c r="G47" s="28">
        <f>VLOOKUP(C47,Table1[#All],3,FALSE)*F47</f>
        <v>0</v>
      </c>
      <c r="H47" s="29">
        <f>IF(E47&gt;VLOOKUP(C47,Table1[#All],4,FALSE)*Wed!F47,(Wed!E47-(VLOOKUP(Wed!C47,Table1[#All],4,FALSE)*Wed!F47))*VLOOKUP(Wed!C47,Table1[#All],5,FALSE),0)</f>
        <v>0</v>
      </c>
      <c r="I47" s="29">
        <f t="shared" si="0"/>
        <v>0</v>
      </c>
      <c r="J47" s="2">
        <f t="shared" si="1"/>
        <v>0</v>
      </c>
      <c r="K47" s="2">
        <f t="shared" si="2"/>
        <v>0</v>
      </c>
    </row>
    <row r="48" spans="1:11" ht="15" customHeight="1" x14ac:dyDescent="0.25">
      <c r="A48" s="2" t="s">
        <v>114</v>
      </c>
      <c r="B48" s="2" t="s">
        <v>115</v>
      </c>
      <c r="C48" s="2" t="s">
        <v>33</v>
      </c>
      <c r="D48" s="2" t="s">
        <v>55</v>
      </c>
      <c r="E48" s="8">
        <v>456.36</v>
      </c>
      <c r="F48" s="2">
        <v>8</v>
      </c>
      <c r="G48" s="28">
        <f>VLOOKUP(C48,Table1[#All],3,FALSE)*F48</f>
        <v>120</v>
      </c>
      <c r="H48" s="29">
        <f>IF(E48&gt;VLOOKUP(C48,Table1[#All],4,FALSE)*Wed!F48,(Wed!E48-(VLOOKUP(Wed!C48,Table1[#All],4,FALSE)*Wed!F48))*VLOOKUP(Wed!C48,Table1[#All],5,FALSE),0)</f>
        <v>0</v>
      </c>
      <c r="I48" s="29">
        <f t="shared" si="0"/>
        <v>120</v>
      </c>
      <c r="J48" s="2">
        <f t="shared" si="1"/>
        <v>0</v>
      </c>
      <c r="K48" s="2">
        <f t="shared" si="2"/>
        <v>1</v>
      </c>
    </row>
    <row r="49" spans="1:11" ht="15" customHeight="1" x14ac:dyDescent="0.25">
      <c r="A49" s="2" t="s">
        <v>27</v>
      </c>
      <c r="B49" s="2" t="s">
        <v>28</v>
      </c>
      <c r="C49" s="2" t="s">
        <v>19</v>
      </c>
      <c r="D49" s="2" t="s">
        <v>55</v>
      </c>
      <c r="E49" s="8">
        <v>2506.0700000000002</v>
      </c>
      <c r="F49" s="2">
        <v>4</v>
      </c>
      <c r="G49" s="28">
        <f>VLOOKUP(C49,Table1[#All],3,FALSE)*F49</f>
        <v>54</v>
      </c>
      <c r="H49" s="29">
        <f>IF(E49&gt;VLOOKUP(C49,Table1[#All],4,FALSE)*Wed!F49,(Wed!E49-(VLOOKUP(Wed!C49,Table1[#All],4,FALSE)*Wed!F49))*VLOOKUP(Wed!C49,Table1[#All],5,FALSE),0)</f>
        <v>38.121400000000001</v>
      </c>
      <c r="I49" s="29">
        <f t="shared" si="0"/>
        <v>92.121399999999994</v>
      </c>
      <c r="J49" s="2">
        <f t="shared" si="1"/>
        <v>1</v>
      </c>
      <c r="K49" s="2">
        <f t="shared" si="2"/>
        <v>1</v>
      </c>
    </row>
    <row r="50" spans="1:11" ht="15" customHeight="1" x14ac:dyDescent="0.25">
      <c r="A50" s="2" t="s">
        <v>96</v>
      </c>
      <c r="B50" s="2" t="s">
        <v>97</v>
      </c>
      <c r="C50" s="2" t="s">
        <v>57</v>
      </c>
      <c r="D50" s="2" t="s">
        <v>55</v>
      </c>
      <c r="E50" s="8">
        <v>3870.88</v>
      </c>
      <c r="F50" s="2">
        <v>7</v>
      </c>
      <c r="G50" s="28">
        <f>VLOOKUP(C50,Table1[#All],3,FALSE)*F50</f>
        <v>73.5</v>
      </c>
      <c r="H50" s="29">
        <f>IF(E50&gt;VLOOKUP(C50,Table1[#All],4,FALSE)*Wed!F50,(Wed!E50-(VLOOKUP(Wed!C50,Table1[#All],4,FALSE)*Wed!F50))*VLOOKUP(Wed!C50,Table1[#All],5,FALSE),0)</f>
        <v>31.7088</v>
      </c>
      <c r="I50" s="29">
        <f t="shared" si="0"/>
        <v>105.2088</v>
      </c>
      <c r="J50" s="2">
        <f t="shared" si="1"/>
        <v>1</v>
      </c>
      <c r="K50" s="2">
        <f t="shared" si="2"/>
        <v>1</v>
      </c>
    </row>
    <row r="51" spans="1:11" ht="15" customHeight="1" x14ac:dyDescent="0.25">
      <c r="A51" s="2" t="s">
        <v>14</v>
      </c>
      <c r="B51" s="2" t="s">
        <v>15</v>
      </c>
      <c r="C51" s="2" t="s">
        <v>5</v>
      </c>
      <c r="D51" s="2" t="s">
        <v>16</v>
      </c>
      <c r="E51" s="8">
        <v>1768.87</v>
      </c>
      <c r="F51" s="2">
        <v>8</v>
      </c>
      <c r="G51" s="28">
        <f>VLOOKUP(C51,Table1[#All],3,FALSE)*F51</f>
        <v>188</v>
      </c>
      <c r="H51" s="29">
        <f>IF(E51&gt;VLOOKUP(C51,Table1[#All],4,FALSE)*Wed!F51,(Wed!E51-(VLOOKUP(Wed!C51,Table1[#All],4,FALSE)*Wed!F51))*VLOOKUP(Wed!C51,Table1[#All],5,FALSE),0)</f>
        <v>5.0660999999999969</v>
      </c>
      <c r="I51" s="29">
        <f t="shared" si="0"/>
        <v>193.06610000000001</v>
      </c>
      <c r="J51" s="2">
        <f t="shared" si="1"/>
        <v>1</v>
      </c>
      <c r="K51" s="2">
        <f t="shared" si="2"/>
        <v>1</v>
      </c>
    </row>
    <row r="52" spans="1:11" ht="15" customHeight="1" x14ac:dyDescent="0.25">
      <c r="A52" s="2" t="s">
        <v>98</v>
      </c>
      <c r="B52" s="2" t="s">
        <v>99</v>
      </c>
      <c r="C52" s="2" t="s">
        <v>33</v>
      </c>
      <c r="D52" s="2" t="s">
        <v>55</v>
      </c>
      <c r="E52" s="8">
        <v>1698.97</v>
      </c>
      <c r="F52" s="2">
        <v>8</v>
      </c>
      <c r="G52" s="28">
        <f>VLOOKUP(C52,Table1[#All],3,FALSE)*F52</f>
        <v>120</v>
      </c>
      <c r="H52" s="29">
        <f>IF(E52&gt;VLOOKUP(C52,Table1[#All],4,FALSE)*Wed!F52,(Wed!E52-(VLOOKUP(Wed!C52,Table1[#All],4,FALSE)*Wed!F52))*VLOOKUP(Wed!C52,Table1[#All],5,FALSE),0)</f>
        <v>7.4742500000000014</v>
      </c>
      <c r="I52" s="29">
        <f t="shared" si="0"/>
        <v>127.47425</v>
      </c>
      <c r="J52" s="2">
        <f t="shared" si="1"/>
        <v>1</v>
      </c>
      <c r="K52" s="2">
        <f t="shared" si="2"/>
        <v>1</v>
      </c>
    </row>
    <row r="53" spans="1:11" ht="15" customHeight="1" x14ac:dyDescent="0.25">
      <c r="A53" s="2" t="s">
        <v>40</v>
      </c>
      <c r="B53" s="2" t="s">
        <v>41</v>
      </c>
      <c r="C53" s="2" t="s">
        <v>33</v>
      </c>
      <c r="D53" s="2" t="s">
        <v>54</v>
      </c>
      <c r="E53" s="8">
        <v>2889.7</v>
      </c>
      <c r="F53" s="2">
        <v>8</v>
      </c>
      <c r="G53" s="28">
        <f>VLOOKUP(C53,Table1[#All],3,FALSE)*F53</f>
        <v>120</v>
      </c>
      <c r="H53" s="29">
        <f>IF(E53&gt;VLOOKUP(C53,Table1[#All],4,FALSE)*Wed!F53,(Wed!E53-(VLOOKUP(Wed!C53,Table1[#All],4,FALSE)*Wed!F53))*VLOOKUP(Wed!C53,Table1[#All],5,FALSE),0)</f>
        <v>37.2425</v>
      </c>
      <c r="I53" s="29">
        <f t="shared" si="0"/>
        <v>157.24250000000001</v>
      </c>
      <c r="J53" s="2">
        <f t="shared" si="1"/>
        <v>1</v>
      </c>
      <c r="K53" s="2">
        <f t="shared" si="2"/>
        <v>1</v>
      </c>
    </row>
    <row r="54" spans="1:11" ht="15" customHeight="1" x14ac:dyDescent="0.25">
      <c r="A54" s="2" t="s">
        <v>29</v>
      </c>
      <c r="B54" s="2" t="s">
        <v>30</v>
      </c>
      <c r="C54" s="2" t="s">
        <v>19</v>
      </c>
      <c r="D54" s="2" t="s">
        <v>55</v>
      </c>
      <c r="E54" s="8">
        <v>1352.79</v>
      </c>
      <c r="F54" s="2">
        <v>5</v>
      </c>
      <c r="G54" s="28">
        <f>VLOOKUP(C54,Table1[#All],3,FALSE)*F54</f>
        <v>67.5</v>
      </c>
      <c r="H54" s="29">
        <f>IF(E54&gt;VLOOKUP(C54,Table1[#All],4,FALSE)*Wed!F54,(Wed!E54-(VLOOKUP(Wed!C54,Table1[#All],4,FALSE)*Wed!F54))*VLOOKUP(Wed!C54,Table1[#All],5,FALSE),0)</f>
        <v>12.0558</v>
      </c>
      <c r="I54" s="29">
        <f t="shared" si="0"/>
        <v>79.555800000000005</v>
      </c>
      <c r="J54" s="2">
        <f t="shared" si="1"/>
        <v>1</v>
      </c>
      <c r="K54" s="2">
        <f t="shared" si="2"/>
        <v>1</v>
      </c>
    </row>
    <row r="55" spans="1:11" ht="15" customHeight="1" x14ac:dyDescent="0.25">
      <c r="A55" s="2" t="s">
        <v>116</v>
      </c>
      <c r="B55" s="2" t="s">
        <v>117</v>
      </c>
      <c r="C55" s="2" t="s">
        <v>19</v>
      </c>
      <c r="D55" s="2" t="s">
        <v>11</v>
      </c>
      <c r="E55" s="8">
        <v>0</v>
      </c>
      <c r="F55" s="2">
        <v>0</v>
      </c>
      <c r="G55" s="28">
        <f>VLOOKUP(C55,Table1[#All],3,FALSE)*F55</f>
        <v>0</v>
      </c>
      <c r="H55" s="29">
        <f>IF(E55&gt;VLOOKUP(C55,Table1[#All],4,FALSE)*Wed!F55,(Wed!E55-(VLOOKUP(Wed!C55,Table1[#All],4,FALSE)*Wed!F55))*VLOOKUP(Wed!C55,Table1[#All],5,FALSE),0)</f>
        <v>0</v>
      </c>
      <c r="I55" s="29">
        <f t="shared" si="0"/>
        <v>0</v>
      </c>
      <c r="J55" s="2">
        <f t="shared" si="1"/>
        <v>0</v>
      </c>
      <c r="K55" s="2">
        <f t="shared" si="2"/>
        <v>0</v>
      </c>
    </row>
    <row r="56" spans="1:11" ht="15" customHeight="1" x14ac:dyDescent="0.25">
      <c r="A56" s="2" t="s">
        <v>51</v>
      </c>
      <c r="B56" s="2" t="s">
        <v>52</v>
      </c>
      <c r="C56" s="2" t="s">
        <v>44</v>
      </c>
      <c r="D56" s="2" t="s">
        <v>16</v>
      </c>
      <c r="E56" s="8">
        <v>2699.63</v>
      </c>
      <c r="F56" s="2">
        <v>8</v>
      </c>
      <c r="G56" s="28">
        <f>VLOOKUP(C56,Table1[#All],3,FALSE)*F56</f>
        <v>94</v>
      </c>
      <c r="H56" s="29">
        <f>IF(E56&gt;VLOOKUP(C56,Table1[#All],4,FALSE)*Wed!F56,(Wed!E56-(VLOOKUP(Wed!C56,Table1[#All],4,FALSE)*Wed!F56))*VLOOKUP(Wed!C56,Table1[#All],5,FALSE),0)</f>
        <v>25.494450000000001</v>
      </c>
      <c r="I56" s="29">
        <f t="shared" si="0"/>
        <v>119.49445</v>
      </c>
      <c r="J56" s="2">
        <f t="shared" si="1"/>
        <v>1</v>
      </c>
      <c r="K56" s="2">
        <f t="shared" si="2"/>
        <v>1</v>
      </c>
    </row>
    <row r="57" spans="1:11" x14ac:dyDescent="0.25">
      <c r="F57" s="2"/>
    </row>
    <row r="58" spans="1:11" x14ac:dyDescent="0.25">
      <c r="F58" s="2"/>
    </row>
    <row r="59" spans="1:11" x14ac:dyDescent="0.25">
      <c r="A59" s="2" t="s">
        <v>137</v>
      </c>
      <c r="E59" s="31">
        <f>SUM(E5:E56)</f>
        <v>103251.67000000001</v>
      </c>
      <c r="F59" s="2"/>
      <c r="G59" s="29">
        <f>SUM(G5:G56)</f>
        <v>3070</v>
      </c>
      <c r="H59" s="29">
        <f>SUM(H5:H56)</f>
        <v>1173.8295500000004</v>
      </c>
      <c r="I59" s="29">
        <f>SUM(I5:I56)</f>
        <v>4243.8295499999995</v>
      </c>
      <c r="J59" s="33">
        <f>SUM(J5:J56)</f>
        <v>28</v>
      </c>
      <c r="K59" s="33">
        <f>SUM(K5:K56)</f>
        <v>35</v>
      </c>
    </row>
    <row r="60" spans="1:11" ht="15" customHeight="1" x14ac:dyDescent="0.25">
      <c r="A60" s="2" t="s">
        <v>138</v>
      </c>
      <c r="E60" s="31">
        <f>AVERAGE(E5:E56)</f>
        <v>1985.6090384615386</v>
      </c>
      <c r="F60" s="2"/>
      <c r="G60" s="29">
        <f>AVERAGE(G5:G56)</f>
        <v>59.03846153846154</v>
      </c>
      <c r="H60" s="29">
        <f>AVERAGE(H5:H56)</f>
        <v>22.573645192307701</v>
      </c>
      <c r="I60" s="29">
        <f>AVERAGE(I5:I56)</f>
        <v>81.612106730769227</v>
      </c>
      <c r="K60" s="32">
        <f>J59/K59</f>
        <v>0.8</v>
      </c>
    </row>
    <row r="61" spans="1:11" ht="18" customHeight="1" x14ac:dyDescent="0.25">
      <c r="A61" s="2" t="s">
        <v>139</v>
      </c>
      <c r="E61" s="31">
        <f>MIN(E5:E56)</f>
        <v>0</v>
      </c>
      <c r="F61" s="2"/>
      <c r="G61" s="29">
        <f>MIN(G5:G56)</f>
        <v>0</v>
      </c>
      <c r="H61" s="29">
        <f>MIN(H5:H56)</f>
        <v>0</v>
      </c>
      <c r="I61" s="29">
        <f>MIN(I5:I56)</f>
        <v>0</v>
      </c>
    </row>
    <row r="62" spans="1:11" ht="15" customHeight="1" x14ac:dyDescent="0.25">
      <c r="A62" s="2" t="s">
        <v>140</v>
      </c>
      <c r="E62" s="8">
        <f>(MAX(E5:E56))</f>
        <v>27746.32</v>
      </c>
      <c r="F62" s="2"/>
      <c r="G62" s="29">
        <f>MAX(G5:G56)</f>
        <v>188</v>
      </c>
      <c r="H62" s="29">
        <f>MAX(H5:H56)</f>
        <v>269.46320000000003</v>
      </c>
      <c r="I62" s="29">
        <f>MAX(I5:I56)</f>
        <v>398.98159999999996</v>
      </c>
    </row>
    <row r="63" spans="1:11" ht="15" customHeight="1" x14ac:dyDescent="0.25">
      <c r="F63" s="2"/>
    </row>
    <row r="64" spans="1:11" ht="15" customHeight="1" x14ac:dyDescent="0.25">
      <c r="F64" s="2"/>
    </row>
    <row r="65" ht="15" customHeight="1" x14ac:dyDescent="0.25"/>
  </sheetData>
  <mergeCells count="3">
    <mergeCell ref="A1:K1"/>
    <mergeCell ref="A2:K2"/>
    <mergeCell ref="A3:K3"/>
  </mergeCells>
  <phoneticPr fontId="1" type="noConversion"/>
  <printOptions headings="1" gridLines="1"/>
  <pageMargins left="0.75" right="0.75" top="1" bottom="1" header="0.5" footer="0.5"/>
  <pageSetup scale="54" orientation="landscape" blackAndWhite="1" horizontalDpi="300" verticalDpi="300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65"/>
  <sheetViews>
    <sheetView topLeftCell="A4" workbookViewId="0">
      <selection activeCell="C5" sqref="C5"/>
    </sheetView>
  </sheetViews>
  <sheetFormatPr defaultColWidth="9.109375" defaultRowHeight="13.2" x14ac:dyDescent="0.25"/>
  <cols>
    <col min="1" max="1" width="13.88671875" style="2" customWidth="1"/>
    <col min="2" max="2" width="13.6640625" style="2" customWidth="1"/>
    <col min="3" max="3" width="16.109375" style="2" customWidth="1"/>
    <col min="4" max="4" width="17" style="2" customWidth="1"/>
    <col min="5" max="5" width="15" customWidth="1"/>
    <col min="6" max="6" width="15.6640625" style="3" customWidth="1"/>
    <col min="7" max="7" width="12.5546875" style="2" customWidth="1"/>
    <col min="8" max="8" width="15.44140625" style="2" customWidth="1"/>
    <col min="9" max="9" width="13.5546875" style="2" customWidth="1"/>
    <col min="10" max="10" width="13.6640625" style="2" customWidth="1"/>
    <col min="11" max="11" width="15.6640625" style="2" customWidth="1"/>
    <col min="12" max="16384" width="9.109375" style="2"/>
  </cols>
  <sheetData>
    <row r="1" spans="1:11" ht="23.25" customHeight="1" x14ac:dyDescent="0.25">
      <c r="A1" s="69" t="s">
        <v>119</v>
      </c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1" x14ac:dyDescent="0.25">
      <c r="A2" s="70" t="s">
        <v>120</v>
      </c>
      <c r="B2" s="70"/>
      <c r="C2" s="70"/>
      <c r="D2" s="70"/>
      <c r="E2" s="70"/>
      <c r="F2" s="70"/>
      <c r="G2" s="70"/>
      <c r="H2" s="70"/>
      <c r="I2" s="70"/>
      <c r="J2" s="70"/>
      <c r="K2" s="70"/>
    </row>
    <row r="3" spans="1:11" x14ac:dyDescent="0.25">
      <c r="A3" s="71">
        <f ca="1">NOW()</f>
        <v>43760.754998263888</v>
      </c>
      <c r="B3" s="71"/>
      <c r="C3" s="71"/>
      <c r="D3" s="71"/>
      <c r="E3" s="71"/>
      <c r="F3" s="71"/>
      <c r="G3" s="71"/>
      <c r="H3" s="71"/>
      <c r="I3" s="71"/>
      <c r="J3" s="71"/>
      <c r="K3" s="71"/>
    </row>
    <row r="4" spans="1:11" customFormat="1" ht="15.75" customHeight="1" x14ac:dyDescent="0.25">
      <c r="A4" s="9" t="s">
        <v>0</v>
      </c>
      <c r="B4" s="9" t="s">
        <v>1</v>
      </c>
      <c r="C4" s="9" t="s">
        <v>58</v>
      </c>
      <c r="D4" s="9" t="s">
        <v>2</v>
      </c>
      <c r="E4" s="9" t="s">
        <v>53</v>
      </c>
      <c r="F4" s="9" t="s">
        <v>118</v>
      </c>
      <c r="G4" s="9" t="s">
        <v>121</v>
      </c>
      <c r="H4" s="9" t="s">
        <v>133</v>
      </c>
      <c r="I4" s="9" t="s">
        <v>134</v>
      </c>
      <c r="J4" s="9" t="s">
        <v>135</v>
      </c>
      <c r="K4" s="9" t="s">
        <v>136</v>
      </c>
    </row>
    <row r="5" spans="1:11" ht="15" customHeight="1" x14ac:dyDescent="0.25">
      <c r="A5" s="2" t="s">
        <v>3</v>
      </c>
      <c r="B5" s="2" t="s">
        <v>4</v>
      </c>
      <c r="C5" s="2" t="s">
        <v>5</v>
      </c>
      <c r="D5" s="2" t="s">
        <v>54</v>
      </c>
      <c r="E5" s="8">
        <v>0</v>
      </c>
      <c r="F5" s="2">
        <v>0</v>
      </c>
      <c r="G5" s="28">
        <f>VLOOKUP(C5,Table1[#All],3,FALSE)*F5</f>
        <v>0</v>
      </c>
      <c r="H5" s="29">
        <f>IF(E5&gt;VLOOKUP(C5,Table1[#All],4,FALSE)*Thursday!F5,(Thursday!E5-(VLOOKUP(Thursday!C5,Table1[#All],4,FALSE)*Thursday!F5))*VLOOKUP(Thursday!C5,Table1[#All],5,FALSE),0)</f>
        <v>0</v>
      </c>
      <c r="I5" s="29">
        <f>G5+H5</f>
        <v>0</v>
      </c>
      <c r="J5" s="2">
        <f>IF(H5&gt;0,1,0)</f>
        <v>0</v>
      </c>
      <c r="K5" s="2">
        <f>IF(F5&gt;0,1,0)</f>
        <v>0</v>
      </c>
    </row>
    <row r="6" spans="1:11" ht="15" customHeight="1" x14ac:dyDescent="0.25">
      <c r="A6" s="2" t="s">
        <v>42</v>
      </c>
      <c r="B6" s="2" t="s">
        <v>43</v>
      </c>
      <c r="C6" s="2" t="s">
        <v>44</v>
      </c>
      <c r="D6" s="2" t="s">
        <v>54</v>
      </c>
      <c r="E6" s="8">
        <v>1211.44</v>
      </c>
      <c r="F6" s="2">
        <v>4</v>
      </c>
      <c r="G6" s="28">
        <f>VLOOKUP(C6,Table1[#All],3,FALSE)*F6</f>
        <v>47</v>
      </c>
      <c r="H6" s="29">
        <f>IF(E6&gt;VLOOKUP(C6,Table1[#All],4,FALSE)*Thursday!F6,(Thursday!E6-(VLOOKUP(Thursday!C6,Table1[#All],4,FALSE)*Thursday!F6))*VLOOKUP(Thursday!C6,Table1[#All],5,FALSE),0)</f>
        <v>10.6716</v>
      </c>
      <c r="I6" s="29">
        <f t="shared" ref="I6:I56" si="0">G6+H6</f>
        <v>57.671599999999998</v>
      </c>
      <c r="J6" s="2">
        <f t="shared" ref="J6:J56" si="1">IF(H6&gt;0,1,0)</f>
        <v>1</v>
      </c>
      <c r="K6" s="2">
        <f t="shared" ref="K6:K56" si="2">IF(F6&gt;0,1,0)</f>
        <v>1</v>
      </c>
    </row>
    <row r="7" spans="1:11" ht="15" customHeight="1" x14ac:dyDescent="0.25">
      <c r="A7" s="2" t="s">
        <v>31</v>
      </c>
      <c r="B7" s="2" t="s">
        <v>32</v>
      </c>
      <c r="C7" s="2" t="s">
        <v>33</v>
      </c>
      <c r="D7" s="2" t="s">
        <v>16</v>
      </c>
      <c r="E7" s="8">
        <v>2604.92</v>
      </c>
      <c r="F7" s="2">
        <v>8</v>
      </c>
      <c r="G7" s="28">
        <f>VLOOKUP(C7,Table1[#All],3,FALSE)*F7</f>
        <v>120</v>
      </c>
      <c r="H7" s="29">
        <f>IF(E7&gt;VLOOKUP(C7,Table1[#All],4,FALSE)*Thursday!F7,(Thursday!E7-(VLOOKUP(Thursday!C7,Table1[#All],4,FALSE)*Thursday!F7))*VLOOKUP(Thursday!C7,Table1[#All],5,FALSE),0)</f>
        <v>30.123000000000005</v>
      </c>
      <c r="I7" s="29">
        <f t="shared" si="0"/>
        <v>150.12299999999999</v>
      </c>
      <c r="J7" s="2">
        <f t="shared" si="1"/>
        <v>1</v>
      </c>
      <c r="K7" s="2">
        <f t="shared" si="2"/>
        <v>1</v>
      </c>
    </row>
    <row r="8" spans="1:11" ht="15" customHeight="1" x14ac:dyDescent="0.25">
      <c r="A8" s="2" t="s">
        <v>34</v>
      </c>
      <c r="B8" s="2" t="s">
        <v>35</v>
      </c>
      <c r="C8" s="2" t="s">
        <v>33</v>
      </c>
      <c r="D8" s="2" t="s">
        <v>20</v>
      </c>
      <c r="E8" s="8">
        <v>0</v>
      </c>
      <c r="F8" s="2">
        <v>0</v>
      </c>
      <c r="G8" s="28">
        <f>VLOOKUP(C8,Table1[#All],3,FALSE)*F8</f>
        <v>0</v>
      </c>
      <c r="H8" s="29">
        <f>IF(E8&gt;VLOOKUP(C8,Table1[#All],4,FALSE)*Thursday!F8,(Thursday!E8-(VLOOKUP(Thursday!C8,Table1[#All],4,FALSE)*Thursday!F8))*VLOOKUP(Thursday!C8,Table1[#All],5,FALSE),0)</f>
        <v>0</v>
      </c>
      <c r="I8" s="29">
        <f t="shared" si="0"/>
        <v>0</v>
      </c>
      <c r="J8" s="2">
        <f t="shared" si="1"/>
        <v>0</v>
      </c>
      <c r="K8" s="2">
        <f t="shared" si="2"/>
        <v>0</v>
      </c>
    </row>
    <row r="9" spans="1:11" ht="15" customHeight="1" x14ac:dyDescent="0.25">
      <c r="A9" s="2" t="s">
        <v>6</v>
      </c>
      <c r="B9" s="2" t="s">
        <v>7</v>
      </c>
      <c r="C9" s="2" t="s">
        <v>5</v>
      </c>
      <c r="D9" s="2" t="s">
        <v>8</v>
      </c>
      <c r="E9" s="8">
        <v>0</v>
      </c>
      <c r="F9" s="2">
        <v>0</v>
      </c>
      <c r="G9" s="28">
        <f>VLOOKUP(C9,Table1[#All],3,FALSE)*F9</f>
        <v>0</v>
      </c>
      <c r="H9" s="29">
        <f>IF(E9&gt;VLOOKUP(C9,Table1[#All],4,FALSE)*Thursday!F9,(Thursday!E9-(VLOOKUP(Thursday!C9,Table1[#All],4,FALSE)*Thursday!F9))*VLOOKUP(Thursday!C9,Table1[#All],5,FALSE),0)</f>
        <v>0</v>
      </c>
      <c r="I9" s="29">
        <f t="shared" si="0"/>
        <v>0</v>
      </c>
      <c r="J9" s="2">
        <f t="shared" si="1"/>
        <v>0</v>
      </c>
      <c r="K9" s="2">
        <f t="shared" si="2"/>
        <v>0</v>
      </c>
    </row>
    <row r="10" spans="1:11" ht="15" customHeight="1" x14ac:dyDescent="0.25">
      <c r="A10" s="2" t="s">
        <v>100</v>
      </c>
      <c r="B10" s="2" t="s">
        <v>15</v>
      </c>
      <c r="C10" s="2" t="s">
        <v>57</v>
      </c>
      <c r="D10" s="2" t="s">
        <v>11</v>
      </c>
      <c r="E10" s="8">
        <v>0</v>
      </c>
      <c r="F10" s="2">
        <v>0</v>
      </c>
      <c r="G10" s="28">
        <f>VLOOKUP(C10,Table1[#All],3,FALSE)*F10</f>
        <v>0</v>
      </c>
      <c r="H10" s="29">
        <f>IF(E10&gt;VLOOKUP(C10,Table1[#All],4,FALSE)*Thursday!F10,(Thursday!E10-(VLOOKUP(Thursday!C10,Table1[#All],4,FALSE)*Thursday!F10))*VLOOKUP(Thursday!C10,Table1[#All],5,FALSE),0)</f>
        <v>0</v>
      </c>
      <c r="I10" s="29">
        <f t="shared" si="0"/>
        <v>0</v>
      </c>
      <c r="J10" s="2">
        <f t="shared" si="1"/>
        <v>0</v>
      </c>
      <c r="K10" s="2">
        <f t="shared" si="2"/>
        <v>0</v>
      </c>
    </row>
    <row r="11" spans="1:11" ht="15" customHeight="1" x14ac:dyDescent="0.25">
      <c r="A11" s="2" t="s">
        <v>63</v>
      </c>
      <c r="B11" s="2" t="s">
        <v>64</v>
      </c>
      <c r="C11" s="2" t="s">
        <v>57</v>
      </c>
      <c r="D11" s="2" t="s">
        <v>56</v>
      </c>
      <c r="E11" s="8">
        <v>0</v>
      </c>
      <c r="F11" s="2">
        <v>0</v>
      </c>
      <c r="G11" s="28">
        <f>VLOOKUP(C11,Table1[#All],3,FALSE)*F11</f>
        <v>0</v>
      </c>
      <c r="H11" s="29">
        <f>IF(E11&gt;VLOOKUP(C11,Table1[#All],4,FALSE)*Thursday!F11,(Thursday!E11-(VLOOKUP(Thursday!C11,Table1[#All],4,FALSE)*Thursday!F11))*VLOOKUP(Thursday!C11,Table1[#All],5,FALSE),0)</f>
        <v>0</v>
      </c>
      <c r="I11" s="29">
        <f t="shared" si="0"/>
        <v>0</v>
      </c>
      <c r="J11" s="2">
        <f t="shared" si="1"/>
        <v>0</v>
      </c>
      <c r="K11" s="2">
        <f t="shared" si="2"/>
        <v>0</v>
      </c>
    </row>
    <row r="12" spans="1:11" ht="15" customHeight="1" x14ac:dyDescent="0.25">
      <c r="A12" s="2" t="s">
        <v>61</v>
      </c>
      <c r="B12" s="2" t="s">
        <v>62</v>
      </c>
      <c r="C12" s="2" t="s">
        <v>19</v>
      </c>
      <c r="D12" s="2" t="s">
        <v>56</v>
      </c>
      <c r="E12" s="8">
        <v>5667.64</v>
      </c>
      <c r="F12" s="2">
        <v>12</v>
      </c>
      <c r="G12" s="28">
        <f>VLOOKUP(C12,Table1[#All],3,FALSE)*F12</f>
        <v>162</v>
      </c>
      <c r="H12" s="29">
        <f>IF(E12&gt;VLOOKUP(C12,Table1[#All],4,FALSE)*Thursday!F12,(Thursday!E12-(VLOOKUP(Thursday!C12,Table1[#All],4,FALSE)*Thursday!F12))*VLOOKUP(Thursday!C12,Table1[#All],5,FALSE),0)</f>
        <v>77.352800000000002</v>
      </c>
      <c r="I12" s="29">
        <f t="shared" si="0"/>
        <v>239.3528</v>
      </c>
      <c r="J12" s="2">
        <f t="shared" si="1"/>
        <v>1</v>
      </c>
      <c r="K12" s="2">
        <f t="shared" si="2"/>
        <v>1</v>
      </c>
    </row>
    <row r="13" spans="1:11" ht="15" customHeight="1" x14ac:dyDescent="0.25">
      <c r="A13" s="2" t="s">
        <v>101</v>
      </c>
      <c r="B13" s="2" t="s">
        <v>102</v>
      </c>
      <c r="C13" s="2" t="s">
        <v>57</v>
      </c>
      <c r="D13" s="2" t="s">
        <v>54</v>
      </c>
      <c r="E13" s="8">
        <v>0</v>
      </c>
      <c r="F13" s="2">
        <v>0</v>
      </c>
      <c r="G13" s="28">
        <f>VLOOKUP(C13,Table1[#All],3,FALSE)*F13</f>
        <v>0</v>
      </c>
      <c r="H13" s="29">
        <f>IF(E13&gt;VLOOKUP(C13,Table1[#All],4,FALSE)*Thursday!F13,(Thursday!E13-(VLOOKUP(Thursday!C13,Table1[#All],4,FALSE)*Thursday!F13))*VLOOKUP(Thursday!C13,Table1[#All],5,FALSE),0)</f>
        <v>0</v>
      </c>
      <c r="I13" s="29">
        <f t="shared" si="0"/>
        <v>0</v>
      </c>
      <c r="J13" s="2">
        <f t="shared" si="1"/>
        <v>0</v>
      </c>
      <c r="K13" s="2">
        <f t="shared" si="2"/>
        <v>0</v>
      </c>
    </row>
    <row r="14" spans="1:11" ht="15" customHeight="1" x14ac:dyDescent="0.25">
      <c r="A14" s="2" t="s">
        <v>65</v>
      </c>
      <c r="B14" s="2" t="s">
        <v>66</v>
      </c>
      <c r="C14" s="2" t="s">
        <v>57</v>
      </c>
      <c r="D14" s="2" t="s">
        <v>56</v>
      </c>
      <c r="E14" s="8">
        <v>1254.76</v>
      </c>
      <c r="F14" s="2">
        <v>4</v>
      </c>
      <c r="G14" s="28">
        <f>VLOOKUP(C14,Table1[#All],3,FALSE)*F14</f>
        <v>42</v>
      </c>
      <c r="H14" s="29">
        <f>IF(E14&gt;VLOOKUP(C14,Table1[#All],4,FALSE)*Thursday!F14,(Thursday!E14-(VLOOKUP(Thursday!C14,Table1[#All],4,FALSE)*Thursday!F14))*VLOOKUP(Thursday!C14,Table1[#All],5,FALSE),0)</f>
        <v>8.5475999999999992</v>
      </c>
      <c r="I14" s="29">
        <f t="shared" si="0"/>
        <v>50.547600000000003</v>
      </c>
      <c r="J14" s="2">
        <f t="shared" si="1"/>
        <v>1</v>
      </c>
      <c r="K14" s="2">
        <f t="shared" si="2"/>
        <v>1</v>
      </c>
    </row>
    <row r="15" spans="1:11" ht="15" customHeight="1" x14ac:dyDescent="0.25">
      <c r="A15" s="2" t="s">
        <v>69</v>
      </c>
      <c r="B15" s="2" t="s">
        <v>10</v>
      </c>
      <c r="C15" s="2" t="s">
        <v>44</v>
      </c>
      <c r="D15" s="2" t="s">
        <v>16</v>
      </c>
      <c r="E15" s="8">
        <v>0</v>
      </c>
      <c r="F15" s="2">
        <v>0</v>
      </c>
      <c r="G15" s="28">
        <f>VLOOKUP(C15,Table1[#All],3,FALSE)*F15</f>
        <v>0</v>
      </c>
      <c r="H15" s="29">
        <f>IF(E15&gt;VLOOKUP(C15,Table1[#All],4,FALSE)*Thursday!F15,(Thursday!E15-(VLOOKUP(Thursday!C15,Table1[#All],4,FALSE)*Thursday!F15))*VLOOKUP(Thursday!C15,Table1[#All],5,FALSE),0)</f>
        <v>0</v>
      </c>
      <c r="I15" s="29">
        <f t="shared" si="0"/>
        <v>0</v>
      </c>
      <c r="J15" s="2">
        <f t="shared" si="1"/>
        <v>0</v>
      </c>
      <c r="K15" s="2">
        <f t="shared" si="2"/>
        <v>0</v>
      </c>
    </row>
    <row r="16" spans="1:11" ht="15" customHeight="1" x14ac:dyDescent="0.25">
      <c r="A16" s="2" t="s">
        <v>67</v>
      </c>
      <c r="B16" s="2" t="s">
        <v>68</v>
      </c>
      <c r="C16" s="2" t="s">
        <v>33</v>
      </c>
      <c r="D16" s="2" t="s">
        <v>56</v>
      </c>
      <c r="E16" s="8">
        <v>924.38</v>
      </c>
      <c r="F16" s="2">
        <v>8</v>
      </c>
      <c r="G16" s="28">
        <f>VLOOKUP(C16,Table1[#All],3,FALSE)*F16</f>
        <v>120</v>
      </c>
      <c r="H16" s="29">
        <f>IF(E16&gt;VLOOKUP(C16,Table1[#All],4,FALSE)*Thursday!F16,(Thursday!E16-(VLOOKUP(Thursday!C16,Table1[#All],4,FALSE)*Thursday!F16))*VLOOKUP(Thursday!C16,Table1[#All],5,FALSE),0)</f>
        <v>0</v>
      </c>
      <c r="I16" s="29">
        <f t="shared" si="0"/>
        <v>120</v>
      </c>
      <c r="J16" s="2">
        <f t="shared" si="1"/>
        <v>0</v>
      </c>
      <c r="K16" s="2">
        <f t="shared" si="2"/>
        <v>1</v>
      </c>
    </row>
    <row r="17" spans="1:11" ht="15" customHeight="1" x14ac:dyDescent="0.25">
      <c r="A17" s="2" t="s">
        <v>74</v>
      </c>
      <c r="B17" s="2" t="s">
        <v>75</v>
      </c>
      <c r="C17" s="2" t="s">
        <v>19</v>
      </c>
      <c r="D17" s="2" t="s">
        <v>11</v>
      </c>
      <c r="E17" s="8">
        <v>7857.44</v>
      </c>
      <c r="F17" s="2">
        <v>8</v>
      </c>
      <c r="G17" s="28">
        <f>VLOOKUP(C17,Table1[#All],3,FALSE)*F17</f>
        <v>108</v>
      </c>
      <c r="H17" s="29">
        <f>IF(E17&gt;VLOOKUP(C17,Table1[#All],4,FALSE)*Thursday!F17,(Thursday!E17-(VLOOKUP(Thursday!C17,Table1[#All],4,FALSE)*Thursday!F17))*VLOOKUP(Thursday!C17,Table1[#All],5,FALSE),0)</f>
        <v>133.14879999999999</v>
      </c>
      <c r="I17" s="29">
        <f t="shared" si="0"/>
        <v>241.14879999999999</v>
      </c>
      <c r="J17" s="2">
        <f t="shared" si="1"/>
        <v>1</v>
      </c>
      <c r="K17" s="2">
        <f t="shared" si="2"/>
        <v>1</v>
      </c>
    </row>
    <row r="18" spans="1:11" ht="15" customHeight="1" x14ac:dyDescent="0.25">
      <c r="A18" s="2" t="s">
        <v>70</v>
      </c>
      <c r="B18" s="2" t="s">
        <v>71</v>
      </c>
      <c r="C18" s="2" t="s">
        <v>19</v>
      </c>
      <c r="D18" s="2" t="s">
        <v>16</v>
      </c>
      <c r="E18" s="8">
        <v>778.26</v>
      </c>
      <c r="F18" s="2">
        <v>8</v>
      </c>
      <c r="G18" s="28">
        <f>VLOOKUP(C18,Table1[#All],3,FALSE)*F18</f>
        <v>108</v>
      </c>
      <c r="H18" s="29">
        <f>IF(E18&gt;VLOOKUP(C18,Table1[#All],4,FALSE)*Thursday!F18,(Thursday!E18-(VLOOKUP(Thursday!C18,Table1[#All],4,FALSE)*Thursday!F18))*VLOOKUP(Thursday!C18,Table1[#All],5,FALSE),0)</f>
        <v>0</v>
      </c>
      <c r="I18" s="29">
        <f t="shared" si="0"/>
        <v>108</v>
      </c>
      <c r="J18" s="2">
        <f t="shared" si="1"/>
        <v>0</v>
      </c>
      <c r="K18" s="2">
        <f t="shared" si="2"/>
        <v>1</v>
      </c>
    </row>
    <row r="19" spans="1:11" ht="15" customHeight="1" x14ac:dyDescent="0.25">
      <c r="A19" s="2" t="s">
        <v>17</v>
      </c>
      <c r="B19" s="2" t="s">
        <v>18</v>
      </c>
      <c r="C19" s="2" t="s">
        <v>19</v>
      </c>
      <c r="D19" s="2" t="s">
        <v>20</v>
      </c>
      <c r="E19" s="8">
        <v>0</v>
      </c>
      <c r="F19" s="2">
        <v>0</v>
      </c>
      <c r="G19" s="28">
        <f>VLOOKUP(C19,Table1[#All],3,FALSE)*F19</f>
        <v>0</v>
      </c>
      <c r="H19" s="29">
        <f>IF(E19&gt;VLOOKUP(C19,Table1[#All],4,FALSE)*Thursday!F19,(Thursday!E19-(VLOOKUP(Thursday!C19,Table1[#All],4,FALSE)*Thursday!F19))*VLOOKUP(Thursday!C19,Table1[#All],5,FALSE),0)</f>
        <v>0</v>
      </c>
      <c r="I19" s="29">
        <f t="shared" si="0"/>
        <v>0</v>
      </c>
      <c r="J19" s="2">
        <f t="shared" si="1"/>
        <v>0</v>
      </c>
      <c r="K19" s="2">
        <f t="shared" si="2"/>
        <v>0</v>
      </c>
    </row>
    <row r="20" spans="1:11" ht="15" customHeight="1" x14ac:dyDescent="0.25">
      <c r="A20" s="2" t="s">
        <v>103</v>
      </c>
      <c r="B20" s="2" t="s">
        <v>104</v>
      </c>
      <c r="C20" s="2" t="s">
        <v>57</v>
      </c>
      <c r="D20" s="2" t="s">
        <v>55</v>
      </c>
      <c r="E20" s="8">
        <v>2506.25</v>
      </c>
      <c r="F20" s="2">
        <v>4</v>
      </c>
      <c r="G20" s="28">
        <f>VLOOKUP(C20,Table1[#All],3,FALSE)*F20</f>
        <v>42</v>
      </c>
      <c r="H20" s="29">
        <f>IF(E20&gt;VLOOKUP(C20,Table1[#All],4,FALSE)*Thursday!F20,(Thursday!E20-(VLOOKUP(Thursday!C20,Table1[#All],4,FALSE)*Thursday!F20))*VLOOKUP(Thursday!C20,Table1[#All],5,FALSE),0)</f>
        <v>21.0625</v>
      </c>
      <c r="I20" s="29">
        <f t="shared" si="0"/>
        <v>63.0625</v>
      </c>
      <c r="J20" s="2">
        <f t="shared" si="1"/>
        <v>1</v>
      </c>
      <c r="K20" s="2">
        <f t="shared" si="2"/>
        <v>1</v>
      </c>
    </row>
    <row r="21" spans="1:11" ht="15" customHeight="1" x14ac:dyDescent="0.25">
      <c r="A21" s="2" t="s">
        <v>76</v>
      </c>
      <c r="B21" s="2" t="s">
        <v>77</v>
      </c>
      <c r="C21" s="2" t="s">
        <v>57</v>
      </c>
      <c r="D21" s="2" t="s">
        <v>11</v>
      </c>
      <c r="E21" s="8">
        <v>0</v>
      </c>
      <c r="F21" s="2">
        <v>0</v>
      </c>
      <c r="G21" s="28">
        <f>VLOOKUP(C21,Table1[#All],3,FALSE)*F21</f>
        <v>0</v>
      </c>
      <c r="H21" s="29">
        <f>IF(E21&gt;VLOOKUP(C21,Table1[#All],4,FALSE)*Thursday!F21,(Thursday!E21-(VLOOKUP(Thursday!C21,Table1[#All],4,FALSE)*Thursday!F21))*VLOOKUP(Thursday!C21,Table1[#All],5,FALSE),0)</f>
        <v>0</v>
      </c>
      <c r="I21" s="29">
        <f t="shared" si="0"/>
        <v>0</v>
      </c>
      <c r="J21" s="2">
        <f t="shared" si="1"/>
        <v>0</v>
      </c>
      <c r="K21" s="2">
        <f t="shared" si="2"/>
        <v>0</v>
      </c>
    </row>
    <row r="22" spans="1:11" ht="15" customHeight="1" x14ac:dyDescent="0.25">
      <c r="A22" s="2" t="s">
        <v>78</v>
      </c>
      <c r="B22" s="2" t="s">
        <v>79</v>
      </c>
      <c r="C22" s="2" t="s">
        <v>44</v>
      </c>
      <c r="D22" s="2" t="s">
        <v>11</v>
      </c>
      <c r="E22" s="8">
        <v>25447.82</v>
      </c>
      <c r="F22" s="2">
        <v>4</v>
      </c>
      <c r="G22" s="28">
        <f>VLOOKUP(C22,Table1[#All],3,FALSE)*F22</f>
        <v>47</v>
      </c>
      <c r="H22" s="29">
        <f>IF(E22&gt;VLOOKUP(C22,Table1[#All],4,FALSE)*Thursday!F22,(Thursday!E22-(VLOOKUP(Thursday!C22,Table1[#All],4,FALSE)*Thursday!F22))*VLOOKUP(Thursday!C22,Table1[#All],5,FALSE),0)</f>
        <v>374.21729999999997</v>
      </c>
      <c r="I22" s="29">
        <f t="shared" si="0"/>
        <v>421.21729999999997</v>
      </c>
      <c r="J22" s="2">
        <f t="shared" si="1"/>
        <v>1</v>
      </c>
      <c r="K22" s="2">
        <f t="shared" si="2"/>
        <v>1</v>
      </c>
    </row>
    <row r="23" spans="1:11" ht="15" customHeight="1" x14ac:dyDescent="0.25">
      <c r="A23" s="2" t="s">
        <v>21</v>
      </c>
      <c r="B23" s="2" t="s">
        <v>22</v>
      </c>
      <c r="C23" s="2" t="s">
        <v>19</v>
      </c>
      <c r="D23" s="2" t="s">
        <v>16</v>
      </c>
      <c r="E23" s="8">
        <v>2214.27</v>
      </c>
      <c r="F23" s="2">
        <v>8</v>
      </c>
      <c r="G23" s="28">
        <f>VLOOKUP(C23,Table1[#All],3,FALSE)*F23</f>
        <v>108</v>
      </c>
      <c r="H23" s="29">
        <f>IF(E23&gt;VLOOKUP(C23,Table1[#All],4,FALSE)*Thursday!F23,(Thursday!E23-(VLOOKUP(Thursday!C23,Table1[#All],4,FALSE)*Thursday!F23))*VLOOKUP(Thursday!C23,Table1[#All],5,FALSE),0)</f>
        <v>20.285399999999999</v>
      </c>
      <c r="I23" s="29">
        <f t="shared" si="0"/>
        <v>128.28540000000001</v>
      </c>
      <c r="J23" s="2">
        <f t="shared" si="1"/>
        <v>1</v>
      </c>
      <c r="K23" s="2">
        <f t="shared" si="2"/>
        <v>1</v>
      </c>
    </row>
    <row r="24" spans="1:11" ht="15" customHeight="1" x14ac:dyDescent="0.25">
      <c r="A24" s="2" t="s">
        <v>80</v>
      </c>
      <c r="B24" s="2" t="s">
        <v>81</v>
      </c>
      <c r="C24" s="2" t="s">
        <v>5</v>
      </c>
      <c r="D24" s="2" t="s">
        <v>20</v>
      </c>
      <c r="E24" s="8">
        <v>2470.54</v>
      </c>
      <c r="F24" s="2">
        <v>8</v>
      </c>
      <c r="G24" s="28">
        <f>VLOOKUP(C24,Table1[#All],3,FALSE)*F24</f>
        <v>188</v>
      </c>
      <c r="H24" s="29">
        <f>IF(E24&gt;VLOOKUP(C24,Table1[#All],4,FALSE)*Thursday!F24,(Thursday!E24-(VLOOKUP(Thursday!C24,Table1[#All],4,FALSE)*Thursday!F24))*VLOOKUP(Thursday!C24,Table1[#All],5,FALSE),0)</f>
        <v>26.116199999999999</v>
      </c>
      <c r="I24" s="29">
        <f t="shared" si="0"/>
        <v>214.11619999999999</v>
      </c>
      <c r="J24" s="2">
        <f t="shared" si="1"/>
        <v>1</v>
      </c>
      <c r="K24" s="2">
        <f t="shared" si="2"/>
        <v>1</v>
      </c>
    </row>
    <row r="25" spans="1:11" ht="15" customHeight="1" x14ac:dyDescent="0.25">
      <c r="A25" s="2" t="s">
        <v>45</v>
      </c>
      <c r="B25" s="2" t="s">
        <v>46</v>
      </c>
      <c r="C25" s="2" t="s">
        <v>44</v>
      </c>
      <c r="D25" s="2" t="s">
        <v>11</v>
      </c>
      <c r="E25" s="8">
        <v>54447.87</v>
      </c>
      <c r="F25" s="2">
        <v>7</v>
      </c>
      <c r="G25" s="28">
        <f>VLOOKUP(C25,Table1[#All],3,FALSE)*F25</f>
        <v>82.25</v>
      </c>
      <c r="H25" s="29">
        <f>IF(E25&gt;VLOOKUP(C25,Table1[#All],4,FALSE)*Thursday!F25,(Thursday!E25-(VLOOKUP(Thursday!C25,Table1[#All],4,FALSE)*Thursday!F25))*VLOOKUP(Thursday!C25,Table1[#All],5,FALSE),0)</f>
        <v>803.59305000000006</v>
      </c>
      <c r="I25" s="29">
        <f t="shared" si="0"/>
        <v>885.84305000000006</v>
      </c>
      <c r="J25" s="2">
        <f t="shared" si="1"/>
        <v>1</v>
      </c>
      <c r="K25" s="2">
        <f t="shared" si="2"/>
        <v>1</v>
      </c>
    </row>
    <row r="26" spans="1:11" ht="15" customHeight="1" x14ac:dyDescent="0.25">
      <c r="A26" s="2" t="s">
        <v>105</v>
      </c>
      <c r="B26" s="2" t="s">
        <v>77</v>
      </c>
      <c r="C26" s="2" t="s">
        <v>44</v>
      </c>
      <c r="D26" s="2" t="s">
        <v>16</v>
      </c>
      <c r="E26" s="8">
        <v>3600.23</v>
      </c>
      <c r="F26" s="2">
        <v>6</v>
      </c>
      <c r="G26" s="28">
        <f>VLOOKUP(C26,Table1[#All],3,FALSE)*F26</f>
        <v>70.5</v>
      </c>
      <c r="H26" s="29">
        <f>IF(E26&gt;VLOOKUP(C26,Table1[#All],4,FALSE)*Thursday!F26,(Thursday!E26-(VLOOKUP(Thursday!C26,Table1[#All],4,FALSE)*Thursday!F26))*VLOOKUP(Thursday!C26,Table1[#All],5,FALSE),0)</f>
        <v>42.753450000000001</v>
      </c>
      <c r="I26" s="29">
        <f t="shared" si="0"/>
        <v>113.25345</v>
      </c>
      <c r="J26" s="2">
        <f t="shared" si="1"/>
        <v>1</v>
      </c>
      <c r="K26" s="2">
        <f t="shared" si="2"/>
        <v>1</v>
      </c>
    </row>
    <row r="27" spans="1:11" ht="15" customHeight="1" x14ac:dyDescent="0.25">
      <c r="A27" s="2" t="s">
        <v>59</v>
      </c>
      <c r="B27" s="2" t="s">
        <v>60</v>
      </c>
      <c r="C27" s="2" t="s">
        <v>19</v>
      </c>
      <c r="D27" s="2" t="s">
        <v>56</v>
      </c>
      <c r="E27" s="8">
        <v>2261.34</v>
      </c>
      <c r="F27" s="2">
        <v>4</v>
      </c>
      <c r="G27" s="28">
        <f>VLOOKUP(C27,Table1[#All],3,FALSE)*F27</f>
        <v>54</v>
      </c>
      <c r="H27" s="29">
        <f>IF(E27&gt;VLOOKUP(C27,Table1[#All],4,FALSE)*Thursday!F27,(Thursday!E27-(VLOOKUP(Thursday!C27,Table1[#All],4,FALSE)*Thursday!F27))*VLOOKUP(Thursday!C27,Table1[#All],5,FALSE),0)</f>
        <v>33.226800000000004</v>
      </c>
      <c r="I27" s="29">
        <f t="shared" si="0"/>
        <v>87.226799999999997</v>
      </c>
      <c r="J27" s="2">
        <f t="shared" si="1"/>
        <v>1</v>
      </c>
      <c r="K27" s="2">
        <f t="shared" si="2"/>
        <v>1</v>
      </c>
    </row>
    <row r="28" spans="1:11" ht="15" customHeight="1" x14ac:dyDescent="0.25">
      <c r="A28" s="2" t="s">
        <v>23</v>
      </c>
      <c r="B28" s="2" t="s">
        <v>24</v>
      </c>
      <c r="C28" s="2" t="s">
        <v>5</v>
      </c>
      <c r="D28" s="2" t="s">
        <v>55</v>
      </c>
      <c r="E28" s="8">
        <v>1535.36</v>
      </c>
      <c r="F28" s="2">
        <v>4</v>
      </c>
      <c r="G28" s="28">
        <f>VLOOKUP(C28,Table1[#All],3,FALSE)*F28</f>
        <v>94</v>
      </c>
      <c r="H28" s="29">
        <f>IF(E28&gt;VLOOKUP(C28,Table1[#All],4,FALSE)*Thursday!F28,(Thursday!E28-(VLOOKUP(Thursday!C28,Table1[#All],4,FALSE)*Thursday!F28))*VLOOKUP(Thursday!C28,Table1[#All],5,FALSE),0)</f>
        <v>22.060799999999997</v>
      </c>
      <c r="I28" s="29">
        <f t="shared" si="0"/>
        <v>116.0608</v>
      </c>
      <c r="J28" s="2">
        <f t="shared" si="1"/>
        <v>1</v>
      </c>
      <c r="K28" s="2">
        <f t="shared" si="2"/>
        <v>1</v>
      </c>
    </row>
    <row r="29" spans="1:11" ht="15" customHeight="1" x14ac:dyDescent="0.25">
      <c r="A29" s="2" t="s">
        <v>106</v>
      </c>
      <c r="B29" s="2" t="s">
        <v>107</v>
      </c>
      <c r="C29" s="2" t="s">
        <v>44</v>
      </c>
      <c r="D29" s="2" t="s">
        <v>56</v>
      </c>
      <c r="E29" s="8">
        <v>0</v>
      </c>
      <c r="F29" s="2">
        <v>0</v>
      </c>
      <c r="G29" s="28">
        <f>VLOOKUP(C29,Table1[#All],3,FALSE)*F29</f>
        <v>0</v>
      </c>
      <c r="H29" s="29">
        <f>IF(E29&gt;VLOOKUP(C29,Table1[#All],4,FALSE)*Thursday!F29,(Thursday!E29-(VLOOKUP(Thursday!C29,Table1[#All],4,FALSE)*Thursday!F29))*VLOOKUP(Thursday!C29,Table1[#All],5,FALSE),0)</f>
        <v>0</v>
      </c>
      <c r="I29" s="29">
        <f t="shared" si="0"/>
        <v>0</v>
      </c>
      <c r="J29" s="2">
        <f t="shared" si="1"/>
        <v>0</v>
      </c>
      <c r="K29" s="2">
        <f t="shared" si="2"/>
        <v>0</v>
      </c>
    </row>
    <row r="30" spans="1:11" s="1" customFormat="1" ht="15" customHeight="1" x14ac:dyDescent="0.25">
      <c r="A30" s="2" t="s">
        <v>82</v>
      </c>
      <c r="B30" s="2" t="s">
        <v>83</v>
      </c>
      <c r="C30" s="2" t="s">
        <v>19</v>
      </c>
      <c r="D30" s="2" t="s">
        <v>20</v>
      </c>
      <c r="E30" s="8">
        <v>1546.31</v>
      </c>
      <c r="F30" s="2">
        <v>4</v>
      </c>
      <c r="G30" s="28">
        <f>VLOOKUP(C30,Table1[#All],3,FALSE)*F30</f>
        <v>54</v>
      </c>
      <c r="H30" s="29">
        <f>IF(E30&gt;VLOOKUP(C30,Table1[#All],4,FALSE)*Thursday!F30,(Thursday!E30-(VLOOKUP(Thursday!C30,Table1[#All],4,FALSE)*Thursday!F30))*VLOOKUP(Thursday!C30,Table1[#All],5,FALSE),0)</f>
        <v>18.926199999999998</v>
      </c>
      <c r="I30" s="29">
        <f t="shared" si="0"/>
        <v>72.926199999999994</v>
      </c>
      <c r="J30" s="2">
        <f t="shared" si="1"/>
        <v>1</v>
      </c>
      <c r="K30" s="2">
        <f t="shared" si="2"/>
        <v>1</v>
      </c>
    </row>
    <row r="31" spans="1:11" s="1" customFormat="1" ht="15" customHeight="1" x14ac:dyDescent="0.25">
      <c r="A31" s="2" t="s">
        <v>108</v>
      </c>
      <c r="B31" s="2" t="s">
        <v>109</v>
      </c>
      <c r="C31" s="2" t="s">
        <v>19</v>
      </c>
      <c r="D31" s="2" t="s">
        <v>8</v>
      </c>
      <c r="E31" s="8">
        <v>4500.79</v>
      </c>
      <c r="F31" s="2">
        <v>5</v>
      </c>
      <c r="G31" s="28">
        <f>VLOOKUP(C31,Table1[#All],3,FALSE)*F31</f>
        <v>67.5</v>
      </c>
      <c r="H31" s="29">
        <f>IF(E31&gt;VLOOKUP(C31,Table1[#All],4,FALSE)*Thursday!F31,(Thursday!E31-(VLOOKUP(Thursday!C31,Table1[#All],4,FALSE)*Thursday!F31))*VLOOKUP(Thursday!C31,Table1[#All],5,FALSE),0)</f>
        <v>75.015799999999999</v>
      </c>
      <c r="I31" s="29">
        <f t="shared" si="0"/>
        <v>142.51580000000001</v>
      </c>
      <c r="J31" s="2">
        <f t="shared" si="1"/>
        <v>1</v>
      </c>
      <c r="K31" s="2">
        <f t="shared" si="2"/>
        <v>1</v>
      </c>
    </row>
    <row r="32" spans="1:11" s="1" customFormat="1" ht="15" customHeight="1" x14ac:dyDescent="0.25">
      <c r="A32" s="2" t="s">
        <v>36</v>
      </c>
      <c r="B32" s="2" t="s">
        <v>37</v>
      </c>
      <c r="C32" s="2" t="s">
        <v>33</v>
      </c>
      <c r="D32" s="2" t="s">
        <v>8</v>
      </c>
      <c r="E32" s="8">
        <v>3684.97</v>
      </c>
      <c r="F32" s="2">
        <v>7</v>
      </c>
      <c r="G32" s="28">
        <f>VLOOKUP(C32,Table1[#All],3,FALSE)*F32</f>
        <v>105</v>
      </c>
      <c r="H32" s="29">
        <f>IF(E32&gt;VLOOKUP(C32,Table1[#All],4,FALSE)*Thursday!F32,(Thursday!E32-(VLOOKUP(Thursday!C32,Table1[#All],4,FALSE)*Thursday!F32))*VLOOKUP(Thursday!C32,Table1[#All],5,FALSE),0)</f>
        <v>61.499249999999996</v>
      </c>
      <c r="I32" s="29">
        <f t="shared" si="0"/>
        <v>166.49924999999999</v>
      </c>
      <c r="J32" s="2">
        <f t="shared" si="1"/>
        <v>1</v>
      </c>
      <c r="K32" s="2">
        <f t="shared" si="2"/>
        <v>1</v>
      </c>
    </row>
    <row r="33" spans="1:11" s="1" customFormat="1" ht="15" customHeight="1" x14ac:dyDescent="0.25">
      <c r="A33" s="2" t="s">
        <v>84</v>
      </c>
      <c r="B33" s="2" t="s">
        <v>85</v>
      </c>
      <c r="C33" s="2" t="s">
        <v>57</v>
      </c>
      <c r="D33" s="2" t="s">
        <v>20</v>
      </c>
      <c r="E33" s="8">
        <v>1438.21</v>
      </c>
      <c r="F33" s="2">
        <v>4</v>
      </c>
      <c r="G33" s="28">
        <f>VLOOKUP(C33,Table1[#All],3,FALSE)*F33</f>
        <v>42</v>
      </c>
      <c r="H33" s="29">
        <f>IF(E33&gt;VLOOKUP(C33,Table1[#All],4,FALSE)*Thursday!F33,(Thursday!E33-(VLOOKUP(Thursday!C33,Table1[#All],4,FALSE)*Thursday!F33))*VLOOKUP(Thursday!C33,Table1[#All],5,FALSE),0)</f>
        <v>10.382100000000001</v>
      </c>
      <c r="I33" s="29">
        <f t="shared" si="0"/>
        <v>52.382100000000001</v>
      </c>
      <c r="J33" s="2">
        <f t="shared" si="1"/>
        <v>1</v>
      </c>
      <c r="K33" s="2">
        <f t="shared" si="2"/>
        <v>1</v>
      </c>
    </row>
    <row r="34" spans="1:11" s="1" customFormat="1" ht="15" customHeight="1" x14ac:dyDescent="0.25">
      <c r="A34" s="2" t="s">
        <v>9</v>
      </c>
      <c r="B34" s="2" t="s">
        <v>10</v>
      </c>
      <c r="C34" s="2" t="s">
        <v>5</v>
      </c>
      <c r="D34" s="2" t="s">
        <v>11</v>
      </c>
      <c r="E34" s="8">
        <v>4492.3500000000004</v>
      </c>
      <c r="F34" s="2">
        <v>5</v>
      </c>
      <c r="G34" s="28">
        <f>VLOOKUP(C34,Table1[#All],3,FALSE)*F34</f>
        <v>117.5</v>
      </c>
      <c r="H34" s="29">
        <f>IF(E34&gt;VLOOKUP(C34,Table1[#All],4,FALSE)*Thursday!F34,(Thursday!E34-(VLOOKUP(Thursday!C34,Table1[#All],4,FALSE)*Thursday!F34))*VLOOKUP(Thursday!C34,Table1[#All],5,FALSE),0)</f>
        <v>104.77050000000001</v>
      </c>
      <c r="I34" s="29">
        <f t="shared" si="0"/>
        <v>222.27050000000003</v>
      </c>
      <c r="J34" s="2">
        <f t="shared" si="1"/>
        <v>1</v>
      </c>
      <c r="K34" s="2">
        <f t="shared" si="2"/>
        <v>1</v>
      </c>
    </row>
    <row r="35" spans="1:11" ht="15" customHeight="1" x14ac:dyDescent="0.25">
      <c r="A35" s="2" t="s">
        <v>86</v>
      </c>
      <c r="B35" s="2" t="s">
        <v>87</v>
      </c>
      <c r="C35" s="2" t="s">
        <v>44</v>
      </c>
      <c r="D35" s="2" t="s">
        <v>20</v>
      </c>
      <c r="E35" s="8">
        <v>1134.1199999999999</v>
      </c>
      <c r="F35" s="2">
        <v>4</v>
      </c>
      <c r="G35" s="28">
        <f>VLOOKUP(C35,Table1[#All],3,FALSE)*F35</f>
        <v>47</v>
      </c>
      <c r="H35" s="29">
        <f>IF(E35&gt;VLOOKUP(C35,Table1[#All],4,FALSE)*Thursday!F35,(Thursday!E35-(VLOOKUP(Thursday!C35,Table1[#All],4,FALSE)*Thursday!F35))*VLOOKUP(Thursday!C35,Table1[#All],5,FALSE),0)</f>
        <v>9.5117999999999974</v>
      </c>
      <c r="I35" s="29">
        <f t="shared" si="0"/>
        <v>56.511799999999994</v>
      </c>
      <c r="J35" s="2">
        <f t="shared" si="1"/>
        <v>1</v>
      </c>
      <c r="K35" s="2">
        <f t="shared" si="2"/>
        <v>1</v>
      </c>
    </row>
    <row r="36" spans="1:11" ht="15" customHeight="1" x14ac:dyDescent="0.25">
      <c r="A36" s="2" t="s">
        <v>25</v>
      </c>
      <c r="B36" s="2" t="s">
        <v>26</v>
      </c>
      <c r="C36" s="2" t="s">
        <v>19</v>
      </c>
      <c r="D36" s="2" t="s">
        <v>54</v>
      </c>
      <c r="E36" s="8">
        <v>0</v>
      </c>
      <c r="F36" s="2">
        <v>0</v>
      </c>
      <c r="G36" s="28">
        <f>VLOOKUP(C36,Table1[#All],3,FALSE)*F36</f>
        <v>0</v>
      </c>
      <c r="H36" s="29">
        <f>IF(E36&gt;VLOOKUP(C36,Table1[#All],4,FALSE)*Thursday!F36,(Thursday!E36-(VLOOKUP(Thursday!C36,Table1[#All],4,FALSE)*Thursday!F36))*VLOOKUP(Thursday!C36,Table1[#All],5,FALSE),0)</f>
        <v>0</v>
      </c>
      <c r="I36" s="29">
        <f t="shared" si="0"/>
        <v>0</v>
      </c>
      <c r="J36" s="2">
        <f t="shared" si="1"/>
        <v>0</v>
      </c>
      <c r="K36" s="2">
        <f t="shared" si="2"/>
        <v>0</v>
      </c>
    </row>
    <row r="37" spans="1:11" ht="15" customHeight="1" x14ac:dyDescent="0.25">
      <c r="A37" s="2" t="s">
        <v>110</v>
      </c>
      <c r="B37" s="2" t="s">
        <v>111</v>
      </c>
      <c r="C37" s="2" t="s">
        <v>19</v>
      </c>
      <c r="D37" s="2" t="s">
        <v>54</v>
      </c>
      <c r="E37" s="8">
        <v>0</v>
      </c>
      <c r="F37" s="2">
        <v>0</v>
      </c>
      <c r="G37" s="28">
        <f>VLOOKUP(C37,Table1[#All],3,FALSE)*F37</f>
        <v>0</v>
      </c>
      <c r="H37" s="29">
        <f>IF(E37&gt;VLOOKUP(C37,Table1[#All],4,FALSE)*Thursday!F37,(Thursday!E37-(VLOOKUP(Thursday!C37,Table1[#All],4,FALSE)*Thursday!F37))*VLOOKUP(Thursday!C37,Table1[#All],5,FALSE),0)</f>
        <v>0</v>
      </c>
      <c r="I37" s="29">
        <f t="shared" si="0"/>
        <v>0</v>
      </c>
      <c r="J37" s="2">
        <f t="shared" si="1"/>
        <v>0</v>
      </c>
      <c r="K37" s="2">
        <f t="shared" si="2"/>
        <v>0</v>
      </c>
    </row>
    <row r="38" spans="1:11" ht="15" customHeight="1" x14ac:dyDescent="0.25">
      <c r="A38" s="2" t="s">
        <v>92</v>
      </c>
      <c r="B38" s="2" t="s">
        <v>93</v>
      </c>
      <c r="C38" s="2" t="s">
        <v>33</v>
      </c>
      <c r="D38" s="2" t="s">
        <v>8</v>
      </c>
      <c r="E38" s="8">
        <v>0</v>
      </c>
      <c r="F38" s="2">
        <v>0</v>
      </c>
      <c r="G38" s="28">
        <f>VLOOKUP(C38,Table1[#All],3,FALSE)*F38</f>
        <v>0</v>
      </c>
      <c r="H38" s="29">
        <f>IF(E38&gt;VLOOKUP(C38,Table1[#All],4,FALSE)*Thursday!F38,(Thursday!E38-(VLOOKUP(Thursday!C38,Table1[#All],4,FALSE)*Thursday!F38))*VLOOKUP(Thursday!C38,Table1[#All],5,FALSE),0)</f>
        <v>0</v>
      </c>
      <c r="I38" s="29">
        <f t="shared" si="0"/>
        <v>0</v>
      </c>
      <c r="J38" s="2">
        <f t="shared" si="1"/>
        <v>0</v>
      </c>
      <c r="K38" s="2">
        <f t="shared" si="2"/>
        <v>0</v>
      </c>
    </row>
    <row r="39" spans="1:11" ht="15" customHeight="1" x14ac:dyDescent="0.25">
      <c r="A39" s="2" t="s">
        <v>112</v>
      </c>
      <c r="B39" s="2" t="s">
        <v>113</v>
      </c>
      <c r="C39" s="2" t="s">
        <v>33</v>
      </c>
      <c r="D39" s="2" t="s">
        <v>54</v>
      </c>
      <c r="E39" s="8">
        <v>657.63</v>
      </c>
      <c r="F39" s="2">
        <v>4</v>
      </c>
      <c r="G39" s="28">
        <f>VLOOKUP(C39,Table1[#All],3,FALSE)*F39</f>
        <v>60</v>
      </c>
      <c r="H39" s="29">
        <f>IF(E39&gt;VLOOKUP(C39,Table1[#All],4,FALSE)*Thursday!F39,(Thursday!E39-(VLOOKUP(Thursday!C39,Table1[#All],4,FALSE)*Thursday!F39))*VLOOKUP(Thursday!C39,Table1[#All],5,FALSE),0)</f>
        <v>0</v>
      </c>
      <c r="I39" s="29">
        <f t="shared" si="0"/>
        <v>60</v>
      </c>
      <c r="J39" s="2">
        <f t="shared" si="1"/>
        <v>0</v>
      </c>
      <c r="K39" s="2">
        <f t="shared" si="2"/>
        <v>1</v>
      </c>
    </row>
    <row r="40" spans="1:11" ht="15" customHeight="1" x14ac:dyDescent="0.25">
      <c r="A40" s="2" t="s">
        <v>94</v>
      </c>
      <c r="B40" s="2" t="s">
        <v>95</v>
      </c>
      <c r="C40" s="2" t="s">
        <v>57</v>
      </c>
      <c r="D40" s="2" t="s">
        <v>55</v>
      </c>
      <c r="E40" s="8">
        <v>1694.59</v>
      </c>
      <c r="F40" s="2">
        <v>8</v>
      </c>
      <c r="G40" s="28">
        <f>VLOOKUP(C40,Table1[#All],3,FALSE)*F40</f>
        <v>84</v>
      </c>
      <c r="H40" s="29">
        <f>IF(E40&gt;VLOOKUP(C40,Table1[#All],4,FALSE)*Thursday!F40,(Thursday!E40-(VLOOKUP(Thursday!C40,Table1[#All],4,FALSE)*Thursday!F40))*VLOOKUP(Thursday!C40,Table1[#All],5,FALSE),0)</f>
        <v>8.9459</v>
      </c>
      <c r="I40" s="29">
        <f t="shared" si="0"/>
        <v>92.945899999999995</v>
      </c>
      <c r="J40" s="2">
        <f t="shared" si="1"/>
        <v>1</v>
      </c>
      <c r="K40" s="2">
        <f t="shared" si="2"/>
        <v>1</v>
      </c>
    </row>
    <row r="41" spans="1:11" ht="15" customHeight="1" x14ac:dyDescent="0.25">
      <c r="A41" s="2" t="s">
        <v>88</v>
      </c>
      <c r="B41" s="2" t="s">
        <v>89</v>
      </c>
      <c r="C41" s="2" t="s">
        <v>19</v>
      </c>
      <c r="D41" s="2" t="s">
        <v>8</v>
      </c>
      <c r="E41" s="8">
        <v>1550.01</v>
      </c>
      <c r="F41" s="2">
        <v>8</v>
      </c>
      <c r="G41" s="28">
        <f>VLOOKUP(C41,Table1[#All],3,FALSE)*F41</f>
        <v>108</v>
      </c>
      <c r="H41" s="29">
        <f>IF(E41&gt;VLOOKUP(C41,Table1[#All],4,FALSE)*Thursday!F41,(Thursday!E41-(VLOOKUP(Thursday!C41,Table1[#All],4,FALSE)*Thursday!F41))*VLOOKUP(Thursday!C41,Table1[#All],5,FALSE),0)</f>
        <v>7.0001999999999995</v>
      </c>
      <c r="I41" s="29">
        <f t="shared" si="0"/>
        <v>115.00020000000001</v>
      </c>
      <c r="J41" s="2">
        <f t="shared" si="1"/>
        <v>1</v>
      </c>
      <c r="K41" s="2">
        <f t="shared" si="2"/>
        <v>1</v>
      </c>
    </row>
    <row r="42" spans="1:11" ht="15" customHeight="1" x14ac:dyDescent="0.25">
      <c r="A42" s="2" t="s">
        <v>90</v>
      </c>
      <c r="B42" s="2" t="s">
        <v>91</v>
      </c>
      <c r="C42" s="2" t="s">
        <v>57</v>
      </c>
      <c r="D42" s="2" t="s">
        <v>8</v>
      </c>
      <c r="E42" s="8">
        <v>0</v>
      </c>
      <c r="F42" s="2">
        <v>0</v>
      </c>
      <c r="G42" s="28">
        <f>VLOOKUP(C42,Table1[#All],3,FALSE)*F42</f>
        <v>0</v>
      </c>
      <c r="H42" s="29">
        <f>IF(E42&gt;VLOOKUP(C42,Table1[#All],4,FALSE)*Thursday!F42,(Thursday!E42-(VLOOKUP(Thursday!C42,Table1[#All],4,FALSE)*Thursday!F42))*VLOOKUP(Thursday!C42,Table1[#All],5,FALSE),0)</f>
        <v>0</v>
      </c>
      <c r="I42" s="29">
        <f t="shared" si="0"/>
        <v>0</v>
      </c>
      <c r="J42" s="2">
        <f t="shared" si="1"/>
        <v>0</v>
      </c>
      <c r="K42" s="2">
        <f t="shared" si="2"/>
        <v>0</v>
      </c>
    </row>
    <row r="43" spans="1:11" ht="15" customHeight="1" x14ac:dyDescent="0.25">
      <c r="A43" s="2" t="s">
        <v>72</v>
      </c>
      <c r="B43" s="2" t="s">
        <v>73</v>
      </c>
      <c r="C43" s="2" t="s">
        <v>19</v>
      </c>
      <c r="D43" s="2" t="s">
        <v>11</v>
      </c>
      <c r="E43" s="8">
        <v>16693.990000000002</v>
      </c>
      <c r="F43" s="2">
        <v>8</v>
      </c>
      <c r="G43" s="28">
        <f>VLOOKUP(C43,Table1[#All],3,FALSE)*F43</f>
        <v>108</v>
      </c>
      <c r="H43" s="29">
        <f>IF(E43&gt;VLOOKUP(C43,Table1[#All],4,FALSE)*Thursday!F43,(Thursday!E43-(VLOOKUP(Thursday!C43,Table1[#All],4,FALSE)*Thursday!F43))*VLOOKUP(Thursday!C43,Table1[#All],5,FALSE),0)</f>
        <v>309.87980000000005</v>
      </c>
      <c r="I43" s="29">
        <f t="shared" si="0"/>
        <v>417.87980000000005</v>
      </c>
      <c r="J43" s="2">
        <f t="shared" si="1"/>
        <v>1</v>
      </c>
      <c r="K43" s="2">
        <f t="shared" si="2"/>
        <v>1</v>
      </c>
    </row>
    <row r="44" spans="1:11" ht="15" customHeight="1" x14ac:dyDescent="0.25">
      <c r="A44" s="2" t="s">
        <v>12</v>
      </c>
      <c r="B44" s="2" t="s">
        <v>13</v>
      </c>
      <c r="C44" s="2" t="s">
        <v>5</v>
      </c>
      <c r="D44" s="2" t="s">
        <v>56</v>
      </c>
      <c r="E44" s="8">
        <v>2134.4699999999998</v>
      </c>
      <c r="F44" s="2">
        <v>8</v>
      </c>
      <c r="G44" s="28">
        <f>VLOOKUP(C44,Table1[#All],3,FALSE)*F44</f>
        <v>188</v>
      </c>
      <c r="H44" s="29">
        <f>IF(E44&gt;VLOOKUP(C44,Table1[#All],4,FALSE)*Thursday!F44,(Thursday!E44-(VLOOKUP(Thursday!C44,Table1[#All],4,FALSE)*Thursday!F44))*VLOOKUP(Thursday!C44,Table1[#All],5,FALSE),0)</f>
        <v>16.034099999999995</v>
      </c>
      <c r="I44" s="29">
        <f t="shared" si="0"/>
        <v>204.0341</v>
      </c>
      <c r="J44" s="2">
        <f t="shared" si="1"/>
        <v>1</v>
      </c>
      <c r="K44" s="2">
        <f t="shared" si="2"/>
        <v>1</v>
      </c>
    </row>
    <row r="45" spans="1:11" ht="15" customHeight="1" x14ac:dyDescent="0.25">
      <c r="A45" s="2" t="s">
        <v>47</v>
      </c>
      <c r="B45" s="2" t="s">
        <v>48</v>
      </c>
      <c r="C45" s="2" t="s">
        <v>44</v>
      </c>
      <c r="D45" s="2" t="s">
        <v>54</v>
      </c>
      <c r="E45" s="8">
        <v>1962.75</v>
      </c>
      <c r="F45" s="2">
        <v>4</v>
      </c>
      <c r="G45" s="28">
        <f>VLOOKUP(C45,Table1[#All],3,FALSE)*F45</f>
        <v>47</v>
      </c>
      <c r="H45" s="29">
        <f>IF(E45&gt;VLOOKUP(C45,Table1[#All],4,FALSE)*Thursday!F45,(Thursday!E45-(VLOOKUP(Thursday!C45,Table1[#All],4,FALSE)*Thursday!F45))*VLOOKUP(Thursday!C45,Table1[#All],5,FALSE),0)</f>
        <v>21.94125</v>
      </c>
      <c r="I45" s="29">
        <f t="shared" si="0"/>
        <v>68.941249999999997</v>
      </c>
      <c r="J45" s="2">
        <f t="shared" si="1"/>
        <v>1</v>
      </c>
      <c r="K45" s="2">
        <f t="shared" si="2"/>
        <v>1</v>
      </c>
    </row>
    <row r="46" spans="1:11" ht="15" customHeight="1" x14ac:dyDescent="0.25">
      <c r="A46" s="2" t="s">
        <v>49</v>
      </c>
      <c r="B46" s="2" t="s">
        <v>50</v>
      </c>
      <c r="C46" s="2" t="s">
        <v>44</v>
      </c>
      <c r="D46" s="2" t="s">
        <v>8</v>
      </c>
      <c r="E46" s="8"/>
      <c r="F46" s="2">
        <v>0</v>
      </c>
      <c r="G46" s="28">
        <f>VLOOKUP(C46,Table1[#All],3,FALSE)*F46</f>
        <v>0</v>
      </c>
      <c r="H46" s="29">
        <f>IF(E46&gt;VLOOKUP(C46,Table1[#All],4,FALSE)*Thursday!F46,(Thursday!E46-(VLOOKUP(Thursday!C46,Table1[#All],4,FALSE)*Thursday!F46))*VLOOKUP(Thursday!C46,Table1[#All],5,FALSE),0)</f>
        <v>0</v>
      </c>
      <c r="I46" s="29">
        <f t="shared" si="0"/>
        <v>0</v>
      </c>
      <c r="J46" s="2">
        <f t="shared" si="1"/>
        <v>0</v>
      </c>
      <c r="K46" s="2">
        <f t="shared" si="2"/>
        <v>0</v>
      </c>
    </row>
    <row r="47" spans="1:11" ht="15" customHeight="1" x14ac:dyDescent="0.25">
      <c r="A47" s="2" t="s">
        <v>38</v>
      </c>
      <c r="B47" s="2" t="s">
        <v>39</v>
      </c>
      <c r="C47" s="2" t="s">
        <v>33</v>
      </c>
      <c r="D47" s="2" t="s">
        <v>54</v>
      </c>
      <c r="E47" s="8">
        <v>552.94000000000005</v>
      </c>
      <c r="F47" s="2">
        <v>5</v>
      </c>
      <c r="G47" s="28">
        <f>VLOOKUP(C47,Table1[#All],3,FALSE)*F47</f>
        <v>75</v>
      </c>
      <c r="H47" s="29">
        <f>IF(E47&gt;VLOOKUP(C47,Table1[#All],4,FALSE)*Thursday!F47,(Thursday!E47-(VLOOKUP(Thursday!C47,Table1[#All],4,FALSE)*Thursday!F47))*VLOOKUP(Thursday!C47,Table1[#All],5,FALSE),0)</f>
        <v>0</v>
      </c>
      <c r="I47" s="29">
        <f t="shared" si="0"/>
        <v>75</v>
      </c>
      <c r="J47" s="2">
        <f t="shared" si="1"/>
        <v>0</v>
      </c>
      <c r="K47" s="2">
        <f t="shared" si="2"/>
        <v>1</v>
      </c>
    </row>
    <row r="48" spans="1:11" ht="15" customHeight="1" x14ac:dyDescent="0.25">
      <c r="A48" s="2" t="s">
        <v>114</v>
      </c>
      <c r="B48" s="2" t="s">
        <v>115</v>
      </c>
      <c r="C48" s="2" t="s">
        <v>33</v>
      </c>
      <c r="D48" s="2" t="s">
        <v>55</v>
      </c>
      <c r="E48" s="8">
        <v>328.56</v>
      </c>
      <c r="F48" s="2">
        <v>5</v>
      </c>
      <c r="G48" s="28">
        <f>VLOOKUP(C48,Table1[#All],3,FALSE)*F48</f>
        <v>75</v>
      </c>
      <c r="H48" s="29">
        <f>IF(E48&gt;VLOOKUP(C48,Table1[#All],4,FALSE)*Thursday!F48,(Thursday!E48-(VLOOKUP(Thursday!C48,Table1[#All],4,FALSE)*Thursday!F48))*VLOOKUP(Thursday!C48,Table1[#All],5,FALSE),0)</f>
        <v>0</v>
      </c>
      <c r="I48" s="29">
        <f t="shared" si="0"/>
        <v>75</v>
      </c>
      <c r="J48" s="2">
        <f t="shared" si="1"/>
        <v>0</v>
      </c>
      <c r="K48" s="2">
        <f t="shared" si="2"/>
        <v>1</v>
      </c>
    </row>
    <row r="49" spans="1:11" ht="15" customHeight="1" x14ac:dyDescent="0.25">
      <c r="A49" s="2" t="s">
        <v>27</v>
      </c>
      <c r="B49" s="2" t="s">
        <v>28</v>
      </c>
      <c r="C49" s="2" t="s">
        <v>19</v>
      </c>
      <c r="D49" s="2" t="s">
        <v>55</v>
      </c>
      <c r="E49" s="8">
        <v>0</v>
      </c>
      <c r="F49" s="2">
        <v>0</v>
      </c>
      <c r="G49" s="28">
        <f>VLOOKUP(C49,Table1[#All],3,FALSE)*F49</f>
        <v>0</v>
      </c>
      <c r="H49" s="29">
        <f>IF(E49&gt;VLOOKUP(C49,Table1[#All],4,FALSE)*Thursday!F49,(Thursday!E49-(VLOOKUP(Thursday!C49,Table1[#All],4,FALSE)*Thursday!F49))*VLOOKUP(Thursday!C49,Table1[#All],5,FALSE),0)</f>
        <v>0</v>
      </c>
      <c r="I49" s="29">
        <f t="shared" si="0"/>
        <v>0</v>
      </c>
      <c r="J49" s="2">
        <f t="shared" si="1"/>
        <v>0</v>
      </c>
      <c r="K49" s="2">
        <f t="shared" si="2"/>
        <v>0</v>
      </c>
    </row>
    <row r="50" spans="1:11" ht="15" customHeight="1" x14ac:dyDescent="0.25">
      <c r="A50" s="2" t="s">
        <v>96</v>
      </c>
      <c r="B50" s="2" t="s">
        <v>97</v>
      </c>
      <c r="C50" s="2" t="s">
        <v>57</v>
      </c>
      <c r="D50" s="2" t="s">
        <v>55</v>
      </c>
      <c r="E50" s="8">
        <v>0</v>
      </c>
      <c r="F50" s="2">
        <v>0</v>
      </c>
      <c r="G50" s="28">
        <f>VLOOKUP(C50,Table1[#All],3,FALSE)*F50</f>
        <v>0</v>
      </c>
      <c r="H50" s="29">
        <f>IF(E50&gt;VLOOKUP(C50,Table1[#All],4,FALSE)*Thursday!F50,(Thursday!E50-(VLOOKUP(Thursday!C50,Table1[#All],4,FALSE)*Thursday!F50))*VLOOKUP(Thursday!C50,Table1[#All],5,FALSE),0)</f>
        <v>0</v>
      </c>
      <c r="I50" s="29">
        <f t="shared" si="0"/>
        <v>0</v>
      </c>
      <c r="J50" s="2">
        <f t="shared" si="1"/>
        <v>0</v>
      </c>
      <c r="K50" s="2">
        <f t="shared" si="2"/>
        <v>0</v>
      </c>
    </row>
    <row r="51" spans="1:11" ht="15" customHeight="1" x14ac:dyDescent="0.25">
      <c r="A51" s="2" t="s">
        <v>14</v>
      </c>
      <c r="B51" s="2" t="s">
        <v>15</v>
      </c>
      <c r="C51" s="2" t="s">
        <v>5</v>
      </c>
      <c r="D51" s="2" t="s">
        <v>16</v>
      </c>
      <c r="E51" s="8">
        <v>930.9</v>
      </c>
      <c r="F51" s="2">
        <v>8</v>
      </c>
      <c r="G51" s="28">
        <f>VLOOKUP(C51,Table1[#All],3,FALSE)*F51</f>
        <v>188</v>
      </c>
      <c r="H51" s="29">
        <f>IF(E51&gt;VLOOKUP(C51,Table1[#All],4,FALSE)*Thursday!F51,(Thursday!E51-(VLOOKUP(Thursday!C51,Table1[#All],4,FALSE)*Thursday!F51))*VLOOKUP(Thursday!C51,Table1[#All],5,FALSE),0)</f>
        <v>0</v>
      </c>
      <c r="I51" s="29">
        <f t="shared" si="0"/>
        <v>188</v>
      </c>
      <c r="J51" s="2">
        <f t="shared" si="1"/>
        <v>0</v>
      </c>
      <c r="K51" s="2">
        <f t="shared" si="2"/>
        <v>1</v>
      </c>
    </row>
    <row r="52" spans="1:11" ht="15" customHeight="1" x14ac:dyDescent="0.25">
      <c r="A52" s="2" t="s">
        <v>98</v>
      </c>
      <c r="B52" s="2" t="s">
        <v>99</v>
      </c>
      <c r="C52" s="2" t="s">
        <v>33</v>
      </c>
      <c r="D52" s="2" t="s">
        <v>55</v>
      </c>
      <c r="E52" s="8">
        <v>311.63</v>
      </c>
      <c r="F52" s="2">
        <v>4</v>
      </c>
      <c r="G52" s="28">
        <f>VLOOKUP(C52,Table1[#All],3,FALSE)*F52</f>
        <v>60</v>
      </c>
      <c r="H52" s="29">
        <f>IF(E52&gt;VLOOKUP(C52,Table1[#All],4,FALSE)*Thursday!F52,(Thursday!E52-(VLOOKUP(Thursday!C52,Table1[#All],4,FALSE)*Thursday!F52))*VLOOKUP(Thursday!C52,Table1[#All],5,FALSE),0)</f>
        <v>0</v>
      </c>
      <c r="I52" s="29">
        <f t="shared" si="0"/>
        <v>60</v>
      </c>
      <c r="J52" s="2">
        <f t="shared" si="1"/>
        <v>0</v>
      </c>
      <c r="K52" s="2">
        <f t="shared" si="2"/>
        <v>1</v>
      </c>
    </row>
    <row r="53" spans="1:11" ht="15" customHeight="1" x14ac:dyDescent="0.25">
      <c r="A53" s="2" t="s">
        <v>40</v>
      </c>
      <c r="B53" s="2" t="s">
        <v>41</v>
      </c>
      <c r="C53" s="2" t="s">
        <v>33</v>
      </c>
      <c r="D53" s="2" t="s">
        <v>54</v>
      </c>
      <c r="E53" s="8">
        <v>1905.72</v>
      </c>
      <c r="F53" s="2">
        <v>6</v>
      </c>
      <c r="G53" s="28">
        <f>VLOOKUP(C53,Table1[#All],3,FALSE)*F53</f>
        <v>90</v>
      </c>
      <c r="H53" s="29">
        <f>IF(E53&gt;VLOOKUP(C53,Table1[#All],4,FALSE)*Thursday!F53,(Thursday!E53-(VLOOKUP(Thursday!C53,Table1[#All],4,FALSE)*Thursday!F53))*VLOOKUP(Thursday!C53,Table1[#All],5,FALSE),0)</f>
        <v>21.393000000000001</v>
      </c>
      <c r="I53" s="29">
        <f t="shared" si="0"/>
        <v>111.393</v>
      </c>
      <c r="J53" s="2">
        <f t="shared" si="1"/>
        <v>1</v>
      </c>
      <c r="K53" s="2">
        <f t="shared" si="2"/>
        <v>1</v>
      </c>
    </row>
    <row r="54" spans="1:11" ht="15" customHeight="1" x14ac:dyDescent="0.25">
      <c r="A54" s="2" t="s">
        <v>29</v>
      </c>
      <c r="B54" s="2" t="s">
        <v>30</v>
      </c>
      <c r="C54" s="2" t="s">
        <v>19</v>
      </c>
      <c r="D54" s="2" t="s">
        <v>55</v>
      </c>
      <c r="E54" s="8">
        <v>0</v>
      </c>
      <c r="F54" s="2">
        <v>0</v>
      </c>
      <c r="G54" s="28">
        <f>VLOOKUP(C54,Table1[#All],3,FALSE)*F54</f>
        <v>0</v>
      </c>
      <c r="H54" s="29">
        <f>IF(E54&gt;VLOOKUP(C54,Table1[#All],4,FALSE)*Thursday!F54,(Thursday!E54-(VLOOKUP(Thursday!C54,Table1[#All],4,FALSE)*Thursday!F54))*VLOOKUP(Thursday!C54,Table1[#All],5,FALSE),0)</f>
        <v>0</v>
      </c>
      <c r="I54" s="29">
        <f t="shared" si="0"/>
        <v>0</v>
      </c>
      <c r="J54" s="2">
        <f t="shared" si="1"/>
        <v>0</v>
      </c>
      <c r="K54" s="2">
        <f t="shared" si="2"/>
        <v>0</v>
      </c>
    </row>
    <row r="55" spans="1:11" ht="15" customHeight="1" x14ac:dyDescent="0.25">
      <c r="A55" s="2" t="s">
        <v>116</v>
      </c>
      <c r="B55" s="2" t="s">
        <v>117</v>
      </c>
      <c r="C55" s="2" t="s">
        <v>19</v>
      </c>
      <c r="D55" s="2" t="s">
        <v>11</v>
      </c>
      <c r="E55" s="8">
        <v>0</v>
      </c>
      <c r="F55" s="2">
        <v>0</v>
      </c>
      <c r="G55" s="28">
        <f>VLOOKUP(C55,Table1[#All],3,FALSE)*F55</f>
        <v>0</v>
      </c>
      <c r="H55" s="29">
        <f>IF(E55&gt;VLOOKUP(C55,Table1[#All],4,FALSE)*Thursday!F55,(Thursday!E55-(VLOOKUP(Thursday!C55,Table1[#All],4,FALSE)*Thursday!F55))*VLOOKUP(Thursday!C55,Table1[#All],5,FALSE),0)</f>
        <v>0</v>
      </c>
      <c r="I55" s="29">
        <f t="shared" si="0"/>
        <v>0</v>
      </c>
      <c r="J55" s="2">
        <f t="shared" si="1"/>
        <v>0</v>
      </c>
      <c r="K55" s="2">
        <f t="shared" si="2"/>
        <v>0</v>
      </c>
    </row>
    <row r="56" spans="1:11" ht="15" customHeight="1" x14ac:dyDescent="0.25">
      <c r="A56" s="2" t="s">
        <v>51</v>
      </c>
      <c r="B56" s="2" t="s">
        <v>52</v>
      </c>
      <c r="C56" s="2" t="s">
        <v>44</v>
      </c>
      <c r="D56" s="2" t="s">
        <v>16</v>
      </c>
      <c r="E56" s="8">
        <v>0</v>
      </c>
      <c r="F56" s="2">
        <v>0</v>
      </c>
      <c r="G56" s="28">
        <f>VLOOKUP(C56,Table1[#All],3,FALSE)*F56</f>
        <v>0</v>
      </c>
      <c r="H56" s="29">
        <f>IF(E56&gt;VLOOKUP(C56,Table1[#All],4,FALSE)*Thursday!F56,(Thursday!E56-(VLOOKUP(Thursday!C56,Table1[#All],4,FALSE)*Thursday!F56))*VLOOKUP(Thursday!C56,Table1[#All],5,FALSE),0)</f>
        <v>0</v>
      </c>
      <c r="I56" s="29">
        <f t="shared" si="0"/>
        <v>0</v>
      </c>
      <c r="J56" s="2">
        <f t="shared" si="1"/>
        <v>0</v>
      </c>
      <c r="K56" s="2">
        <f t="shared" si="2"/>
        <v>0</v>
      </c>
    </row>
    <row r="57" spans="1:11" x14ac:dyDescent="0.25">
      <c r="F57" s="7"/>
    </row>
    <row r="58" spans="1:11" x14ac:dyDescent="0.25">
      <c r="F58" s="2"/>
    </row>
    <row r="59" spans="1:11" x14ac:dyDescent="0.25">
      <c r="A59" s="2" t="s">
        <v>137</v>
      </c>
      <c r="E59" s="31">
        <f>SUM(E5:E56)</f>
        <v>160302.46</v>
      </c>
      <c r="F59" s="2"/>
      <c r="G59" s="29">
        <f>SUM(G5:G56)</f>
        <v>2908.75</v>
      </c>
      <c r="H59" s="29">
        <f>SUM(H5:H56)</f>
        <v>2268.4591999999998</v>
      </c>
      <c r="I59" s="29">
        <f>SUM(I5:I56)</f>
        <v>5177.2091999999993</v>
      </c>
      <c r="J59" s="33">
        <f>SUM(J5:J56)</f>
        <v>25</v>
      </c>
      <c r="K59" s="33">
        <f>SUM(K5:K56)</f>
        <v>32</v>
      </c>
    </row>
    <row r="60" spans="1:11" ht="15" customHeight="1" x14ac:dyDescent="0.25">
      <c r="A60" s="2" t="s">
        <v>138</v>
      </c>
      <c r="E60" s="31">
        <f>AVERAGE(E5:E56)</f>
        <v>3143.1854901960783</v>
      </c>
      <c r="F60" s="2"/>
      <c r="G60" s="29">
        <f>AVERAGE(G5:G56)</f>
        <v>55.9375</v>
      </c>
      <c r="H60" s="29">
        <f>AVERAGE(H5:H56)</f>
        <v>43.624215384615383</v>
      </c>
      <c r="I60" s="29">
        <f>AVERAGE(I5:I56)</f>
        <v>99.561715384615368</v>
      </c>
      <c r="K60" s="32">
        <f>J59/K59</f>
        <v>0.78125</v>
      </c>
    </row>
    <row r="61" spans="1:11" ht="18" customHeight="1" x14ac:dyDescent="0.25">
      <c r="A61" s="2" t="s">
        <v>139</v>
      </c>
      <c r="E61" s="31">
        <f>MIN(E5:E56)</f>
        <v>0</v>
      </c>
      <c r="F61" s="2"/>
      <c r="G61" s="29">
        <f>MIN(G5:G56)</f>
        <v>0</v>
      </c>
      <c r="H61" s="29">
        <f>MIN(H5:H56)</f>
        <v>0</v>
      </c>
      <c r="I61" s="29">
        <f>MIN(I5:I56)</f>
        <v>0</v>
      </c>
    </row>
    <row r="62" spans="1:11" ht="15" customHeight="1" x14ac:dyDescent="0.25">
      <c r="A62" s="2" t="s">
        <v>140</v>
      </c>
      <c r="E62" s="8">
        <f>(MAX(E5:E56))</f>
        <v>54447.87</v>
      </c>
      <c r="F62" s="2"/>
      <c r="G62" s="29">
        <f>MAX(G5:G56)</f>
        <v>188</v>
      </c>
      <c r="H62" s="29">
        <f>MAX(H5:H56)</f>
        <v>803.59305000000006</v>
      </c>
      <c r="I62" s="29">
        <f>MAX(I5:I56)</f>
        <v>885.84305000000006</v>
      </c>
    </row>
    <row r="63" spans="1:11" ht="15" customHeight="1" x14ac:dyDescent="0.25">
      <c r="F63" s="2"/>
    </row>
    <row r="64" spans="1:11" ht="15" customHeight="1" x14ac:dyDescent="0.25">
      <c r="F64" s="2"/>
    </row>
    <row r="65" ht="15" customHeight="1" x14ac:dyDescent="0.25"/>
  </sheetData>
  <mergeCells count="3">
    <mergeCell ref="A1:K1"/>
    <mergeCell ref="A2:K2"/>
    <mergeCell ref="A3:K3"/>
  </mergeCells>
  <phoneticPr fontId="1" type="noConversion"/>
  <printOptions headings="1" gridLines="1"/>
  <pageMargins left="0.75" right="0.75" top="1" bottom="1" header="0.5" footer="0.5"/>
  <pageSetup scale="54" orientation="landscape" blackAndWhite="1" horizontalDpi="300" verticalDpi="300" r:id="rId1"/>
  <headerFooter alignWithMargins="0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65"/>
  <sheetViews>
    <sheetView workbookViewId="0">
      <selection activeCell="C6" sqref="C6"/>
    </sheetView>
  </sheetViews>
  <sheetFormatPr defaultColWidth="9.109375" defaultRowHeight="13.2" x14ac:dyDescent="0.25"/>
  <cols>
    <col min="1" max="1" width="13" style="2" customWidth="1"/>
    <col min="2" max="2" width="14.109375" style="2" customWidth="1"/>
    <col min="3" max="3" width="15.6640625" style="2" customWidth="1"/>
    <col min="4" max="4" width="17" style="2" customWidth="1"/>
    <col min="5" max="5" width="13.6640625" customWidth="1"/>
    <col min="6" max="6" width="15.6640625" style="3" customWidth="1"/>
    <col min="7" max="7" width="14.88671875" style="2" customWidth="1"/>
    <col min="8" max="8" width="15.44140625" style="2" customWidth="1"/>
    <col min="9" max="9" width="13.5546875" style="2" customWidth="1"/>
    <col min="10" max="10" width="13.6640625" style="2" customWidth="1"/>
    <col min="11" max="11" width="15.6640625" style="2" customWidth="1"/>
    <col min="12" max="16384" width="9.109375" style="2"/>
  </cols>
  <sheetData>
    <row r="1" spans="1:11" ht="21" customHeight="1" x14ac:dyDescent="0.25">
      <c r="A1" s="69" t="s">
        <v>119</v>
      </c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1" x14ac:dyDescent="0.25">
      <c r="A2" s="70" t="s">
        <v>120</v>
      </c>
      <c r="B2" s="70"/>
      <c r="C2" s="70"/>
      <c r="D2" s="70"/>
      <c r="E2" s="70"/>
      <c r="F2" s="70"/>
      <c r="G2" s="70"/>
      <c r="H2" s="70"/>
      <c r="I2" s="70"/>
      <c r="J2" s="70"/>
      <c r="K2" s="70"/>
    </row>
    <row r="3" spans="1:11" ht="14.25" customHeight="1" x14ac:dyDescent="0.25">
      <c r="A3" s="71">
        <f ca="1">NOW()</f>
        <v>43760.754998263888</v>
      </c>
      <c r="B3" s="71"/>
      <c r="C3" s="71"/>
      <c r="D3" s="71"/>
      <c r="E3" s="71"/>
      <c r="F3" s="71"/>
      <c r="G3" s="71"/>
      <c r="H3" s="71"/>
      <c r="I3" s="71"/>
      <c r="J3" s="71"/>
      <c r="K3" s="71"/>
    </row>
    <row r="4" spans="1:11" customFormat="1" ht="16.5" customHeight="1" x14ac:dyDescent="0.25">
      <c r="A4" s="9" t="s">
        <v>0</v>
      </c>
      <c r="B4" s="9" t="s">
        <v>1</v>
      </c>
      <c r="C4" s="9" t="s">
        <v>58</v>
      </c>
      <c r="D4" s="9" t="s">
        <v>2</v>
      </c>
      <c r="E4" s="9" t="s">
        <v>53</v>
      </c>
      <c r="F4" s="9" t="s">
        <v>118</v>
      </c>
      <c r="G4" s="9" t="s">
        <v>121</v>
      </c>
      <c r="H4" s="9" t="s">
        <v>133</v>
      </c>
      <c r="I4" s="9" t="s">
        <v>134</v>
      </c>
      <c r="J4" s="9" t="s">
        <v>135</v>
      </c>
      <c r="K4" s="9" t="s">
        <v>136</v>
      </c>
    </row>
    <row r="5" spans="1:11" ht="15" customHeight="1" x14ac:dyDescent="0.25">
      <c r="A5" s="2" t="s">
        <v>3</v>
      </c>
      <c r="B5" s="2" t="s">
        <v>4</v>
      </c>
      <c r="C5" s="2" t="s">
        <v>5</v>
      </c>
      <c r="D5" s="2" t="s">
        <v>54</v>
      </c>
      <c r="E5" s="8">
        <v>1120.32</v>
      </c>
      <c r="F5" s="2">
        <v>8</v>
      </c>
      <c r="G5" s="28">
        <f>VLOOKUP(C5,Table1[#All],3,FALSE)*F5</f>
        <v>188</v>
      </c>
      <c r="H5" s="29">
        <f>IF(E5&gt;VLOOKUP(C5,Table1[#All],4,FALSE)*Friday!F5,(Friday!E5-(VLOOKUP(Friday!C5,Table1[#All],4,FALSE)*Friday!F5))*VLOOKUP(Friday!C5,Table1[#All],5,FALSE),0)</f>
        <v>0</v>
      </c>
      <c r="I5" s="29">
        <f>G5+H5</f>
        <v>188</v>
      </c>
      <c r="J5" s="2">
        <f>IF(H5&gt;0,1,0)</f>
        <v>0</v>
      </c>
      <c r="K5" s="2">
        <f>IF(F5&gt;0,1,0)</f>
        <v>1</v>
      </c>
    </row>
    <row r="6" spans="1:11" ht="15" customHeight="1" x14ac:dyDescent="0.25">
      <c r="A6" s="2" t="s">
        <v>42</v>
      </c>
      <c r="B6" s="2" t="s">
        <v>43</v>
      </c>
      <c r="C6" s="2" t="s">
        <v>44</v>
      </c>
      <c r="D6" s="2" t="s">
        <v>54</v>
      </c>
      <c r="E6" s="8">
        <v>0</v>
      </c>
      <c r="F6" s="2">
        <v>0</v>
      </c>
      <c r="G6" s="28">
        <f>VLOOKUP(C6,Table1[#All],3,FALSE)*F6</f>
        <v>0</v>
      </c>
      <c r="H6" s="29">
        <f>IF(E6&gt;VLOOKUP(C6,Table1[#All],4,FALSE)*Friday!F6,(Friday!E6-(VLOOKUP(Friday!C6,Table1[#All],4,FALSE)*Friday!F6))*VLOOKUP(Friday!C6,Table1[#All],5,FALSE),0)</f>
        <v>0</v>
      </c>
      <c r="I6" s="29">
        <f t="shared" ref="I6:I56" si="0">G6+H6</f>
        <v>0</v>
      </c>
      <c r="J6" s="2">
        <f t="shared" ref="J6:J56" si="1">IF(H6&gt;0,1,0)</f>
        <v>0</v>
      </c>
      <c r="K6" s="2">
        <f t="shared" ref="K6:K56" si="2">IF(F6&gt;0,1,0)</f>
        <v>0</v>
      </c>
    </row>
    <row r="7" spans="1:11" ht="15" customHeight="1" x14ac:dyDescent="0.25">
      <c r="A7" s="2" t="s">
        <v>31</v>
      </c>
      <c r="B7" s="2" t="s">
        <v>32</v>
      </c>
      <c r="C7" s="2" t="s">
        <v>33</v>
      </c>
      <c r="D7" s="2" t="s">
        <v>16</v>
      </c>
      <c r="E7" s="8">
        <v>508.72</v>
      </c>
      <c r="F7" s="2">
        <v>8.5</v>
      </c>
      <c r="G7" s="28">
        <f>VLOOKUP(C7,Table1[#All],3,FALSE)*F7</f>
        <v>127.5</v>
      </c>
      <c r="H7" s="29">
        <f>IF(E7&gt;VLOOKUP(C7,Table1[#All],4,FALSE)*Friday!F7,(Friday!E7-(VLOOKUP(Friday!C7,Table1[#All],4,FALSE)*Friday!F7))*VLOOKUP(Friday!C7,Table1[#All],5,FALSE),0)</f>
        <v>0</v>
      </c>
      <c r="I7" s="29">
        <f t="shared" si="0"/>
        <v>127.5</v>
      </c>
      <c r="J7" s="2">
        <f t="shared" si="1"/>
        <v>0</v>
      </c>
      <c r="K7" s="2">
        <f t="shared" si="2"/>
        <v>1</v>
      </c>
    </row>
    <row r="8" spans="1:11" ht="15" customHeight="1" x14ac:dyDescent="0.25">
      <c r="A8" s="2" t="s">
        <v>34</v>
      </c>
      <c r="B8" s="2" t="s">
        <v>35</v>
      </c>
      <c r="C8" s="2" t="s">
        <v>33</v>
      </c>
      <c r="D8" s="2" t="s">
        <v>20</v>
      </c>
      <c r="E8" s="8">
        <v>921.86</v>
      </c>
      <c r="F8" s="2">
        <v>8</v>
      </c>
      <c r="G8" s="28">
        <f>VLOOKUP(C8,Table1[#All],3,FALSE)*F8</f>
        <v>120</v>
      </c>
      <c r="H8" s="29">
        <f>IF(E8&gt;VLOOKUP(C8,Table1[#All],4,FALSE)*Friday!F8,(Friday!E8-(VLOOKUP(Friday!C8,Table1[#All],4,FALSE)*Friday!F8))*VLOOKUP(Friday!C8,Table1[#All],5,FALSE),0)</f>
        <v>0</v>
      </c>
      <c r="I8" s="29">
        <f t="shared" si="0"/>
        <v>120</v>
      </c>
      <c r="J8" s="2">
        <f t="shared" si="1"/>
        <v>0</v>
      </c>
      <c r="K8" s="2">
        <f t="shared" si="2"/>
        <v>1</v>
      </c>
    </row>
    <row r="9" spans="1:11" ht="15" customHeight="1" x14ac:dyDescent="0.25">
      <c r="A9" s="2" t="s">
        <v>6</v>
      </c>
      <c r="B9" s="2" t="s">
        <v>7</v>
      </c>
      <c r="C9" s="2" t="s">
        <v>5</v>
      </c>
      <c r="D9" s="2" t="s">
        <v>8</v>
      </c>
      <c r="E9" s="8">
        <v>1698.2</v>
      </c>
      <c r="F9" s="2">
        <v>12</v>
      </c>
      <c r="G9" s="28">
        <f>VLOOKUP(C9,Table1[#All],3,FALSE)*F9</f>
        <v>282</v>
      </c>
      <c r="H9" s="29">
        <f>IF(E9&gt;VLOOKUP(C9,Table1[#All],4,FALSE)*Friday!F9,(Friday!E9-(VLOOKUP(Friday!C9,Table1[#All],4,FALSE)*Friday!F9))*VLOOKUP(Friday!C9,Table1[#All],5,FALSE),0)</f>
        <v>0</v>
      </c>
      <c r="I9" s="29">
        <f t="shared" si="0"/>
        <v>282</v>
      </c>
      <c r="J9" s="2">
        <f t="shared" si="1"/>
        <v>0</v>
      </c>
      <c r="K9" s="2">
        <f t="shared" si="2"/>
        <v>1</v>
      </c>
    </row>
    <row r="10" spans="1:11" ht="15" customHeight="1" x14ac:dyDescent="0.25">
      <c r="A10" s="2" t="s">
        <v>100</v>
      </c>
      <c r="B10" s="2" t="s">
        <v>15</v>
      </c>
      <c r="C10" s="2" t="s">
        <v>57</v>
      </c>
      <c r="D10" s="2" t="s">
        <v>11</v>
      </c>
      <c r="E10" s="8">
        <v>19836.36</v>
      </c>
      <c r="F10" s="2">
        <v>4</v>
      </c>
      <c r="G10" s="28">
        <f>VLOOKUP(C10,Table1[#All],3,FALSE)*F10</f>
        <v>42</v>
      </c>
      <c r="H10" s="29">
        <f>IF(E10&gt;VLOOKUP(C10,Table1[#All],4,FALSE)*Friday!F10,(Friday!E10-(VLOOKUP(Friday!C10,Table1[#All],4,FALSE)*Friday!F10))*VLOOKUP(Friday!C10,Table1[#All],5,FALSE),0)</f>
        <v>194.36360000000002</v>
      </c>
      <c r="I10" s="29">
        <f t="shared" si="0"/>
        <v>236.36360000000002</v>
      </c>
      <c r="J10" s="2">
        <f t="shared" si="1"/>
        <v>1</v>
      </c>
      <c r="K10" s="2">
        <f t="shared" si="2"/>
        <v>1</v>
      </c>
    </row>
    <row r="11" spans="1:11" ht="15" customHeight="1" x14ac:dyDescent="0.25">
      <c r="A11" s="2" t="s">
        <v>63</v>
      </c>
      <c r="B11" s="2" t="s">
        <v>64</v>
      </c>
      <c r="C11" s="2" t="s">
        <v>57</v>
      </c>
      <c r="D11" s="2" t="s">
        <v>56</v>
      </c>
      <c r="E11" s="8">
        <v>0</v>
      </c>
      <c r="F11" s="2">
        <v>0</v>
      </c>
      <c r="G11" s="28">
        <f>VLOOKUP(C11,Table1[#All],3,FALSE)*F11</f>
        <v>0</v>
      </c>
      <c r="H11" s="29">
        <f>IF(E11&gt;VLOOKUP(C11,Table1[#All],4,FALSE)*Friday!F11,(Friday!E11-(VLOOKUP(Friday!C11,Table1[#All],4,FALSE)*Friday!F11))*VLOOKUP(Friday!C11,Table1[#All],5,FALSE),0)</f>
        <v>0</v>
      </c>
      <c r="I11" s="29">
        <f t="shared" si="0"/>
        <v>0</v>
      </c>
      <c r="J11" s="2">
        <f t="shared" si="1"/>
        <v>0</v>
      </c>
      <c r="K11" s="2">
        <f t="shared" si="2"/>
        <v>0</v>
      </c>
    </row>
    <row r="12" spans="1:11" ht="15" customHeight="1" x14ac:dyDescent="0.25">
      <c r="A12" s="2" t="s">
        <v>61</v>
      </c>
      <c r="B12" s="2" t="s">
        <v>62</v>
      </c>
      <c r="C12" s="2" t="s">
        <v>19</v>
      </c>
      <c r="D12" s="2" t="s">
        <v>56</v>
      </c>
      <c r="E12" s="8">
        <v>1324.25</v>
      </c>
      <c r="F12" s="2">
        <v>6</v>
      </c>
      <c r="G12" s="28">
        <f>VLOOKUP(C12,Table1[#All],3,FALSE)*F12</f>
        <v>81</v>
      </c>
      <c r="H12" s="29">
        <f>IF(E12&gt;VLOOKUP(C12,Table1[#All],4,FALSE)*Friday!F12,(Friday!E12-(VLOOKUP(Friday!C12,Table1[#All],4,FALSE)*Friday!F12))*VLOOKUP(Friday!C12,Table1[#All],5,FALSE),0)</f>
        <v>8.4849999999999994</v>
      </c>
      <c r="I12" s="29">
        <f t="shared" si="0"/>
        <v>89.484999999999999</v>
      </c>
      <c r="J12" s="2">
        <f t="shared" si="1"/>
        <v>1</v>
      </c>
      <c r="K12" s="2">
        <f t="shared" si="2"/>
        <v>1</v>
      </c>
    </row>
    <row r="13" spans="1:11" ht="15" customHeight="1" x14ac:dyDescent="0.25">
      <c r="A13" s="2" t="s">
        <v>101</v>
      </c>
      <c r="B13" s="2" t="s">
        <v>102</v>
      </c>
      <c r="C13" s="2" t="s">
        <v>57</v>
      </c>
      <c r="D13" s="2" t="s">
        <v>54</v>
      </c>
      <c r="E13" s="8">
        <v>0</v>
      </c>
      <c r="F13" s="2">
        <v>0</v>
      </c>
      <c r="G13" s="28">
        <f>VLOOKUP(C13,Table1[#All],3,FALSE)*F13</f>
        <v>0</v>
      </c>
      <c r="H13" s="29">
        <f>IF(E13&gt;VLOOKUP(C13,Table1[#All],4,FALSE)*Friday!F13,(Friday!E13-(VLOOKUP(Friday!C13,Table1[#All],4,FALSE)*Friday!F13))*VLOOKUP(Friday!C13,Table1[#All],5,FALSE),0)</f>
        <v>0</v>
      </c>
      <c r="I13" s="29">
        <f t="shared" si="0"/>
        <v>0</v>
      </c>
      <c r="J13" s="2">
        <f t="shared" si="1"/>
        <v>0</v>
      </c>
      <c r="K13" s="2">
        <f t="shared" si="2"/>
        <v>0</v>
      </c>
    </row>
    <row r="14" spans="1:11" ht="15" customHeight="1" x14ac:dyDescent="0.25">
      <c r="A14" s="2" t="s">
        <v>65</v>
      </c>
      <c r="B14" s="2" t="s">
        <v>66</v>
      </c>
      <c r="C14" s="2" t="s">
        <v>57</v>
      </c>
      <c r="D14" s="2" t="s">
        <v>56</v>
      </c>
      <c r="E14" s="8">
        <v>0</v>
      </c>
      <c r="F14" s="2">
        <v>0</v>
      </c>
      <c r="G14" s="28">
        <f>VLOOKUP(C14,Table1[#All],3,FALSE)*F14</f>
        <v>0</v>
      </c>
      <c r="H14" s="29">
        <f>IF(E14&gt;VLOOKUP(C14,Table1[#All],4,FALSE)*Friday!F14,(Friday!E14-(VLOOKUP(Friday!C14,Table1[#All],4,FALSE)*Friday!F14))*VLOOKUP(Friday!C14,Table1[#All],5,FALSE),0)</f>
        <v>0</v>
      </c>
      <c r="I14" s="29">
        <f t="shared" si="0"/>
        <v>0</v>
      </c>
      <c r="J14" s="2">
        <f t="shared" si="1"/>
        <v>0</v>
      </c>
      <c r="K14" s="2">
        <f t="shared" si="2"/>
        <v>0</v>
      </c>
    </row>
    <row r="15" spans="1:11" ht="15" customHeight="1" x14ac:dyDescent="0.25">
      <c r="A15" s="2" t="s">
        <v>69</v>
      </c>
      <c r="B15" s="2" t="s">
        <v>10</v>
      </c>
      <c r="C15" s="2" t="s">
        <v>44</v>
      </c>
      <c r="D15" s="2" t="s">
        <v>16</v>
      </c>
      <c r="E15" s="8">
        <v>35.020000000000003</v>
      </c>
      <c r="F15" s="2">
        <v>3</v>
      </c>
      <c r="G15" s="28">
        <f>VLOOKUP(C15,Table1[#All],3,FALSE)*F15</f>
        <v>35.25</v>
      </c>
      <c r="H15" s="29">
        <f>IF(E15&gt;VLOOKUP(C15,Table1[#All],4,FALSE)*Friday!F15,(Friday!E15-(VLOOKUP(Friday!C15,Table1[#All],4,FALSE)*Friday!F15))*VLOOKUP(Friday!C15,Table1[#All],5,FALSE),0)</f>
        <v>0</v>
      </c>
      <c r="I15" s="29">
        <f t="shared" si="0"/>
        <v>35.25</v>
      </c>
      <c r="J15" s="2">
        <f t="shared" si="1"/>
        <v>0</v>
      </c>
      <c r="K15" s="2">
        <f t="shared" si="2"/>
        <v>1</v>
      </c>
    </row>
    <row r="16" spans="1:11" ht="15" customHeight="1" x14ac:dyDescent="0.25">
      <c r="A16" s="2" t="s">
        <v>67</v>
      </c>
      <c r="B16" s="2" t="s">
        <v>68</v>
      </c>
      <c r="C16" s="2" t="s">
        <v>33</v>
      </c>
      <c r="D16" s="2" t="s">
        <v>56</v>
      </c>
      <c r="E16" s="8">
        <v>2558.96</v>
      </c>
      <c r="F16" s="2">
        <v>12</v>
      </c>
      <c r="G16" s="28">
        <f>VLOOKUP(C16,Table1[#All],3,FALSE)*F16</f>
        <v>180</v>
      </c>
      <c r="H16" s="29">
        <f>IF(E16&gt;VLOOKUP(C16,Table1[#All],4,FALSE)*Friday!F16,(Friday!E16-(VLOOKUP(Friday!C16,Table1[#All],4,FALSE)*Friday!F16))*VLOOKUP(Friday!C16,Table1[#All],5,FALSE),0)</f>
        <v>11.474000000000002</v>
      </c>
      <c r="I16" s="29">
        <f t="shared" si="0"/>
        <v>191.47399999999999</v>
      </c>
      <c r="J16" s="2">
        <f t="shared" si="1"/>
        <v>1</v>
      </c>
      <c r="K16" s="2">
        <f t="shared" si="2"/>
        <v>1</v>
      </c>
    </row>
    <row r="17" spans="1:11" ht="15" customHeight="1" x14ac:dyDescent="0.25">
      <c r="A17" s="2" t="s">
        <v>74</v>
      </c>
      <c r="B17" s="2" t="s">
        <v>75</v>
      </c>
      <c r="C17" s="2" t="s">
        <v>19</v>
      </c>
      <c r="D17" s="2" t="s">
        <v>11</v>
      </c>
      <c r="E17" s="8">
        <v>0</v>
      </c>
      <c r="F17" s="2">
        <v>0</v>
      </c>
      <c r="G17" s="28">
        <f>VLOOKUP(C17,Table1[#All],3,FALSE)*F17</f>
        <v>0</v>
      </c>
      <c r="H17" s="29">
        <f>IF(E17&gt;VLOOKUP(C17,Table1[#All],4,FALSE)*Friday!F17,(Friday!E17-(VLOOKUP(Friday!C17,Table1[#All],4,FALSE)*Friday!F17))*VLOOKUP(Friday!C17,Table1[#All],5,FALSE),0)</f>
        <v>0</v>
      </c>
      <c r="I17" s="29">
        <f t="shared" si="0"/>
        <v>0</v>
      </c>
      <c r="J17" s="2">
        <f t="shared" si="1"/>
        <v>0</v>
      </c>
      <c r="K17" s="2">
        <f t="shared" si="2"/>
        <v>0</v>
      </c>
    </row>
    <row r="18" spans="1:11" ht="15" customHeight="1" x14ac:dyDescent="0.25">
      <c r="A18" s="2" t="s">
        <v>70</v>
      </c>
      <c r="B18" s="2" t="s">
        <v>71</v>
      </c>
      <c r="C18" s="2" t="s">
        <v>19</v>
      </c>
      <c r="D18" s="2" t="s">
        <v>16</v>
      </c>
      <c r="E18" s="8">
        <v>383.84</v>
      </c>
      <c r="F18" s="2">
        <v>7.5</v>
      </c>
      <c r="G18" s="28">
        <f>VLOOKUP(C18,Table1[#All],3,FALSE)*F18</f>
        <v>101.25</v>
      </c>
      <c r="H18" s="29">
        <f>IF(E18&gt;VLOOKUP(C18,Table1[#All],4,FALSE)*Friday!F18,(Friday!E18-(VLOOKUP(Friday!C18,Table1[#All],4,FALSE)*Friday!F18))*VLOOKUP(Friday!C18,Table1[#All],5,FALSE),0)</f>
        <v>0</v>
      </c>
      <c r="I18" s="29">
        <f t="shared" si="0"/>
        <v>101.25</v>
      </c>
      <c r="J18" s="2">
        <f t="shared" si="1"/>
        <v>0</v>
      </c>
      <c r="K18" s="2">
        <f t="shared" si="2"/>
        <v>1</v>
      </c>
    </row>
    <row r="19" spans="1:11" ht="15" customHeight="1" x14ac:dyDescent="0.25">
      <c r="A19" s="2" t="s">
        <v>17</v>
      </c>
      <c r="B19" s="2" t="s">
        <v>18</v>
      </c>
      <c r="C19" s="2" t="s">
        <v>19</v>
      </c>
      <c r="D19" s="2" t="s">
        <v>20</v>
      </c>
      <c r="E19" s="8">
        <v>1455.57</v>
      </c>
      <c r="F19" s="2">
        <v>8</v>
      </c>
      <c r="G19" s="28">
        <f>VLOOKUP(C19,Table1[#All],3,FALSE)*F19</f>
        <v>108</v>
      </c>
      <c r="H19" s="29">
        <f>IF(E19&gt;VLOOKUP(C19,Table1[#All],4,FALSE)*Friday!F19,(Friday!E19-(VLOOKUP(Friday!C19,Table1[#All],4,FALSE)*Friday!F19))*VLOOKUP(Friday!C19,Table1[#All],5,FALSE),0)</f>
        <v>5.1113999999999988</v>
      </c>
      <c r="I19" s="29">
        <f t="shared" si="0"/>
        <v>113.1114</v>
      </c>
      <c r="J19" s="2">
        <f t="shared" si="1"/>
        <v>1</v>
      </c>
      <c r="K19" s="2">
        <f t="shared" si="2"/>
        <v>1</v>
      </c>
    </row>
    <row r="20" spans="1:11" ht="15" customHeight="1" x14ac:dyDescent="0.25">
      <c r="A20" s="2" t="s">
        <v>103</v>
      </c>
      <c r="B20" s="2" t="s">
        <v>104</v>
      </c>
      <c r="C20" s="2" t="s">
        <v>57</v>
      </c>
      <c r="D20" s="2" t="s">
        <v>55</v>
      </c>
      <c r="E20" s="8">
        <v>3609.65</v>
      </c>
      <c r="F20" s="2">
        <v>4</v>
      </c>
      <c r="G20" s="28">
        <f>VLOOKUP(C20,Table1[#All],3,FALSE)*F20</f>
        <v>42</v>
      </c>
      <c r="H20" s="29">
        <f>IF(E20&gt;VLOOKUP(C20,Table1[#All],4,FALSE)*Friday!F20,(Friday!E20-(VLOOKUP(Friday!C20,Table1[#All],4,FALSE)*Friday!F20))*VLOOKUP(Friday!C20,Table1[#All],5,FALSE),0)</f>
        <v>32.096499999999999</v>
      </c>
      <c r="I20" s="29">
        <f t="shared" si="0"/>
        <v>74.096499999999992</v>
      </c>
      <c r="J20" s="2">
        <f t="shared" si="1"/>
        <v>1</v>
      </c>
      <c r="K20" s="2">
        <f t="shared" si="2"/>
        <v>1</v>
      </c>
    </row>
    <row r="21" spans="1:11" ht="15" customHeight="1" x14ac:dyDescent="0.25">
      <c r="A21" s="2" t="s">
        <v>76</v>
      </c>
      <c r="B21" s="2" t="s">
        <v>77</v>
      </c>
      <c r="C21" s="2" t="s">
        <v>57</v>
      </c>
      <c r="D21" s="2" t="s">
        <v>11</v>
      </c>
      <c r="E21" s="8">
        <v>0</v>
      </c>
      <c r="F21" s="2">
        <v>0</v>
      </c>
      <c r="G21" s="28">
        <f>VLOOKUP(C21,Table1[#All],3,FALSE)*F21</f>
        <v>0</v>
      </c>
      <c r="H21" s="29">
        <f>IF(E21&gt;VLOOKUP(C21,Table1[#All],4,FALSE)*Friday!F21,(Friday!E21-(VLOOKUP(Friday!C21,Table1[#All],4,FALSE)*Friday!F21))*VLOOKUP(Friday!C21,Table1[#All],5,FALSE),0)</f>
        <v>0</v>
      </c>
      <c r="I21" s="29">
        <f t="shared" si="0"/>
        <v>0</v>
      </c>
      <c r="J21" s="2">
        <f t="shared" si="1"/>
        <v>0</v>
      </c>
      <c r="K21" s="2">
        <f t="shared" si="2"/>
        <v>0</v>
      </c>
    </row>
    <row r="22" spans="1:11" ht="15" customHeight="1" x14ac:dyDescent="0.25">
      <c r="A22" s="2" t="s">
        <v>78</v>
      </c>
      <c r="B22" s="2" t="s">
        <v>79</v>
      </c>
      <c r="C22" s="2" t="s">
        <v>44</v>
      </c>
      <c r="D22" s="2" t="s">
        <v>11</v>
      </c>
      <c r="E22" s="8">
        <v>969.52</v>
      </c>
      <c r="F22" s="2">
        <v>8</v>
      </c>
      <c r="G22" s="28">
        <f>VLOOKUP(C22,Table1[#All],3,FALSE)*F22</f>
        <v>94</v>
      </c>
      <c r="H22" s="29">
        <f>IF(E22&gt;VLOOKUP(C22,Table1[#All],4,FALSE)*Friday!F22,(Friday!E22-(VLOOKUP(Friday!C22,Table1[#All],4,FALSE)*Friday!F22))*VLOOKUP(Friday!C22,Table1[#All],5,FALSE),0)</f>
        <v>0</v>
      </c>
      <c r="I22" s="29">
        <f t="shared" si="0"/>
        <v>94</v>
      </c>
      <c r="J22" s="2">
        <f t="shared" si="1"/>
        <v>0</v>
      </c>
      <c r="K22" s="2">
        <f t="shared" si="2"/>
        <v>1</v>
      </c>
    </row>
    <row r="23" spans="1:11" ht="15" customHeight="1" x14ac:dyDescent="0.25">
      <c r="A23" s="2" t="s">
        <v>21</v>
      </c>
      <c r="B23" s="2" t="s">
        <v>22</v>
      </c>
      <c r="C23" s="2" t="s">
        <v>19</v>
      </c>
      <c r="D23" s="2" t="s">
        <v>16</v>
      </c>
      <c r="E23" s="8">
        <v>1298.4000000000001</v>
      </c>
      <c r="F23" s="2">
        <v>8</v>
      </c>
      <c r="G23" s="28">
        <f>VLOOKUP(C23,Table1[#All],3,FALSE)*F23</f>
        <v>108</v>
      </c>
      <c r="H23" s="29">
        <f>IF(E23&gt;VLOOKUP(C23,Table1[#All],4,FALSE)*Friday!F23,(Friday!E23-(VLOOKUP(Friday!C23,Table1[#All],4,FALSE)*Friday!F23))*VLOOKUP(Friday!C23,Table1[#All],5,FALSE),0)</f>
        <v>1.968000000000002</v>
      </c>
      <c r="I23" s="29">
        <f t="shared" si="0"/>
        <v>109.968</v>
      </c>
      <c r="J23" s="2">
        <f t="shared" si="1"/>
        <v>1</v>
      </c>
      <c r="K23" s="2">
        <f t="shared" si="2"/>
        <v>1</v>
      </c>
    </row>
    <row r="24" spans="1:11" ht="15" customHeight="1" x14ac:dyDescent="0.25">
      <c r="A24" s="2" t="s">
        <v>80</v>
      </c>
      <c r="B24" s="2" t="s">
        <v>81</v>
      </c>
      <c r="C24" s="2" t="s">
        <v>5</v>
      </c>
      <c r="D24" s="2" t="s">
        <v>20</v>
      </c>
      <c r="E24" s="8">
        <v>1643.02</v>
      </c>
      <c r="F24" s="2">
        <v>8</v>
      </c>
      <c r="G24" s="28">
        <f>VLOOKUP(C24,Table1[#All],3,FALSE)*F24</f>
        <v>188</v>
      </c>
      <c r="H24" s="29">
        <f>IF(E24&gt;VLOOKUP(C24,Table1[#All],4,FALSE)*Friday!F24,(Friday!E24-(VLOOKUP(Friday!C24,Table1[#All],4,FALSE)*Friday!F24))*VLOOKUP(Friday!C24,Table1[#All],5,FALSE),0)</f>
        <v>1.2905999999999993</v>
      </c>
      <c r="I24" s="29">
        <f t="shared" si="0"/>
        <v>189.29060000000001</v>
      </c>
      <c r="J24" s="2">
        <f t="shared" si="1"/>
        <v>1</v>
      </c>
      <c r="K24" s="2">
        <f t="shared" si="2"/>
        <v>1</v>
      </c>
    </row>
    <row r="25" spans="1:11" ht="15" customHeight="1" x14ac:dyDescent="0.25">
      <c r="A25" s="2" t="s">
        <v>45</v>
      </c>
      <c r="B25" s="2" t="s">
        <v>46</v>
      </c>
      <c r="C25" s="2" t="s">
        <v>44</v>
      </c>
      <c r="D25" s="2" t="s">
        <v>11</v>
      </c>
      <c r="E25" s="8">
        <v>2969.97</v>
      </c>
      <c r="F25" s="2">
        <v>8</v>
      </c>
      <c r="G25" s="28">
        <f>VLOOKUP(C25,Table1[#All],3,FALSE)*F25</f>
        <v>94</v>
      </c>
      <c r="H25" s="29">
        <f>IF(E25&gt;VLOOKUP(C25,Table1[#All],4,FALSE)*Friday!F25,(Friday!E25-(VLOOKUP(Friday!C25,Table1[#All],4,FALSE)*Friday!F25))*VLOOKUP(Friday!C25,Table1[#All],5,FALSE),0)</f>
        <v>29.549549999999996</v>
      </c>
      <c r="I25" s="29">
        <f t="shared" si="0"/>
        <v>123.54955</v>
      </c>
      <c r="J25" s="2">
        <f t="shared" si="1"/>
        <v>1</v>
      </c>
      <c r="K25" s="2">
        <f t="shared" si="2"/>
        <v>1</v>
      </c>
    </row>
    <row r="26" spans="1:11" ht="15" customHeight="1" x14ac:dyDescent="0.25">
      <c r="A26" s="2" t="s">
        <v>105</v>
      </c>
      <c r="B26" s="2" t="s">
        <v>77</v>
      </c>
      <c r="C26" s="2" t="s">
        <v>44</v>
      </c>
      <c r="D26" s="2" t="s">
        <v>16</v>
      </c>
      <c r="E26" s="8">
        <v>0</v>
      </c>
      <c r="F26" s="2">
        <v>0</v>
      </c>
      <c r="G26" s="28">
        <f>VLOOKUP(C26,Table1[#All],3,FALSE)*F26</f>
        <v>0</v>
      </c>
      <c r="H26" s="29">
        <f>IF(E26&gt;VLOOKUP(C26,Table1[#All],4,FALSE)*Friday!F26,(Friday!E26-(VLOOKUP(Friday!C26,Table1[#All],4,FALSE)*Friday!F26))*VLOOKUP(Friday!C26,Table1[#All],5,FALSE),0)</f>
        <v>0</v>
      </c>
      <c r="I26" s="29">
        <f t="shared" si="0"/>
        <v>0</v>
      </c>
      <c r="J26" s="2">
        <f t="shared" si="1"/>
        <v>0</v>
      </c>
      <c r="K26" s="2">
        <f t="shared" si="2"/>
        <v>0</v>
      </c>
    </row>
    <row r="27" spans="1:11" ht="15" customHeight="1" x14ac:dyDescent="0.25">
      <c r="A27" s="2" t="s">
        <v>59</v>
      </c>
      <c r="B27" s="2" t="s">
        <v>60</v>
      </c>
      <c r="C27" s="2" t="s">
        <v>19</v>
      </c>
      <c r="D27" s="2" t="s">
        <v>56</v>
      </c>
      <c r="E27" s="8">
        <v>945.39</v>
      </c>
      <c r="F27" s="2">
        <v>8</v>
      </c>
      <c r="G27" s="28">
        <f>VLOOKUP(C27,Table1[#All],3,FALSE)*F27</f>
        <v>108</v>
      </c>
      <c r="H27" s="29">
        <f>IF(E27&gt;VLOOKUP(C27,Table1[#All],4,FALSE)*Friday!F27,(Friday!E27-(VLOOKUP(Friday!C27,Table1[#All],4,FALSE)*Friday!F27))*VLOOKUP(Friday!C27,Table1[#All],5,FALSE),0)</f>
        <v>0</v>
      </c>
      <c r="I27" s="29">
        <f t="shared" si="0"/>
        <v>108</v>
      </c>
      <c r="J27" s="2">
        <f t="shared" si="1"/>
        <v>0</v>
      </c>
      <c r="K27" s="2">
        <f t="shared" si="2"/>
        <v>1</v>
      </c>
    </row>
    <row r="28" spans="1:11" ht="15" customHeight="1" x14ac:dyDescent="0.25">
      <c r="A28" s="2" t="s">
        <v>23</v>
      </c>
      <c r="B28" s="2" t="s">
        <v>24</v>
      </c>
      <c r="C28" s="2" t="s">
        <v>5</v>
      </c>
      <c r="D28" s="2" t="s">
        <v>55</v>
      </c>
      <c r="E28" s="8">
        <v>991.07</v>
      </c>
      <c r="F28" s="2">
        <v>8</v>
      </c>
      <c r="G28" s="28">
        <f>VLOOKUP(C28,Table1[#All],3,FALSE)*F28</f>
        <v>188</v>
      </c>
      <c r="H28" s="29">
        <f>IF(E28&gt;VLOOKUP(C28,Table1[#All],4,FALSE)*Friday!F28,(Friday!E28-(VLOOKUP(Friday!C28,Table1[#All],4,FALSE)*Friday!F28))*VLOOKUP(Friday!C28,Table1[#All],5,FALSE),0)</f>
        <v>0</v>
      </c>
      <c r="I28" s="29">
        <f t="shared" si="0"/>
        <v>188</v>
      </c>
      <c r="J28" s="2">
        <f t="shared" si="1"/>
        <v>0</v>
      </c>
      <c r="K28" s="2">
        <f t="shared" si="2"/>
        <v>1</v>
      </c>
    </row>
    <row r="29" spans="1:11" ht="15" customHeight="1" x14ac:dyDescent="0.25">
      <c r="A29" s="2" t="s">
        <v>106</v>
      </c>
      <c r="B29" s="2" t="s">
        <v>107</v>
      </c>
      <c r="C29" s="2" t="s">
        <v>44</v>
      </c>
      <c r="D29" s="2" t="s">
        <v>56</v>
      </c>
      <c r="E29" s="8">
        <v>1987.25</v>
      </c>
      <c r="F29" s="2">
        <v>3</v>
      </c>
      <c r="G29" s="28">
        <f>VLOOKUP(C29,Table1[#All],3,FALSE)*F29</f>
        <v>35.25</v>
      </c>
      <c r="H29" s="29">
        <f>IF(E29&gt;VLOOKUP(C29,Table1[#All],4,FALSE)*Friday!F29,(Friday!E29-(VLOOKUP(Friday!C29,Table1[#All],4,FALSE)*Friday!F29))*VLOOKUP(Friday!C29,Table1[#All],5,FALSE),0)</f>
        <v>24.18375</v>
      </c>
      <c r="I29" s="29">
        <f t="shared" si="0"/>
        <v>59.433750000000003</v>
      </c>
      <c r="J29" s="2">
        <f t="shared" si="1"/>
        <v>1</v>
      </c>
      <c r="K29" s="2">
        <f t="shared" si="2"/>
        <v>1</v>
      </c>
    </row>
    <row r="30" spans="1:11" s="1" customFormat="1" ht="15" customHeight="1" x14ac:dyDescent="0.25">
      <c r="A30" s="2" t="s">
        <v>82</v>
      </c>
      <c r="B30" s="2" t="s">
        <v>83</v>
      </c>
      <c r="C30" s="2" t="s">
        <v>19</v>
      </c>
      <c r="D30" s="2" t="s">
        <v>20</v>
      </c>
      <c r="E30" s="8">
        <v>886.95</v>
      </c>
      <c r="F30" s="2">
        <v>4</v>
      </c>
      <c r="G30" s="28">
        <f>VLOOKUP(C30,Table1[#All],3,FALSE)*F30</f>
        <v>54</v>
      </c>
      <c r="H30" s="29">
        <f>IF(E30&gt;VLOOKUP(C30,Table1[#All],4,FALSE)*Friday!F30,(Friday!E30-(VLOOKUP(Friday!C30,Table1[#All],4,FALSE)*Friday!F30))*VLOOKUP(Friday!C30,Table1[#All],5,FALSE),0)</f>
        <v>5.7390000000000008</v>
      </c>
      <c r="I30" s="29">
        <f t="shared" si="0"/>
        <v>59.739000000000004</v>
      </c>
      <c r="J30" s="2">
        <f t="shared" si="1"/>
        <v>1</v>
      </c>
      <c r="K30" s="2">
        <f t="shared" si="2"/>
        <v>1</v>
      </c>
    </row>
    <row r="31" spans="1:11" s="1" customFormat="1" ht="15" customHeight="1" x14ac:dyDescent="0.25">
      <c r="A31" s="2" t="s">
        <v>108</v>
      </c>
      <c r="B31" s="2" t="s">
        <v>109</v>
      </c>
      <c r="C31" s="2" t="s">
        <v>19</v>
      </c>
      <c r="D31" s="2" t="s">
        <v>8</v>
      </c>
      <c r="E31" s="8">
        <v>1605.78</v>
      </c>
      <c r="F31" s="2">
        <v>8</v>
      </c>
      <c r="G31" s="28">
        <f>VLOOKUP(C31,Table1[#All],3,FALSE)*F31</f>
        <v>108</v>
      </c>
      <c r="H31" s="29">
        <f>IF(E31&gt;VLOOKUP(C31,Table1[#All],4,FALSE)*Friday!F31,(Friday!E31-(VLOOKUP(Friday!C31,Table1[#All],4,FALSE)*Friday!F31))*VLOOKUP(Friday!C31,Table1[#All],5,FALSE),0)</f>
        <v>8.1155999999999988</v>
      </c>
      <c r="I31" s="29">
        <f t="shared" si="0"/>
        <v>116.1156</v>
      </c>
      <c r="J31" s="2">
        <f t="shared" si="1"/>
        <v>1</v>
      </c>
      <c r="K31" s="2">
        <f t="shared" si="2"/>
        <v>1</v>
      </c>
    </row>
    <row r="32" spans="1:11" s="1" customFormat="1" ht="15" customHeight="1" x14ac:dyDescent="0.25">
      <c r="A32" s="2" t="s">
        <v>36</v>
      </c>
      <c r="B32" s="2" t="s">
        <v>37</v>
      </c>
      <c r="C32" s="2" t="s">
        <v>33</v>
      </c>
      <c r="D32" s="2" t="s">
        <v>8</v>
      </c>
      <c r="E32" s="8">
        <v>569.44000000000005</v>
      </c>
      <c r="F32" s="2">
        <v>7</v>
      </c>
      <c r="G32" s="28">
        <f>VLOOKUP(C32,Table1[#All],3,FALSE)*F32</f>
        <v>105</v>
      </c>
      <c r="H32" s="29">
        <f>IF(E32&gt;VLOOKUP(C32,Table1[#All],4,FALSE)*Friday!F32,(Friday!E32-(VLOOKUP(Friday!C32,Table1[#All],4,FALSE)*Friday!F32))*VLOOKUP(Friday!C32,Table1[#All],5,FALSE),0)</f>
        <v>0</v>
      </c>
      <c r="I32" s="29">
        <f t="shared" si="0"/>
        <v>105</v>
      </c>
      <c r="J32" s="2">
        <f t="shared" si="1"/>
        <v>0</v>
      </c>
      <c r="K32" s="2">
        <f t="shared" si="2"/>
        <v>1</v>
      </c>
    </row>
    <row r="33" spans="1:11" s="1" customFormat="1" ht="15" customHeight="1" x14ac:dyDescent="0.25">
      <c r="A33" s="2" t="s">
        <v>84</v>
      </c>
      <c r="B33" s="2" t="s">
        <v>85</v>
      </c>
      <c r="C33" s="2" t="s">
        <v>57</v>
      </c>
      <c r="D33" s="2" t="s">
        <v>20</v>
      </c>
      <c r="E33" s="8">
        <v>1400.55</v>
      </c>
      <c r="F33" s="2">
        <v>4</v>
      </c>
      <c r="G33" s="28">
        <f>VLOOKUP(C33,Table1[#All],3,FALSE)*F33</f>
        <v>42</v>
      </c>
      <c r="H33" s="29">
        <f>IF(E33&gt;VLOOKUP(C33,Table1[#All],4,FALSE)*Friday!F33,(Friday!E33-(VLOOKUP(Friday!C33,Table1[#All],4,FALSE)*Friday!F33))*VLOOKUP(Friday!C33,Table1[#All],5,FALSE),0)</f>
        <v>10.0055</v>
      </c>
      <c r="I33" s="29">
        <f t="shared" si="0"/>
        <v>52.005499999999998</v>
      </c>
      <c r="J33" s="2">
        <f t="shared" si="1"/>
        <v>1</v>
      </c>
      <c r="K33" s="2">
        <f t="shared" si="2"/>
        <v>1</v>
      </c>
    </row>
    <row r="34" spans="1:11" s="1" customFormat="1" ht="15" customHeight="1" x14ac:dyDescent="0.25">
      <c r="A34" s="2" t="s">
        <v>9</v>
      </c>
      <c r="B34" s="2" t="s">
        <v>10</v>
      </c>
      <c r="C34" s="2" t="s">
        <v>5</v>
      </c>
      <c r="D34" s="2" t="s">
        <v>11</v>
      </c>
      <c r="E34" s="8">
        <v>29704.21</v>
      </c>
      <c r="F34" s="2">
        <v>10</v>
      </c>
      <c r="G34" s="28">
        <f>VLOOKUP(C34,Table1[#All],3,FALSE)*F34</f>
        <v>235</v>
      </c>
      <c r="H34" s="29">
        <f>IF(E34&gt;VLOOKUP(C34,Table1[#All],4,FALSE)*Friday!F34,(Friday!E34-(VLOOKUP(Friday!C34,Table1[#All],4,FALSE)*Friday!F34))*VLOOKUP(Friday!C34,Table1[#All],5,FALSE),0)</f>
        <v>831.1262999999999</v>
      </c>
      <c r="I34" s="29">
        <f t="shared" si="0"/>
        <v>1066.1262999999999</v>
      </c>
      <c r="J34" s="2">
        <f t="shared" si="1"/>
        <v>1</v>
      </c>
      <c r="K34" s="2">
        <f t="shared" si="2"/>
        <v>1</v>
      </c>
    </row>
    <row r="35" spans="1:11" ht="15" customHeight="1" x14ac:dyDescent="0.25">
      <c r="A35" s="2" t="s">
        <v>86</v>
      </c>
      <c r="B35" s="2" t="s">
        <v>87</v>
      </c>
      <c r="C35" s="2" t="s">
        <v>44</v>
      </c>
      <c r="D35" s="2" t="s">
        <v>20</v>
      </c>
      <c r="E35" s="8">
        <v>0</v>
      </c>
      <c r="F35" s="2">
        <v>0</v>
      </c>
      <c r="G35" s="28">
        <f>VLOOKUP(C35,Table1[#All],3,FALSE)*F35</f>
        <v>0</v>
      </c>
      <c r="H35" s="29">
        <f>IF(E35&gt;VLOOKUP(C35,Table1[#All],4,FALSE)*Friday!F35,(Friday!E35-(VLOOKUP(Friday!C35,Table1[#All],4,FALSE)*Friday!F35))*VLOOKUP(Friday!C35,Table1[#All],5,FALSE),0)</f>
        <v>0</v>
      </c>
      <c r="I35" s="29">
        <f t="shared" si="0"/>
        <v>0</v>
      </c>
      <c r="J35" s="2">
        <f t="shared" si="1"/>
        <v>0</v>
      </c>
      <c r="K35" s="2">
        <f t="shared" si="2"/>
        <v>0</v>
      </c>
    </row>
    <row r="36" spans="1:11" ht="15" customHeight="1" x14ac:dyDescent="0.25">
      <c r="A36" s="2" t="s">
        <v>25</v>
      </c>
      <c r="B36" s="2" t="s">
        <v>26</v>
      </c>
      <c r="C36" s="2" t="s">
        <v>19</v>
      </c>
      <c r="D36" s="2" t="s">
        <v>54</v>
      </c>
      <c r="E36" s="8">
        <v>2215.5500000000002</v>
      </c>
      <c r="F36" s="2">
        <v>8</v>
      </c>
      <c r="G36" s="28">
        <f>VLOOKUP(C36,Table1[#All],3,FALSE)*F36</f>
        <v>108</v>
      </c>
      <c r="H36" s="29">
        <f>IF(E36&gt;VLOOKUP(C36,Table1[#All],4,FALSE)*Friday!F36,(Friday!E36-(VLOOKUP(Friday!C36,Table1[#All],4,FALSE)*Friday!F36))*VLOOKUP(Friday!C36,Table1[#All],5,FALSE),0)</f>
        <v>20.311000000000003</v>
      </c>
      <c r="I36" s="29">
        <f t="shared" si="0"/>
        <v>128.31100000000001</v>
      </c>
      <c r="J36" s="2">
        <f t="shared" si="1"/>
        <v>1</v>
      </c>
      <c r="K36" s="2">
        <f t="shared" si="2"/>
        <v>1</v>
      </c>
    </row>
    <row r="37" spans="1:11" ht="15" customHeight="1" x14ac:dyDescent="0.25">
      <c r="A37" s="2" t="s">
        <v>110</v>
      </c>
      <c r="B37" s="2" t="s">
        <v>111</v>
      </c>
      <c r="C37" s="2" t="s">
        <v>19</v>
      </c>
      <c r="D37" s="2" t="s">
        <v>54</v>
      </c>
      <c r="E37" s="8">
        <v>1408.98</v>
      </c>
      <c r="F37" s="2">
        <v>6</v>
      </c>
      <c r="G37" s="28">
        <f>VLOOKUP(C37,Table1[#All],3,FALSE)*F37</f>
        <v>81</v>
      </c>
      <c r="H37" s="29">
        <f>IF(E37&gt;VLOOKUP(C37,Table1[#All],4,FALSE)*Friday!F37,(Friday!E37-(VLOOKUP(Friday!C37,Table1[#All],4,FALSE)*Friday!F37))*VLOOKUP(Friday!C37,Table1[#All],5,FALSE),0)</f>
        <v>10.179600000000001</v>
      </c>
      <c r="I37" s="29">
        <f t="shared" si="0"/>
        <v>91.179599999999994</v>
      </c>
      <c r="J37" s="2">
        <f t="shared" si="1"/>
        <v>1</v>
      </c>
      <c r="K37" s="2">
        <f t="shared" si="2"/>
        <v>1</v>
      </c>
    </row>
    <row r="38" spans="1:11" ht="15" customHeight="1" x14ac:dyDescent="0.25">
      <c r="A38" s="2" t="s">
        <v>92</v>
      </c>
      <c r="B38" s="2" t="s">
        <v>93</v>
      </c>
      <c r="C38" s="2" t="s">
        <v>33</v>
      </c>
      <c r="D38" s="2" t="s">
        <v>8</v>
      </c>
      <c r="E38" s="8">
        <v>5896.94</v>
      </c>
      <c r="F38" s="2">
        <v>10</v>
      </c>
      <c r="G38" s="28">
        <f>VLOOKUP(C38,Table1[#All],3,FALSE)*F38</f>
        <v>150</v>
      </c>
      <c r="H38" s="29">
        <f>IF(E38&gt;VLOOKUP(C38,Table1[#All],4,FALSE)*Friday!F38,(Friday!E38-(VLOOKUP(Friday!C38,Table1[#All],4,FALSE)*Friday!F38))*VLOOKUP(Friday!C38,Table1[#All],5,FALSE),0)</f>
        <v>103.67349999999999</v>
      </c>
      <c r="I38" s="29">
        <f t="shared" si="0"/>
        <v>253.67349999999999</v>
      </c>
      <c r="J38" s="2">
        <f t="shared" si="1"/>
        <v>1</v>
      </c>
      <c r="K38" s="2">
        <f t="shared" si="2"/>
        <v>1</v>
      </c>
    </row>
    <row r="39" spans="1:11" ht="15" customHeight="1" x14ac:dyDescent="0.25">
      <c r="A39" s="2" t="s">
        <v>112</v>
      </c>
      <c r="B39" s="2" t="s">
        <v>113</v>
      </c>
      <c r="C39" s="2" t="s">
        <v>33</v>
      </c>
      <c r="D39" s="2" t="s">
        <v>54</v>
      </c>
      <c r="E39" s="8">
        <v>256.48</v>
      </c>
      <c r="F39" s="2">
        <v>4</v>
      </c>
      <c r="G39" s="28">
        <f>VLOOKUP(C39,Table1[#All],3,FALSE)*F39</f>
        <v>60</v>
      </c>
      <c r="H39" s="29">
        <f>IF(E39&gt;VLOOKUP(C39,Table1[#All],4,FALSE)*Friday!F39,(Friday!E39-(VLOOKUP(Friday!C39,Table1[#All],4,FALSE)*Friday!F39))*VLOOKUP(Friday!C39,Table1[#All],5,FALSE),0)</f>
        <v>0</v>
      </c>
      <c r="I39" s="29">
        <f t="shared" si="0"/>
        <v>60</v>
      </c>
      <c r="J39" s="2">
        <f t="shared" si="1"/>
        <v>0</v>
      </c>
      <c r="K39" s="2">
        <f t="shared" si="2"/>
        <v>1</v>
      </c>
    </row>
    <row r="40" spans="1:11" ht="15" customHeight="1" x14ac:dyDescent="0.25">
      <c r="A40" s="2" t="s">
        <v>94</v>
      </c>
      <c r="B40" s="2" t="s">
        <v>95</v>
      </c>
      <c r="C40" s="2" t="s">
        <v>57</v>
      </c>
      <c r="D40" s="2" t="s">
        <v>55</v>
      </c>
      <c r="E40" s="8">
        <v>1436.1</v>
      </c>
      <c r="F40" s="2">
        <v>3</v>
      </c>
      <c r="G40" s="28">
        <f>VLOOKUP(C40,Table1[#All],3,FALSE)*F40</f>
        <v>31.5</v>
      </c>
      <c r="H40" s="29">
        <f>IF(E40&gt;VLOOKUP(C40,Table1[#All],4,FALSE)*Friday!F40,(Friday!E40-(VLOOKUP(Friday!C40,Table1[#All],4,FALSE)*Friday!F40))*VLOOKUP(Friday!C40,Table1[#All],5,FALSE),0)</f>
        <v>11.360999999999999</v>
      </c>
      <c r="I40" s="29">
        <f t="shared" si="0"/>
        <v>42.860999999999997</v>
      </c>
      <c r="J40" s="2">
        <f t="shared" si="1"/>
        <v>1</v>
      </c>
      <c r="K40" s="2">
        <f t="shared" si="2"/>
        <v>1</v>
      </c>
    </row>
    <row r="41" spans="1:11" ht="15" customHeight="1" x14ac:dyDescent="0.25">
      <c r="A41" s="2" t="s">
        <v>88</v>
      </c>
      <c r="B41" s="2" t="s">
        <v>89</v>
      </c>
      <c r="C41" s="2" t="s">
        <v>19</v>
      </c>
      <c r="D41" s="2" t="s">
        <v>8</v>
      </c>
      <c r="E41" s="8">
        <v>4478.3100000000004</v>
      </c>
      <c r="F41" s="2">
        <v>5.5</v>
      </c>
      <c r="G41" s="28">
        <f>VLOOKUP(C41,Table1[#All],3,FALSE)*F41</f>
        <v>74.25</v>
      </c>
      <c r="H41" s="29">
        <f>IF(E41&gt;VLOOKUP(C41,Table1[#All],4,FALSE)*Friday!F41,(Friday!E41-(VLOOKUP(Friday!C41,Table1[#All],4,FALSE)*Friday!F41))*VLOOKUP(Friday!C41,Table1[#All],5,FALSE),0)</f>
        <v>73.066200000000009</v>
      </c>
      <c r="I41" s="29">
        <f t="shared" si="0"/>
        <v>147.31620000000001</v>
      </c>
      <c r="J41" s="2">
        <f t="shared" si="1"/>
        <v>1</v>
      </c>
      <c r="K41" s="2">
        <f t="shared" si="2"/>
        <v>1</v>
      </c>
    </row>
    <row r="42" spans="1:11" ht="15" customHeight="1" x14ac:dyDescent="0.25">
      <c r="A42" s="2" t="s">
        <v>90</v>
      </c>
      <c r="B42" s="2" t="s">
        <v>91</v>
      </c>
      <c r="C42" s="2" t="s">
        <v>57</v>
      </c>
      <c r="D42" s="2" t="s">
        <v>8</v>
      </c>
      <c r="E42" s="8">
        <v>5964.47</v>
      </c>
      <c r="F42" s="2">
        <v>8</v>
      </c>
      <c r="G42" s="28">
        <f>VLOOKUP(C42,Table1[#All],3,FALSE)*F42</f>
        <v>84</v>
      </c>
      <c r="H42" s="29">
        <f>IF(E42&gt;VLOOKUP(C42,Table1[#All],4,FALSE)*Friday!F42,(Friday!E42-(VLOOKUP(Friday!C42,Table1[#All],4,FALSE)*Friday!F42))*VLOOKUP(Friday!C42,Table1[#All],5,FALSE),0)</f>
        <v>51.6447</v>
      </c>
      <c r="I42" s="29">
        <f t="shared" si="0"/>
        <v>135.6447</v>
      </c>
      <c r="J42" s="2">
        <f t="shared" si="1"/>
        <v>1</v>
      </c>
      <c r="K42" s="2">
        <f t="shared" si="2"/>
        <v>1</v>
      </c>
    </row>
    <row r="43" spans="1:11" ht="15" customHeight="1" x14ac:dyDescent="0.25">
      <c r="A43" s="2" t="s">
        <v>72</v>
      </c>
      <c r="B43" s="2" t="s">
        <v>73</v>
      </c>
      <c r="C43" s="2" t="s">
        <v>19</v>
      </c>
      <c r="D43" s="2" t="s">
        <v>11</v>
      </c>
      <c r="E43" s="8">
        <v>13060.67</v>
      </c>
      <c r="F43" s="2">
        <v>8</v>
      </c>
      <c r="G43" s="28">
        <f>VLOOKUP(C43,Table1[#All],3,FALSE)*F43</f>
        <v>108</v>
      </c>
      <c r="H43" s="29">
        <f>IF(E43&gt;VLOOKUP(C43,Table1[#All],4,FALSE)*Friday!F43,(Friday!E43-(VLOOKUP(Friday!C43,Table1[#All],4,FALSE)*Friday!F43))*VLOOKUP(Friday!C43,Table1[#All],5,FALSE),0)</f>
        <v>237.21340000000001</v>
      </c>
      <c r="I43" s="29">
        <f t="shared" si="0"/>
        <v>345.21339999999998</v>
      </c>
      <c r="J43" s="2">
        <f t="shared" si="1"/>
        <v>1</v>
      </c>
      <c r="K43" s="2">
        <f t="shared" si="2"/>
        <v>1</v>
      </c>
    </row>
    <row r="44" spans="1:11" ht="15" customHeight="1" x14ac:dyDescent="0.25">
      <c r="A44" s="2" t="s">
        <v>12</v>
      </c>
      <c r="B44" s="2" t="s">
        <v>13</v>
      </c>
      <c r="C44" s="2" t="s">
        <v>5</v>
      </c>
      <c r="D44" s="2" t="s">
        <v>56</v>
      </c>
      <c r="E44" s="8">
        <v>2499.15</v>
      </c>
      <c r="F44" s="2">
        <v>7</v>
      </c>
      <c r="G44" s="28">
        <f>VLOOKUP(C44,Table1[#All],3,FALSE)*F44</f>
        <v>164.5</v>
      </c>
      <c r="H44" s="29">
        <f>IF(E44&gt;VLOOKUP(C44,Table1[#All],4,FALSE)*Friday!F44,(Friday!E44-(VLOOKUP(Friday!C44,Table1[#All],4,FALSE)*Friday!F44))*VLOOKUP(Friday!C44,Table1[#All],5,FALSE),0)</f>
        <v>32.974499999999999</v>
      </c>
      <c r="I44" s="29">
        <f t="shared" si="0"/>
        <v>197.47450000000001</v>
      </c>
      <c r="J44" s="2">
        <f t="shared" si="1"/>
        <v>1</v>
      </c>
      <c r="K44" s="2">
        <f t="shared" si="2"/>
        <v>1</v>
      </c>
    </row>
    <row r="45" spans="1:11" ht="15" customHeight="1" x14ac:dyDescent="0.25">
      <c r="A45" s="2" t="s">
        <v>47</v>
      </c>
      <c r="B45" s="2" t="s">
        <v>48</v>
      </c>
      <c r="C45" s="2" t="s">
        <v>44</v>
      </c>
      <c r="D45" s="2" t="s">
        <v>54</v>
      </c>
      <c r="E45" s="8">
        <v>0</v>
      </c>
      <c r="F45" s="2">
        <v>0</v>
      </c>
      <c r="G45" s="28">
        <f>VLOOKUP(C45,Table1[#All],3,FALSE)*F45</f>
        <v>0</v>
      </c>
      <c r="H45" s="29">
        <f>IF(E45&gt;VLOOKUP(C45,Table1[#All],4,FALSE)*Friday!F45,(Friday!E45-(VLOOKUP(Friday!C45,Table1[#All],4,FALSE)*Friday!F45))*VLOOKUP(Friday!C45,Table1[#All],5,FALSE),0)</f>
        <v>0</v>
      </c>
      <c r="I45" s="29">
        <f t="shared" si="0"/>
        <v>0</v>
      </c>
      <c r="J45" s="2">
        <f t="shared" si="1"/>
        <v>0</v>
      </c>
      <c r="K45" s="2">
        <f t="shared" si="2"/>
        <v>0</v>
      </c>
    </row>
    <row r="46" spans="1:11" ht="15" customHeight="1" x14ac:dyDescent="0.25">
      <c r="A46" s="2" t="s">
        <v>49</v>
      </c>
      <c r="B46" s="2" t="s">
        <v>50</v>
      </c>
      <c r="C46" s="2" t="s">
        <v>44</v>
      </c>
      <c r="D46" s="2" t="s">
        <v>8</v>
      </c>
      <c r="E46" s="8">
        <v>0</v>
      </c>
      <c r="F46" s="2">
        <v>0</v>
      </c>
      <c r="G46" s="28">
        <f>VLOOKUP(C46,Table1[#All],3,FALSE)*F46</f>
        <v>0</v>
      </c>
      <c r="H46" s="29">
        <f>IF(E46&gt;VLOOKUP(C46,Table1[#All],4,FALSE)*Friday!F46,(Friday!E46-(VLOOKUP(Friday!C46,Table1[#All],4,FALSE)*Friday!F46))*VLOOKUP(Friday!C46,Table1[#All],5,FALSE),0)</f>
        <v>0</v>
      </c>
      <c r="I46" s="29">
        <f t="shared" si="0"/>
        <v>0</v>
      </c>
      <c r="J46" s="2">
        <f t="shared" si="1"/>
        <v>0</v>
      </c>
      <c r="K46" s="2">
        <f t="shared" si="2"/>
        <v>0</v>
      </c>
    </row>
    <row r="47" spans="1:11" ht="15" customHeight="1" x14ac:dyDescent="0.25">
      <c r="A47" s="2" t="s">
        <v>38</v>
      </c>
      <c r="B47" s="2" t="s">
        <v>39</v>
      </c>
      <c r="C47" s="2" t="s">
        <v>33</v>
      </c>
      <c r="D47" s="2" t="s">
        <v>54</v>
      </c>
      <c r="E47" s="8">
        <v>2598.86</v>
      </c>
      <c r="F47" s="2">
        <v>8</v>
      </c>
      <c r="G47" s="28">
        <f>VLOOKUP(C47,Table1[#All],3,FALSE)*F47</f>
        <v>120</v>
      </c>
      <c r="H47" s="29">
        <f>IF(E47&gt;VLOOKUP(C47,Table1[#All],4,FALSE)*Friday!F47,(Friday!E47-(VLOOKUP(Friday!C47,Table1[#All],4,FALSE)*Friday!F47))*VLOOKUP(Friday!C47,Table1[#All],5,FALSE),0)</f>
        <v>29.971500000000006</v>
      </c>
      <c r="I47" s="29">
        <f t="shared" si="0"/>
        <v>149.97149999999999</v>
      </c>
      <c r="J47" s="2">
        <f t="shared" si="1"/>
        <v>1</v>
      </c>
      <c r="K47" s="2">
        <f t="shared" si="2"/>
        <v>1</v>
      </c>
    </row>
    <row r="48" spans="1:11" ht="15" customHeight="1" x14ac:dyDescent="0.25">
      <c r="A48" s="2" t="s">
        <v>114</v>
      </c>
      <c r="B48" s="2" t="s">
        <v>115</v>
      </c>
      <c r="C48" s="2" t="s">
        <v>33</v>
      </c>
      <c r="D48" s="2" t="s">
        <v>55</v>
      </c>
      <c r="E48" s="8">
        <v>4508.9799999999996</v>
      </c>
      <c r="F48" s="2">
        <v>7</v>
      </c>
      <c r="G48" s="28">
        <f>VLOOKUP(C48,Table1[#All],3,FALSE)*F48</f>
        <v>105</v>
      </c>
      <c r="H48" s="29">
        <f>IF(E48&gt;VLOOKUP(C48,Table1[#All],4,FALSE)*Friday!F48,(Friday!E48-(VLOOKUP(Friday!C48,Table1[#All],4,FALSE)*Friday!F48))*VLOOKUP(Friday!C48,Table1[#All],5,FALSE),0)</f>
        <v>82.099499999999992</v>
      </c>
      <c r="I48" s="29">
        <f t="shared" si="0"/>
        <v>187.09949999999998</v>
      </c>
      <c r="J48" s="2">
        <f t="shared" si="1"/>
        <v>1</v>
      </c>
      <c r="K48" s="2">
        <f t="shared" si="2"/>
        <v>1</v>
      </c>
    </row>
    <row r="49" spans="1:11" ht="15" customHeight="1" x14ac:dyDescent="0.25">
      <c r="A49" s="2" t="s">
        <v>27</v>
      </c>
      <c r="B49" s="2" t="s">
        <v>28</v>
      </c>
      <c r="C49" s="2" t="s">
        <v>19</v>
      </c>
      <c r="D49" s="2" t="s">
        <v>55</v>
      </c>
      <c r="E49" s="8">
        <v>4456.1099999999997</v>
      </c>
      <c r="F49" s="2">
        <v>8</v>
      </c>
      <c r="G49" s="28">
        <f>VLOOKUP(C49,Table1[#All],3,FALSE)*F49</f>
        <v>108</v>
      </c>
      <c r="H49" s="29">
        <f>IF(E49&gt;VLOOKUP(C49,Table1[#All],4,FALSE)*Friday!F49,(Friday!E49-(VLOOKUP(Friday!C49,Table1[#All],4,FALSE)*Friday!F49))*VLOOKUP(Friday!C49,Table1[#All],5,FALSE),0)</f>
        <v>65.122199999999992</v>
      </c>
      <c r="I49" s="29">
        <f t="shared" si="0"/>
        <v>173.12219999999999</v>
      </c>
      <c r="J49" s="2">
        <f t="shared" si="1"/>
        <v>1</v>
      </c>
      <c r="K49" s="2">
        <f t="shared" si="2"/>
        <v>1</v>
      </c>
    </row>
    <row r="50" spans="1:11" ht="15" customHeight="1" x14ac:dyDescent="0.25">
      <c r="A50" s="2" t="s">
        <v>96</v>
      </c>
      <c r="B50" s="2" t="s">
        <v>97</v>
      </c>
      <c r="C50" s="2" t="s">
        <v>57</v>
      </c>
      <c r="D50" s="2" t="s">
        <v>55</v>
      </c>
      <c r="E50" s="8">
        <v>3633.11</v>
      </c>
      <c r="F50" s="2">
        <v>11</v>
      </c>
      <c r="G50" s="28">
        <f>VLOOKUP(C50,Table1[#All],3,FALSE)*F50</f>
        <v>115.5</v>
      </c>
      <c r="H50" s="29">
        <f>IF(E50&gt;VLOOKUP(C50,Table1[#All],4,FALSE)*Friday!F50,(Friday!E50-(VLOOKUP(Friday!C50,Table1[#All],4,FALSE)*Friday!F50))*VLOOKUP(Friday!C50,Table1[#All],5,FALSE),0)</f>
        <v>25.331100000000003</v>
      </c>
      <c r="I50" s="29">
        <f t="shared" si="0"/>
        <v>140.83109999999999</v>
      </c>
      <c r="J50" s="2">
        <f t="shared" si="1"/>
        <v>1</v>
      </c>
      <c r="K50" s="2">
        <f t="shared" si="2"/>
        <v>1</v>
      </c>
    </row>
    <row r="51" spans="1:11" ht="15" customHeight="1" x14ac:dyDescent="0.25">
      <c r="A51" s="2" t="s">
        <v>14</v>
      </c>
      <c r="B51" s="2" t="s">
        <v>15</v>
      </c>
      <c r="C51" s="2" t="s">
        <v>5</v>
      </c>
      <c r="D51" s="2" t="s">
        <v>16</v>
      </c>
      <c r="E51" s="8">
        <v>3844.13</v>
      </c>
      <c r="F51" s="2">
        <v>10</v>
      </c>
      <c r="G51" s="28">
        <f>VLOOKUP(C51,Table1[#All],3,FALSE)*F51</f>
        <v>235</v>
      </c>
      <c r="H51" s="29">
        <f>IF(E51&gt;VLOOKUP(C51,Table1[#All],4,FALSE)*Friday!F51,(Friday!E51-(VLOOKUP(Friday!C51,Table1[#All],4,FALSE)*Friday!F51))*VLOOKUP(Friday!C51,Table1[#All],5,FALSE),0)</f>
        <v>55.323900000000002</v>
      </c>
      <c r="I51" s="29">
        <f t="shared" si="0"/>
        <v>290.32389999999998</v>
      </c>
      <c r="J51" s="2">
        <f t="shared" si="1"/>
        <v>1</v>
      </c>
      <c r="K51" s="2">
        <f t="shared" si="2"/>
        <v>1</v>
      </c>
    </row>
    <row r="52" spans="1:11" ht="15" customHeight="1" x14ac:dyDescent="0.25">
      <c r="A52" s="2" t="s">
        <v>98</v>
      </c>
      <c r="B52" s="2" t="s">
        <v>99</v>
      </c>
      <c r="C52" s="2" t="s">
        <v>33</v>
      </c>
      <c r="D52" s="2" t="s">
        <v>55</v>
      </c>
      <c r="E52" s="8">
        <v>2781.36</v>
      </c>
      <c r="F52" s="2">
        <v>8</v>
      </c>
      <c r="G52" s="28">
        <f>VLOOKUP(C52,Table1[#All],3,FALSE)*F52</f>
        <v>120</v>
      </c>
      <c r="H52" s="29">
        <f>IF(E52&gt;VLOOKUP(C52,Table1[#All],4,FALSE)*Friday!F52,(Friday!E52-(VLOOKUP(Friday!C52,Table1[#All],4,FALSE)*Friday!F52))*VLOOKUP(Friday!C52,Table1[#All],5,FALSE),0)</f>
        <v>34.534000000000006</v>
      </c>
      <c r="I52" s="29">
        <f t="shared" si="0"/>
        <v>154.53399999999999</v>
      </c>
      <c r="J52" s="2">
        <f t="shared" si="1"/>
        <v>1</v>
      </c>
      <c r="K52" s="2">
        <f t="shared" si="2"/>
        <v>1</v>
      </c>
    </row>
    <row r="53" spans="1:11" ht="15" customHeight="1" x14ac:dyDescent="0.25">
      <c r="A53" s="2" t="s">
        <v>40</v>
      </c>
      <c r="B53" s="2" t="s">
        <v>41</v>
      </c>
      <c r="C53" s="2" t="s">
        <v>33</v>
      </c>
      <c r="D53" s="2" t="s">
        <v>54</v>
      </c>
      <c r="E53" s="8">
        <v>0</v>
      </c>
      <c r="F53" s="2">
        <v>0</v>
      </c>
      <c r="G53" s="28">
        <f>VLOOKUP(C53,Table1[#All],3,FALSE)*F53</f>
        <v>0</v>
      </c>
      <c r="H53" s="29">
        <f>IF(E53&gt;VLOOKUP(C53,Table1[#All],4,FALSE)*Friday!F53,(Friday!E53-(VLOOKUP(Friday!C53,Table1[#All],4,FALSE)*Friday!F53))*VLOOKUP(Friday!C53,Table1[#All],5,FALSE),0)</f>
        <v>0</v>
      </c>
      <c r="I53" s="29">
        <f t="shared" si="0"/>
        <v>0</v>
      </c>
      <c r="J53" s="2">
        <f t="shared" si="1"/>
        <v>0</v>
      </c>
      <c r="K53" s="2">
        <f t="shared" si="2"/>
        <v>0</v>
      </c>
    </row>
    <row r="54" spans="1:11" ht="15" customHeight="1" x14ac:dyDescent="0.25">
      <c r="A54" s="2" t="s">
        <v>29</v>
      </c>
      <c r="B54" s="2" t="s">
        <v>30</v>
      </c>
      <c r="C54" s="2" t="s">
        <v>19</v>
      </c>
      <c r="D54" s="2" t="s">
        <v>55</v>
      </c>
      <c r="E54" s="8">
        <v>4673.92</v>
      </c>
      <c r="F54" s="2">
        <v>8</v>
      </c>
      <c r="G54" s="28">
        <f>VLOOKUP(C54,Table1[#All],3,FALSE)*F54</f>
        <v>108</v>
      </c>
      <c r="H54" s="29">
        <f>IF(E54&gt;VLOOKUP(C54,Table1[#All],4,FALSE)*Friday!F54,(Friday!E54-(VLOOKUP(Friday!C54,Table1[#All],4,FALSE)*Friday!F54))*VLOOKUP(Friday!C54,Table1[#All],5,FALSE),0)</f>
        <v>69.478400000000008</v>
      </c>
      <c r="I54" s="29">
        <f t="shared" si="0"/>
        <v>177.47840000000002</v>
      </c>
      <c r="J54" s="2">
        <f t="shared" si="1"/>
        <v>1</v>
      </c>
      <c r="K54" s="2">
        <f t="shared" si="2"/>
        <v>1</v>
      </c>
    </row>
    <row r="55" spans="1:11" ht="15" customHeight="1" x14ac:dyDescent="0.25">
      <c r="A55" s="2" t="s">
        <v>116</v>
      </c>
      <c r="B55" s="2" t="s">
        <v>117</v>
      </c>
      <c r="C55" s="2" t="s">
        <v>19</v>
      </c>
      <c r="D55" s="2" t="s">
        <v>11</v>
      </c>
      <c r="E55" s="8">
        <v>1508.88</v>
      </c>
      <c r="F55" s="2">
        <v>12</v>
      </c>
      <c r="G55" s="28">
        <f>VLOOKUP(C55,Table1[#All],3,FALSE)*F55</f>
        <v>162</v>
      </c>
      <c r="H55" s="29">
        <f>IF(E55&gt;VLOOKUP(C55,Table1[#All],4,FALSE)*Friday!F55,(Friday!E55-(VLOOKUP(Friday!C55,Table1[#All],4,FALSE)*Friday!F55))*VLOOKUP(Friday!C55,Table1[#All],5,FALSE),0)</f>
        <v>0</v>
      </c>
      <c r="I55" s="29">
        <f t="shared" si="0"/>
        <v>162</v>
      </c>
      <c r="J55" s="2">
        <f t="shared" si="1"/>
        <v>0</v>
      </c>
      <c r="K55" s="2">
        <f t="shared" si="2"/>
        <v>1</v>
      </c>
    </row>
    <row r="56" spans="1:11" ht="15" customHeight="1" x14ac:dyDescent="0.25">
      <c r="A56" s="2" t="s">
        <v>51</v>
      </c>
      <c r="B56" s="2" t="s">
        <v>52</v>
      </c>
      <c r="C56" s="2" t="s">
        <v>44</v>
      </c>
      <c r="D56" s="2" t="s">
        <v>16</v>
      </c>
      <c r="E56" s="8">
        <v>0</v>
      </c>
      <c r="F56" s="2">
        <v>0</v>
      </c>
      <c r="G56" s="28">
        <f>VLOOKUP(C56,Table1[#All],3,FALSE)*F56</f>
        <v>0</v>
      </c>
      <c r="H56" s="29">
        <f>IF(E56&gt;VLOOKUP(C56,Table1[#All],4,FALSE)*Friday!F56,(Friday!E56-(VLOOKUP(Friday!C56,Table1[#All],4,FALSE)*Friday!F56))*VLOOKUP(Friday!C56,Table1[#All],5,FALSE),0)</f>
        <v>0</v>
      </c>
      <c r="I56" s="29">
        <f t="shared" si="0"/>
        <v>0</v>
      </c>
      <c r="J56" s="2">
        <f t="shared" si="1"/>
        <v>0</v>
      </c>
      <c r="K56" s="2">
        <f t="shared" si="2"/>
        <v>0</v>
      </c>
    </row>
    <row r="57" spans="1:11" x14ac:dyDescent="0.25">
      <c r="F57" s="7"/>
    </row>
    <row r="58" spans="1:11" x14ac:dyDescent="0.25">
      <c r="F58" s="2"/>
    </row>
    <row r="59" spans="1:11" x14ac:dyDescent="0.25">
      <c r="A59" s="2" t="s">
        <v>137</v>
      </c>
      <c r="E59" s="31">
        <f>SUM(E5:E56)</f>
        <v>143646.29999999999</v>
      </c>
      <c r="F59" s="2"/>
      <c r="G59" s="29">
        <f>SUM(G5:G56)</f>
        <v>4601</v>
      </c>
      <c r="H59" s="29">
        <f>SUM(H5:H56)</f>
        <v>2065.7933000000003</v>
      </c>
      <c r="I59" s="29">
        <f>SUM(I5:I56)</f>
        <v>6666.7933000000003</v>
      </c>
      <c r="J59" s="33">
        <f>SUM(J5:J56)</f>
        <v>28</v>
      </c>
      <c r="K59" s="33">
        <f>SUM(K5:K56)</f>
        <v>40</v>
      </c>
    </row>
    <row r="60" spans="1:11" ht="15" customHeight="1" x14ac:dyDescent="0.25">
      <c r="A60" s="2" t="s">
        <v>138</v>
      </c>
      <c r="E60" s="31">
        <f>AVERAGE(E5:E56)</f>
        <v>2762.4288461538458</v>
      </c>
      <c r="F60" s="2"/>
      <c r="G60" s="29">
        <f>AVERAGE(G5:G56)</f>
        <v>88.480769230769226</v>
      </c>
      <c r="H60" s="29">
        <f>AVERAGE(H5:H56)</f>
        <v>39.726794230769237</v>
      </c>
      <c r="I60" s="29">
        <f>AVERAGE(I5:I56)</f>
        <v>128.20756346153846</v>
      </c>
      <c r="K60" s="32">
        <f>J59/K59</f>
        <v>0.7</v>
      </c>
    </row>
    <row r="61" spans="1:11" ht="18" customHeight="1" x14ac:dyDescent="0.25">
      <c r="A61" s="2" t="s">
        <v>139</v>
      </c>
      <c r="E61" s="31">
        <f>MIN(E5:E56)</f>
        <v>0</v>
      </c>
      <c r="F61" s="2"/>
      <c r="G61" s="29">
        <f>MIN(G5:G56)</f>
        <v>0</v>
      </c>
      <c r="H61" s="29">
        <f>MIN(H5:H56)</f>
        <v>0</v>
      </c>
      <c r="I61" s="29">
        <f>MIN(I5:I56)</f>
        <v>0</v>
      </c>
    </row>
    <row r="62" spans="1:11" ht="15" customHeight="1" x14ac:dyDescent="0.25">
      <c r="A62" s="2" t="s">
        <v>140</v>
      </c>
      <c r="E62" s="8">
        <f>(MAX(E5:E56))</f>
        <v>29704.21</v>
      </c>
      <c r="F62" s="2"/>
      <c r="G62" s="29">
        <f>MAX(G5:G56)</f>
        <v>282</v>
      </c>
      <c r="H62" s="29">
        <f>MAX(H5:H56)</f>
        <v>831.1262999999999</v>
      </c>
      <c r="I62" s="29">
        <f>MAX(I5:I56)</f>
        <v>1066.1262999999999</v>
      </c>
    </row>
    <row r="63" spans="1:11" ht="15" customHeight="1" x14ac:dyDescent="0.25">
      <c r="F63" s="2"/>
    </row>
    <row r="64" spans="1:11" ht="15" customHeight="1" x14ac:dyDescent="0.25">
      <c r="F64" s="2"/>
    </row>
    <row r="65" ht="15" customHeight="1" x14ac:dyDescent="0.25"/>
  </sheetData>
  <mergeCells count="3">
    <mergeCell ref="A1:K1"/>
    <mergeCell ref="A2:K2"/>
    <mergeCell ref="A3:K3"/>
  </mergeCells>
  <phoneticPr fontId="1" type="noConversion"/>
  <printOptions headings="1" gridLines="1"/>
  <pageMargins left="0.75" right="0.75" top="1" bottom="1" header="0.5" footer="0.5"/>
  <pageSetup scale="54" orientation="landscape" blackAndWhite="1" horizontalDpi="300" verticalDpi="300" r:id="rId1"/>
  <headerFooter alignWithMargins="0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65"/>
  <sheetViews>
    <sheetView workbookViewId="0">
      <selection activeCell="C11" sqref="C11"/>
    </sheetView>
  </sheetViews>
  <sheetFormatPr defaultColWidth="9.109375" defaultRowHeight="13.2" x14ac:dyDescent="0.25"/>
  <cols>
    <col min="1" max="1" width="13.6640625" style="2" customWidth="1"/>
    <col min="2" max="2" width="13.5546875" style="2" customWidth="1"/>
    <col min="3" max="3" width="17.33203125" style="2" customWidth="1"/>
    <col min="4" max="4" width="17" style="2" customWidth="1"/>
    <col min="5" max="5" width="15.33203125" customWidth="1"/>
    <col min="6" max="6" width="15.6640625" style="2" customWidth="1"/>
    <col min="7" max="7" width="13.44140625" style="2" customWidth="1"/>
    <col min="8" max="8" width="15.44140625" style="2" customWidth="1"/>
    <col min="9" max="9" width="13.5546875" style="2" customWidth="1"/>
    <col min="10" max="10" width="13.6640625" style="2" customWidth="1"/>
    <col min="11" max="11" width="15.6640625" style="2" customWidth="1"/>
    <col min="12" max="16384" width="9.109375" style="2"/>
  </cols>
  <sheetData>
    <row r="1" spans="1:11" ht="15" x14ac:dyDescent="0.25">
      <c r="A1" s="69" t="s">
        <v>119</v>
      </c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1" x14ac:dyDescent="0.25">
      <c r="A2" s="70" t="s">
        <v>120</v>
      </c>
      <c r="B2" s="70"/>
      <c r="C2" s="70"/>
      <c r="D2" s="70"/>
      <c r="E2" s="70"/>
      <c r="F2" s="70"/>
      <c r="G2" s="70"/>
      <c r="H2" s="70"/>
      <c r="I2" s="70"/>
      <c r="J2" s="70"/>
      <c r="K2" s="70"/>
    </row>
    <row r="3" spans="1:11" x14ac:dyDescent="0.25">
      <c r="A3" s="71">
        <f ca="1">NOW()</f>
        <v>43760.754998263888</v>
      </c>
      <c r="B3" s="71"/>
      <c r="C3" s="71"/>
      <c r="D3" s="71"/>
      <c r="E3" s="71"/>
      <c r="F3" s="71"/>
      <c r="G3" s="71"/>
      <c r="H3" s="71"/>
      <c r="I3" s="71"/>
      <c r="J3" s="71"/>
      <c r="K3" s="71"/>
    </row>
    <row r="4" spans="1:11" customFormat="1" ht="15" customHeight="1" x14ac:dyDescent="0.25">
      <c r="A4" s="9" t="s">
        <v>0</v>
      </c>
      <c r="B4" s="9" t="s">
        <v>1</v>
      </c>
      <c r="C4" s="9" t="s">
        <v>58</v>
      </c>
      <c r="D4" s="9" t="s">
        <v>2</v>
      </c>
      <c r="E4" s="9" t="s">
        <v>53</v>
      </c>
      <c r="F4" s="9" t="s">
        <v>118</v>
      </c>
      <c r="G4" s="9" t="s">
        <v>121</v>
      </c>
      <c r="H4" s="9" t="s">
        <v>133</v>
      </c>
      <c r="I4" s="9" t="s">
        <v>134</v>
      </c>
      <c r="J4" s="9" t="s">
        <v>135</v>
      </c>
      <c r="K4" s="9" t="s">
        <v>136</v>
      </c>
    </row>
    <row r="5" spans="1:11" ht="15" customHeight="1" x14ac:dyDescent="0.25">
      <c r="A5" s="2" t="s">
        <v>3</v>
      </c>
      <c r="B5" s="2" t="s">
        <v>4</v>
      </c>
      <c r="C5" s="2" t="s">
        <v>5</v>
      </c>
      <c r="D5" s="2" t="s">
        <v>54</v>
      </c>
      <c r="E5" s="8">
        <v>2366.77</v>
      </c>
      <c r="F5" s="2">
        <v>8</v>
      </c>
      <c r="G5" s="28">
        <f>VLOOKUP(C5,Table1[#All],3,FALSE)*F5</f>
        <v>188</v>
      </c>
      <c r="H5" s="29">
        <f>IF(E5&gt;VLOOKUP(C5,Table1[#All],4,FALSE)*Saturday!F5,(Saturday!E5-(VLOOKUP(Saturday!C5,Table1[#All],4,FALSE)*Saturday!F5))*VLOOKUP(Saturday!C5,Table1[#All],5,FALSE),0)</f>
        <v>23.0031</v>
      </c>
      <c r="I5" s="29">
        <f>G5+H5</f>
        <v>211.00309999999999</v>
      </c>
      <c r="J5" s="2">
        <f>IF(H5&gt;0,1,0)</f>
        <v>1</v>
      </c>
      <c r="K5" s="2">
        <f>IF(F5&gt;0,1,0)</f>
        <v>1</v>
      </c>
    </row>
    <row r="6" spans="1:11" ht="15" customHeight="1" x14ac:dyDescent="0.25">
      <c r="A6" s="2" t="s">
        <v>42</v>
      </c>
      <c r="B6" s="2" t="s">
        <v>43</v>
      </c>
      <c r="C6" s="2" t="s">
        <v>44</v>
      </c>
      <c r="D6" s="2" t="s">
        <v>54</v>
      </c>
      <c r="E6" s="8">
        <v>759.32</v>
      </c>
      <c r="F6" s="2">
        <v>4</v>
      </c>
      <c r="G6" s="28">
        <f>VLOOKUP(C6,Table1[#All],3,FALSE)*F6</f>
        <v>47</v>
      </c>
      <c r="H6" s="29">
        <f>IF(E6&gt;VLOOKUP(C6,Table1[#All],4,FALSE)*Saturday!F6,(Saturday!E6-(VLOOKUP(Saturday!C6,Table1[#All],4,FALSE)*Saturday!F6))*VLOOKUP(Saturday!C6,Table1[#All],5,FALSE),0)</f>
        <v>3.8898000000000006</v>
      </c>
      <c r="I6" s="29">
        <f t="shared" ref="I6:I56" si="0">G6+H6</f>
        <v>50.889800000000001</v>
      </c>
      <c r="J6" s="2">
        <f t="shared" ref="J6:J56" si="1">IF(H6&gt;0,1,0)</f>
        <v>1</v>
      </c>
      <c r="K6" s="2">
        <f t="shared" ref="K6:K56" si="2">IF(F6&gt;0,1,0)</f>
        <v>1</v>
      </c>
    </row>
    <row r="7" spans="1:11" ht="15" customHeight="1" x14ac:dyDescent="0.25">
      <c r="A7" s="2" t="s">
        <v>31</v>
      </c>
      <c r="B7" s="2" t="s">
        <v>32</v>
      </c>
      <c r="C7" s="2" t="s">
        <v>33</v>
      </c>
      <c r="D7" s="2" t="s">
        <v>16</v>
      </c>
      <c r="E7" s="8">
        <v>1459.98</v>
      </c>
      <c r="F7" s="2">
        <v>7</v>
      </c>
      <c r="G7" s="28">
        <f>VLOOKUP(C7,Table1[#All],3,FALSE)*F7</f>
        <v>105</v>
      </c>
      <c r="H7" s="29">
        <f>IF(E7&gt;VLOOKUP(C7,Table1[#All],4,FALSE)*Saturday!F7,(Saturday!E7-(VLOOKUP(Saturday!C7,Table1[#All],4,FALSE)*Saturday!F7))*VLOOKUP(Saturday!C7,Table1[#All],5,FALSE),0)</f>
        <v>5.8745000000000012</v>
      </c>
      <c r="I7" s="29">
        <f t="shared" si="0"/>
        <v>110.8745</v>
      </c>
      <c r="J7" s="2">
        <f t="shared" si="1"/>
        <v>1</v>
      </c>
      <c r="K7" s="2">
        <f t="shared" si="2"/>
        <v>1</v>
      </c>
    </row>
    <row r="8" spans="1:11" ht="15" customHeight="1" x14ac:dyDescent="0.25">
      <c r="A8" s="2" t="s">
        <v>34</v>
      </c>
      <c r="B8" s="2" t="s">
        <v>35</v>
      </c>
      <c r="C8" s="2" t="s">
        <v>33</v>
      </c>
      <c r="D8" s="2" t="s">
        <v>20</v>
      </c>
      <c r="E8" s="8">
        <v>3422.17</v>
      </c>
      <c r="F8" s="2">
        <v>8</v>
      </c>
      <c r="G8" s="28">
        <f>VLOOKUP(C8,Table1[#All],3,FALSE)*F8</f>
        <v>120</v>
      </c>
      <c r="H8" s="29">
        <f>IF(E8&gt;VLOOKUP(C8,Table1[#All],4,FALSE)*Saturday!F8,(Saturday!E8-(VLOOKUP(Saturday!C8,Table1[#All],4,FALSE)*Saturday!F8))*VLOOKUP(Saturday!C8,Table1[#All],5,FALSE),0)</f>
        <v>50.554250000000003</v>
      </c>
      <c r="I8" s="29">
        <f t="shared" si="0"/>
        <v>170.55425</v>
      </c>
      <c r="J8" s="2">
        <f t="shared" si="1"/>
        <v>1</v>
      </c>
      <c r="K8" s="2">
        <f t="shared" si="2"/>
        <v>1</v>
      </c>
    </row>
    <row r="9" spans="1:11" ht="15" customHeight="1" x14ac:dyDescent="0.25">
      <c r="A9" s="2" t="s">
        <v>6</v>
      </c>
      <c r="B9" s="2" t="s">
        <v>7</v>
      </c>
      <c r="C9" s="2" t="s">
        <v>5</v>
      </c>
      <c r="D9" s="2" t="s">
        <v>8</v>
      </c>
      <c r="E9" s="8">
        <v>0</v>
      </c>
      <c r="F9" s="2">
        <v>0</v>
      </c>
      <c r="G9" s="28">
        <f>VLOOKUP(C9,Table1[#All],3,FALSE)*F9</f>
        <v>0</v>
      </c>
      <c r="H9" s="29">
        <f>IF(E9&gt;VLOOKUP(C9,Table1[#All],4,FALSE)*Saturday!F9,(Saturday!E9-(VLOOKUP(Saturday!C9,Table1[#All],4,FALSE)*Saturday!F9))*VLOOKUP(Saturday!C9,Table1[#All],5,FALSE),0)</f>
        <v>0</v>
      </c>
      <c r="I9" s="29">
        <f t="shared" si="0"/>
        <v>0</v>
      </c>
      <c r="J9" s="2">
        <f t="shared" si="1"/>
        <v>0</v>
      </c>
      <c r="K9" s="2">
        <f t="shared" si="2"/>
        <v>0</v>
      </c>
    </row>
    <row r="10" spans="1:11" ht="15" customHeight="1" x14ac:dyDescent="0.25">
      <c r="A10" s="2" t="s">
        <v>100</v>
      </c>
      <c r="B10" s="2" t="s">
        <v>15</v>
      </c>
      <c r="C10" s="2" t="s">
        <v>57</v>
      </c>
      <c r="D10" s="2" t="s">
        <v>11</v>
      </c>
      <c r="E10" s="8">
        <v>0</v>
      </c>
      <c r="F10" s="2">
        <v>0</v>
      </c>
      <c r="G10" s="28">
        <f>VLOOKUP(C10,Table1[#All],3,FALSE)*F10</f>
        <v>0</v>
      </c>
      <c r="H10" s="29">
        <f>IF(E10&gt;VLOOKUP(C10,Table1[#All],4,FALSE)*Saturday!F10,(Saturday!E10-(VLOOKUP(Saturday!C10,Table1[#All],4,FALSE)*Saturday!F10))*VLOOKUP(Saturday!C10,Table1[#All],5,FALSE),0)</f>
        <v>0</v>
      </c>
      <c r="I10" s="29">
        <f t="shared" si="0"/>
        <v>0</v>
      </c>
      <c r="J10" s="2">
        <f t="shared" si="1"/>
        <v>0</v>
      </c>
      <c r="K10" s="2">
        <f t="shared" si="2"/>
        <v>0</v>
      </c>
    </row>
    <row r="11" spans="1:11" ht="15" customHeight="1" x14ac:dyDescent="0.25">
      <c r="A11" s="2" t="s">
        <v>63</v>
      </c>
      <c r="B11" s="2" t="s">
        <v>64</v>
      </c>
      <c r="C11" s="2" t="s">
        <v>57</v>
      </c>
      <c r="D11" s="2" t="s">
        <v>56</v>
      </c>
      <c r="E11" s="8">
        <v>1455.09</v>
      </c>
      <c r="F11" s="2">
        <v>8</v>
      </c>
      <c r="G11" s="28">
        <f>VLOOKUP(C11,Table1[#All],3,FALSE)*F11</f>
        <v>84</v>
      </c>
      <c r="H11" s="29">
        <f>IF(E11&gt;VLOOKUP(C11,Table1[#All],4,FALSE)*Saturday!F11,(Saturday!E11-(VLOOKUP(Saturday!C11,Table1[#All],4,FALSE)*Saturday!F11))*VLOOKUP(Saturday!C11,Table1[#All],5,FALSE),0)</f>
        <v>6.5508999999999995</v>
      </c>
      <c r="I11" s="29">
        <f t="shared" si="0"/>
        <v>90.550899999999999</v>
      </c>
      <c r="J11" s="2">
        <f t="shared" si="1"/>
        <v>1</v>
      </c>
      <c r="K11" s="2">
        <f t="shared" si="2"/>
        <v>1</v>
      </c>
    </row>
    <row r="12" spans="1:11" ht="15" customHeight="1" x14ac:dyDescent="0.25">
      <c r="A12" s="2" t="s">
        <v>61</v>
      </c>
      <c r="B12" s="2" t="s">
        <v>62</v>
      </c>
      <c r="C12" s="2" t="s">
        <v>19</v>
      </c>
      <c r="D12" s="2" t="s">
        <v>56</v>
      </c>
      <c r="E12" s="8">
        <v>3241.17</v>
      </c>
      <c r="F12" s="2">
        <v>8</v>
      </c>
      <c r="G12" s="28">
        <f>VLOOKUP(C12,Table1[#All],3,FALSE)*F12</f>
        <v>108</v>
      </c>
      <c r="H12" s="29">
        <f>IF(E12&gt;VLOOKUP(C12,Table1[#All],4,FALSE)*Saturday!F12,(Saturday!E12-(VLOOKUP(Saturday!C12,Table1[#All],4,FALSE)*Saturday!F12))*VLOOKUP(Saturday!C12,Table1[#All],5,FALSE),0)</f>
        <v>40.823399999999999</v>
      </c>
      <c r="I12" s="29">
        <f t="shared" si="0"/>
        <v>148.82339999999999</v>
      </c>
      <c r="J12" s="2">
        <f t="shared" si="1"/>
        <v>1</v>
      </c>
      <c r="K12" s="2">
        <f t="shared" si="2"/>
        <v>1</v>
      </c>
    </row>
    <row r="13" spans="1:11" ht="15" customHeight="1" x14ac:dyDescent="0.25">
      <c r="A13" s="2" t="s">
        <v>101</v>
      </c>
      <c r="B13" s="2" t="s">
        <v>102</v>
      </c>
      <c r="C13" s="2" t="s">
        <v>57</v>
      </c>
      <c r="D13" s="2" t="s">
        <v>54</v>
      </c>
      <c r="E13" s="8">
        <v>1408.87</v>
      </c>
      <c r="F13" s="2">
        <v>4</v>
      </c>
      <c r="G13" s="28">
        <f>VLOOKUP(C13,Table1[#All],3,FALSE)*F13</f>
        <v>42</v>
      </c>
      <c r="H13" s="29">
        <f>IF(E13&gt;VLOOKUP(C13,Table1[#All],4,FALSE)*Saturday!F13,(Saturday!E13-(VLOOKUP(Saturday!C13,Table1[#All],4,FALSE)*Saturday!F13))*VLOOKUP(Saturday!C13,Table1[#All],5,FALSE),0)</f>
        <v>10.088699999999999</v>
      </c>
      <c r="I13" s="29">
        <f t="shared" si="0"/>
        <v>52.088700000000003</v>
      </c>
      <c r="J13" s="2">
        <f t="shared" si="1"/>
        <v>1</v>
      </c>
      <c r="K13" s="2">
        <f t="shared" si="2"/>
        <v>1</v>
      </c>
    </row>
    <row r="14" spans="1:11" ht="15" customHeight="1" x14ac:dyDescent="0.25">
      <c r="A14" s="2" t="s">
        <v>65</v>
      </c>
      <c r="B14" s="2" t="s">
        <v>66</v>
      </c>
      <c r="C14" s="2" t="s">
        <v>57</v>
      </c>
      <c r="D14" s="2" t="s">
        <v>56</v>
      </c>
      <c r="E14" s="8">
        <v>1349.96</v>
      </c>
      <c r="F14" s="2">
        <v>4</v>
      </c>
      <c r="G14" s="28">
        <f>VLOOKUP(C14,Table1[#All],3,FALSE)*F14</f>
        <v>42</v>
      </c>
      <c r="H14" s="29">
        <f>IF(E14&gt;VLOOKUP(C14,Table1[#All],4,FALSE)*Saturday!F14,(Saturday!E14-(VLOOKUP(Saturday!C14,Table1[#All],4,FALSE)*Saturday!F14))*VLOOKUP(Saturday!C14,Table1[#All],5,FALSE),0)</f>
        <v>9.4996000000000009</v>
      </c>
      <c r="I14" s="29">
        <f t="shared" si="0"/>
        <v>51.499600000000001</v>
      </c>
      <c r="J14" s="2">
        <f t="shared" si="1"/>
        <v>1</v>
      </c>
      <c r="K14" s="2">
        <f t="shared" si="2"/>
        <v>1</v>
      </c>
    </row>
    <row r="15" spans="1:11" ht="15" customHeight="1" x14ac:dyDescent="0.25">
      <c r="A15" s="2" t="s">
        <v>69</v>
      </c>
      <c r="B15" s="2" t="s">
        <v>10</v>
      </c>
      <c r="C15" s="2" t="s">
        <v>44</v>
      </c>
      <c r="D15" s="2" t="s">
        <v>16</v>
      </c>
      <c r="E15" s="8">
        <v>0</v>
      </c>
      <c r="F15" s="2">
        <v>0</v>
      </c>
      <c r="G15" s="28">
        <f>VLOOKUP(C15,Table1[#All],3,FALSE)*F15</f>
        <v>0</v>
      </c>
      <c r="H15" s="29">
        <f>IF(E15&gt;VLOOKUP(C15,Table1[#All],4,FALSE)*Saturday!F15,(Saturday!E15-(VLOOKUP(Saturday!C15,Table1[#All],4,FALSE)*Saturday!F15))*VLOOKUP(Saturday!C15,Table1[#All],5,FALSE),0)</f>
        <v>0</v>
      </c>
      <c r="I15" s="29">
        <f t="shared" si="0"/>
        <v>0</v>
      </c>
      <c r="J15" s="2">
        <f t="shared" si="1"/>
        <v>0</v>
      </c>
      <c r="K15" s="2">
        <f t="shared" si="2"/>
        <v>0</v>
      </c>
    </row>
    <row r="16" spans="1:11" ht="15" customHeight="1" x14ac:dyDescent="0.25">
      <c r="A16" s="2" t="s">
        <v>67</v>
      </c>
      <c r="B16" s="2" t="s">
        <v>68</v>
      </c>
      <c r="C16" s="2" t="s">
        <v>33</v>
      </c>
      <c r="D16" s="2" t="s">
        <v>56</v>
      </c>
      <c r="E16" s="8">
        <v>1875.93</v>
      </c>
      <c r="F16" s="2">
        <v>5</v>
      </c>
      <c r="G16" s="28">
        <f>VLOOKUP(C16,Table1[#All],3,FALSE)*F16</f>
        <v>75</v>
      </c>
      <c r="H16" s="29">
        <f>IF(E16&gt;VLOOKUP(C16,Table1[#All],4,FALSE)*Saturday!F16,(Saturday!E16-(VLOOKUP(Saturday!C16,Table1[#All],4,FALSE)*Saturday!F16))*VLOOKUP(Saturday!C16,Table1[#All],5,FALSE),0)</f>
        <v>25.023250000000004</v>
      </c>
      <c r="I16" s="29">
        <f t="shared" si="0"/>
        <v>100.02325</v>
      </c>
      <c r="J16" s="2">
        <f t="shared" si="1"/>
        <v>1</v>
      </c>
      <c r="K16" s="2">
        <f t="shared" si="2"/>
        <v>1</v>
      </c>
    </row>
    <row r="17" spans="1:11" ht="15" customHeight="1" x14ac:dyDescent="0.25">
      <c r="A17" s="2" t="s">
        <v>74</v>
      </c>
      <c r="B17" s="2" t="s">
        <v>75</v>
      </c>
      <c r="C17" s="2" t="s">
        <v>19</v>
      </c>
      <c r="D17" s="2" t="s">
        <v>11</v>
      </c>
      <c r="E17" s="8">
        <v>23336.05</v>
      </c>
      <c r="F17" s="2">
        <v>5</v>
      </c>
      <c r="G17" s="28">
        <f>VLOOKUP(C17,Table1[#All],3,FALSE)*F17</f>
        <v>67.5</v>
      </c>
      <c r="H17" s="29">
        <f>IF(E17&gt;VLOOKUP(C17,Table1[#All],4,FALSE)*Saturday!F17,(Saturday!E17-(VLOOKUP(Saturday!C17,Table1[#All],4,FALSE)*Saturday!F17))*VLOOKUP(Saturday!C17,Table1[#All],5,FALSE),0)</f>
        <v>451.721</v>
      </c>
      <c r="I17" s="29">
        <f t="shared" si="0"/>
        <v>519.221</v>
      </c>
      <c r="J17" s="2">
        <f t="shared" si="1"/>
        <v>1</v>
      </c>
      <c r="K17" s="2">
        <f t="shared" si="2"/>
        <v>1</v>
      </c>
    </row>
    <row r="18" spans="1:11" ht="15" customHeight="1" x14ac:dyDescent="0.25">
      <c r="A18" s="2" t="s">
        <v>70</v>
      </c>
      <c r="B18" s="2" t="s">
        <v>71</v>
      </c>
      <c r="C18" s="2" t="s">
        <v>19</v>
      </c>
      <c r="D18" s="2" t="s">
        <v>16</v>
      </c>
      <c r="E18" s="8">
        <v>0</v>
      </c>
      <c r="F18" s="2">
        <v>0</v>
      </c>
      <c r="G18" s="28">
        <f>VLOOKUP(C18,Table1[#All],3,FALSE)*F18</f>
        <v>0</v>
      </c>
      <c r="H18" s="29">
        <f>IF(E18&gt;VLOOKUP(C18,Table1[#All],4,FALSE)*Saturday!F18,(Saturday!E18-(VLOOKUP(Saturday!C18,Table1[#All],4,FALSE)*Saturday!F18))*VLOOKUP(Saturday!C18,Table1[#All],5,FALSE),0)</f>
        <v>0</v>
      </c>
      <c r="I18" s="29">
        <f t="shared" si="0"/>
        <v>0</v>
      </c>
      <c r="J18" s="2">
        <f t="shared" si="1"/>
        <v>0</v>
      </c>
      <c r="K18" s="2">
        <f t="shared" si="2"/>
        <v>0</v>
      </c>
    </row>
    <row r="19" spans="1:11" ht="15" customHeight="1" x14ac:dyDescent="0.25">
      <c r="A19" s="2" t="s">
        <v>17</v>
      </c>
      <c r="B19" s="2" t="s">
        <v>18</v>
      </c>
      <c r="C19" s="2" t="s">
        <v>19</v>
      </c>
      <c r="D19" s="2" t="s">
        <v>20</v>
      </c>
      <c r="E19" s="8">
        <v>2488.39</v>
      </c>
      <c r="F19" s="2">
        <v>8</v>
      </c>
      <c r="G19" s="28">
        <f>VLOOKUP(C19,Table1[#All],3,FALSE)*F19</f>
        <v>108</v>
      </c>
      <c r="H19" s="29">
        <f>IF(E19&gt;VLOOKUP(C19,Table1[#All],4,FALSE)*Saturday!F19,(Saturday!E19-(VLOOKUP(Saturday!C19,Table1[#All],4,FALSE)*Saturday!F19))*VLOOKUP(Saturday!C19,Table1[#All],5,FALSE),0)</f>
        <v>25.767799999999998</v>
      </c>
      <c r="I19" s="29">
        <f t="shared" si="0"/>
        <v>133.76779999999999</v>
      </c>
      <c r="J19" s="2">
        <f t="shared" si="1"/>
        <v>1</v>
      </c>
      <c r="K19" s="2">
        <f t="shared" si="2"/>
        <v>1</v>
      </c>
    </row>
    <row r="20" spans="1:11" ht="15" customHeight="1" x14ac:dyDescent="0.25">
      <c r="A20" s="2" t="s">
        <v>103</v>
      </c>
      <c r="B20" s="2" t="s">
        <v>104</v>
      </c>
      <c r="C20" s="2" t="s">
        <v>57</v>
      </c>
      <c r="D20" s="2" t="s">
        <v>55</v>
      </c>
      <c r="E20" s="8">
        <v>1568.63</v>
      </c>
      <c r="F20" s="2">
        <v>4</v>
      </c>
      <c r="G20" s="28">
        <f>VLOOKUP(C20,Table1[#All],3,FALSE)*F20</f>
        <v>42</v>
      </c>
      <c r="H20" s="29">
        <f>IF(E20&gt;VLOOKUP(C20,Table1[#All],4,FALSE)*Saturday!F20,(Saturday!E20-(VLOOKUP(Saturday!C20,Table1[#All],4,FALSE)*Saturday!F20))*VLOOKUP(Saturday!C20,Table1[#All],5,FALSE),0)</f>
        <v>11.686300000000001</v>
      </c>
      <c r="I20" s="29">
        <f t="shared" si="0"/>
        <v>53.686300000000003</v>
      </c>
      <c r="J20" s="2">
        <f t="shared" si="1"/>
        <v>1</v>
      </c>
      <c r="K20" s="2">
        <f t="shared" si="2"/>
        <v>1</v>
      </c>
    </row>
    <row r="21" spans="1:11" ht="15" customHeight="1" x14ac:dyDescent="0.25">
      <c r="A21" s="2" t="s">
        <v>76</v>
      </c>
      <c r="B21" s="2" t="s">
        <v>77</v>
      </c>
      <c r="C21" s="2" t="s">
        <v>57</v>
      </c>
      <c r="D21" s="2" t="s">
        <v>11</v>
      </c>
      <c r="E21" s="8">
        <v>0</v>
      </c>
      <c r="F21" s="2">
        <v>0</v>
      </c>
      <c r="G21" s="28">
        <f>VLOOKUP(C21,Table1[#All],3,FALSE)*F21</f>
        <v>0</v>
      </c>
      <c r="H21" s="29">
        <f>IF(E21&gt;VLOOKUP(C21,Table1[#All],4,FALSE)*Saturday!F21,(Saturday!E21-(VLOOKUP(Saturday!C21,Table1[#All],4,FALSE)*Saturday!F21))*VLOOKUP(Saturday!C21,Table1[#All],5,FALSE),0)</f>
        <v>0</v>
      </c>
      <c r="I21" s="29">
        <f t="shared" si="0"/>
        <v>0</v>
      </c>
      <c r="J21" s="2">
        <f t="shared" si="1"/>
        <v>0</v>
      </c>
      <c r="K21" s="2">
        <f t="shared" si="2"/>
        <v>0</v>
      </c>
    </row>
    <row r="22" spans="1:11" ht="15" customHeight="1" x14ac:dyDescent="0.25">
      <c r="A22" s="2" t="s">
        <v>78</v>
      </c>
      <c r="B22" s="2" t="s">
        <v>79</v>
      </c>
      <c r="C22" s="2" t="s">
        <v>44</v>
      </c>
      <c r="D22" s="2" t="s">
        <v>11</v>
      </c>
      <c r="E22" s="8">
        <v>0</v>
      </c>
      <c r="F22" s="2">
        <v>0</v>
      </c>
      <c r="G22" s="28">
        <f>VLOOKUP(C22,Table1[#All],3,FALSE)*F22</f>
        <v>0</v>
      </c>
      <c r="H22" s="29">
        <f>IF(E22&gt;VLOOKUP(C22,Table1[#All],4,FALSE)*Saturday!F22,(Saturday!E22-(VLOOKUP(Saturday!C22,Table1[#All],4,FALSE)*Saturday!F22))*VLOOKUP(Saturday!C22,Table1[#All],5,FALSE),0)</f>
        <v>0</v>
      </c>
      <c r="I22" s="29">
        <f t="shared" si="0"/>
        <v>0</v>
      </c>
      <c r="J22" s="2">
        <f t="shared" si="1"/>
        <v>0</v>
      </c>
      <c r="K22" s="2">
        <f t="shared" si="2"/>
        <v>0</v>
      </c>
    </row>
    <row r="23" spans="1:11" ht="15" customHeight="1" x14ac:dyDescent="0.25">
      <c r="A23" s="2" t="s">
        <v>21</v>
      </c>
      <c r="B23" s="2" t="s">
        <v>22</v>
      </c>
      <c r="C23" s="2" t="s">
        <v>19</v>
      </c>
      <c r="D23" s="2" t="s">
        <v>16</v>
      </c>
      <c r="E23" s="8">
        <v>1310.22</v>
      </c>
      <c r="F23" s="2">
        <v>9</v>
      </c>
      <c r="G23" s="28">
        <f>VLOOKUP(C23,Table1[#All],3,FALSE)*F23</f>
        <v>121.5</v>
      </c>
      <c r="H23" s="29">
        <f>IF(E23&gt;VLOOKUP(C23,Table1[#All],4,FALSE)*Saturday!F23,(Saturday!E23-(VLOOKUP(Saturday!C23,Table1[#All],4,FALSE)*Saturday!F23))*VLOOKUP(Saturday!C23,Table1[#All],5,FALSE),0)</f>
        <v>0</v>
      </c>
      <c r="I23" s="29">
        <f t="shared" si="0"/>
        <v>121.5</v>
      </c>
      <c r="J23" s="2">
        <f t="shared" si="1"/>
        <v>0</v>
      </c>
      <c r="K23" s="2">
        <f t="shared" si="2"/>
        <v>1</v>
      </c>
    </row>
    <row r="24" spans="1:11" ht="15" customHeight="1" x14ac:dyDescent="0.25">
      <c r="A24" s="2" t="s">
        <v>80</v>
      </c>
      <c r="B24" s="2" t="s">
        <v>81</v>
      </c>
      <c r="C24" s="2" t="s">
        <v>5</v>
      </c>
      <c r="D24" s="2" t="s">
        <v>20</v>
      </c>
      <c r="E24" s="8">
        <v>0</v>
      </c>
      <c r="F24" s="2">
        <v>0</v>
      </c>
      <c r="G24" s="28">
        <f>VLOOKUP(C24,Table1[#All],3,FALSE)*F24</f>
        <v>0</v>
      </c>
      <c r="H24" s="29">
        <f>IF(E24&gt;VLOOKUP(C24,Table1[#All],4,FALSE)*Saturday!F24,(Saturday!E24-(VLOOKUP(Saturday!C24,Table1[#All],4,FALSE)*Saturday!F24))*VLOOKUP(Saturday!C24,Table1[#All],5,FALSE),0)</f>
        <v>0</v>
      </c>
      <c r="I24" s="29">
        <f t="shared" si="0"/>
        <v>0</v>
      </c>
      <c r="J24" s="2">
        <f t="shared" si="1"/>
        <v>0</v>
      </c>
      <c r="K24" s="2">
        <f t="shared" si="2"/>
        <v>0</v>
      </c>
    </row>
    <row r="25" spans="1:11" ht="15" customHeight="1" x14ac:dyDescent="0.25">
      <c r="A25" s="2" t="s">
        <v>45</v>
      </c>
      <c r="B25" s="2" t="s">
        <v>46</v>
      </c>
      <c r="C25" s="2" t="s">
        <v>44</v>
      </c>
      <c r="D25" s="2" t="s">
        <v>11</v>
      </c>
      <c r="E25" s="8">
        <v>2566.4699999999998</v>
      </c>
      <c r="F25" s="2">
        <v>5</v>
      </c>
      <c r="G25" s="28">
        <f>VLOOKUP(C25,Table1[#All],3,FALSE)*F25</f>
        <v>58.75</v>
      </c>
      <c r="H25" s="29">
        <f>IF(E25&gt;VLOOKUP(C25,Table1[#All],4,FALSE)*Saturday!F25,(Saturday!E25-(VLOOKUP(Saturday!C25,Table1[#All],4,FALSE)*Saturday!F25))*VLOOKUP(Saturday!C25,Table1[#All],5,FALSE),0)</f>
        <v>29.122049999999994</v>
      </c>
      <c r="I25" s="29">
        <f t="shared" si="0"/>
        <v>87.872050000000002</v>
      </c>
      <c r="J25" s="2">
        <f t="shared" si="1"/>
        <v>1</v>
      </c>
      <c r="K25" s="2">
        <f t="shared" si="2"/>
        <v>1</v>
      </c>
    </row>
    <row r="26" spans="1:11" ht="15" customHeight="1" x14ac:dyDescent="0.25">
      <c r="A26" s="2" t="s">
        <v>105</v>
      </c>
      <c r="B26" s="2" t="s">
        <v>77</v>
      </c>
      <c r="C26" s="2" t="s">
        <v>44</v>
      </c>
      <c r="D26" s="2" t="s">
        <v>16</v>
      </c>
      <c r="E26" s="8">
        <v>2598.3200000000002</v>
      </c>
      <c r="F26" s="2">
        <v>4</v>
      </c>
      <c r="G26" s="28">
        <f>VLOOKUP(C26,Table1[#All],3,FALSE)*F26</f>
        <v>47</v>
      </c>
      <c r="H26" s="29">
        <f>IF(E26&gt;VLOOKUP(C26,Table1[#All],4,FALSE)*Saturday!F26,(Saturday!E26-(VLOOKUP(Saturday!C26,Table1[#All],4,FALSE)*Saturday!F26))*VLOOKUP(Saturday!C26,Table1[#All],5,FALSE),0)</f>
        <v>31.474800000000002</v>
      </c>
      <c r="I26" s="29">
        <f t="shared" si="0"/>
        <v>78.474800000000002</v>
      </c>
      <c r="J26" s="2">
        <f t="shared" si="1"/>
        <v>1</v>
      </c>
      <c r="K26" s="2">
        <f t="shared" si="2"/>
        <v>1</v>
      </c>
    </row>
    <row r="27" spans="1:11" ht="15" customHeight="1" x14ac:dyDescent="0.25">
      <c r="A27" s="2" t="s">
        <v>59</v>
      </c>
      <c r="B27" s="2" t="s">
        <v>60</v>
      </c>
      <c r="C27" s="2" t="s">
        <v>19</v>
      </c>
      <c r="D27" s="2" t="s">
        <v>56</v>
      </c>
      <c r="E27" s="8">
        <v>1588.87</v>
      </c>
      <c r="F27" s="2">
        <v>6</v>
      </c>
      <c r="G27" s="28">
        <f>VLOOKUP(C27,Table1[#All],3,FALSE)*F27</f>
        <v>81</v>
      </c>
      <c r="H27" s="29">
        <f>IF(E27&gt;VLOOKUP(C27,Table1[#All],4,FALSE)*Saturday!F27,(Saturday!E27-(VLOOKUP(Saturday!C27,Table1[#All],4,FALSE)*Saturday!F27))*VLOOKUP(Saturday!C27,Table1[#All],5,FALSE),0)</f>
        <v>13.777399999999998</v>
      </c>
      <c r="I27" s="29">
        <f t="shared" si="0"/>
        <v>94.7774</v>
      </c>
      <c r="J27" s="2">
        <f t="shared" si="1"/>
        <v>1</v>
      </c>
      <c r="K27" s="2">
        <f t="shared" si="2"/>
        <v>1</v>
      </c>
    </row>
    <row r="28" spans="1:11" ht="15" customHeight="1" x14ac:dyDescent="0.25">
      <c r="A28" s="2" t="s">
        <v>23</v>
      </c>
      <c r="B28" s="2" t="s">
        <v>24</v>
      </c>
      <c r="C28" s="2" t="s">
        <v>5</v>
      </c>
      <c r="D28" s="2" t="s">
        <v>55</v>
      </c>
      <c r="E28" s="8">
        <v>2201.0700000000002</v>
      </c>
      <c r="F28" s="2">
        <v>4</v>
      </c>
      <c r="G28" s="28">
        <f>VLOOKUP(C28,Table1[#All],3,FALSE)*F28</f>
        <v>94</v>
      </c>
      <c r="H28" s="29">
        <f>IF(E28&gt;VLOOKUP(C28,Table1[#All],4,FALSE)*Saturday!F28,(Saturday!E28-(VLOOKUP(Saturday!C28,Table1[#All],4,FALSE)*Saturday!F28))*VLOOKUP(Saturday!C28,Table1[#All],5,FALSE),0)</f>
        <v>42.032100000000007</v>
      </c>
      <c r="I28" s="29">
        <f t="shared" si="0"/>
        <v>136.03210000000001</v>
      </c>
      <c r="J28" s="2">
        <f t="shared" si="1"/>
        <v>1</v>
      </c>
      <c r="K28" s="2">
        <f t="shared" si="2"/>
        <v>1</v>
      </c>
    </row>
    <row r="29" spans="1:11" ht="15" customHeight="1" x14ac:dyDescent="0.25">
      <c r="A29" s="2" t="s">
        <v>106</v>
      </c>
      <c r="B29" s="2" t="s">
        <v>107</v>
      </c>
      <c r="C29" s="2" t="s">
        <v>44</v>
      </c>
      <c r="D29" s="2" t="s">
        <v>56</v>
      </c>
      <c r="E29" s="8">
        <v>985.39</v>
      </c>
      <c r="F29" s="2">
        <v>5</v>
      </c>
      <c r="G29" s="28">
        <f>VLOOKUP(C29,Table1[#All],3,FALSE)*F29</f>
        <v>58.75</v>
      </c>
      <c r="H29" s="29">
        <f>IF(E29&gt;VLOOKUP(C29,Table1[#All],4,FALSE)*Saturday!F29,(Saturday!E29-(VLOOKUP(Saturday!C29,Table1[#All],4,FALSE)*Saturday!F29))*VLOOKUP(Saturday!C29,Table1[#All],5,FALSE),0)</f>
        <v>5.4058499999999992</v>
      </c>
      <c r="I29" s="29">
        <f t="shared" si="0"/>
        <v>64.155850000000001</v>
      </c>
      <c r="J29" s="2">
        <f t="shared" si="1"/>
        <v>1</v>
      </c>
      <c r="K29" s="2">
        <f t="shared" si="2"/>
        <v>1</v>
      </c>
    </row>
    <row r="30" spans="1:11" s="1" customFormat="1" ht="15" customHeight="1" x14ac:dyDescent="0.25">
      <c r="A30" s="2" t="s">
        <v>82</v>
      </c>
      <c r="B30" s="2" t="s">
        <v>83</v>
      </c>
      <c r="C30" s="2" t="s">
        <v>19</v>
      </c>
      <c r="D30" s="2" t="s">
        <v>20</v>
      </c>
      <c r="E30" s="8">
        <v>1189.92</v>
      </c>
      <c r="F30" s="2">
        <v>8</v>
      </c>
      <c r="G30" s="28">
        <f>VLOOKUP(C30,Table1[#All],3,FALSE)*F30</f>
        <v>108</v>
      </c>
      <c r="H30" s="29">
        <f>IF(E30&gt;VLOOKUP(C30,Table1[#All],4,FALSE)*Saturday!F30,(Saturday!E30-(VLOOKUP(Saturday!C30,Table1[#All],4,FALSE)*Saturday!F30))*VLOOKUP(Saturday!C30,Table1[#All],5,FALSE),0)</f>
        <v>0</v>
      </c>
      <c r="I30" s="29">
        <f t="shared" si="0"/>
        <v>108</v>
      </c>
      <c r="J30" s="2">
        <f t="shared" si="1"/>
        <v>0</v>
      </c>
      <c r="K30" s="2">
        <f t="shared" si="2"/>
        <v>1</v>
      </c>
    </row>
    <row r="31" spans="1:11" s="1" customFormat="1" ht="15" customHeight="1" x14ac:dyDescent="0.25">
      <c r="A31" s="2" t="s">
        <v>108</v>
      </c>
      <c r="B31" s="2" t="s">
        <v>109</v>
      </c>
      <c r="C31" s="2" t="s">
        <v>19</v>
      </c>
      <c r="D31" s="2" t="s">
        <v>8</v>
      </c>
      <c r="E31" s="8">
        <v>0</v>
      </c>
      <c r="F31" s="2">
        <v>0</v>
      </c>
      <c r="G31" s="28">
        <f>VLOOKUP(C31,Table1[#All],3,FALSE)*F31</f>
        <v>0</v>
      </c>
      <c r="H31" s="29">
        <f>IF(E31&gt;VLOOKUP(C31,Table1[#All],4,FALSE)*Saturday!F31,(Saturday!E31-(VLOOKUP(Saturday!C31,Table1[#All],4,FALSE)*Saturday!F31))*VLOOKUP(Saturday!C31,Table1[#All],5,FALSE),0)</f>
        <v>0</v>
      </c>
      <c r="I31" s="29">
        <f t="shared" si="0"/>
        <v>0</v>
      </c>
      <c r="J31" s="2">
        <f t="shared" si="1"/>
        <v>0</v>
      </c>
      <c r="K31" s="2">
        <f t="shared" si="2"/>
        <v>0</v>
      </c>
    </row>
    <row r="32" spans="1:11" s="1" customFormat="1" ht="15" customHeight="1" x14ac:dyDescent="0.25">
      <c r="A32" s="2" t="s">
        <v>36</v>
      </c>
      <c r="B32" s="2" t="s">
        <v>37</v>
      </c>
      <c r="C32" s="2" t="s">
        <v>33</v>
      </c>
      <c r="D32" s="2" t="s">
        <v>8</v>
      </c>
      <c r="E32" s="8">
        <v>620.45000000000005</v>
      </c>
      <c r="F32" s="2">
        <v>3</v>
      </c>
      <c r="G32" s="28">
        <f>VLOOKUP(C32,Table1[#All],3,FALSE)*F32</f>
        <v>45</v>
      </c>
      <c r="H32" s="29">
        <f>IF(E32&gt;VLOOKUP(C32,Table1[#All],4,FALSE)*Saturday!F32,(Saturday!E32-(VLOOKUP(Saturday!C32,Table1[#All],4,FALSE)*Saturday!F32))*VLOOKUP(Saturday!C32,Table1[#All],5,FALSE),0)</f>
        <v>2.3862500000000013</v>
      </c>
      <c r="I32" s="29">
        <f t="shared" si="0"/>
        <v>47.386250000000004</v>
      </c>
      <c r="J32" s="2">
        <f t="shared" si="1"/>
        <v>1</v>
      </c>
      <c r="K32" s="2">
        <f t="shared" si="2"/>
        <v>1</v>
      </c>
    </row>
    <row r="33" spans="1:11" s="1" customFormat="1" ht="15" customHeight="1" x14ac:dyDescent="0.25">
      <c r="A33" s="2" t="s">
        <v>84</v>
      </c>
      <c r="B33" s="2" t="s">
        <v>85</v>
      </c>
      <c r="C33" s="2" t="s">
        <v>57</v>
      </c>
      <c r="D33" s="2" t="s">
        <v>20</v>
      </c>
      <c r="E33" s="8">
        <v>0</v>
      </c>
      <c r="F33" s="2">
        <v>0</v>
      </c>
      <c r="G33" s="28">
        <f>VLOOKUP(C33,Table1[#All],3,FALSE)*F33</f>
        <v>0</v>
      </c>
      <c r="H33" s="29">
        <f>IF(E33&gt;VLOOKUP(C33,Table1[#All],4,FALSE)*Saturday!F33,(Saturday!E33-(VLOOKUP(Saturday!C33,Table1[#All],4,FALSE)*Saturday!F33))*VLOOKUP(Saturday!C33,Table1[#All],5,FALSE),0)</f>
        <v>0</v>
      </c>
      <c r="I33" s="29">
        <f t="shared" si="0"/>
        <v>0</v>
      </c>
      <c r="J33" s="2">
        <f t="shared" si="1"/>
        <v>0</v>
      </c>
      <c r="K33" s="2">
        <f t="shared" si="2"/>
        <v>0</v>
      </c>
    </row>
    <row r="34" spans="1:11" s="1" customFormat="1" ht="15" customHeight="1" x14ac:dyDescent="0.25">
      <c r="A34" s="2" t="s">
        <v>9</v>
      </c>
      <c r="B34" s="2" t="s">
        <v>10</v>
      </c>
      <c r="C34" s="2" t="s">
        <v>5</v>
      </c>
      <c r="D34" s="2" t="s">
        <v>11</v>
      </c>
      <c r="E34" s="8">
        <v>0</v>
      </c>
      <c r="F34" s="2">
        <v>0</v>
      </c>
      <c r="G34" s="28">
        <f>VLOOKUP(C34,Table1[#All],3,FALSE)*F34</f>
        <v>0</v>
      </c>
      <c r="H34" s="29">
        <f>IF(E34&gt;VLOOKUP(C34,Table1[#All],4,FALSE)*Saturday!F34,(Saturday!E34-(VLOOKUP(Saturday!C34,Table1[#All],4,FALSE)*Saturday!F34))*VLOOKUP(Saturday!C34,Table1[#All],5,FALSE),0)</f>
        <v>0</v>
      </c>
      <c r="I34" s="29">
        <f t="shared" si="0"/>
        <v>0</v>
      </c>
      <c r="J34" s="2">
        <f t="shared" si="1"/>
        <v>0</v>
      </c>
      <c r="K34" s="2">
        <f t="shared" si="2"/>
        <v>0</v>
      </c>
    </row>
    <row r="35" spans="1:11" ht="15" customHeight="1" x14ac:dyDescent="0.25">
      <c r="A35" s="2" t="s">
        <v>86</v>
      </c>
      <c r="B35" s="2" t="s">
        <v>87</v>
      </c>
      <c r="C35" s="2" t="s">
        <v>44</v>
      </c>
      <c r="D35" s="2" t="s">
        <v>20</v>
      </c>
      <c r="E35" s="8">
        <v>0</v>
      </c>
      <c r="F35" s="2">
        <v>0</v>
      </c>
      <c r="G35" s="28">
        <f>VLOOKUP(C35,Table1[#All],3,FALSE)*F35</f>
        <v>0</v>
      </c>
      <c r="H35" s="29">
        <f>IF(E35&gt;VLOOKUP(C35,Table1[#All],4,FALSE)*Saturday!F35,(Saturday!E35-(VLOOKUP(Saturday!C35,Table1[#All],4,FALSE)*Saturday!F35))*VLOOKUP(Saturday!C35,Table1[#All],5,FALSE),0)</f>
        <v>0</v>
      </c>
      <c r="I35" s="29">
        <f t="shared" si="0"/>
        <v>0</v>
      </c>
      <c r="J35" s="2">
        <f t="shared" si="1"/>
        <v>0</v>
      </c>
      <c r="K35" s="2">
        <f t="shared" si="2"/>
        <v>0</v>
      </c>
    </row>
    <row r="36" spans="1:11" ht="15" customHeight="1" x14ac:dyDescent="0.25">
      <c r="A36" s="2" t="s">
        <v>25</v>
      </c>
      <c r="B36" s="2" t="s">
        <v>26</v>
      </c>
      <c r="C36" s="2" t="s">
        <v>19</v>
      </c>
      <c r="D36" s="2" t="s">
        <v>54</v>
      </c>
      <c r="E36" s="8">
        <v>4711.6719999999996</v>
      </c>
      <c r="F36" s="2">
        <v>10</v>
      </c>
      <c r="G36" s="28">
        <f>VLOOKUP(C36,Table1[#All],3,FALSE)*F36</f>
        <v>135</v>
      </c>
      <c r="H36" s="29">
        <f>IF(E36&gt;VLOOKUP(C36,Table1[#All],4,FALSE)*Saturday!F36,(Saturday!E36-(VLOOKUP(Saturday!C36,Table1[#All],4,FALSE)*Saturday!F36))*VLOOKUP(Saturday!C36,Table1[#All],5,FALSE),0)</f>
        <v>64.233439999999987</v>
      </c>
      <c r="I36" s="29">
        <f t="shared" si="0"/>
        <v>199.23343999999997</v>
      </c>
      <c r="J36" s="2">
        <f t="shared" si="1"/>
        <v>1</v>
      </c>
      <c r="K36" s="2">
        <f t="shared" si="2"/>
        <v>1</v>
      </c>
    </row>
    <row r="37" spans="1:11" ht="15" customHeight="1" x14ac:dyDescent="0.25">
      <c r="A37" s="2" t="s">
        <v>110</v>
      </c>
      <c r="B37" s="2" t="s">
        <v>111</v>
      </c>
      <c r="C37" s="2" t="s">
        <v>19</v>
      </c>
      <c r="D37" s="2" t="s">
        <v>54</v>
      </c>
      <c r="E37" s="8">
        <v>0</v>
      </c>
      <c r="F37" s="2">
        <v>10</v>
      </c>
      <c r="G37" s="28">
        <f>VLOOKUP(C37,Table1[#All],3,FALSE)*F37</f>
        <v>135</v>
      </c>
      <c r="H37" s="29">
        <f>IF(E37&gt;VLOOKUP(C37,Table1[#All],4,FALSE)*Saturday!F37,(Saturday!E37-(VLOOKUP(Saturday!C37,Table1[#All],4,FALSE)*Saturday!F37))*VLOOKUP(Saturday!C37,Table1[#All],5,FALSE),0)</f>
        <v>0</v>
      </c>
      <c r="I37" s="29">
        <f t="shared" si="0"/>
        <v>135</v>
      </c>
      <c r="J37" s="2">
        <f t="shared" si="1"/>
        <v>0</v>
      </c>
      <c r="K37" s="2">
        <f t="shared" si="2"/>
        <v>1</v>
      </c>
    </row>
    <row r="38" spans="1:11" ht="15" customHeight="1" x14ac:dyDescent="0.25">
      <c r="A38" s="2" t="s">
        <v>92</v>
      </c>
      <c r="B38" s="2" t="s">
        <v>93</v>
      </c>
      <c r="C38" s="2" t="s">
        <v>33</v>
      </c>
      <c r="D38" s="2" t="s">
        <v>8</v>
      </c>
      <c r="E38" s="8">
        <v>2917.79</v>
      </c>
      <c r="F38" s="2">
        <v>10</v>
      </c>
      <c r="G38" s="28">
        <f>VLOOKUP(C38,Table1[#All],3,FALSE)*F38</f>
        <v>150</v>
      </c>
      <c r="H38" s="29">
        <f>IF(E38&gt;VLOOKUP(C38,Table1[#All],4,FALSE)*Saturday!F38,(Saturday!E38-(VLOOKUP(Saturday!C38,Table1[#All],4,FALSE)*Saturday!F38))*VLOOKUP(Saturday!C38,Table1[#All],5,FALSE),0)</f>
        <v>29.194749999999999</v>
      </c>
      <c r="I38" s="29">
        <f t="shared" si="0"/>
        <v>179.19475</v>
      </c>
      <c r="J38" s="2">
        <f t="shared" si="1"/>
        <v>1</v>
      </c>
      <c r="K38" s="2">
        <f t="shared" si="2"/>
        <v>1</v>
      </c>
    </row>
    <row r="39" spans="1:11" ht="15" customHeight="1" x14ac:dyDescent="0.25">
      <c r="A39" s="2" t="s">
        <v>112</v>
      </c>
      <c r="B39" s="2" t="s">
        <v>113</v>
      </c>
      <c r="C39" s="2" t="s">
        <v>33</v>
      </c>
      <c r="D39" s="2" t="s">
        <v>54</v>
      </c>
      <c r="E39" s="8">
        <v>987.26</v>
      </c>
      <c r="F39" s="2">
        <v>5</v>
      </c>
      <c r="G39" s="28">
        <f>VLOOKUP(C39,Table1[#All],3,FALSE)*F39</f>
        <v>75</v>
      </c>
      <c r="H39" s="29">
        <f>IF(E39&gt;VLOOKUP(C39,Table1[#All],4,FALSE)*Saturday!F39,(Saturday!E39-(VLOOKUP(Saturday!C39,Table1[#All],4,FALSE)*Saturday!F39))*VLOOKUP(Saturday!C39,Table1[#All],5,FALSE),0)</f>
        <v>2.8064999999999998</v>
      </c>
      <c r="I39" s="29">
        <f t="shared" si="0"/>
        <v>77.8065</v>
      </c>
      <c r="J39" s="2">
        <f t="shared" si="1"/>
        <v>1</v>
      </c>
      <c r="K39" s="2">
        <f t="shared" si="2"/>
        <v>1</v>
      </c>
    </row>
    <row r="40" spans="1:11" ht="15" customHeight="1" x14ac:dyDescent="0.25">
      <c r="A40" s="2" t="s">
        <v>94</v>
      </c>
      <c r="B40" s="2" t="s">
        <v>95</v>
      </c>
      <c r="C40" s="2" t="s">
        <v>57</v>
      </c>
      <c r="D40" s="2" t="s">
        <v>55</v>
      </c>
      <c r="E40" s="8">
        <v>0</v>
      </c>
      <c r="F40" s="2">
        <v>0</v>
      </c>
      <c r="G40" s="28">
        <f>VLOOKUP(C40,Table1[#All],3,FALSE)*F40</f>
        <v>0</v>
      </c>
      <c r="H40" s="29">
        <f>IF(E40&gt;VLOOKUP(C40,Table1[#All],4,FALSE)*Saturday!F40,(Saturday!E40-(VLOOKUP(Saturday!C40,Table1[#All],4,FALSE)*Saturday!F40))*VLOOKUP(Saturday!C40,Table1[#All],5,FALSE),0)</f>
        <v>0</v>
      </c>
      <c r="I40" s="29">
        <f t="shared" si="0"/>
        <v>0</v>
      </c>
      <c r="J40" s="2">
        <f t="shared" si="1"/>
        <v>0</v>
      </c>
      <c r="K40" s="2">
        <f t="shared" si="2"/>
        <v>0</v>
      </c>
    </row>
    <row r="41" spans="1:11" ht="15" customHeight="1" x14ac:dyDescent="0.25">
      <c r="A41" s="2" t="s">
        <v>88</v>
      </c>
      <c r="B41" s="2" t="s">
        <v>89</v>
      </c>
      <c r="C41" s="2" t="s">
        <v>19</v>
      </c>
      <c r="D41" s="2" t="s">
        <v>8</v>
      </c>
      <c r="E41" s="8">
        <v>0</v>
      </c>
      <c r="F41" s="2">
        <v>0</v>
      </c>
      <c r="G41" s="28">
        <f>VLOOKUP(C41,Table1[#All],3,FALSE)*F41</f>
        <v>0</v>
      </c>
      <c r="H41" s="29">
        <f>IF(E41&gt;VLOOKUP(C41,Table1[#All],4,FALSE)*Saturday!F41,(Saturday!E41-(VLOOKUP(Saturday!C41,Table1[#All],4,FALSE)*Saturday!F41))*VLOOKUP(Saturday!C41,Table1[#All],5,FALSE),0)</f>
        <v>0</v>
      </c>
      <c r="I41" s="29">
        <f t="shared" si="0"/>
        <v>0</v>
      </c>
      <c r="J41" s="2">
        <f t="shared" si="1"/>
        <v>0</v>
      </c>
      <c r="K41" s="2">
        <f t="shared" si="2"/>
        <v>0</v>
      </c>
    </row>
    <row r="42" spans="1:11" ht="15" customHeight="1" x14ac:dyDescent="0.25">
      <c r="A42" s="2" t="s">
        <v>90</v>
      </c>
      <c r="B42" s="2" t="s">
        <v>91</v>
      </c>
      <c r="C42" s="2" t="s">
        <v>57</v>
      </c>
      <c r="D42" s="2" t="s">
        <v>8</v>
      </c>
      <c r="E42" s="8">
        <v>0</v>
      </c>
      <c r="F42" s="2">
        <v>0</v>
      </c>
      <c r="G42" s="28">
        <f>VLOOKUP(C42,Table1[#All],3,FALSE)*F42</f>
        <v>0</v>
      </c>
      <c r="H42" s="29">
        <f>IF(E42&gt;VLOOKUP(C42,Table1[#All],4,FALSE)*Saturday!F42,(Saturday!E42-(VLOOKUP(Saturday!C42,Table1[#All],4,FALSE)*Saturday!F42))*VLOOKUP(Saturday!C42,Table1[#All],5,FALSE),0)</f>
        <v>0</v>
      </c>
      <c r="I42" s="29">
        <f t="shared" si="0"/>
        <v>0</v>
      </c>
      <c r="J42" s="2">
        <f t="shared" si="1"/>
        <v>0</v>
      </c>
      <c r="K42" s="2">
        <f t="shared" si="2"/>
        <v>0</v>
      </c>
    </row>
    <row r="43" spans="1:11" ht="15" customHeight="1" x14ac:dyDescent="0.25">
      <c r="A43" s="2" t="s">
        <v>72</v>
      </c>
      <c r="B43" s="2" t="s">
        <v>73</v>
      </c>
      <c r="C43" s="2" t="s">
        <v>19</v>
      </c>
      <c r="D43" s="2" t="s">
        <v>11</v>
      </c>
      <c r="E43" s="8">
        <v>2589.33</v>
      </c>
      <c r="F43" s="2">
        <v>8</v>
      </c>
      <c r="G43" s="28">
        <f>VLOOKUP(C43,Table1[#All],3,FALSE)*F43</f>
        <v>108</v>
      </c>
      <c r="H43" s="29">
        <f>IF(E43&gt;VLOOKUP(C43,Table1[#All],4,FALSE)*Saturday!F43,(Saturday!E43-(VLOOKUP(Saturday!C43,Table1[#All],4,FALSE)*Saturday!F43))*VLOOKUP(Saturday!C43,Table1[#All],5,FALSE),0)</f>
        <v>27.7866</v>
      </c>
      <c r="I43" s="29">
        <f t="shared" si="0"/>
        <v>135.78659999999999</v>
      </c>
      <c r="J43" s="2">
        <f t="shared" si="1"/>
        <v>1</v>
      </c>
      <c r="K43" s="2">
        <f t="shared" si="2"/>
        <v>1</v>
      </c>
    </row>
    <row r="44" spans="1:11" ht="15" customHeight="1" x14ac:dyDescent="0.25">
      <c r="A44" s="2" t="s">
        <v>12</v>
      </c>
      <c r="B44" s="2" t="s">
        <v>13</v>
      </c>
      <c r="C44" s="2" t="s">
        <v>5</v>
      </c>
      <c r="D44" s="2" t="s">
        <v>56</v>
      </c>
      <c r="E44" s="8">
        <v>0</v>
      </c>
      <c r="F44" s="2">
        <v>0</v>
      </c>
      <c r="G44" s="28">
        <f>VLOOKUP(C44,Table1[#All],3,FALSE)*F44</f>
        <v>0</v>
      </c>
      <c r="H44" s="29">
        <f>IF(E44&gt;VLOOKUP(C44,Table1[#All],4,FALSE)*Saturday!F44,(Saturday!E44-(VLOOKUP(Saturday!C44,Table1[#All],4,FALSE)*Saturday!F44))*VLOOKUP(Saturday!C44,Table1[#All],5,FALSE),0)</f>
        <v>0</v>
      </c>
      <c r="I44" s="29">
        <f t="shared" si="0"/>
        <v>0</v>
      </c>
      <c r="J44" s="2">
        <f t="shared" si="1"/>
        <v>0</v>
      </c>
      <c r="K44" s="2">
        <f t="shared" si="2"/>
        <v>0</v>
      </c>
    </row>
    <row r="45" spans="1:11" ht="15" customHeight="1" x14ac:dyDescent="0.25">
      <c r="A45" s="2" t="s">
        <v>47</v>
      </c>
      <c r="B45" s="2" t="s">
        <v>48</v>
      </c>
      <c r="C45" s="2" t="s">
        <v>44</v>
      </c>
      <c r="D45" s="2" t="s">
        <v>54</v>
      </c>
      <c r="E45" s="8">
        <v>1661.35</v>
      </c>
      <c r="F45" s="2">
        <v>4</v>
      </c>
      <c r="G45" s="28">
        <f>VLOOKUP(C45,Table1[#All],3,FALSE)*F45</f>
        <v>47</v>
      </c>
      <c r="H45" s="29">
        <f>IF(E45&gt;VLOOKUP(C45,Table1[#All],4,FALSE)*Saturday!F45,(Saturday!E45-(VLOOKUP(Saturday!C45,Table1[#All],4,FALSE)*Saturday!F45))*VLOOKUP(Saturday!C45,Table1[#All],5,FALSE),0)</f>
        <v>17.420249999999999</v>
      </c>
      <c r="I45" s="29">
        <f t="shared" si="0"/>
        <v>64.420249999999996</v>
      </c>
      <c r="J45" s="2">
        <f t="shared" si="1"/>
        <v>1</v>
      </c>
      <c r="K45" s="2">
        <f t="shared" si="2"/>
        <v>1</v>
      </c>
    </row>
    <row r="46" spans="1:11" ht="15" customHeight="1" x14ac:dyDescent="0.25">
      <c r="A46" s="2" t="s">
        <v>49</v>
      </c>
      <c r="B46" s="2" t="s">
        <v>50</v>
      </c>
      <c r="C46" s="2" t="s">
        <v>44</v>
      </c>
      <c r="D46" s="2" t="s">
        <v>8</v>
      </c>
      <c r="E46" s="8">
        <v>0</v>
      </c>
      <c r="F46" s="2">
        <v>0</v>
      </c>
      <c r="G46" s="28">
        <f>VLOOKUP(C46,Table1[#All],3,FALSE)*F46</f>
        <v>0</v>
      </c>
      <c r="H46" s="29">
        <f>IF(E46&gt;VLOOKUP(C46,Table1[#All],4,FALSE)*Saturday!F46,(Saturday!E46-(VLOOKUP(Saturday!C46,Table1[#All],4,FALSE)*Saturday!F46))*VLOOKUP(Saturday!C46,Table1[#All],5,FALSE),0)</f>
        <v>0</v>
      </c>
      <c r="I46" s="29">
        <f t="shared" si="0"/>
        <v>0</v>
      </c>
      <c r="J46" s="2">
        <f t="shared" si="1"/>
        <v>0</v>
      </c>
      <c r="K46" s="2">
        <f t="shared" si="2"/>
        <v>0</v>
      </c>
    </row>
    <row r="47" spans="1:11" ht="15" customHeight="1" x14ac:dyDescent="0.25">
      <c r="A47" s="2" t="s">
        <v>38</v>
      </c>
      <c r="B47" s="2" t="s">
        <v>39</v>
      </c>
      <c r="C47" s="2" t="s">
        <v>33</v>
      </c>
      <c r="D47" s="2" t="s">
        <v>54</v>
      </c>
      <c r="E47" s="8">
        <v>394.48</v>
      </c>
      <c r="F47" s="2">
        <v>2</v>
      </c>
      <c r="G47" s="28">
        <f>VLOOKUP(C47,Table1[#All],3,FALSE)*F47</f>
        <v>30</v>
      </c>
      <c r="H47" s="29">
        <f>IF(E47&gt;VLOOKUP(C47,Table1[#All],4,FALSE)*Saturday!F47,(Saturday!E47-(VLOOKUP(Saturday!C47,Table1[#All],4,FALSE)*Saturday!F47))*VLOOKUP(Saturday!C47,Table1[#All],5,FALSE),0)</f>
        <v>1.1120000000000005</v>
      </c>
      <c r="I47" s="29">
        <f t="shared" si="0"/>
        <v>31.112000000000002</v>
      </c>
      <c r="J47" s="2">
        <f t="shared" si="1"/>
        <v>1</v>
      </c>
      <c r="K47" s="2">
        <f t="shared" si="2"/>
        <v>1</v>
      </c>
    </row>
    <row r="48" spans="1:11" ht="15" customHeight="1" x14ac:dyDescent="0.25">
      <c r="A48" s="2" t="s">
        <v>114</v>
      </c>
      <c r="B48" s="2" t="s">
        <v>115</v>
      </c>
      <c r="C48" s="2" t="s">
        <v>33</v>
      </c>
      <c r="D48" s="2" t="s">
        <v>55</v>
      </c>
      <c r="E48" s="8">
        <v>982.75</v>
      </c>
      <c r="F48" s="2">
        <v>2</v>
      </c>
      <c r="G48" s="28">
        <f>VLOOKUP(C48,Table1[#All],3,FALSE)*F48</f>
        <v>30</v>
      </c>
      <c r="H48" s="29">
        <f>IF(E48&gt;VLOOKUP(C48,Table1[#All],4,FALSE)*Saturday!F48,(Saturday!E48-(VLOOKUP(Saturday!C48,Table1[#All],4,FALSE)*Saturday!F48))*VLOOKUP(Saturday!C48,Table1[#All],5,FALSE),0)</f>
        <v>15.818750000000001</v>
      </c>
      <c r="I48" s="29">
        <f t="shared" si="0"/>
        <v>45.818750000000001</v>
      </c>
      <c r="J48" s="2">
        <f t="shared" si="1"/>
        <v>1</v>
      </c>
      <c r="K48" s="2">
        <f t="shared" si="2"/>
        <v>1</v>
      </c>
    </row>
    <row r="49" spans="1:11" ht="15" customHeight="1" x14ac:dyDescent="0.25">
      <c r="A49" s="2" t="s">
        <v>27</v>
      </c>
      <c r="B49" s="2" t="s">
        <v>28</v>
      </c>
      <c r="C49" s="2" t="s">
        <v>19</v>
      </c>
      <c r="D49" s="2" t="s">
        <v>55</v>
      </c>
      <c r="E49" s="8">
        <v>1934.88</v>
      </c>
      <c r="F49" s="2">
        <v>8</v>
      </c>
      <c r="G49" s="28">
        <f>VLOOKUP(C49,Table1[#All],3,FALSE)*F49</f>
        <v>108</v>
      </c>
      <c r="H49" s="29">
        <f>IF(E49&gt;VLOOKUP(C49,Table1[#All],4,FALSE)*Saturday!F49,(Saturday!E49-(VLOOKUP(Saturday!C49,Table1[#All],4,FALSE)*Saturday!F49))*VLOOKUP(Saturday!C49,Table1[#All],5,FALSE),0)</f>
        <v>14.697600000000003</v>
      </c>
      <c r="I49" s="29">
        <f t="shared" si="0"/>
        <v>122.69760000000001</v>
      </c>
      <c r="J49" s="2">
        <f t="shared" si="1"/>
        <v>1</v>
      </c>
      <c r="K49" s="2">
        <f t="shared" si="2"/>
        <v>1</v>
      </c>
    </row>
    <row r="50" spans="1:11" ht="15" customHeight="1" x14ac:dyDescent="0.25">
      <c r="A50" s="2" t="s">
        <v>96</v>
      </c>
      <c r="B50" s="2" t="s">
        <v>97</v>
      </c>
      <c r="C50" s="2" t="s">
        <v>57</v>
      </c>
      <c r="D50" s="2" t="s">
        <v>55</v>
      </c>
      <c r="E50" s="8">
        <v>0</v>
      </c>
      <c r="F50" s="2">
        <v>0</v>
      </c>
      <c r="G50" s="28">
        <f>VLOOKUP(C50,Table1[#All],3,FALSE)*F50</f>
        <v>0</v>
      </c>
      <c r="H50" s="29">
        <f>IF(E50&gt;VLOOKUP(C50,Table1[#All],4,FALSE)*Saturday!F50,(Saturday!E50-(VLOOKUP(Saturday!C50,Table1[#All],4,FALSE)*Saturday!F50))*VLOOKUP(Saturday!C50,Table1[#All],5,FALSE),0)</f>
        <v>0</v>
      </c>
      <c r="I50" s="29">
        <f t="shared" si="0"/>
        <v>0</v>
      </c>
      <c r="J50" s="2">
        <f t="shared" si="1"/>
        <v>0</v>
      </c>
      <c r="K50" s="2">
        <f t="shared" si="2"/>
        <v>0</v>
      </c>
    </row>
    <row r="51" spans="1:11" ht="15" customHeight="1" x14ac:dyDescent="0.25">
      <c r="A51" s="2" t="s">
        <v>14</v>
      </c>
      <c r="B51" s="2" t="s">
        <v>15</v>
      </c>
      <c r="C51" s="2" t="s">
        <v>5</v>
      </c>
      <c r="D51" s="2" t="s">
        <v>16</v>
      </c>
      <c r="E51" s="8">
        <v>0</v>
      </c>
      <c r="F51" s="2">
        <v>0</v>
      </c>
      <c r="G51" s="28">
        <f>VLOOKUP(C51,Table1[#All],3,FALSE)*F51</f>
        <v>0</v>
      </c>
      <c r="H51" s="29">
        <f>IF(E51&gt;VLOOKUP(C51,Table1[#All],4,FALSE)*Saturday!F51,(Saturday!E51-(VLOOKUP(Saturday!C51,Table1[#All],4,FALSE)*Saturday!F51))*VLOOKUP(Saturday!C51,Table1[#All],5,FALSE),0)</f>
        <v>0</v>
      </c>
      <c r="I51" s="29">
        <f t="shared" si="0"/>
        <v>0</v>
      </c>
      <c r="J51" s="2">
        <f t="shared" si="1"/>
        <v>0</v>
      </c>
      <c r="K51" s="2">
        <f t="shared" si="2"/>
        <v>0</v>
      </c>
    </row>
    <row r="52" spans="1:11" ht="15" customHeight="1" x14ac:dyDescent="0.25">
      <c r="A52" s="2" t="s">
        <v>98</v>
      </c>
      <c r="B52" s="2" t="s">
        <v>99</v>
      </c>
      <c r="C52" s="2" t="s">
        <v>33</v>
      </c>
      <c r="D52" s="2" t="s">
        <v>55</v>
      </c>
      <c r="E52" s="8">
        <v>1293.44</v>
      </c>
      <c r="F52" s="2">
        <v>6</v>
      </c>
      <c r="G52" s="28">
        <f>VLOOKUP(C52,Table1[#All],3,FALSE)*F52</f>
        <v>90</v>
      </c>
      <c r="H52" s="29">
        <f>IF(E52&gt;VLOOKUP(C52,Table1[#All],4,FALSE)*Saturday!F52,(Saturday!E52-(VLOOKUP(Saturday!C52,Table1[#All],4,FALSE)*Saturday!F52))*VLOOKUP(Saturday!C52,Table1[#All],5,FALSE),0)</f>
        <v>6.0860000000000021</v>
      </c>
      <c r="I52" s="29">
        <f t="shared" si="0"/>
        <v>96.085999999999999</v>
      </c>
      <c r="J52" s="2">
        <f t="shared" si="1"/>
        <v>1</v>
      </c>
      <c r="K52" s="2">
        <f t="shared" si="2"/>
        <v>1</v>
      </c>
    </row>
    <row r="53" spans="1:11" ht="15" customHeight="1" x14ac:dyDescent="0.25">
      <c r="A53" s="2" t="s">
        <v>40</v>
      </c>
      <c r="B53" s="2" t="s">
        <v>41</v>
      </c>
      <c r="C53" s="2" t="s">
        <v>33</v>
      </c>
      <c r="D53" s="2" t="s">
        <v>54</v>
      </c>
      <c r="E53" s="8">
        <v>2309.66</v>
      </c>
      <c r="F53" s="2">
        <v>8</v>
      </c>
      <c r="G53" s="28">
        <f>VLOOKUP(C53,Table1[#All],3,FALSE)*F53</f>
        <v>120</v>
      </c>
      <c r="H53" s="29">
        <f>IF(E53&gt;VLOOKUP(C53,Table1[#All],4,FALSE)*Saturday!F53,(Saturday!E53-(VLOOKUP(Saturday!C53,Table1[#All],4,FALSE)*Saturday!F53))*VLOOKUP(Saturday!C53,Table1[#All],5,FALSE),0)</f>
        <v>22.741499999999998</v>
      </c>
      <c r="I53" s="29">
        <f t="shared" si="0"/>
        <v>142.7415</v>
      </c>
      <c r="J53" s="2">
        <f t="shared" si="1"/>
        <v>1</v>
      </c>
      <c r="K53" s="2">
        <f t="shared" si="2"/>
        <v>1</v>
      </c>
    </row>
    <row r="54" spans="1:11" ht="15" customHeight="1" x14ac:dyDescent="0.25">
      <c r="A54" s="2" t="s">
        <v>29</v>
      </c>
      <c r="B54" s="2" t="s">
        <v>30</v>
      </c>
      <c r="C54" s="2" t="s">
        <v>19</v>
      </c>
      <c r="D54" s="2" t="s">
        <v>55</v>
      </c>
      <c r="E54" s="8">
        <v>267.41000000000003</v>
      </c>
      <c r="F54" s="2">
        <v>4.5</v>
      </c>
      <c r="G54" s="28">
        <f>VLOOKUP(C54,Table1[#All],3,FALSE)*F54</f>
        <v>60.75</v>
      </c>
      <c r="H54" s="29">
        <f>IF(E54&gt;VLOOKUP(C54,Table1[#All],4,FALSE)*Saturday!F54,(Saturday!E54-(VLOOKUP(Saturday!C54,Table1[#All],4,FALSE)*Saturday!F54))*VLOOKUP(Saturday!C54,Table1[#All],5,FALSE),0)</f>
        <v>0</v>
      </c>
      <c r="I54" s="29">
        <f t="shared" si="0"/>
        <v>60.75</v>
      </c>
      <c r="J54" s="2">
        <f t="shared" si="1"/>
        <v>0</v>
      </c>
      <c r="K54" s="2">
        <f t="shared" si="2"/>
        <v>1</v>
      </c>
    </row>
    <row r="55" spans="1:11" ht="15" customHeight="1" x14ac:dyDescent="0.25">
      <c r="A55" s="2" t="s">
        <v>116</v>
      </c>
      <c r="B55" s="2" t="s">
        <v>117</v>
      </c>
      <c r="C55" s="2" t="s">
        <v>19</v>
      </c>
      <c r="D55" s="2" t="s">
        <v>11</v>
      </c>
      <c r="E55" s="8">
        <v>698.14</v>
      </c>
      <c r="F55" s="2">
        <v>5</v>
      </c>
      <c r="G55" s="28">
        <f>VLOOKUP(C55,Table1[#All],3,FALSE)*F55</f>
        <v>67.5</v>
      </c>
      <c r="H55" s="29">
        <f>IF(E55&gt;VLOOKUP(C55,Table1[#All],4,FALSE)*Saturday!F55,(Saturday!E55-(VLOOKUP(Saturday!C55,Table1[#All],4,FALSE)*Saturday!F55))*VLOOKUP(Saturday!C55,Table1[#All],5,FALSE),0)</f>
        <v>0</v>
      </c>
      <c r="I55" s="29">
        <f t="shared" si="0"/>
        <v>67.5</v>
      </c>
      <c r="J55" s="2">
        <f t="shared" si="1"/>
        <v>0</v>
      </c>
      <c r="K55" s="2">
        <f t="shared" si="2"/>
        <v>1</v>
      </c>
    </row>
    <row r="56" spans="1:11" ht="15" customHeight="1" x14ac:dyDescent="0.25">
      <c r="A56" s="2" t="s">
        <v>51</v>
      </c>
      <c r="B56" s="2" t="s">
        <v>52</v>
      </c>
      <c r="C56" s="2" t="s">
        <v>44</v>
      </c>
      <c r="D56" s="2" t="s">
        <v>16</v>
      </c>
      <c r="E56" s="8">
        <v>780.25</v>
      </c>
      <c r="F56" s="2">
        <v>4</v>
      </c>
      <c r="G56" s="28">
        <f>VLOOKUP(C56,Table1[#All],3,FALSE)*F56</f>
        <v>47</v>
      </c>
      <c r="H56" s="29">
        <f>IF(E56&gt;VLOOKUP(C56,Table1[#All],4,FALSE)*Saturday!F56,(Saturday!E56-(VLOOKUP(Saturday!C56,Table1[#All],4,FALSE)*Saturday!F56))*VLOOKUP(Saturday!C56,Table1[#All],5,FALSE),0)</f>
        <v>4.2037499999999994</v>
      </c>
      <c r="I56" s="29">
        <f t="shared" si="0"/>
        <v>51.203749999999999</v>
      </c>
      <c r="J56" s="2">
        <f t="shared" si="1"/>
        <v>1</v>
      </c>
      <c r="K56" s="2">
        <f t="shared" si="2"/>
        <v>1</v>
      </c>
    </row>
    <row r="59" spans="1:11" x14ac:dyDescent="0.25">
      <c r="A59" s="2" t="s">
        <v>137</v>
      </c>
      <c r="E59" s="31">
        <f>SUM(E5:E56)</f>
        <v>79321.452000000005</v>
      </c>
      <c r="H59" s="29">
        <f>SUM(H5:H56)</f>
        <v>994.78218999999979</v>
      </c>
      <c r="I59" s="29">
        <f>SUM(I5:I56)</f>
        <v>3840.5321900000004</v>
      </c>
      <c r="J59" s="2">
        <f>SUM(J5:J56)</f>
        <v>29</v>
      </c>
      <c r="K59" s="2">
        <f>SUM(K5:K56)</f>
        <v>34</v>
      </c>
    </row>
    <row r="60" spans="1:11" ht="12" customHeight="1" x14ac:dyDescent="0.25">
      <c r="A60" s="2" t="s">
        <v>138</v>
      </c>
      <c r="E60" s="31">
        <f>AVERAGE(E5:E56)</f>
        <v>1525.4125384615386</v>
      </c>
      <c r="H60" s="29">
        <f>AVERAGE(H5:H56)</f>
        <v>19.130426730769226</v>
      </c>
      <c r="I60" s="29">
        <f>AVERAGE(I5:I56)</f>
        <v>73.856388269230777</v>
      </c>
      <c r="J60" s="32"/>
      <c r="K60" s="32">
        <f>J59/K59</f>
        <v>0.8529411764705882</v>
      </c>
    </row>
    <row r="61" spans="1:11" ht="15.6" customHeight="1" x14ac:dyDescent="0.25">
      <c r="A61" s="2" t="s">
        <v>139</v>
      </c>
      <c r="E61" s="31">
        <f>MIN(E5:E56)</f>
        <v>0</v>
      </c>
      <c r="H61" s="29">
        <f>MIN(H5:H56)</f>
        <v>0</v>
      </c>
      <c r="I61" s="29">
        <f>MIN(I5:I56)</f>
        <v>0</v>
      </c>
    </row>
    <row r="62" spans="1:11" ht="15" customHeight="1" x14ac:dyDescent="0.25">
      <c r="A62" s="2" t="s">
        <v>140</v>
      </c>
      <c r="E62" s="31">
        <f>MAX(E5:E56)</f>
        <v>23336.05</v>
      </c>
      <c r="H62" s="29">
        <f>MAX(H5:H56)</f>
        <v>451.721</v>
      </c>
      <c r="I62" s="29">
        <f>MAX(I5:I56)</f>
        <v>519.221</v>
      </c>
    </row>
    <row r="63" spans="1:11" ht="15" customHeight="1" x14ac:dyDescent="0.25"/>
    <row r="64" spans="1:11" ht="15" customHeight="1" x14ac:dyDescent="0.25"/>
    <row r="65" ht="15" customHeight="1" x14ac:dyDescent="0.25"/>
  </sheetData>
  <mergeCells count="3">
    <mergeCell ref="A1:K1"/>
    <mergeCell ref="A2:K2"/>
    <mergeCell ref="A3:K3"/>
  </mergeCells>
  <phoneticPr fontId="1" type="noConversion"/>
  <printOptions headings="1" gridLines="1"/>
  <pageMargins left="0.75" right="0.75" top="1" bottom="1" header="0.5" footer="0.5"/>
  <pageSetup scale="54" orientation="landscape" blackAndWhite="1" horizontalDpi="300" verticalDpi="300" r:id="rId1"/>
  <headerFooter alignWithMargins="0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O69"/>
  <sheetViews>
    <sheetView topLeftCell="A19" workbookViewId="0">
      <selection activeCell="L19" sqref="L19"/>
    </sheetView>
  </sheetViews>
  <sheetFormatPr defaultRowHeight="13.2" x14ac:dyDescent="0.25"/>
  <cols>
    <col min="1" max="1" width="13.44140625" customWidth="1"/>
    <col min="2" max="2" width="13.6640625" customWidth="1"/>
    <col min="3" max="3" width="17.33203125" customWidth="1"/>
    <col min="4" max="4" width="14.33203125" customWidth="1"/>
    <col min="5" max="5" width="13.44140625" customWidth="1"/>
    <col min="6" max="6" width="15.6640625" customWidth="1"/>
    <col min="7" max="7" width="11.88671875" customWidth="1"/>
    <col min="8" max="8" width="14.6640625" customWidth="1"/>
    <col min="9" max="9" width="15.44140625" customWidth="1"/>
    <col min="10" max="10" width="14.6640625" customWidth="1"/>
    <col min="11" max="11" width="15.6640625" customWidth="1"/>
    <col min="12" max="12" width="16.44140625" customWidth="1"/>
  </cols>
  <sheetData>
    <row r="2" spans="1:15" ht="17.399999999999999" x14ac:dyDescent="0.3">
      <c r="A2" s="72" t="s">
        <v>142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</row>
    <row r="3" spans="1:15" ht="15" x14ac:dyDescent="0.25">
      <c r="A3" s="74" t="s">
        <v>143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</row>
    <row r="4" spans="1:15" x14ac:dyDescent="0.25">
      <c r="A4" s="73" t="s">
        <v>144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</row>
    <row r="5" spans="1:15" x14ac:dyDescent="0.25">
      <c r="A5" s="73" t="s">
        <v>145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</row>
    <row r="9" spans="1:15" x14ac:dyDescent="0.25">
      <c r="A9" s="9" t="s">
        <v>0</v>
      </c>
      <c r="B9" s="9" t="s">
        <v>1</v>
      </c>
      <c r="C9" s="9" t="s">
        <v>58</v>
      </c>
      <c r="D9" s="9" t="s">
        <v>2</v>
      </c>
      <c r="E9" s="9" t="s">
        <v>53</v>
      </c>
      <c r="F9" s="9" t="s">
        <v>118</v>
      </c>
      <c r="G9" s="9" t="s">
        <v>121</v>
      </c>
      <c r="H9" s="9" t="s">
        <v>133</v>
      </c>
      <c r="I9" s="9" t="s">
        <v>134</v>
      </c>
      <c r="J9" s="9" t="s">
        <v>135</v>
      </c>
      <c r="K9" s="9" t="s">
        <v>136</v>
      </c>
      <c r="L9" s="35" t="s">
        <v>141</v>
      </c>
      <c r="N9" s="46"/>
      <c r="O9" s="47"/>
    </row>
    <row r="10" spans="1:15" x14ac:dyDescent="0.25">
      <c r="A10" s="2" t="s">
        <v>3</v>
      </c>
      <c r="B10" s="2" t="s">
        <v>4</v>
      </c>
      <c r="C10" s="2" t="s">
        <v>5</v>
      </c>
      <c r="D10" s="2" t="s">
        <v>54</v>
      </c>
      <c r="E10" s="8">
        <f>SUM(Sunday:Saturday!E5)</f>
        <v>10730.69</v>
      </c>
      <c r="F10">
        <f>SUM(Sunday:Saturday!F5)</f>
        <v>38</v>
      </c>
      <c r="G10" s="8">
        <f>SUM(Sunday:Saturday!G5)</f>
        <v>893</v>
      </c>
      <c r="H10" s="34">
        <f>SUM(Sunday:Saturday!H5)</f>
        <v>108.3111</v>
      </c>
      <c r="I10" s="8">
        <f>SUM(Sunday:Saturday!I5)</f>
        <v>1001.3111</v>
      </c>
      <c r="J10">
        <f>SUM(Sunday:Saturday!J5)</f>
        <v>4</v>
      </c>
      <c r="K10">
        <f>SUM(Sunday:Saturday!K5)</f>
        <v>5</v>
      </c>
      <c r="L10" s="36">
        <f>J10/K10</f>
        <v>0.8</v>
      </c>
      <c r="N10" s="47"/>
      <c r="O10" s="47"/>
    </row>
    <row r="11" spans="1:15" x14ac:dyDescent="0.25">
      <c r="A11" s="2" t="s">
        <v>42</v>
      </c>
      <c r="B11" s="2" t="s">
        <v>43</v>
      </c>
      <c r="C11" s="2" t="s">
        <v>44</v>
      </c>
      <c r="D11" s="2" t="s">
        <v>54</v>
      </c>
      <c r="E11" s="8">
        <f>SUM(Sunday:Saturday!E6)</f>
        <v>12972.86</v>
      </c>
      <c r="F11">
        <f>SUM(Sunday:Saturday!F6)</f>
        <v>20</v>
      </c>
      <c r="G11" s="8">
        <f>SUM(Sunday:Saturday!G6)</f>
        <v>235</v>
      </c>
      <c r="H11" s="34">
        <f>SUM(Sunday:Saturday!H6)</f>
        <v>158.66759999999999</v>
      </c>
      <c r="I11" s="8">
        <f>SUM(Sunday:Saturday!I6)</f>
        <v>393.66759999999999</v>
      </c>
      <c r="J11">
        <f>SUM(Sunday:Saturday!J6)</f>
        <v>4</v>
      </c>
      <c r="K11">
        <f>SUM(Sunday:Saturday!K6)</f>
        <v>5</v>
      </c>
      <c r="L11" s="36">
        <f t="shared" ref="L11:L61" si="0">J11/K11</f>
        <v>0.8</v>
      </c>
      <c r="N11" s="58"/>
    </row>
    <row r="12" spans="1:15" x14ac:dyDescent="0.25">
      <c r="A12" s="2" t="s">
        <v>31</v>
      </c>
      <c r="B12" s="2" t="s">
        <v>32</v>
      </c>
      <c r="C12" s="2" t="s">
        <v>33</v>
      </c>
      <c r="D12" s="2" t="s">
        <v>16</v>
      </c>
      <c r="E12" s="8">
        <f>SUM(Sunday:Saturday!E7)</f>
        <v>8023.6</v>
      </c>
      <c r="F12">
        <f>SUM(Sunday:Saturday!F7)</f>
        <v>40</v>
      </c>
      <c r="G12" s="8">
        <f>SUM(Sunday:Saturday!G7)</f>
        <v>600</v>
      </c>
      <c r="H12" s="34">
        <f>SUM(Sunday:Saturday!H7)</f>
        <v>50.0595</v>
      </c>
      <c r="I12" s="8">
        <f>SUM(Sunday:Saturday!I7)</f>
        <v>650.05949999999996</v>
      </c>
      <c r="J12">
        <f>SUM(Sunday:Saturday!J7)</f>
        <v>5</v>
      </c>
      <c r="K12">
        <f>SUM(Sunday:Saturday!K7)</f>
        <v>6</v>
      </c>
      <c r="L12" s="36">
        <f t="shared" si="0"/>
        <v>0.83333333333333337</v>
      </c>
    </row>
    <row r="13" spans="1:15" x14ac:dyDescent="0.25">
      <c r="A13" s="2" t="s">
        <v>34</v>
      </c>
      <c r="B13" s="2" t="s">
        <v>35</v>
      </c>
      <c r="C13" s="2" t="s">
        <v>33</v>
      </c>
      <c r="D13" s="2" t="s">
        <v>20</v>
      </c>
      <c r="E13" s="8">
        <f>SUM(Sunday:Saturday!E8)</f>
        <v>6456.81</v>
      </c>
      <c r="F13">
        <f>SUM(Sunday:Saturday!F8)</f>
        <v>30</v>
      </c>
      <c r="G13" s="8">
        <f>SUM(Sunday:Saturday!G8)</f>
        <v>450</v>
      </c>
      <c r="H13" s="34">
        <f>SUM(Sunday:Saturday!H8)</f>
        <v>50.554250000000003</v>
      </c>
      <c r="I13" s="8">
        <f>SUM(Sunday:Saturday!I8)</f>
        <v>500.55425000000002</v>
      </c>
      <c r="J13">
        <f>SUM(Sunday:Saturday!J8)</f>
        <v>1</v>
      </c>
      <c r="K13">
        <f>SUM(Sunday:Saturday!K8)</f>
        <v>5</v>
      </c>
      <c r="L13" s="36">
        <f t="shared" si="0"/>
        <v>0.2</v>
      </c>
    </row>
    <row r="14" spans="1:15" x14ac:dyDescent="0.25">
      <c r="A14" s="2" t="s">
        <v>6</v>
      </c>
      <c r="B14" s="2" t="s">
        <v>7</v>
      </c>
      <c r="C14" s="2" t="s">
        <v>5</v>
      </c>
      <c r="D14" s="2" t="s">
        <v>8</v>
      </c>
      <c r="E14" s="8">
        <f>SUM(Sunday:Saturday!E9)</f>
        <v>6404.3099999999995</v>
      </c>
      <c r="F14">
        <f>SUM(Sunday:Saturday!F9)</f>
        <v>40</v>
      </c>
      <c r="G14" s="8">
        <f>SUM(Sunday:Saturday!G9)</f>
        <v>940</v>
      </c>
      <c r="H14" s="34">
        <f>SUM(Sunday:Saturday!H9)</f>
        <v>14.0097</v>
      </c>
      <c r="I14" s="8">
        <f>SUM(Sunday:Saturday!I9)</f>
        <v>954.00970000000007</v>
      </c>
      <c r="J14">
        <f>SUM(Sunday:Saturday!J9)</f>
        <v>1</v>
      </c>
      <c r="K14">
        <f>SUM(Sunday:Saturday!K9)</f>
        <v>5</v>
      </c>
      <c r="L14" s="36">
        <f t="shared" si="0"/>
        <v>0.2</v>
      </c>
    </row>
    <row r="15" spans="1:15" x14ac:dyDescent="0.25">
      <c r="A15" s="2" t="s">
        <v>100</v>
      </c>
      <c r="B15" s="2" t="s">
        <v>15</v>
      </c>
      <c r="C15" s="2" t="s">
        <v>57</v>
      </c>
      <c r="D15" s="2" t="s">
        <v>11</v>
      </c>
      <c r="E15" s="8">
        <f>SUM(Sunday:Saturday!E10)</f>
        <v>30559.340000000004</v>
      </c>
      <c r="F15">
        <f>SUM(Sunday:Saturday!F10)</f>
        <v>20</v>
      </c>
      <c r="G15" s="8">
        <f>SUM(Sunday:Saturday!G10)</f>
        <v>210</v>
      </c>
      <c r="H15" s="34">
        <f>SUM(Sunday:Saturday!H10)</f>
        <v>287.38690000000003</v>
      </c>
      <c r="I15" s="8">
        <f>SUM(Sunday:Saturday!I10)</f>
        <v>497.38690000000003</v>
      </c>
      <c r="J15">
        <f>SUM(Sunday:Saturday!J10)</f>
        <v>3</v>
      </c>
      <c r="K15">
        <f>SUM(Sunday:Saturday!K10)</f>
        <v>5</v>
      </c>
      <c r="L15" s="36">
        <f t="shared" si="0"/>
        <v>0.6</v>
      </c>
    </row>
    <row r="16" spans="1:15" x14ac:dyDescent="0.25">
      <c r="A16" s="2" t="s">
        <v>63</v>
      </c>
      <c r="B16" s="2" t="s">
        <v>64</v>
      </c>
      <c r="C16" s="2" t="s">
        <v>57</v>
      </c>
      <c r="D16" s="2" t="s">
        <v>56</v>
      </c>
      <c r="E16" s="8">
        <f>SUM(Sunday:Saturday!E11)</f>
        <v>7324.31</v>
      </c>
      <c r="F16">
        <f>SUM(Sunday:Saturday!F11)</f>
        <v>20</v>
      </c>
      <c r="G16" s="8">
        <f>SUM(Sunday:Saturday!G11)</f>
        <v>210</v>
      </c>
      <c r="H16" s="34">
        <f>SUM(Sunday:Saturday!H11)</f>
        <v>53.243100000000005</v>
      </c>
      <c r="I16" s="8">
        <f>SUM(Sunday:Saturday!I11)</f>
        <v>263.24310000000003</v>
      </c>
      <c r="J16">
        <f>SUM(Sunday:Saturday!J11)</f>
        <v>3</v>
      </c>
      <c r="K16">
        <f>SUM(Sunday:Saturday!K11)</f>
        <v>3</v>
      </c>
      <c r="L16" s="36">
        <f t="shared" si="0"/>
        <v>1</v>
      </c>
    </row>
    <row r="17" spans="1:12" x14ac:dyDescent="0.25">
      <c r="A17" s="2" t="s">
        <v>61</v>
      </c>
      <c r="B17" s="2" t="s">
        <v>62</v>
      </c>
      <c r="C17" s="2" t="s">
        <v>19</v>
      </c>
      <c r="D17" s="2" t="s">
        <v>56</v>
      </c>
      <c r="E17" s="8">
        <f>SUM(Sunday:Saturday!E12)</f>
        <v>12448.050000000001</v>
      </c>
      <c r="F17">
        <f>SUM(Sunday:Saturday!F12)</f>
        <v>40</v>
      </c>
      <c r="G17" s="8">
        <f>SUM(Sunday:Saturday!G12)</f>
        <v>540</v>
      </c>
      <c r="H17" s="34">
        <f>SUM(Sunday:Saturday!H12)</f>
        <v>139.97560000000001</v>
      </c>
      <c r="I17" s="8">
        <f>SUM(Sunday:Saturday!I12)</f>
        <v>679.97559999999999</v>
      </c>
      <c r="J17">
        <f>SUM(Sunday:Saturday!J12)</f>
        <v>4</v>
      </c>
      <c r="K17">
        <f>SUM(Sunday:Saturday!K12)</f>
        <v>5</v>
      </c>
      <c r="L17" s="36">
        <f t="shared" si="0"/>
        <v>0.8</v>
      </c>
    </row>
    <row r="18" spans="1:12" x14ac:dyDescent="0.25">
      <c r="A18" s="2" t="s">
        <v>101</v>
      </c>
      <c r="B18" s="2" t="s">
        <v>102</v>
      </c>
      <c r="C18" s="2" t="s">
        <v>57</v>
      </c>
      <c r="D18" s="2" t="s">
        <v>54</v>
      </c>
      <c r="E18" s="8">
        <f>SUM(Sunday:Saturday!E13)</f>
        <v>2549.7599999999998</v>
      </c>
      <c r="F18">
        <f>SUM(Sunday:Saturday!F13)</f>
        <v>13</v>
      </c>
      <c r="G18" s="8">
        <f>SUM(Sunday:Saturday!G13)</f>
        <v>136.5</v>
      </c>
      <c r="H18" s="34">
        <f>SUM(Sunday:Saturday!H13)</f>
        <v>12.497599999999998</v>
      </c>
      <c r="I18" s="8">
        <f>SUM(Sunday:Saturday!I13)</f>
        <v>148.99760000000001</v>
      </c>
      <c r="J18">
        <f>SUM(Sunday:Saturday!J13)</f>
        <v>3</v>
      </c>
      <c r="K18">
        <f>SUM(Sunday:Saturday!K13)</f>
        <v>3</v>
      </c>
      <c r="L18" s="36">
        <f t="shared" si="0"/>
        <v>1</v>
      </c>
    </row>
    <row r="19" spans="1:12" x14ac:dyDescent="0.25">
      <c r="A19" s="2" t="s">
        <v>65</v>
      </c>
      <c r="B19" s="2" t="s">
        <v>66</v>
      </c>
      <c r="C19" s="2" t="s">
        <v>57</v>
      </c>
      <c r="D19" s="2" t="s">
        <v>56</v>
      </c>
      <c r="E19" s="8">
        <f>SUM(Sunday:Saturday!E14)</f>
        <v>7873.5700000000006</v>
      </c>
      <c r="F19">
        <f>SUM(Sunday:Saturday!F14)</f>
        <v>20</v>
      </c>
      <c r="G19" s="8">
        <f>SUM(Sunday:Saturday!G14)</f>
        <v>210</v>
      </c>
      <c r="H19" s="34">
        <f>SUM(Sunday:Saturday!H14)</f>
        <v>58.735699999999994</v>
      </c>
      <c r="I19" s="8">
        <f>SUM(Sunday:Saturday!I14)</f>
        <v>268.73570000000001</v>
      </c>
      <c r="J19">
        <f>SUM(Sunday:Saturday!J14)</f>
        <v>4</v>
      </c>
      <c r="K19">
        <f>SUM(Sunday:Saturday!K14)</f>
        <v>4</v>
      </c>
      <c r="L19" s="36">
        <f t="shared" si="0"/>
        <v>1</v>
      </c>
    </row>
    <row r="20" spans="1:12" x14ac:dyDescent="0.25">
      <c r="A20" s="2" t="s">
        <v>69</v>
      </c>
      <c r="B20" s="2" t="s">
        <v>10</v>
      </c>
      <c r="C20" s="2" t="s">
        <v>44</v>
      </c>
      <c r="D20" s="2" t="s">
        <v>16</v>
      </c>
      <c r="E20" s="8">
        <f>SUM(Sunday:Saturday!E15)</f>
        <v>5417.1</v>
      </c>
      <c r="F20">
        <f>SUM(Sunday:Saturday!F15)</f>
        <v>20</v>
      </c>
      <c r="G20" s="8">
        <f>SUM(Sunday:Saturday!G15)</f>
        <v>235</v>
      </c>
      <c r="H20" s="34">
        <f>SUM(Sunday:Saturday!H15)</f>
        <v>48.856200000000001</v>
      </c>
      <c r="I20" s="8">
        <f>SUM(Sunday:Saturday!I15)</f>
        <v>283.8562</v>
      </c>
      <c r="J20">
        <f>SUM(Sunday:Saturday!J15)</f>
        <v>3</v>
      </c>
      <c r="K20">
        <f>SUM(Sunday:Saturday!K15)</f>
        <v>4</v>
      </c>
      <c r="L20" s="36">
        <f t="shared" si="0"/>
        <v>0.75</v>
      </c>
    </row>
    <row r="21" spans="1:12" x14ac:dyDescent="0.25">
      <c r="A21" s="2" t="s">
        <v>67</v>
      </c>
      <c r="B21" s="2" t="s">
        <v>68</v>
      </c>
      <c r="C21" s="2" t="s">
        <v>33</v>
      </c>
      <c r="D21" s="2" t="s">
        <v>56</v>
      </c>
      <c r="E21" s="8">
        <f>SUM(Sunday:Saturday!E16)</f>
        <v>9553.8700000000008</v>
      </c>
      <c r="F21">
        <f>SUM(Sunday:Saturday!F16)</f>
        <v>40</v>
      </c>
      <c r="G21" s="8">
        <f>SUM(Sunday:Saturday!G16)</f>
        <v>600</v>
      </c>
      <c r="H21" s="34">
        <f>SUM(Sunday:Saturday!H16)</f>
        <v>75.785250000000019</v>
      </c>
      <c r="I21" s="8">
        <f>SUM(Sunday:Saturday!I16)</f>
        <v>675.78524999999991</v>
      </c>
      <c r="J21">
        <f>SUM(Sunday:Saturday!J16)</f>
        <v>4</v>
      </c>
      <c r="K21">
        <f>SUM(Sunday:Saturday!K16)</f>
        <v>6</v>
      </c>
      <c r="L21" s="36">
        <f t="shared" si="0"/>
        <v>0.66666666666666663</v>
      </c>
    </row>
    <row r="22" spans="1:12" x14ac:dyDescent="0.25">
      <c r="A22" s="2" t="s">
        <v>74</v>
      </c>
      <c r="B22" s="2" t="s">
        <v>75</v>
      </c>
      <c r="C22" s="2" t="s">
        <v>19</v>
      </c>
      <c r="D22" s="2" t="s">
        <v>11</v>
      </c>
      <c r="E22" s="8">
        <f>SUM(Sunday:Saturday!E17)</f>
        <v>48346.81</v>
      </c>
      <c r="F22">
        <f>SUM(Sunday:Saturday!F17)</f>
        <v>32</v>
      </c>
      <c r="G22" s="8">
        <f>SUM(Sunday:Saturday!G17)</f>
        <v>432</v>
      </c>
      <c r="H22" s="34">
        <f>SUM(Sunday:Saturday!H17)</f>
        <v>870.93619999999999</v>
      </c>
      <c r="I22" s="8">
        <f>SUM(Sunday:Saturday!I17)</f>
        <v>1302.9361999999999</v>
      </c>
      <c r="J22">
        <f>SUM(Sunday:Saturday!J17)</f>
        <v>5</v>
      </c>
      <c r="K22">
        <f>SUM(Sunday:Saturday!K17)</f>
        <v>5</v>
      </c>
      <c r="L22" s="36">
        <f t="shared" si="0"/>
        <v>1</v>
      </c>
    </row>
    <row r="23" spans="1:12" x14ac:dyDescent="0.25">
      <c r="A23" s="2" t="s">
        <v>70</v>
      </c>
      <c r="B23" s="2" t="s">
        <v>71</v>
      </c>
      <c r="C23" s="2" t="s">
        <v>19</v>
      </c>
      <c r="D23" s="2" t="s">
        <v>16</v>
      </c>
      <c r="E23" s="8">
        <f>SUM(Sunday:Saturday!E18)</f>
        <v>4768.67</v>
      </c>
      <c r="F23">
        <f>SUM(Sunday:Saturday!F18)</f>
        <v>40</v>
      </c>
      <c r="G23" s="8">
        <f>SUM(Sunday:Saturday!G18)</f>
        <v>540</v>
      </c>
      <c r="H23" s="34">
        <f>SUM(Sunday:Saturday!H18)</f>
        <v>14.0062</v>
      </c>
      <c r="I23" s="8">
        <f>SUM(Sunday:Saturday!I18)</f>
        <v>554.00620000000004</v>
      </c>
      <c r="J23">
        <f>SUM(Sunday:Saturday!J18)</f>
        <v>2</v>
      </c>
      <c r="K23">
        <f>SUM(Sunday:Saturday!K18)</f>
        <v>5</v>
      </c>
      <c r="L23" s="36">
        <f t="shared" si="0"/>
        <v>0.4</v>
      </c>
    </row>
    <row r="24" spans="1:12" x14ac:dyDescent="0.25">
      <c r="A24" s="2" t="s">
        <v>17</v>
      </c>
      <c r="B24" s="2" t="s">
        <v>18</v>
      </c>
      <c r="C24" s="2" t="s">
        <v>19</v>
      </c>
      <c r="D24" s="2" t="s">
        <v>20</v>
      </c>
      <c r="E24" s="8">
        <f>SUM(Sunday:Saturday!E19)</f>
        <v>8966.32</v>
      </c>
      <c r="F24">
        <f>SUM(Sunday:Saturday!F19)</f>
        <v>38</v>
      </c>
      <c r="G24" s="8">
        <f>SUM(Sunday:Saturday!G19)</f>
        <v>513</v>
      </c>
      <c r="H24" s="34">
        <f>SUM(Sunday:Saturday!H19)</f>
        <v>65.326399999999992</v>
      </c>
      <c r="I24" s="8">
        <f>SUM(Sunday:Saturday!I19)</f>
        <v>578.32640000000004</v>
      </c>
      <c r="J24">
        <f>SUM(Sunday:Saturday!J19)</f>
        <v>6</v>
      </c>
      <c r="K24">
        <f>SUM(Sunday:Saturday!K19)</f>
        <v>6</v>
      </c>
      <c r="L24" s="36">
        <f t="shared" si="0"/>
        <v>1</v>
      </c>
    </row>
    <row r="25" spans="1:12" x14ac:dyDescent="0.25">
      <c r="A25" s="2" t="s">
        <v>103</v>
      </c>
      <c r="B25" s="2" t="s">
        <v>104</v>
      </c>
      <c r="C25" s="2" t="s">
        <v>57</v>
      </c>
      <c r="D25" s="2" t="s">
        <v>55</v>
      </c>
      <c r="E25" s="8">
        <f>SUM(Sunday:Saturday!E20)</f>
        <v>9143.4900000000016</v>
      </c>
      <c r="F25">
        <f>SUM(Sunday:Saturday!F20)</f>
        <v>22</v>
      </c>
      <c r="G25" s="8">
        <f>SUM(Sunday:Saturday!G20)</f>
        <v>231</v>
      </c>
      <c r="H25" s="34">
        <f>SUM(Sunday:Saturday!H20)</f>
        <v>70.934899999999999</v>
      </c>
      <c r="I25" s="8">
        <f>SUM(Sunday:Saturday!I20)</f>
        <v>301.93490000000003</v>
      </c>
      <c r="J25">
        <f>SUM(Sunday:Saturday!J20)</f>
        <v>4</v>
      </c>
      <c r="K25">
        <f>SUM(Sunday:Saturday!K20)</f>
        <v>5</v>
      </c>
      <c r="L25" s="36">
        <f t="shared" si="0"/>
        <v>0.8</v>
      </c>
    </row>
    <row r="26" spans="1:12" x14ac:dyDescent="0.25">
      <c r="A26" s="2" t="s">
        <v>76</v>
      </c>
      <c r="B26" s="2" t="s">
        <v>77</v>
      </c>
      <c r="C26" s="2" t="s">
        <v>57</v>
      </c>
      <c r="D26" s="2" t="s">
        <v>11</v>
      </c>
      <c r="E26" s="8">
        <f>SUM(Sunday:Saturday!E21)</f>
        <v>37859.29</v>
      </c>
      <c r="F26">
        <f>SUM(Sunday:Saturday!F21)</f>
        <v>24</v>
      </c>
      <c r="G26" s="8">
        <f>SUM(Sunday:Saturday!G21)</f>
        <v>252</v>
      </c>
      <c r="H26" s="34">
        <f>SUM(Sunday:Saturday!H21)</f>
        <v>354.59290000000004</v>
      </c>
      <c r="I26" s="8">
        <f>SUM(Sunday:Saturday!I21)</f>
        <v>606.5929000000001</v>
      </c>
      <c r="J26">
        <f>SUM(Sunday:Saturday!J21)</f>
        <v>4</v>
      </c>
      <c r="K26">
        <f>SUM(Sunday:Saturday!K21)</f>
        <v>4</v>
      </c>
      <c r="L26" s="36">
        <f t="shared" si="0"/>
        <v>1</v>
      </c>
    </row>
    <row r="27" spans="1:12" x14ac:dyDescent="0.25">
      <c r="A27" s="2" t="s">
        <v>78</v>
      </c>
      <c r="B27" s="2" t="s">
        <v>79</v>
      </c>
      <c r="C27" s="2" t="s">
        <v>44</v>
      </c>
      <c r="D27" s="2" t="s">
        <v>11</v>
      </c>
      <c r="E27" s="8">
        <f>SUM(Sunday:Saturday!E22)</f>
        <v>45201.789999999994</v>
      </c>
      <c r="F27">
        <f>SUM(Sunday:Saturday!F22)</f>
        <v>25</v>
      </c>
      <c r="G27" s="8">
        <f>SUM(Sunday:Saturday!G22)</f>
        <v>293.75</v>
      </c>
      <c r="H27" s="34">
        <f>SUM(Sunday:Saturday!H22)</f>
        <v>640.98404999999991</v>
      </c>
      <c r="I27" s="8">
        <f>SUM(Sunday:Saturday!I22)</f>
        <v>934.73404999999991</v>
      </c>
      <c r="J27">
        <f>SUM(Sunday:Saturday!J22)</f>
        <v>4</v>
      </c>
      <c r="K27">
        <f>SUM(Sunday:Saturday!K22)</f>
        <v>6</v>
      </c>
      <c r="L27" s="36">
        <f t="shared" si="0"/>
        <v>0.66666666666666663</v>
      </c>
    </row>
    <row r="28" spans="1:12" x14ac:dyDescent="0.25">
      <c r="A28" s="2" t="s">
        <v>21</v>
      </c>
      <c r="B28" s="2" t="s">
        <v>22</v>
      </c>
      <c r="C28" s="2" t="s">
        <v>19</v>
      </c>
      <c r="D28" s="2" t="s">
        <v>16</v>
      </c>
      <c r="E28" s="8">
        <f>SUM(Sunday:Saturday!E23)</f>
        <v>7411.5899999999992</v>
      </c>
      <c r="F28">
        <f>SUM(Sunday:Saturday!F23)</f>
        <v>40</v>
      </c>
      <c r="G28" s="8">
        <f>SUM(Sunday:Saturday!G23)</f>
        <v>540</v>
      </c>
      <c r="H28" s="34">
        <f>SUM(Sunday:Saturday!H23)</f>
        <v>37.020200000000003</v>
      </c>
      <c r="I28" s="8">
        <f>SUM(Sunday:Saturday!I23)</f>
        <v>577.02019999999993</v>
      </c>
      <c r="J28">
        <f>SUM(Sunday:Saturday!J23)</f>
        <v>3</v>
      </c>
      <c r="K28">
        <f>SUM(Sunday:Saturday!K23)</f>
        <v>5</v>
      </c>
      <c r="L28" s="36">
        <f t="shared" si="0"/>
        <v>0.6</v>
      </c>
    </row>
    <row r="29" spans="1:12" x14ac:dyDescent="0.25">
      <c r="A29" s="2" t="s">
        <v>80</v>
      </c>
      <c r="B29" s="2" t="s">
        <v>81</v>
      </c>
      <c r="C29" s="2" t="s">
        <v>5</v>
      </c>
      <c r="D29" s="2" t="s">
        <v>20</v>
      </c>
      <c r="E29" s="8">
        <f>SUM(Sunday:Saturday!E24)</f>
        <v>9289.89</v>
      </c>
      <c r="F29">
        <f>SUM(Sunday:Saturday!F24)</f>
        <v>40</v>
      </c>
      <c r="G29" s="8">
        <f>SUM(Sunday:Saturday!G24)</f>
        <v>940</v>
      </c>
      <c r="H29" s="34">
        <f>SUM(Sunday:Saturday!H24)</f>
        <v>59.982599999999998</v>
      </c>
      <c r="I29" s="8">
        <f>SUM(Sunday:Saturday!I24)</f>
        <v>999.98260000000005</v>
      </c>
      <c r="J29">
        <f>SUM(Sunday:Saturday!J24)</f>
        <v>4</v>
      </c>
      <c r="K29">
        <f>SUM(Sunday:Saturday!K24)</f>
        <v>5</v>
      </c>
      <c r="L29" s="36">
        <f t="shared" si="0"/>
        <v>0.8</v>
      </c>
    </row>
    <row r="30" spans="1:12" x14ac:dyDescent="0.25">
      <c r="A30" s="2" t="s">
        <v>45</v>
      </c>
      <c r="B30" s="2" t="s">
        <v>46</v>
      </c>
      <c r="C30" s="2" t="s">
        <v>44</v>
      </c>
      <c r="D30" s="2" t="s">
        <v>11</v>
      </c>
      <c r="E30" s="8">
        <f>SUM(Sunday:Saturday!E25)</f>
        <v>59984.310000000005</v>
      </c>
      <c r="F30">
        <f>SUM(Sunday:Saturday!F25)</f>
        <v>20</v>
      </c>
      <c r="G30" s="8">
        <f>SUM(Sunday:Saturday!G25)</f>
        <v>235</v>
      </c>
      <c r="H30" s="34">
        <f>SUM(Sunday:Saturday!H25)</f>
        <v>862.26464999999996</v>
      </c>
      <c r="I30" s="8">
        <f>SUM(Sunday:Saturday!I25)</f>
        <v>1097.2646500000001</v>
      </c>
      <c r="J30">
        <f>SUM(Sunday:Saturday!J25)</f>
        <v>3</v>
      </c>
      <c r="K30">
        <f>SUM(Sunday:Saturday!K25)</f>
        <v>3</v>
      </c>
      <c r="L30" s="36">
        <f t="shared" si="0"/>
        <v>1</v>
      </c>
    </row>
    <row r="31" spans="1:12" x14ac:dyDescent="0.25">
      <c r="A31" s="2" t="s">
        <v>105</v>
      </c>
      <c r="B31" s="2" t="s">
        <v>77</v>
      </c>
      <c r="C31" s="2" t="s">
        <v>44</v>
      </c>
      <c r="D31" s="2" t="s">
        <v>16</v>
      </c>
      <c r="E31" s="8">
        <f>SUM(Sunday:Saturday!E26)</f>
        <v>8463.0499999999993</v>
      </c>
      <c r="F31">
        <f>SUM(Sunday:Saturday!F26)</f>
        <v>23</v>
      </c>
      <c r="G31" s="8">
        <f>SUM(Sunday:Saturday!G26)</f>
        <v>270.25</v>
      </c>
      <c r="H31" s="34">
        <f>SUM(Sunday:Saturday!H26)</f>
        <v>85.687950000000001</v>
      </c>
      <c r="I31" s="8">
        <f>SUM(Sunday:Saturday!I26)</f>
        <v>355.93795</v>
      </c>
      <c r="J31">
        <f>SUM(Sunday:Saturday!J26)</f>
        <v>4</v>
      </c>
      <c r="K31">
        <f>SUM(Sunday:Saturday!K26)</f>
        <v>5</v>
      </c>
      <c r="L31" s="36">
        <f t="shared" si="0"/>
        <v>0.8</v>
      </c>
    </row>
    <row r="32" spans="1:12" x14ac:dyDescent="0.25">
      <c r="A32" s="2" t="s">
        <v>59</v>
      </c>
      <c r="B32" s="2" t="s">
        <v>60</v>
      </c>
      <c r="C32" s="2" t="s">
        <v>19</v>
      </c>
      <c r="D32" s="2" t="s">
        <v>56</v>
      </c>
      <c r="E32" s="8">
        <f>SUM(Sunday:Saturday!E27)</f>
        <v>12057.629999999997</v>
      </c>
      <c r="F32">
        <f>SUM(Sunday:Saturday!F27)</f>
        <v>40</v>
      </c>
      <c r="G32" s="8">
        <f>SUM(Sunday:Saturday!G27)</f>
        <v>540</v>
      </c>
      <c r="H32" s="34">
        <f>SUM(Sunday:Saturday!H27)</f>
        <v>126.2448</v>
      </c>
      <c r="I32" s="8">
        <f>SUM(Sunday:Saturday!I27)</f>
        <v>666.24479999999994</v>
      </c>
      <c r="J32">
        <f>SUM(Sunday:Saturday!J27)</f>
        <v>6</v>
      </c>
      <c r="K32">
        <f>SUM(Sunday:Saturday!K27)</f>
        <v>7</v>
      </c>
      <c r="L32" s="36">
        <f t="shared" si="0"/>
        <v>0.8571428571428571</v>
      </c>
    </row>
    <row r="33" spans="1:12" x14ac:dyDescent="0.25">
      <c r="A33" s="2" t="s">
        <v>23</v>
      </c>
      <c r="B33" s="2" t="s">
        <v>24</v>
      </c>
      <c r="C33" s="2" t="s">
        <v>5</v>
      </c>
      <c r="D33" s="2" t="s">
        <v>55</v>
      </c>
      <c r="E33" s="8">
        <f>SUM(Sunday:Saturday!E28)</f>
        <v>11957.08</v>
      </c>
      <c r="F33">
        <f>SUM(Sunday:Saturday!F28)</f>
        <v>40</v>
      </c>
      <c r="G33" s="8">
        <f>SUM(Sunday:Saturday!G28)</f>
        <v>940</v>
      </c>
      <c r="H33" s="34">
        <f>SUM(Sunday:Saturday!H28)</f>
        <v>172.91970000000001</v>
      </c>
      <c r="I33" s="8">
        <f>SUM(Sunday:Saturday!I28)</f>
        <v>1112.9196999999999</v>
      </c>
      <c r="J33">
        <f>SUM(Sunday:Saturday!J28)</f>
        <v>4</v>
      </c>
      <c r="K33">
        <f>SUM(Sunday:Saturday!K28)</f>
        <v>6</v>
      </c>
      <c r="L33" s="36">
        <f t="shared" si="0"/>
        <v>0.66666666666666663</v>
      </c>
    </row>
    <row r="34" spans="1:12" x14ac:dyDescent="0.25">
      <c r="A34" s="2" t="s">
        <v>106</v>
      </c>
      <c r="B34" s="2" t="s">
        <v>107</v>
      </c>
      <c r="C34" s="2" t="s">
        <v>44</v>
      </c>
      <c r="D34" s="2" t="s">
        <v>56</v>
      </c>
      <c r="E34" s="8">
        <f>SUM(Sunday:Saturday!E29)</f>
        <v>3673.08</v>
      </c>
      <c r="F34">
        <f>SUM(Sunday:Saturday!F29)</f>
        <v>20</v>
      </c>
      <c r="G34" s="8">
        <f>SUM(Sunday:Saturday!G29)</f>
        <v>235</v>
      </c>
      <c r="H34" s="34">
        <f>SUM(Sunday:Saturday!H29)</f>
        <v>29.589599999999997</v>
      </c>
      <c r="I34" s="8">
        <f>SUM(Sunday:Saturday!I29)</f>
        <v>264.58960000000002</v>
      </c>
      <c r="J34">
        <f>SUM(Sunday:Saturday!J29)</f>
        <v>2</v>
      </c>
      <c r="K34">
        <f>SUM(Sunday:Saturday!K29)</f>
        <v>5</v>
      </c>
      <c r="L34" s="36">
        <f t="shared" si="0"/>
        <v>0.4</v>
      </c>
    </row>
    <row r="35" spans="1:12" x14ac:dyDescent="0.25">
      <c r="A35" s="2" t="s">
        <v>82</v>
      </c>
      <c r="B35" s="2" t="s">
        <v>83</v>
      </c>
      <c r="C35" s="2" t="s">
        <v>19</v>
      </c>
      <c r="D35" s="2" t="s">
        <v>20</v>
      </c>
      <c r="E35" s="8">
        <f>SUM(Sunday:Saturday!E30)</f>
        <v>10655.25</v>
      </c>
      <c r="F35">
        <f>SUM(Sunday:Saturday!F30)</f>
        <v>40</v>
      </c>
      <c r="G35" s="8">
        <f>SUM(Sunday:Saturday!G30)</f>
        <v>540</v>
      </c>
      <c r="H35" s="34">
        <f>SUM(Sunday:Saturday!H30)</f>
        <v>101.2574</v>
      </c>
      <c r="I35" s="8">
        <f>SUM(Sunday:Saturday!I30)</f>
        <v>641.25739999999996</v>
      </c>
      <c r="J35">
        <f>SUM(Sunday:Saturday!J30)</f>
        <v>4</v>
      </c>
      <c r="K35">
        <f>SUM(Sunday:Saturday!K30)</f>
        <v>6</v>
      </c>
      <c r="L35" s="36">
        <f t="shared" si="0"/>
        <v>0.66666666666666663</v>
      </c>
    </row>
    <row r="36" spans="1:12" x14ac:dyDescent="0.25">
      <c r="A36" s="2" t="s">
        <v>108</v>
      </c>
      <c r="B36" s="2" t="s">
        <v>109</v>
      </c>
      <c r="C36" s="2" t="s">
        <v>19</v>
      </c>
      <c r="D36" s="2" t="s">
        <v>8</v>
      </c>
      <c r="E36" s="8">
        <f>SUM(Sunday:Saturday!E31)</f>
        <v>6553.78</v>
      </c>
      <c r="F36">
        <f>SUM(Sunday:Saturday!F31)</f>
        <v>37</v>
      </c>
      <c r="G36" s="8">
        <f>SUM(Sunday:Saturday!G31)</f>
        <v>499.5</v>
      </c>
      <c r="H36" s="34">
        <f>SUM(Sunday:Saturday!H31)</f>
        <v>83.131399999999999</v>
      </c>
      <c r="I36" s="8">
        <f>SUM(Sunday:Saturday!I31)</f>
        <v>582.63139999999999</v>
      </c>
      <c r="J36">
        <f>SUM(Sunday:Saturday!J31)</f>
        <v>2</v>
      </c>
      <c r="K36">
        <f>SUM(Sunday:Saturday!K31)</f>
        <v>6</v>
      </c>
      <c r="L36" s="36">
        <f t="shared" si="0"/>
        <v>0.33333333333333331</v>
      </c>
    </row>
    <row r="37" spans="1:12" x14ac:dyDescent="0.25">
      <c r="A37" s="2" t="s">
        <v>36</v>
      </c>
      <c r="B37" s="2" t="s">
        <v>37</v>
      </c>
      <c r="C37" s="2" t="s">
        <v>33</v>
      </c>
      <c r="D37" s="2" t="s">
        <v>8</v>
      </c>
      <c r="E37" s="8">
        <f>SUM(Sunday:Saturday!E32)</f>
        <v>14154.630000000001</v>
      </c>
      <c r="F37">
        <f>SUM(Sunday:Saturday!F32)</f>
        <v>40</v>
      </c>
      <c r="G37" s="8">
        <f>SUM(Sunday:Saturday!G32)</f>
        <v>600</v>
      </c>
      <c r="H37" s="34">
        <f>SUM(Sunday:Saturday!H32)</f>
        <v>195.25475</v>
      </c>
      <c r="I37" s="8">
        <f>SUM(Sunday:Saturday!I32)</f>
        <v>795.25475000000006</v>
      </c>
      <c r="J37">
        <f>SUM(Sunday:Saturday!J32)</f>
        <v>6</v>
      </c>
      <c r="K37">
        <f>SUM(Sunday:Saturday!K32)</f>
        <v>7</v>
      </c>
      <c r="L37" s="36">
        <f t="shared" si="0"/>
        <v>0.8571428571428571</v>
      </c>
    </row>
    <row r="38" spans="1:12" x14ac:dyDescent="0.25">
      <c r="A38" s="2" t="s">
        <v>84</v>
      </c>
      <c r="B38" s="2" t="s">
        <v>85</v>
      </c>
      <c r="C38" s="2" t="s">
        <v>57</v>
      </c>
      <c r="D38" s="2" t="s">
        <v>20</v>
      </c>
      <c r="E38" s="8">
        <f>SUM(Sunday:Saturday!E33)</f>
        <v>7606.25</v>
      </c>
      <c r="F38">
        <f>SUM(Sunday:Saturday!F33)</f>
        <v>20</v>
      </c>
      <c r="G38" s="8">
        <f>SUM(Sunday:Saturday!G33)</f>
        <v>210</v>
      </c>
      <c r="H38" s="34">
        <f>SUM(Sunday:Saturday!H33)</f>
        <v>56.0625</v>
      </c>
      <c r="I38" s="8">
        <f>SUM(Sunday:Saturday!I33)</f>
        <v>266.0625</v>
      </c>
      <c r="J38">
        <f>SUM(Sunday:Saturday!J33)</f>
        <v>5</v>
      </c>
      <c r="K38">
        <f>SUM(Sunday:Saturday!K33)</f>
        <v>5</v>
      </c>
      <c r="L38" s="36">
        <f t="shared" si="0"/>
        <v>1</v>
      </c>
    </row>
    <row r="39" spans="1:12" x14ac:dyDescent="0.25">
      <c r="A39" s="2" t="s">
        <v>9</v>
      </c>
      <c r="B39" s="2" t="s">
        <v>10</v>
      </c>
      <c r="C39" s="2" t="s">
        <v>5</v>
      </c>
      <c r="D39" s="2" t="s">
        <v>11</v>
      </c>
      <c r="E39" s="8">
        <f>SUM(Sunday:Saturday!E34)</f>
        <v>58684.18</v>
      </c>
      <c r="F39">
        <f>SUM(Sunday:Saturday!F34)</f>
        <v>40</v>
      </c>
      <c r="G39" s="8">
        <f>SUM(Sunday:Saturday!G34)</f>
        <v>940</v>
      </c>
      <c r="H39" s="34">
        <f>SUM(Sunday:Saturday!H34)</f>
        <v>1520.5254</v>
      </c>
      <c r="I39" s="8">
        <f>SUM(Sunday:Saturday!I34)</f>
        <v>2460.5254</v>
      </c>
      <c r="J39">
        <f>SUM(Sunday:Saturday!J34)</f>
        <v>5</v>
      </c>
      <c r="K39">
        <f>SUM(Sunday:Saturday!K34)</f>
        <v>5</v>
      </c>
      <c r="L39" s="36">
        <f t="shared" si="0"/>
        <v>1</v>
      </c>
    </row>
    <row r="40" spans="1:12" x14ac:dyDescent="0.25">
      <c r="A40" s="2" t="s">
        <v>86</v>
      </c>
      <c r="B40" s="2" t="s">
        <v>87</v>
      </c>
      <c r="C40" s="2" t="s">
        <v>44</v>
      </c>
      <c r="D40" s="2" t="s">
        <v>20</v>
      </c>
      <c r="E40" s="8">
        <f>SUM(Sunday:Saturday!E35)</f>
        <v>4502.29</v>
      </c>
      <c r="F40">
        <f>SUM(Sunday:Saturday!F35)</f>
        <v>14</v>
      </c>
      <c r="G40" s="8">
        <f>SUM(Sunday:Saturday!G35)</f>
        <v>164.5</v>
      </c>
      <c r="H40" s="34">
        <f>SUM(Sunday:Saturday!H35)</f>
        <v>42.881249999999994</v>
      </c>
      <c r="I40" s="8">
        <f>SUM(Sunday:Saturday!I35)</f>
        <v>207.38124999999999</v>
      </c>
      <c r="J40">
        <f>SUM(Sunday:Saturday!J35)</f>
        <v>3</v>
      </c>
      <c r="K40">
        <f>SUM(Sunday:Saturday!K35)</f>
        <v>4</v>
      </c>
      <c r="L40" s="36">
        <f t="shared" si="0"/>
        <v>0.75</v>
      </c>
    </row>
    <row r="41" spans="1:12" x14ac:dyDescent="0.25">
      <c r="A41" s="2" t="s">
        <v>25</v>
      </c>
      <c r="B41" s="2" t="s">
        <v>26</v>
      </c>
      <c r="C41" s="2" t="s">
        <v>19</v>
      </c>
      <c r="D41" s="2" t="s">
        <v>54</v>
      </c>
      <c r="E41" s="8">
        <f>SUM(Sunday:Saturday!E36)</f>
        <v>15463.781999999999</v>
      </c>
      <c r="F41">
        <f>SUM(Sunday:Saturday!F36)</f>
        <v>40</v>
      </c>
      <c r="G41" s="8">
        <f>SUM(Sunday:Saturday!G36)</f>
        <v>540</v>
      </c>
      <c r="H41" s="34">
        <f>SUM(Sunday:Saturday!H36)</f>
        <v>189.27564000000001</v>
      </c>
      <c r="I41" s="8">
        <f>SUM(Sunday:Saturday!I36)</f>
        <v>729.27563999999995</v>
      </c>
      <c r="J41">
        <f>SUM(Sunday:Saturday!J36)</f>
        <v>5</v>
      </c>
      <c r="K41">
        <f>SUM(Sunday:Saturday!K36)</f>
        <v>5</v>
      </c>
      <c r="L41" s="36">
        <f t="shared" si="0"/>
        <v>1</v>
      </c>
    </row>
    <row r="42" spans="1:12" x14ac:dyDescent="0.25">
      <c r="A42" s="2" t="s">
        <v>110</v>
      </c>
      <c r="B42" s="2" t="s">
        <v>111</v>
      </c>
      <c r="C42" s="2" t="s">
        <v>19</v>
      </c>
      <c r="D42" s="2" t="s">
        <v>54</v>
      </c>
      <c r="E42" s="8">
        <f>SUM(Sunday:Saturday!E37)</f>
        <v>3420.68</v>
      </c>
      <c r="F42">
        <f>SUM(Sunday:Saturday!F37)</f>
        <v>29</v>
      </c>
      <c r="G42" s="8">
        <f>SUM(Sunday:Saturday!G37)</f>
        <v>391.5</v>
      </c>
      <c r="H42" s="34">
        <f>SUM(Sunday:Saturday!H37)</f>
        <v>22.2624</v>
      </c>
      <c r="I42" s="8">
        <f>SUM(Sunday:Saturday!I37)</f>
        <v>413.76239999999996</v>
      </c>
      <c r="J42">
        <f>SUM(Sunday:Saturday!J37)</f>
        <v>3</v>
      </c>
      <c r="K42">
        <f>SUM(Sunday:Saturday!K37)</f>
        <v>5</v>
      </c>
      <c r="L42" s="36">
        <f t="shared" si="0"/>
        <v>0.6</v>
      </c>
    </row>
    <row r="43" spans="1:12" x14ac:dyDescent="0.25">
      <c r="A43" s="2" t="s">
        <v>92</v>
      </c>
      <c r="B43" s="2" t="s">
        <v>93</v>
      </c>
      <c r="C43" s="2" t="s">
        <v>33</v>
      </c>
      <c r="D43" s="2" t="s">
        <v>8</v>
      </c>
      <c r="E43" s="8">
        <f>SUM(Sunday:Saturday!E38)</f>
        <v>12352.46</v>
      </c>
      <c r="F43">
        <f>SUM(Sunday:Saturday!F38)</f>
        <v>40</v>
      </c>
      <c r="G43" s="8">
        <f>SUM(Sunday:Saturday!G38)</f>
        <v>600</v>
      </c>
      <c r="H43" s="34">
        <f>SUM(Sunday:Saturday!H38)</f>
        <v>142.13749999999999</v>
      </c>
      <c r="I43" s="8">
        <f>SUM(Sunday:Saturday!I38)</f>
        <v>742.13749999999993</v>
      </c>
      <c r="J43">
        <f>SUM(Sunday:Saturday!J38)</f>
        <v>4</v>
      </c>
      <c r="K43">
        <f>SUM(Sunday:Saturday!K38)</f>
        <v>6</v>
      </c>
      <c r="L43" s="36">
        <f t="shared" si="0"/>
        <v>0.66666666666666663</v>
      </c>
    </row>
    <row r="44" spans="1:12" x14ac:dyDescent="0.25">
      <c r="A44" s="2" t="s">
        <v>112</v>
      </c>
      <c r="B44" s="2" t="s">
        <v>113</v>
      </c>
      <c r="C44" s="2" t="s">
        <v>33</v>
      </c>
      <c r="D44" s="2" t="s">
        <v>54</v>
      </c>
      <c r="E44" s="8">
        <f>SUM(Sunday:Saturday!E39)</f>
        <v>2900.73</v>
      </c>
      <c r="F44">
        <f>SUM(Sunday:Saturday!F39)</f>
        <v>21</v>
      </c>
      <c r="G44" s="8">
        <f>SUM(Sunday:Saturday!G39)</f>
        <v>315</v>
      </c>
      <c r="H44" s="34">
        <f>SUM(Sunday:Saturday!H39)</f>
        <v>2.8064999999999998</v>
      </c>
      <c r="I44" s="8">
        <f>SUM(Sunday:Saturday!I39)</f>
        <v>317.80650000000003</v>
      </c>
      <c r="J44">
        <f>SUM(Sunday:Saturday!J39)</f>
        <v>1</v>
      </c>
      <c r="K44">
        <f>SUM(Sunday:Saturday!K39)</f>
        <v>4</v>
      </c>
      <c r="L44" s="36">
        <f t="shared" si="0"/>
        <v>0.25</v>
      </c>
    </row>
    <row r="45" spans="1:12" x14ac:dyDescent="0.25">
      <c r="A45" s="2" t="s">
        <v>94</v>
      </c>
      <c r="B45" s="2" t="s">
        <v>95</v>
      </c>
      <c r="C45" s="2" t="s">
        <v>57</v>
      </c>
      <c r="D45" s="2" t="s">
        <v>55</v>
      </c>
      <c r="E45" s="8">
        <f>SUM(Sunday:Saturday!E40)</f>
        <v>4695.0399999999991</v>
      </c>
      <c r="F45">
        <f>SUM(Sunday:Saturday!F40)</f>
        <v>20</v>
      </c>
      <c r="G45" s="8">
        <f>SUM(Sunday:Saturday!G40)</f>
        <v>210</v>
      </c>
      <c r="H45" s="34">
        <f>SUM(Sunday:Saturday!H40)</f>
        <v>26.950399999999998</v>
      </c>
      <c r="I45" s="8">
        <f>SUM(Sunday:Saturday!I40)</f>
        <v>236.95039999999997</v>
      </c>
      <c r="J45">
        <f>SUM(Sunday:Saturday!J40)</f>
        <v>4</v>
      </c>
      <c r="K45">
        <f>SUM(Sunday:Saturday!K40)</f>
        <v>4</v>
      </c>
      <c r="L45" s="36">
        <f t="shared" si="0"/>
        <v>1</v>
      </c>
    </row>
    <row r="46" spans="1:12" x14ac:dyDescent="0.25">
      <c r="A46" s="2" t="s">
        <v>88</v>
      </c>
      <c r="B46" s="2" t="s">
        <v>89</v>
      </c>
      <c r="C46" s="2" t="s">
        <v>19</v>
      </c>
      <c r="D46" s="2" t="s">
        <v>8</v>
      </c>
      <c r="E46" s="8">
        <f>SUM(Sunday:Saturday!E41)</f>
        <v>13553.95</v>
      </c>
      <c r="F46">
        <f>SUM(Sunday:Saturday!F41)</f>
        <v>40</v>
      </c>
      <c r="G46" s="8">
        <f>SUM(Sunday:Saturday!G41)</f>
        <v>540</v>
      </c>
      <c r="H46" s="34">
        <f>SUM(Sunday:Saturday!H41)</f>
        <v>153.56640000000002</v>
      </c>
      <c r="I46" s="8">
        <f>SUM(Sunday:Saturday!I41)</f>
        <v>693.56639999999993</v>
      </c>
      <c r="J46">
        <f>SUM(Sunday:Saturday!J41)</f>
        <v>5</v>
      </c>
      <c r="K46">
        <f>SUM(Sunday:Saturday!K41)</f>
        <v>6</v>
      </c>
      <c r="L46" s="36">
        <f t="shared" si="0"/>
        <v>0.83333333333333337</v>
      </c>
    </row>
    <row r="47" spans="1:12" x14ac:dyDescent="0.25">
      <c r="A47" s="2" t="s">
        <v>90</v>
      </c>
      <c r="B47" s="2" t="s">
        <v>91</v>
      </c>
      <c r="C47" s="2" t="s">
        <v>57</v>
      </c>
      <c r="D47" s="2" t="s">
        <v>8</v>
      </c>
      <c r="E47" s="8">
        <f>SUM(Sunday:Saturday!E42)</f>
        <v>9025.85</v>
      </c>
      <c r="F47">
        <f>SUM(Sunday:Saturday!F42)</f>
        <v>16</v>
      </c>
      <c r="G47" s="8">
        <f>SUM(Sunday:Saturday!G42)</f>
        <v>168</v>
      </c>
      <c r="H47" s="34">
        <f>SUM(Sunday:Saturday!H42)</f>
        <v>74.744900000000001</v>
      </c>
      <c r="I47" s="8">
        <f>SUM(Sunday:Saturday!I42)</f>
        <v>242.7449</v>
      </c>
      <c r="J47">
        <f>SUM(Sunday:Saturday!J42)</f>
        <v>2</v>
      </c>
      <c r="K47">
        <f>SUM(Sunday:Saturday!K42)</f>
        <v>3</v>
      </c>
      <c r="L47" s="36">
        <f t="shared" si="0"/>
        <v>0.66666666666666663</v>
      </c>
    </row>
    <row r="48" spans="1:12" x14ac:dyDescent="0.25">
      <c r="A48" s="2" t="s">
        <v>72</v>
      </c>
      <c r="B48" s="2" t="s">
        <v>73</v>
      </c>
      <c r="C48" s="2" t="s">
        <v>19</v>
      </c>
      <c r="D48" s="2" t="s">
        <v>11</v>
      </c>
      <c r="E48" s="8">
        <f>SUM(Sunday:Saturday!E43)</f>
        <v>49111.960000000006</v>
      </c>
      <c r="F48">
        <f>SUM(Sunday:Saturday!F43)</f>
        <v>38</v>
      </c>
      <c r="G48" s="8">
        <f>SUM(Sunday:Saturday!G43)</f>
        <v>513</v>
      </c>
      <c r="H48" s="34">
        <f>SUM(Sunday:Saturday!H43)</f>
        <v>868.2392000000001</v>
      </c>
      <c r="I48" s="8">
        <f>SUM(Sunday:Saturday!I43)</f>
        <v>1381.2392</v>
      </c>
      <c r="J48">
        <f>SUM(Sunday:Saturday!J43)</f>
        <v>5</v>
      </c>
      <c r="K48">
        <f>SUM(Sunday:Saturday!K43)</f>
        <v>5</v>
      </c>
      <c r="L48" s="36">
        <f t="shared" si="0"/>
        <v>1</v>
      </c>
    </row>
    <row r="49" spans="1:12" x14ac:dyDescent="0.25">
      <c r="A49" s="2" t="s">
        <v>12</v>
      </c>
      <c r="B49" s="2" t="s">
        <v>13</v>
      </c>
      <c r="C49" s="2" t="s">
        <v>5</v>
      </c>
      <c r="D49" s="2" t="s">
        <v>56</v>
      </c>
      <c r="E49" s="8">
        <f>SUM(Sunday:Saturday!E44)</f>
        <v>9197.74</v>
      </c>
      <c r="F49">
        <f>SUM(Sunday:Saturday!F44)</f>
        <v>40</v>
      </c>
      <c r="G49" s="8">
        <f>SUM(Sunday:Saturday!G44)</f>
        <v>940</v>
      </c>
      <c r="H49" s="34">
        <f>SUM(Sunday:Saturday!H44)</f>
        <v>50.438400000000001</v>
      </c>
      <c r="I49" s="8">
        <f>SUM(Sunday:Saturday!I44)</f>
        <v>990.4384</v>
      </c>
      <c r="J49">
        <f>SUM(Sunday:Saturday!J44)</f>
        <v>3</v>
      </c>
      <c r="K49">
        <f>SUM(Sunday:Saturday!K44)</f>
        <v>5</v>
      </c>
      <c r="L49" s="36">
        <f t="shared" si="0"/>
        <v>0.6</v>
      </c>
    </row>
    <row r="50" spans="1:12" x14ac:dyDescent="0.25">
      <c r="A50" s="2" t="s">
        <v>47</v>
      </c>
      <c r="B50" s="2" t="s">
        <v>48</v>
      </c>
      <c r="C50" s="2" t="s">
        <v>44</v>
      </c>
      <c r="D50" s="2" t="s">
        <v>54</v>
      </c>
      <c r="E50" s="8">
        <f>SUM(Sunday:Saturday!E45)</f>
        <v>6161.32</v>
      </c>
      <c r="F50">
        <f>SUM(Sunday:Saturday!F45)</f>
        <v>20</v>
      </c>
      <c r="G50" s="8">
        <f>SUM(Sunday:Saturday!G45)</f>
        <v>235</v>
      </c>
      <c r="H50" s="34">
        <f>SUM(Sunday:Saturday!H45)</f>
        <v>55.671149999999997</v>
      </c>
      <c r="I50" s="8">
        <f>SUM(Sunday:Saturday!I45)</f>
        <v>290.67115000000001</v>
      </c>
      <c r="J50">
        <f>SUM(Sunday:Saturday!J45)</f>
        <v>4</v>
      </c>
      <c r="K50">
        <f>SUM(Sunday:Saturday!K45)</f>
        <v>5</v>
      </c>
      <c r="L50" s="36">
        <f t="shared" si="0"/>
        <v>0.8</v>
      </c>
    </row>
    <row r="51" spans="1:12" x14ac:dyDescent="0.25">
      <c r="A51" s="2" t="s">
        <v>49</v>
      </c>
      <c r="B51" s="2" t="s">
        <v>50</v>
      </c>
      <c r="C51" s="2" t="s">
        <v>44</v>
      </c>
      <c r="D51" s="2" t="s">
        <v>8</v>
      </c>
      <c r="E51" s="8">
        <f>SUM(Sunday:Saturday!E46)</f>
        <v>5999.6</v>
      </c>
      <c r="F51">
        <f>SUM(Sunday:Saturday!F46)</f>
        <v>20</v>
      </c>
      <c r="G51" s="8">
        <f>SUM(Sunday:Saturday!G46)</f>
        <v>235</v>
      </c>
      <c r="H51" s="34">
        <f>SUM(Sunday:Saturday!H46)</f>
        <v>52.494</v>
      </c>
      <c r="I51" s="8">
        <f>SUM(Sunday:Saturday!I46)</f>
        <v>287.49400000000003</v>
      </c>
      <c r="J51">
        <f>SUM(Sunday:Saturday!J46)</f>
        <v>3</v>
      </c>
      <c r="K51">
        <f>SUM(Sunday:Saturday!K46)</f>
        <v>3</v>
      </c>
      <c r="L51" s="36">
        <f t="shared" si="0"/>
        <v>1</v>
      </c>
    </row>
    <row r="52" spans="1:12" x14ac:dyDescent="0.25">
      <c r="A52" s="2" t="s">
        <v>38</v>
      </c>
      <c r="B52" s="2" t="s">
        <v>39</v>
      </c>
      <c r="C52" s="2" t="s">
        <v>33</v>
      </c>
      <c r="D52" s="2" t="s">
        <v>54</v>
      </c>
      <c r="E52" s="8">
        <f>SUM(Sunday:Saturday!E47)</f>
        <v>10832.800000000001</v>
      </c>
      <c r="F52">
        <f>SUM(Sunday:Saturday!F47)</f>
        <v>40</v>
      </c>
      <c r="G52" s="8">
        <f>SUM(Sunday:Saturday!G47)</f>
        <v>600</v>
      </c>
      <c r="H52" s="34">
        <f>SUM(Sunday:Saturday!H47)</f>
        <v>103.87150000000001</v>
      </c>
      <c r="I52" s="8">
        <f>SUM(Sunday:Saturday!I47)</f>
        <v>703.87149999999997</v>
      </c>
      <c r="J52">
        <f>SUM(Sunday:Saturday!J47)</f>
        <v>5</v>
      </c>
      <c r="K52">
        <f>SUM(Sunday:Saturday!K47)</f>
        <v>6</v>
      </c>
      <c r="L52" s="36">
        <f t="shared" si="0"/>
        <v>0.83333333333333337</v>
      </c>
    </row>
    <row r="53" spans="1:12" x14ac:dyDescent="0.25">
      <c r="A53" s="2" t="s">
        <v>114</v>
      </c>
      <c r="B53" s="2" t="s">
        <v>115</v>
      </c>
      <c r="C53" s="2" t="s">
        <v>33</v>
      </c>
      <c r="D53" s="2" t="s">
        <v>55</v>
      </c>
      <c r="E53" s="8">
        <f>SUM(Sunday:Saturday!E48)</f>
        <v>9661.91</v>
      </c>
      <c r="F53">
        <f>SUM(Sunday:Saturday!F48)</f>
        <v>40</v>
      </c>
      <c r="G53" s="8">
        <f>SUM(Sunday:Saturday!G48)</f>
        <v>600</v>
      </c>
      <c r="H53" s="34">
        <f>SUM(Sunday:Saturday!H48)</f>
        <v>138.79974999999999</v>
      </c>
      <c r="I53" s="8">
        <f>SUM(Sunday:Saturday!I48)</f>
        <v>738.79975000000002</v>
      </c>
      <c r="J53">
        <f>SUM(Sunday:Saturday!J48)</f>
        <v>3</v>
      </c>
      <c r="K53">
        <f>SUM(Sunday:Saturday!K48)</f>
        <v>6</v>
      </c>
      <c r="L53" s="36">
        <f t="shared" si="0"/>
        <v>0.5</v>
      </c>
    </row>
    <row r="54" spans="1:12" x14ac:dyDescent="0.25">
      <c r="A54" s="2" t="s">
        <v>27</v>
      </c>
      <c r="B54" s="2" t="s">
        <v>28</v>
      </c>
      <c r="C54" s="2" t="s">
        <v>19</v>
      </c>
      <c r="D54" s="2" t="s">
        <v>55</v>
      </c>
      <c r="E54" s="8">
        <f>SUM(Sunday:Saturday!E49)</f>
        <v>16069.11</v>
      </c>
      <c r="F54">
        <f>SUM(Sunday:Saturday!F49)</f>
        <v>40</v>
      </c>
      <c r="G54" s="8">
        <f>SUM(Sunday:Saturday!G49)</f>
        <v>540</v>
      </c>
      <c r="H54" s="34">
        <f>SUM(Sunday:Saturday!H49)</f>
        <v>205.95499999999998</v>
      </c>
      <c r="I54" s="8">
        <f>SUM(Sunday:Saturday!I49)</f>
        <v>745.95499999999993</v>
      </c>
      <c r="J54">
        <f>SUM(Sunday:Saturday!J49)</f>
        <v>5</v>
      </c>
      <c r="K54">
        <f>SUM(Sunday:Saturday!K49)</f>
        <v>6</v>
      </c>
      <c r="L54" s="36">
        <f t="shared" si="0"/>
        <v>0.83333333333333337</v>
      </c>
    </row>
    <row r="55" spans="1:12" x14ac:dyDescent="0.25">
      <c r="A55" s="2" t="s">
        <v>96</v>
      </c>
      <c r="B55" s="2" t="s">
        <v>97</v>
      </c>
      <c r="C55" s="2" t="s">
        <v>57</v>
      </c>
      <c r="D55" s="2" t="s">
        <v>55</v>
      </c>
      <c r="E55" s="8">
        <f>SUM(Sunday:Saturday!E50)</f>
        <v>7849.9500000000007</v>
      </c>
      <c r="F55">
        <f>SUM(Sunday:Saturday!F50)</f>
        <v>20</v>
      </c>
      <c r="G55" s="8">
        <f>SUM(Sunday:Saturday!G50)</f>
        <v>210</v>
      </c>
      <c r="H55" s="34">
        <f>SUM(Sunday:Saturday!H50)</f>
        <v>58.499499999999998</v>
      </c>
      <c r="I55" s="8">
        <f>SUM(Sunday:Saturday!I50)</f>
        <v>268.49950000000001</v>
      </c>
      <c r="J55">
        <f>SUM(Sunday:Saturday!J50)</f>
        <v>3</v>
      </c>
      <c r="K55">
        <f>SUM(Sunday:Saturday!K50)</f>
        <v>3</v>
      </c>
      <c r="L55" s="36">
        <f t="shared" si="0"/>
        <v>1</v>
      </c>
    </row>
    <row r="56" spans="1:12" x14ac:dyDescent="0.25">
      <c r="A56" s="2" t="s">
        <v>14</v>
      </c>
      <c r="B56" s="2" t="s">
        <v>15</v>
      </c>
      <c r="C56" s="2" t="s">
        <v>5</v>
      </c>
      <c r="D56" s="2" t="s">
        <v>16</v>
      </c>
      <c r="E56" s="8">
        <f>SUM(Sunday:Saturday!E51)</f>
        <v>8800.5400000000009</v>
      </c>
      <c r="F56">
        <f>SUM(Sunday:Saturday!F51)</f>
        <v>40</v>
      </c>
      <c r="G56" s="8">
        <f>SUM(Sunday:Saturday!G51)</f>
        <v>940</v>
      </c>
      <c r="H56" s="34">
        <f>SUM(Sunday:Saturday!H51)</f>
        <v>60.39</v>
      </c>
      <c r="I56" s="8">
        <f>SUM(Sunday:Saturday!I51)</f>
        <v>1000.39</v>
      </c>
      <c r="J56">
        <f>SUM(Sunday:Saturday!J51)</f>
        <v>2</v>
      </c>
      <c r="K56">
        <f>SUM(Sunday:Saturday!K51)</f>
        <v>5</v>
      </c>
      <c r="L56" s="36">
        <f t="shared" si="0"/>
        <v>0.4</v>
      </c>
    </row>
    <row r="57" spans="1:12" x14ac:dyDescent="0.25">
      <c r="A57" s="2" t="s">
        <v>98</v>
      </c>
      <c r="B57" s="2" t="s">
        <v>99</v>
      </c>
      <c r="C57" s="2" t="s">
        <v>33</v>
      </c>
      <c r="D57" s="2" t="s">
        <v>55</v>
      </c>
      <c r="E57" s="8">
        <f>SUM(Sunday:Saturday!E52)</f>
        <v>12195.070000000002</v>
      </c>
      <c r="F57">
        <f>SUM(Sunday:Saturday!F52)</f>
        <v>40</v>
      </c>
      <c r="G57" s="8">
        <f>SUM(Sunday:Saturday!G52)</f>
        <v>600</v>
      </c>
      <c r="H57" s="34">
        <f>SUM(Sunday:Saturday!H52)</f>
        <v>139.58600000000001</v>
      </c>
      <c r="I57" s="8">
        <f>SUM(Sunday:Saturday!I52)</f>
        <v>739.58600000000001</v>
      </c>
      <c r="J57">
        <f>SUM(Sunday:Saturday!J52)</f>
        <v>5</v>
      </c>
      <c r="K57">
        <f>SUM(Sunday:Saturday!K52)</f>
        <v>6</v>
      </c>
      <c r="L57" s="36">
        <f t="shared" si="0"/>
        <v>0.83333333333333337</v>
      </c>
    </row>
    <row r="58" spans="1:12" x14ac:dyDescent="0.25">
      <c r="A58" s="2" t="s">
        <v>40</v>
      </c>
      <c r="B58" s="2" t="s">
        <v>41</v>
      </c>
      <c r="C58" s="2" t="s">
        <v>33</v>
      </c>
      <c r="D58" s="2" t="s">
        <v>54</v>
      </c>
      <c r="E58" s="8">
        <f>SUM(Sunday:Saturday!E53)</f>
        <v>11180</v>
      </c>
      <c r="F58">
        <f>SUM(Sunday:Saturday!F53)</f>
        <v>38</v>
      </c>
      <c r="G58" s="8">
        <f>SUM(Sunday:Saturday!G53)</f>
        <v>570</v>
      </c>
      <c r="H58" s="34">
        <f>SUM(Sunday:Saturday!H53)</f>
        <v>113.25</v>
      </c>
      <c r="I58" s="8">
        <f>SUM(Sunday:Saturday!I53)</f>
        <v>683.25</v>
      </c>
      <c r="J58">
        <f>SUM(Sunday:Saturday!J53)</f>
        <v>5</v>
      </c>
      <c r="K58">
        <f>SUM(Sunday:Saturday!K53)</f>
        <v>5</v>
      </c>
      <c r="L58" s="36">
        <f t="shared" si="0"/>
        <v>1</v>
      </c>
    </row>
    <row r="59" spans="1:12" x14ac:dyDescent="0.25">
      <c r="A59" s="2" t="s">
        <v>29</v>
      </c>
      <c r="B59" s="2" t="s">
        <v>30</v>
      </c>
      <c r="C59" s="2" t="s">
        <v>19</v>
      </c>
      <c r="D59" s="2" t="s">
        <v>55</v>
      </c>
      <c r="E59" s="8">
        <f>SUM(Sunday:Saturday!E54)</f>
        <v>10623.689999999999</v>
      </c>
      <c r="F59">
        <f>SUM(Sunday:Saturday!F54)</f>
        <v>40</v>
      </c>
      <c r="G59" s="8">
        <f>SUM(Sunday:Saturday!G54)</f>
        <v>540</v>
      </c>
      <c r="H59" s="34">
        <f>SUM(Sunday:Saturday!H54)</f>
        <v>115.4366</v>
      </c>
      <c r="I59" s="8">
        <f>SUM(Sunday:Saturday!I54)</f>
        <v>655.4366</v>
      </c>
      <c r="J59">
        <f>SUM(Sunday:Saturday!J54)</f>
        <v>4</v>
      </c>
      <c r="K59">
        <f>SUM(Sunday:Saturday!K54)</f>
        <v>6</v>
      </c>
      <c r="L59" s="36">
        <f t="shared" si="0"/>
        <v>0.66666666666666663</v>
      </c>
    </row>
    <row r="60" spans="1:12" x14ac:dyDescent="0.25">
      <c r="A60" s="2" t="s">
        <v>116</v>
      </c>
      <c r="B60" s="2" t="s">
        <v>117</v>
      </c>
      <c r="C60" s="2" t="s">
        <v>19</v>
      </c>
      <c r="D60" s="2" t="s">
        <v>11</v>
      </c>
      <c r="E60" s="8">
        <f>SUM(Sunday:Saturday!E55)</f>
        <v>2664</v>
      </c>
      <c r="F60">
        <f>SUM(Sunday:Saturday!F55)</f>
        <v>21</v>
      </c>
      <c r="G60" s="8">
        <f>SUM(Sunday:Saturday!G55)</f>
        <v>283.5</v>
      </c>
      <c r="H60" s="34">
        <f>SUM(Sunday:Saturday!H55)</f>
        <v>3.1396000000000006</v>
      </c>
      <c r="I60" s="8">
        <f>SUM(Sunday:Saturday!I55)</f>
        <v>286.63959999999997</v>
      </c>
      <c r="J60">
        <f>SUM(Sunday:Saturday!J55)</f>
        <v>1</v>
      </c>
      <c r="K60">
        <f>SUM(Sunday:Saturday!K55)</f>
        <v>4</v>
      </c>
      <c r="L60" s="36">
        <f t="shared" si="0"/>
        <v>0.25</v>
      </c>
    </row>
    <row r="61" spans="1:12" x14ac:dyDescent="0.25">
      <c r="A61" s="2" t="s">
        <v>51</v>
      </c>
      <c r="B61" s="2" t="s">
        <v>52</v>
      </c>
      <c r="C61" s="2" t="s">
        <v>44</v>
      </c>
      <c r="D61" s="2" t="s">
        <v>16</v>
      </c>
      <c r="E61" s="8">
        <f>SUM(Sunday:Saturday!E56)</f>
        <v>5704.88</v>
      </c>
      <c r="F61">
        <f>SUM(Sunday:Saturday!F56)</f>
        <v>20</v>
      </c>
      <c r="G61" s="8">
        <f>SUM(Sunday:Saturday!G56)</f>
        <v>235</v>
      </c>
      <c r="H61" s="34">
        <f>SUM(Sunday:Saturday!H56)</f>
        <v>48.0732</v>
      </c>
      <c r="I61" s="8">
        <f>SUM(Sunday:Saturday!I56)</f>
        <v>283.07319999999999</v>
      </c>
      <c r="J61">
        <f>SUM(Sunday:Saturday!J56)</f>
        <v>3</v>
      </c>
      <c r="K61">
        <f>SUM(Sunday:Saturday!K56)</f>
        <v>3</v>
      </c>
      <c r="L61" s="36">
        <f t="shared" si="0"/>
        <v>1</v>
      </c>
    </row>
    <row r="66" spans="1:12" x14ac:dyDescent="0.25">
      <c r="A66" s="2" t="s">
        <v>137</v>
      </c>
      <c r="E66" s="31">
        <f>DSUM(Weekly_Report,Table12[[#Headers],[Sales]],E10:E61)</f>
        <v>717058.71199999982</v>
      </c>
      <c r="G66" s="31">
        <f>DSUM(Weekly_Report,Table12[[#Headers],[Base Pay]],G10:G61)</f>
        <v>23981.5</v>
      </c>
      <c r="H66" s="31">
        <f>DSUM(Weekly_Report,Table12[[#Headers],[Commission]],H10:H61)</f>
        <v>9073.2729899999977</v>
      </c>
      <c r="I66" s="31">
        <f>DSUM(Weekly_Report,Table12[[#Headers],[Gross Pay]],I10:I61)</f>
        <v>33054.772989999998</v>
      </c>
      <c r="J66" s="37">
        <f>DSUM(Weekly_Report,Table12[[#Headers],[Quota Met?]],J10:J61)</f>
        <v>190</v>
      </c>
      <c r="K66" s="33">
        <f>DSUM(Weekly_Report,Table12[[#Headers],[Worked Today]],K10:K61)</f>
        <v>257</v>
      </c>
    </row>
    <row r="67" spans="1:12" x14ac:dyDescent="0.25">
      <c r="A67" s="2" t="s">
        <v>138</v>
      </c>
      <c r="E67" s="31">
        <f>DAVERAGE(Weekly_Report,Table12[[#Headers],[Sales]],E10:E61)</f>
        <v>13789.590615384612</v>
      </c>
      <c r="G67" s="31">
        <f>DAVERAGE(Weekly_Report,Table12[[#Headers],[Base Pay]],G10:G61)</f>
        <v>461.18269230769232</v>
      </c>
      <c r="H67" s="31">
        <f>DAVERAGE(Weekly_Report,Table12[[#Headers],[Commission]],H10:H61)</f>
        <v>174.48601903846151</v>
      </c>
      <c r="I67" s="31">
        <f>DAVERAGE(Weekly_Report,Table12[[#Headers],[Gross Pay]],I10:I61)</f>
        <v>635.66871134615383</v>
      </c>
      <c r="L67" s="36">
        <f>DAVERAGE(Weekly_Report,Table12[[#Headers],[Quota Average]],L10:L61)</f>
        <v>0.74963369963369975</v>
      </c>
    </row>
    <row r="68" spans="1:12" x14ac:dyDescent="0.25">
      <c r="A68" s="2" t="s">
        <v>139</v>
      </c>
      <c r="E68" s="31">
        <f>DMIN(Weekly_Report,Table12[[#Headers],[Sales]],E10:E61)</f>
        <v>2549.7599999999998</v>
      </c>
      <c r="G68" s="31">
        <f>DMIN(Weekly_Report,Table12[[#Headers],[Base Pay]],G10:G61)</f>
        <v>136.5</v>
      </c>
      <c r="H68" s="31">
        <f>DMIN(Weekly_Report,Table12[[#Headers],[Commission]],H10:H61)</f>
        <v>2.8064999999999998</v>
      </c>
      <c r="I68" s="31">
        <f>DMIN(Weekly_Report,Table12[[#Headers],[Gross Pay]],I10:I61)</f>
        <v>148.99760000000001</v>
      </c>
      <c r="L68" s="36">
        <f>DMIN(Weekly_Report,Table12[[#Headers],[Quota Average]],L10:L61)</f>
        <v>0.2</v>
      </c>
    </row>
    <row r="69" spans="1:12" x14ac:dyDescent="0.25">
      <c r="A69" s="2" t="s">
        <v>140</v>
      </c>
      <c r="E69" s="31">
        <f>DMAX(Weekly_Report,Table12[[#Headers],[Sales]],E10:E61)</f>
        <v>59984.310000000005</v>
      </c>
      <c r="G69" s="31">
        <f>DMAX(Weekly_Report,Table12[[#Headers],[Base Pay]],G10:G61)</f>
        <v>940</v>
      </c>
      <c r="H69" s="31">
        <f>DMAX(Weekly_Report,Table12[[#Headers],[Commission]],H10:H61)</f>
        <v>1520.5254</v>
      </c>
      <c r="I69" s="31">
        <f>DMAX(Weekly_Report,Table12[[#Headers],[Gross Pay]],I10:I61)</f>
        <v>2460.5254</v>
      </c>
      <c r="L69" s="36">
        <f>DMAX(Weekly_Report,Table12[[#Headers],[Quota Average]],L10:L61)</f>
        <v>1</v>
      </c>
    </row>
  </sheetData>
  <mergeCells count="4">
    <mergeCell ref="A2:L2"/>
    <mergeCell ref="A4:L4"/>
    <mergeCell ref="A5:L5"/>
    <mergeCell ref="A3:L3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1</vt:i4>
      </vt:variant>
    </vt:vector>
  </HeadingPairs>
  <TitlesOfParts>
    <vt:vector size="28" baseType="lpstr">
      <vt:lpstr>Wage Lookup Table</vt:lpstr>
      <vt:lpstr>Sunday</vt:lpstr>
      <vt:lpstr>Monday</vt:lpstr>
      <vt:lpstr>Tuesday</vt:lpstr>
      <vt:lpstr>Wed</vt:lpstr>
      <vt:lpstr>Thursday</vt:lpstr>
      <vt:lpstr>Friday</vt:lpstr>
      <vt:lpstr>Saturday</vt:lpstr>
      <vt:lpstr>Weekly Report</vt:lpstr>
      <vt:lpstr>Department,Commission,Sales</vt:lpstr>
      <vt:lpstr>Employee Commission Depart</vt:lpstr>
      <vt:lpstr>Department,Commission</vt:lpstr>
      <vt:lpstr>Department,Commission Chart</vt:lpstr>
      <vt:lpstr>Representative's Sales Depart</vt:lpstr>
      <vt:lpstr>Representative's Chart</vt:lpstr>
      <vt:lpstr>Top 5 Sales Commissions</vt:lpstr>
      <vt:lpstr>Above Average Commission</vt:lpstr>
      <vt:lpstr>Above Average Except Furniture</vt:lpstr>
      <vt:lpstr>Sales Staff Below Quota Goal</vt:lpstr>
      <vt:lpstr>Highest Sales by Department</vt:lpstr>
      <vt:lpstr>Percentage of Quota Met</vt:lpstr>
      <vt:lpstr>Sales &amp; Commission</vt:lpstr>
      <vt:lpstr>Base Pay, Commission, Gross Pay</vt:lpstr>
      <vt:lpstr>Hours Worked &amp; Gross Pay</vt:lpstr>
      <vt:lpstr>Quotas Met Most Least</vt:lpstr>
      <vt:lpstr>Salesperson&gt;1500 &amp; 0</vt:lpstr>
      <vt:lpstr>Dept Commission, % Commission</vt:lpstr>
      <vt:lpstr>Weekly_Report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2008-04-20T17:44:09Z</dcterms:created>
  <dcterms:modified xsi:type="dcterms:W3CDTF">2019-10-22T23:10:49Z</dcterms:modified>
</cp:coreProperties>
</file>