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6.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7.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8.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35c55d006493a615/Pulpit/Turing College/7. Financial Analyst/Financial Analyst project documentation/"/>
    </mc:Choice>
  </mc:AlternateContent>
  <xr:revisionPtr revIDLastSave="405" documentId="8_{F04BE40C-28CC-4C8F-8E8E-9C62F8129756}" xr6:coauthVersionLast="47" xr6:coauthVersionMax="47" xr10:uidLastSave="{348E1BC0-3AC4-4A97-A28F-20FECEED5936}"/>
  <bookViews>
    <workbookView xWindow="-108" yWindow="-108" windowWidth="23256" windowHeight="12576" xr2:uid="{00000000-000D-0000-FFFF-FFFF00000000}"/>
  </bookViews>
  <sheets>
    <sheet name="Project" sheetId="6" r:id="rId1"/>
    <sheet name="Damodarn Industry Averages" sheetId="7" r:id="rId2"/>
    <sheet name="Damodrn Variables &amp; FAQ" sheetId="8" r:id="rId3"/>
    <sheet name="Task" sheetId="1" r:id="rId4"/>
    <sheet name="Invesment" sheetId="2" r:id="rId5"/>
    <sheet name="Income Statement" sheetId="3" r:id="rId6"/>
    <sheet name="Balance sheet" sheetId="4" r:id="rId7"/>
    <sheet name="Cash flows" sheetId="5" r:id="rId8"/>
  </sheets>
  <definedNames>
    <definedName name="ats" localSheetId="6">#REF!</definedName>
    <definedName name="ats" localSheetId="7">#REF!</definedName>
    <definedName name="ats" localSheetId="5">#REF!</definedName>
    <definedName name="ats">#REF!</definedName>
    <definedName name="Atsargos_t" localSheetId="6">#REF!</definedName>
    <definedName name="Atsargos_t" localSheetId="7">#REF!</definedName>
    <definedName name="Atsargos_t" localSheetId="5">#REF!</definedName>
    <definedName name="Atsargos_t">#REF!</definedName>
    <definedName name="BE_Fixed">#REF!</definedName>
    <definedName name="BE_Revenue">#REF!</definedName>
    <definedName name="BE_Total">#REF!</definedName>
    <definedName name="BE_Variable">#REF!</definedName>
    <definedName name="Contribution_margin">#REF!</definedName>
    <definedName name="Derlingumas">#REF!</definedName>
    <definedName name="Derlius">#REF!</definedName>
    <definedName name="Fixed_expenses">#REF!</definedName>
    <definedName name="Išlaidos_Lt">#REF!</definedName>
    <definedName name="Išlaikymo_nuostoliai">#REF!</definedName>
    <definedName name="Kainos">#REF!</definedName>
    <definedName name="korekcijos_faktor">#REF!</definedName>
    <definedName name="korekcijos_faktor2">#REF!</definedName>
    <definedName name="Pardavimai_Lt">#REF!</definedName>
    <definedName name="Pardavimai_užskaitoma">#REF!</definedName>
    <definedName name="Parduota_natūra">#REF!</definedName>
    <definedName name="Pirkta_produkcija">#REF!</definedName>
    <definedName name="Plotas">#REF!</definedName>
    <definedName name="Revenue_increments" localSheetId="6">#REF!</definedName>
    <definedName name="Revenue_increments" localSheetId="7">#REF!</definedName>
    <definedName name="Revenue_increments" localSheetId="5">#REF!</definedName>
    <definedName name="Revenue_increments">#REF!</definedName>
    <definedName name="Suvartota_pašarams">#REF!</definedName>
    <definedName name="Suvartota_sėklai">#REF!</definedName>
    <definedName name="Table_Fixed">#REF!</definedName>
    <definedName name="Table_Revenue">#REF!</definedName>
    <definedName name="Table_total">#REF!</definedName>
    <definedName name="Table_Vari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1" i="6" l="1"/>
  <c r="R194" i="6"/>
  <c r="K198" i="6"/>
  <c r="K196" i="6"/>
  <c r="F195" i="6"/>
  <c r="K210" i="6"/>
  <c r="K211" i="6" s="1"/>
  <c r="K212" i="6" s="1"/>
  <c r="K213" i="6" s="1"/>
  <c r="K214" i="6" s="1"/>
  <c r="K215" i="6" s="1"/>
  <c r="K216" i="6" s="1"/>
  <c r="O707" i="6"/>
  <c r="I265" i="6"/>
  <c r="I264" i="6"/>
  <c r="D251" i="6"/>
  <c r="D127" i="6"/>
  <c r="O710" i="6" s="1"/>
  <c r="D126" i="6"/>
  <c r="N710" i="6" s="1"/>
  <c r="C126" i="6"/>
  <c r="N709" i="6" s="1"/>
  <c r="C127" i="6"/>
  <c r="O709" i="6" s="1"/>
  <c r="J207" i="6"/>
  <c r="L207" i="6" s="1"/>
  <c r="E264" i="6" s="1"/>
  <c r="K195" i="6"/>
  <c r="H209" i="6"/>
  <c r="H210" i="6" s="1"/>
  <c r="H211" i="6" s="1"/>
  <c r="H212" i="6" s="1"/>
  <c r="H213" i="6" s="1"/>
  <c r="H214" i="6" s="1"/>
  <c r="H215" i="6" s="1"/>
  <c r="H216" i="6" s="1"/>
  <c r="I209" i="6"/>
  <c r="I210" i="6" s="1"/>
  <c r="I211" i="6" s="1"/>
  <c r="I212" i="6" s="1"/>
  <c r="I213" i="6" s="1"/>
  <c r="I214" i="6" s="1"/>
  <c r="I215" i="6" s="1"/>
  <c r="I216" i="6" s="1"/>
  <c r="P194" i="6"/>
  <c r="Q194" i="6" s="1"/>
  <c r="F252" i="6" s="1"/>
  <c r="P195" i="6"/>
  <c r="P196" i="6"/>
  <c r="P197" i="6"/>
  <c r="P193" i="6"/>
  <c r="H194" i="6"/>
  <c r="E252" i="6" s="1"/>
  <c r="H193" i="6"/>
  <c r="E251" i="6" s="1"/>
  <c r="D121" i="6"/>
  <c r="N707" i="6" s="1"/>
  <c r="E438" i="6"/>
  <c r="E439" i="6" s="1"/>
  <c r="E440" i="6" s="1"/>
  <c r="E441" i="6" s="1"/>
  <c r="E442" i="6" s="1"/>
  <c r="E443" i="6" s="1"/>
  <c r="E444" i="6" s="1"/>
  <c r="E445" i="6" s="1"/>
  <c r="E446" i="6" s="1"/>
  <c r="E447" i="6" s="1"/>
  <c r="E425" i="6"/>
  <c r="E426" i="6" s="1"/>
  <c r="E427" i="6" s="1"/>
  <c r="E428" i="6" s="1"/>
  <c r="E429" i="6" s="1"/>
  <c r="E430" i="6" s="1"/>
  <c r="E431" i="6" s="1"/>
  <c r="E432" i="6" s="1"/>
  <c r="E433" i="6" s="1"/>
  <c r="E434" i="6" s="1"/>
  <c r="E390" i="6"/>
  <c r="E391" i="6" s="1"/>
  <c r="E392" i="6" s="1"/>
  <c r="E393" i="6" s="1"/>
  <c r="E394" i="6" s="1"/>
  <c r="E395" i="6" s="1"/>
  <c r="E396" i="6" s="1"/>
  <c r="E397" i="6" s="1"/>
  <c r="E398" i="6" s="1"/>
  <c r="E399" i="6" s="1"/>
  <c r="E378" i="6"/>
  <c r="E379" i="6" s="1"/>
  <c r="E380" i="6" s="1"/>
  <c r="E381" i="6" s="1"/>
  <c r="E382" i="6" s="1"/>
  <c r="E383" i="6" s="1"/>
  <c r="E384" i="6" s="1"/>
  <c r="E385" i="6" s="1"/>
  <c r="E386" i="6" s="1"/>
  <c r="E387" i="6" s="1"/>
  <c r="D31" i="6"/>
  <c r="D33" i="6"/>
  <c r="D34" i="6"/>
  <c r="D37" i="6"/>
  <c r="D39" i="6"/>
  <c r="D170" i="6"/>
  <c r="D185" i="6"/>
  <c r="D193" i="6"/>
  <c r="D194" i="6"/>
  <c r="D195" i="6" s="1"/>
  <c r="D196" i="6" s="1"/>
  <c r="D197" i="6" s="1"/>
  <c r="D198" i="6" s="1"/>
  <c r="D199" i="6" s="1"/>
  <c r="D200" i="6" s="1"/>
  <c r="D201" i="6" s="1"/>
  <c r="D202" i="6" s="1"/>
  <c r="H31" i="6"/>
  <c r="H33" i="6"/>
  <c r="H39" i="6"/>
  <c r="I203" i="6"/>
  <c r="J203" i="6"/>
  <c r="H274" i="6"/>
  <c r="D498" i="6" s="1"/>
  <c r="D503" i="6" l="1"/>
  <c r="G438" i="6"/>
  <c r="H438" i="6" s="1"/>
  <c r="I438" i="6" s="1"/>
  <c r="N425" i="6" s="1"/>
  <c r="G426" i="6"/>
  <c r="H426" i="6" s="1"/>
  <c r="E126" i="6"/>
  <c r="E127" i="6"/>
  <c r="P203" i="6"/>
  <c r="Q193" i="6"/>
  <c r="G425" i="6" s="1"/>
  <c r="H425" i="6" s="1"/>
  <c r="I425" i="6" s="1"/>
  <c r="Q195" i="6"/>
  <c r="J208" i="6"/>
  <c r="L208" i="6" s="1"/>
  <c r="J209" i="6"/>
  <c r="L209" i="6" s="1"/>
  <c r="H203" i="6"/>
  <c r="D35" i="6"/>
  <c r="D203" i="6"/>
  <c r="I426" i="6" l="1"/>
  <c r="M426" i="6" s="1"/>
  <c r="E265" i="6"/>
  <c r="G439" i="6"/>
  <c r="H439" i="6" s="1"/>
  <c r="I439" i="6" s="1"/>
  <c r="M425" i="6"/>
  <c r="F253" i="6"/>
  <c r="G427" i="6"/>
  <c r="H427" i="6" s="1"/>
  <c r="E266" i="6"/>
  <c r="G440" i="6"/>
  <c r="H440" i="6" s="1"/>
  <c r="F251" i="6"/>
  <c r="Q196" i="6"/>
  <c r="D38" i="6"/>
  <c r="D40" i="6" s="1"/>
  <c r="C116" i="6" s="1"/>
  <c r="G193" i="6"/>
  <c r="F378" i="6" s="1"/>
  <c r="K197" i="6"/>
  <c r="Q197" i="6" s="1"/>
  <c r="I427" i="6" l="1"/>
  <c r="F255" i="6"/>
  <c r="G429" i="6"/>
  <c r="H429" i="6" s="1"/>
  <c r="I440" i="6"/>
  <c r="N426" i="6"/>
  <c r="F254" i="6"/>
  <c r="G428" i="6"/>
  <c r="H428" i="6" s="1"/>
  <c r="I428" i="6" s="1"/>
  <c r="I251" i="6"/>
  <c r="J251" i="6" s="1"/>
  <c r="G251" i="6"/>
  <c r="J210" i="6"/>
  <c r="R193" i="6"/>
  <c r="G378" i="6" s="1"/>
  <c r="H378" i="6" s="1"/>
  <c r="Q198" i="6"/>
  <c r="M427" i="6"/>
  <c r="I429" i="6" l="1"/>
  <c r="N720" i="6" s="1"/>
  <c r="M428" i="6"/>
  <c r="F256" i="6"/>
  <c r="G430" i="6"/>
  <c r="H430" i="6" s="1"/>
  <c r="N427" i="6"/>
  <c r="D402" i="6"/>
  <c r="D307" i="6"/>
  <c r="D338" i="6"/>
  <c r="H251" i="6"/>
  <c r="K251" i="6" s="1"/>
  <c r="L210" i="6"/>
  <c r="J212" i="6"/>
  <c r="L212" i="6" s="1"/>
  <c r="J211" i="6"/>
  <c r="L211" i="6" s="1"/>
  <c r="J213" i="6"/>
  <c r="L213" i="6" s="1"/>
  <c r="D221" i="6"/>
  <c r="K199" i="6"/>
  <c r="Q199" i="6" s="1"/>
  <c r="M429" i="6"/>
  <c r="I430" i="6" l="1"/>
  <c r="F257" i="6"/>
  <c r="G431" i="6"/>
  <c r="H431" i="6" s="1"/>
  <c r="I431" i="6" s="1"/>
  <c r="E267" i="6"/>
  <c r="G441" i="6"/>
  <c r="H441" i="6" s="1"/>
  <c r="I441" i="6" s="1"/>
  <c r="O720" i="6" s="1"/>
  <c r="E270" i="6"/>
  <c r="G444" i="6"/>
  <c r="H444" i="6" s="1"/>
  <c r="E269" i="6"/>
  <c r="G443" i="6"/>
  <c r="H443" i="6" s="1"/>
  <c r="E268" i="6"/>
  <c r="G442" i="6"/>
  <c r="H442" i="6" s="1"/>
  <c r="L251" i="6"/>
  <c r="J214" i="6"/>
  <c r="L214" i="6" s="1"/>
  <c r="K200" i="6"/>
  <c r="Q200" i="6" s="1"/>
  <c r="O428" i="6"/>
  <c r="O432" i="6"/>
  <c r="O429" i="6"/>
  <c r="O433" i="6"/>
  <c r="O426" i="6"/>
  <c r="O430" i="6"/>
  <c r="O434" i="6"/>
  <c r="O427" i="6"/>
  <c r="O431" i="6"/>
  <c r="O425" i="6"/>
  <c r="M430" i="6"/>
  <c r="E271" i="6" l="1"/>
  <c r="G445" i="6"/>
  <c r="H445" i="6" s="1"/>
  <c r="I442" i="6"/>
  <c r="N428" i="6"/>
  <c r="F258" i="6"/>
  <c r="G432" i="6"/>
  <c r="H432" i="6" s="1"/>
  <c r="I432" i="6" s="1"/>
  <c r="J215" i="6"/>
  <c r="L215" i="6" s="1"/>
  <c r="K201" i="6"/>
  <c r="Q201" i="6" s="1"/>
  <c r="M431" i="6"/>
  <c r="F259" i="6" l="1"/>
  <c r="G433" i="6"/>
  <c r="H433" i="6" s="1"/>
  <c r="I433" i="6" s="1"/>
  <c r="P427" i="6"/>
  <c r="P428" i="6"/>
  <c r="P430" i="6"/>
  <c r="P429" i="6"/>
  <c r="P433" i="6"/>
  <c r="P425" i="6"/>
  <c r="P432" i="6"/>
  <c r="P434" i="6"/>
  <c r="P431" i="6"/>
  <c r="P426" i="6"/>
  <c r="E272" i="6"/>
  <c r="G446" i="6"/>
  <c r="H446" i="6" s="1"/>
  <c r="I443" i="6"/>
  <c r="N429" i="6"/>
  <c r="K202" i="6"/>
  <c r="M432" i="6"/>
  <c r="I444" i="6" l="1"/>
  <c r="N430" i="6"/>
  <c r="J216" i="6"/>
  <c r="Q202" i="6"/>
  <c r="M433" i="6"/>
  <c r="F260" i="6" l="1"/>
  <c r="G434" i="6"/>
  <c r="H434" i="6" s="1"/>
  <c r="I434" i="6" s="1"/>
  <c r="M434" i="6" s="1"/>
  <c r="I445" i="6"/>
  <c r="N431" i="6"/>
  <c r="L216" i="6"/>
  <c r="J217" i="6"/>
  <c r="Q203" i="6"/>
  <c r="C449" i="6" l="1"/>
  <c r="I446" i="6"/>
  <c r="N432" i="6"/>
  <c r="E273" i="6"/>
  <c r="G447" i="6"/>
  <c r="H447" i="6" s="1"/>
  <c r="I447" i="6" l="1"/>
  <c r="N433" i="6"/>
  <c r="C450" i="6" l="1"/>
  <c r="N434" i="6"/>
  <c r="K217" i="6" l="1"/>
  <c r="C190" i="6"/>
  <c r="L203" i="6"/>
  <c r="M203" i="6"/>
  <c r="N203" i="6"/>
  <c r="O203" i="6"/>
  <c r="F185" i="6"/>
  <c r="G183" i="6"/>
  <c r="G182" i="6"/>
  <c r="H182" i="6" s="1"/>
  <c r="C178" i="6"/>
  <c r="E165" i="6"/>
  <c r="F165" i="6" s="1"/>
  <c r="H165" i="6" s="1"/>
  <c r="E117" i="6"/>
  <c r="O704" i="6" s="1"/>
  <c r="J115" i="7"/>
  <c r="I115" i="7"/>
  <c r="G115" i="7"/>
  <c r="D115" i="7"/>
  <c r="K115" i="7" s="1"/>
  <c r="L115" i="7" s="1"/>
  <c r="J114" i="7"/>
  <c r="K114" i="7" s="1"/>
  <c r="L114" i="7" s="1"/>
  <c r="G114" i="7"/>
  <c r="I114" i="7" s="1"/>
  <c r="D114" i="7"/>
  <c r="J113" i="7"/>
  <c r="I113" i="7"/>
  <c r="G113" i="7"/>
  <c r="D113" i="7"/>
  <c r="K112" i="7"/>
  <c r="L112" i="7" s="1"/>
  <c r="J112" i="7"/>
  <c r="G112" i="7"/>
  <c r="I112" i="7" s="1"/>
  <c r="D112" i="7"/>
  <c r="J111" i="7"/>
  <c r="G111" i="7"/>
  <c r="I111" i="7" s="1"/>
  <c r="D111" i="7"/>
  <c r="J110" i="7"/>
  <c r="K110" i="7" s="1"/>
  <c r="L110" i="7" s="1"/>
  <c r="G110" i="7"/>
  <c r="I110" i="7" s="1"/>
  <c r="D110" i="7"/>
  <c r="J109" i="7"/>
  <c r="I109" i="7"/>
  <c r="G109" i="7"/>
  <c r="D109" i="7"/>
  <c r="K108" i="7"/>
  <c r="L108" i="7" s="1"/>
  <c r="J108" i="7"/>
  <c r="G108" i="7"/>
  <c r="I108" i="7" s="1"/>
  <c r="D108" i="7"/>
  <c r="J107" i="7"/>
  <c r="G107" i="7"/>
  <c r="I107" i="7" s="1"/>
  <c r="D107" i="7"/>
  <c r="J106" i="7"/>
  <c r="K106" i="7" s="1"/>
  <c r="L106" i="7" s="1"/>
  <c r="G106" i="7"/>
  <c r="I106" i="7" s="1"/>
  <c r="D106" i="7"/>
  <c r="J105" i="7"/>
  <c r="I105" i="7"/>
  <c r="G105" i="7"/>
  <c r="D105" i="7"/>
  <c r="K104" i="7"/>
  <c r="L104" i="7" s="1"/>
  <c r="J104" i="7"/>
  <c r="G104" i="7"/>
  <c r="I104" i="7" s="1"/>
  <c r="D104" i="7"/>
  <c r="J103" i="7"/>
  <c r="G103" i="7"/>
  <c r="I103" i="7" s="1"/>
  <c r="D103" i="7"/>
  <c r="J102" i="7"/>
  <c r="K102" i="7" s="1"/>
  <c r="L102" i="7" s="1"/>
  <c r="G102" i="7"/>
  <c r="I102" i="7" s="1"/>
  <c r="D102" i="7"/>
  <c r="J101" i="7"/>
  <c r="I101" i="7"/>
  <c r="G101" i="7"/>
  <c r="D101" i="7"/>
  <c r="K100" i="7"/>
  <c r="L100" i="7" s="1"/>
  <c r="J100" i="7"/>
  <c r="G100" i="7"/>
  <c r="I100" i="7" s="1"/>
  <c r="D100" i="7"/>
  <c r="J99" i="7"/>
  <c r="G99" i="7"/>
  <c r="I99" i="7" s="1"/>
  <c r="D99" i="7"/>
  <c r="J98" i="7"/>
  <c r="K98" i="7" s="1"/>
  <c r="L98" i="7" s="1"/>
  <c r="G98" i="7"/>
  <c r="I98" i="7" s="1"/>
  <c r="D98" i="7"/>
  <c r="J97" i="7"/>
  <c r="I97" i="7"/>
  <c r="G97" i="7"/>
  <c r="D97" i="7"/>
  <c r="K96" i="7"/>
  <c r="L96" i="7" s="1"/>
  <c r="J96" i="7"/>
  <c r="G96" i="7"/>
  <c r="I96" i="7" s="1"/>
  <c r="D96" i="7"/>
  <c r="J95" i="7"/>
  <c r="G95" i="7"/>
  <c r="I95" i="7" s="1"/>
  <c r="D95" i="7"/>
  <c r="J94" i="7"/>
  <c r="K94" i="7" s="1"/>
  <c r="L94" i="7" s="1"/>
  <c r="G94" i="7"/>
  <c r="I94" i="7" s="1"/>
  <c r="D94" i="7"/>
  <c r="J93" i="7"/>
  <c r="I93" i="7"/>
  <c r="G93" i="7"/>
  <c r="D93" i="7"/>
  <c r="K92" i="7"/>
  <c r="L92" i="7" s="1"/>
  <c r="J92" i="7"/>
  <c r="G92" i="7"/>
  <c r="I92" i="7" s="1"/>
  <c r="D92" i="7"/>
  <c r="J91" i="7"/>
  <c r="G91" i="7"/>
  <c r="I91" i="7" s="1"/>
  <c r="D91" i="7"/>
  <c r="J90" i="7"/>
  <c r="K90" i="7" s="1"/>
  <c r="L90" i="7" s="1"/>
  <c r="G90" i="7"/>
  <c r="I90" i="7" s="1"/>
  <c r="D90" i="7"/>
  <c r="J89" i="7"/>
  <c r="I89" i="7"/>
  <c r="G89" i="7"/>
  <c r="D89" i="7"/>
  <c r="K88" i="7"/>
  <c r="L88" i="7" s="1"/>
  <c r="J88" i="7"/>
  <c r="G88" i="7"/>
  <c r="I88" i="7" s="1"/>
  <c r="D88" i="7"/>
  <c r="J87" i="7"/>
  <c r="G87" i="7"/>
  <c r="I87" i="7" s="1"/>
  <c r="D87" i="7"/>
  <c r="J86" i="7"/>
  <c r="K86" i="7" s="1"/>
  <c r="L86" i="7" s="1"/>
  <c r="G86" i="7"/>
  <c r="I86" i="7" s="1"/>
  <c r="D86" i="7"/>
  <c r="J85" i="7"/>
  <c r="I85" i="7"/>
  <c r="G85" i="7"/>
  <c r="D85" i="7"/>
  <c r="K84" i="7"/>
  <c r="L84" i="7" s="1"/>
  <c r="J84" i="7"/>
  <c r="G84" i="7"/>
  <c r="I84" i="7" s="1"/>
  <c r="D84" i="7"/>
  <c r="J83" i="7"/>
  <c r="G83" i="7"/>
  <c r="I83" i="7" s="1"/>
  <c r="D83" i="7"/>
  <c r="J82" i="7"/>
  <c r="K82" i="7" s="1"/>
  <c r="L82" i="7" s="1"/>
  <c r="G82" i="7"/>
  <c r="I82" i="7" s="1"/>
  <c r="D82" i="7"/>
  <c r="J81" i="7"/>
  <c r="I81" i="7"/>
  <c r="G81" i="7"/>
  <c r="D81" i="7"/>
  <c r="K80" i="7"/>
  <c r="L80" i="7" s="1"/>
  <c r="J80" i="7"/>
  <c r="G80" i="7"/>
  <c r="I80" i="7" s="1"/>
  <c r="D80" i="7"/>
  <c r="J79" i="7"/>
  <c r="G79" i="7"/>
  <c r="I79" i="7" s="1"/>
  <c r="D79" i="7"/>
  <c r="J78" i="7"/>
  <c r="K78" i="7" s="1"/>
  <c r="L78" i="7" s="1"/>
  <c r="G78" i="7"/>
  <c r="I78" i="7" s="1"/>
  <c r="D78" i="7"/>
  <c r="J77" i="7"/>
  <c r="I77" i="7"/>
  <c r="G77" i="7"/>
  <c r="D77" i="7"/>
  <c r="K76" i="7"/>
  <c r="L76" i="7" s="1"/>
  <c r="J76" i="7"/>
  <c r="G76" i="7"/>
  <c r="I76" i="7" s="1"/>
  <c r="D76" i="7"/>
  <c r="J75" i="7"/>
  <c r="G75" i="7"/>
  <c r="I75" i="7" s="1"/>
  <c r="D75" i="7"/>
  <c r="J74" i="7"/>
  <c r="K74" i="7" s="1"/>
  <c r="L74" i="7" s="1"/>
  <c r="G74" i="7"/>
  <c r="I74" i="7" s="1"/>
  <c r="D74" i="7"/>
  <c r="J73" i="7"/>
  <c r="I73" i="7"/>
  <c r="G73" i="7"/>
  <c r="D73" i="7"/>
  <c r="K72" i="7"/>
  <c r="L72" i="7" s="1"/>
  <c r="J72" i="7"/>
  <c r="G72" i="7"/>
  <c r="I72" i="7" s="1"/>
  <c r="D72" i="7"/>
  <c r="J71" i="7"/>
  <c r="G71" i="7"/>
  <c r="I71" i="7" s="1"/>
  <c r="D71" i="7"/>
  <c r="J70" i="7"/>
  <c r="K70" i="7" s="1"/>
  <c r="L70" i="7" s="1"/>
  <c r="G70" i="7"/>
  <c r="I70" i="7" s="1"/>
  <c r="D70" i="7"/>
  <c r="J69" i="7"/>
  <c r="I69" i="7"/>
  <c r="G69" i="7"/>
  <c r="D69" i="7"/>
  <c r="K68" i="7"/>
  <c r="L68" i="7" s="1"/>
  <c r="J68" i="7"/>
  <c r="G68" i="7"/>
  <c r="I68" i="7" s="1"/>
  <c r="D68" i="7"/>
  <c r="J67" i="7"/>
  <c r="G67" i="7"/>
  <c r="I67" i="7" s="1"/>
  <c r="D67" i="7"/>
  <c r="J66" i="7"/>
  <c r="K66" i="7" s="1"/>
  <c r="L66" i="7" s="1"/>
  <c r="G66" i="7"/>
  <c r="I66" i="7" s="1"/>
  <c r="D66" i="7"/>
  <c r="J65" i="7"/>
  <c r="I65" i="7"/>
  <c r="G65" i="7"/>
  <c r="D65" i="7"/>
  <c r="K64" i="7"/>
  <c r="L64" i="7" s="1"/>
  <c r="J64" i="7"/>
  <c r="G64" i="7"/>
  <c r="I64" i="7" s="1"/>
  <c r="D64" i="7"/>
  <c r="J63" i="7"/>
  <c r="G63" i="7"/>
  <c r="I63" i="7" s="1"/>
  <c r="D63" i="7"/>
  <c r="J62" i="7"/>
  <c r="K62" i="7" s="1"/>
  <c r="L62" i="7" s="1"/>
  <c r="G62" i="7"/>
  <c r="I62" i="7" s="1"/>
  <c r="D62" i="7"/>
  <c r="J61" i="7"/>
  <c r="I61" i="7"/>
  <c r="G61" i="7"/>
  <c r="D61" i="7"/>
  <c r="K60" i="7"/>
  <c r="L60" i="7" s="1"/>
  <c r="J60" i="7"/>
  <c r="G60" i="7"/>
  <c r="I60" i="7" s="1"/>
  <c r="D60" i="7"/>
  <c r="J59" i="7"/>
  <c r="G59" i="7"/>
  <c r="I59" i="7" s="1"/>
  <c r="D59" i="7"/>
  <c r="J58" i="7"/>
  <c r="K58" i="7" s="1"/>
  <c r="L58" i="7" s="1"/>
  <c r="G58" i="7"/>
  <c r="I58" i="7" s="1"/>
  <c r="D58" i="7"/>
  <c r="J57" i="7"/>
  <c r="I57" i="7"/>
  <c r="G57" i="7"/>
  <c r="D57" i="7"/>
  <c r="K56" i="7"/>
  <c r="L56" i="7" s="1"/>
  <c r="J56" i="7"/>
  <c r="G56" i="7"/>
  <c r="I56" i="7" s="1"/>
  <c r="D56" i="7"/>
  <c r="J55" i="7"/>
  <c r="G55" i="7"/>
  <c r="I55" i="7" s="1"/>
  <c r="D55" i="7"/>
  <c r="J54" i="7"/>
  <c r="G54" i="7"/>
  <c r="I54" i="7" s="1"/>
  <c r="D54" i="7"/>
  <c r="K54" i="7" s="1"/>
  <c r="L54" i="7" s="1"/>
  <c r="J53" i="7"/>
  <c r="I53" i="7"/>
  <c r="G53" i="7"/>
  <c r="D53" i="7"/>
  <c r="K52" i="7"/>
  <c r="L52" i="7" s="1"/>
  <c r="J52" i="7"/>
  <c r="G52" i="7"/>
  <c r="I52" i="7" s="1"/>
  <c r="D52" i="7"/>
  <c r="J51" i="7"/>
  <c r="G51" i="7"/>
  <c r="I51" i="7" s="1"/>
  <c r="D51" i="7"/>
  <c r="J50" i="7"/>
  <c r="G50" i="7"/>
  <c r="I50" i="7" s="1"/>
  <c r="D50" i="7"/>
  <c r="K50" i="7" s="1"/>
  <c r="L50" i="7" s="1"/>
  <c r="J49" i="7"/>
  <c r="I49" i="7"/>
  <c r="G49" i="7"/>
  <c r="D49" i="7"/>
  <c r="K48" i="7"/>
  <c r="L48" i="7" s="1"/>
  <c r="J48" i="7"/>
  <c r="G48" i="7"/>
  <c r="I48" i="7" s="1"/>
  <c r="D48" i="7"/>
  <c r="J47" i="7"/>
  <c r="G47" i="7"/>
  <c r="I47" i="7" s="1"/>
  <c r="D47" i="7"/>
  <c r="J46" i="7"/>
  <c r="G46" i="7"/>
  <c r="I46" i="7" s="1"/>
  <c r="D46" i="7"/>
  <c r="K46" i="7" s="1"/>
  <c r="L46" i="7" s="1"/>
  <c r="J45" i="7"/>
  <c r="I45" i="7"/>
  <c r="G45" i="7"/>
  <c r="D45" i="7"/>
  <c r="K44" i="7"/>
  <c r="L44" i="7" s="1"/>
  <c r="J44" i="7"/>
  <c r="G44" i="7"/>
  <c r="I44" i="7" s="1"/>
  <c r="D44" i="7"/>
  <c r="J43" i="7"/>
  <c r="G43" i="7"/>
  <c r="I43" i="7" s="1"/>
  <c r="D43" i="7"/>
  <c r="J42" i="7"/>
  <c r="G42" i="7"/>
  <c r="I42" i="7" s="1"/>
  <c r="D42" i="7"/>
  <c r="K42" i="7" s="1"/>
  <c r="L42" i="7" s="1"/>
  <c r="J41" i="7"/>
  <c r="I41" i="7"/>
  <c r="G41" i="7"/>
  <c r="D41" i="7"/>
  <c r="K40" i="7"/>
  <c r="L40" i="7" s="1"/>
  <c r="J40" i="7"/>
  <c r="G40" i="7"/>
  <c r="I40" i="7" s="1"/>
  <c r="D40" i="7"/>
  <c r="J39" i="7"/>
  <c r="G39" i="7"/>
  <c r="I39" i="7" s="1"/>
  <c r="D39" i="7"/>
  <c r="J38" i="7"/>
  <c r="G38" i="7"/>
  <c r="I38" i="7" s="1"/>
  <c r="D38" i="7"/>
  <c r="K38" i="7" s="1"/>
  <c r="L38" i="7" s="1"/>
  <c r="J37" i="7"/>
  <c r="I37" i="7"/>
  <c r="G37" i="7"/>
  <c r="D37" i="7"/>
  <c r="K36" i="7"/>
  <c r="L36" i="7" s="1"/>
  <c r="J36" i="7"/>
  <c r="G36" i="7"/>
  <c r="I36" i="7" s="1"/>
  <c r="D36" i="7"/>
  <c r="J35" i="7"/>
  <c r="G35" i="7"/>
  <c r="I35" i="7" s="1"/>
  <c r="D35" i="7"/>
  <c r="J34" i="7"/>
  <c r="G34" i="7"/>
  <c r="I34" i="7" s="1"/>
  <c r="D34" i="7"/>
  <c r="K34" i="7" s="1"/>
  <c r="L34" i="7" s="1"/>
  <c r="J33" i="7"/>
  <c r="I33" i="7"/>
  <c r="G33" i="7"/>
  <c r="D33" i="7"/>
  <c r="K32" i="7"/>
  <c r="L32" i="7" s="1"/>
  <c r="J32" i="7"/>
  <c r="G32" i="7"/>
  <c r="I32" i="7" s="1"/>
  <c r="D32" i="7"/>
  <c r="J31" i="7"/>
  <c r="G31" i="7"/>
  <c r="I31" i="7" s="1"/>
  <c r="D31" i="7"/>
  <c r="J30" i="7"/>
  <c r="I30" i="7"/>
  <c r="G30" i="7"/>
  <c r="D30" i="7"/>
  <c r="K30" i="7" s="1"/>
  <c r="L30" i="7" s="1"/>
  <c r="J29" i="7"/>
  <c r="G29" i="7"/>
  <c r="I29" i="7" s="1"/>
  <c r="D29" i="7"/>
  <c r="J28" i="7"/>
  <c r="I28" i="7"/>
  <c r="G28" i="7"/>
  <c r="D28" i="7"/>
  <c r="K28" i="7" s="1"/>
  <c r="L28" i="7" s="1"/>
  <c r="J27" i="7"/>
  <c r="G27" i="7"/>
  <c r="I27" i="7" s="1"/>
  <c r="D27" i="7"/>
  <c r="K27" i="7" s="1"/>
  <c r="L27" i="7" s="1"/>
  <c r="J26" i="7"/>
  <c r="I26" i="7"/>
  <c r="G26" i="7"/>
  <c r="D26" i="7"/>
  <c r="K26" i="7" s="1"/>
  <c r="L26" i="7" s="1"/>
  <c r="J25" i="7"/>
  <c r="G25" i="7"/>
  <c r="I25" i="7" s="1"/>
  <c r="D25" i="7"/>
  <c r="K25" i="7" s="1"/>
  <c r="L25" i="7" s="1"/>
  <c r="J24" i="7"/>
  <c r="I24" i="7"/>
  <c r="G24" i="7"/>
  <c r="D24" i="7"/>
  <c r="K24" i="7" s="1"/>
  <c r="L24" i="7" s="1"/>
  <c r="J23" i="7"/>
  <c r="G23" i="7"/>
  <c r="I23" i="7" s="1"/>
  <c r="D23" i="7"/>
  <c r="J22" i="7"/>
  <c r="I22" i="7"/>
  <c r="G22" i="7"/>
  <c r="D22" i="7"/>
  <c r="K22" i="7" s="1"/>
  <c r="L22" i="7" s="1"/>
  <c r="J21" i="7"/>
  <c r="G21" i="7"/>
  <c r="I21" i="7" s="1"/>
  <c r="D21" i="7"/>
  <c r="J20" i="7"/>
  <c r="I20" i="7"/>
  <c r="G20" i="7"/>
  <c r="D20" i="7"/>
  <c r="K20" i="7" s="1"/>
  <c r="L20" i="7" s="1"/>
  <c r="G39" i="6"/>
  <c r="F35" i="6"/>
  <c r="F38" i="6" s="1"/>
  <c r="F40" i="6" s="1"/>
  <c r="G34" i="6"/>
  <c r="H34" i="6" s="1"/>
  <c r="H35" i="6" s="1"/>
  <c r="H38" i="6" s="1"/>
  <c r="H40" i="6" s="1"/>
  <c r="G208" i="6" s="1"/>
  <c r="G33" i="6"/>
  <c r="G31" i="6"/>
  <c r="E39" i="6"/>
  <c r="C35" i="6"/>
  <c r="E34" i="6"/>
  <c r="E33" i="6"/>
  <c r="E32" i="6"/>
  <c r="E31" i="6"/>
  <c r="D25" i="5"/>
  <c r="C25" i="5"/>
  <c r="C27" i="5" s="1"/>
  <c r="C29" i="5" s="1"/>
  <c r="D17" i="5"/>
  <c r="C17" i="5"/>
  <c r="D7" i="5"/>
  <c r="C7" i="5"/>
  <c r="D6" i="5"/>
  <c r="D5" i="5"/>
  <c r="D4" i="5" s="1"/>
  <c r="D12" i="5" s="1"/>
  <c r="C5" i="5"/>
  <c r="C4" i="5" s="1"/>
  <c r="C12" i="5" s="1"/>
  <c r="E30" i="3"/>
  <c r="D30" i="3"/>
  <c r="E29" i="3"/>
  <c r="E28" i="3" s="1"/>
  <c r="D29" i="3"/>
  <c r="D28" i="3" s="1"/>
  <c r="E26" i="3"/>
  <c r="E25" i="3" s="1"/>
  <c r="D26" i="3"/>
  <c r="D25" i="3" s="1"/>
  <c r="E19" i="3"/>
  <c r="D19" i="3"/>
  <c r="E18" i="3"/>
  <c r="D18" i="3"/>
  <c r="E13" i="3"/>
  <c r="D13" i="3"/>
  <c r="E12" i="3"/>
  <c r="E24" i="3" s="1"/>
  <c r="D12" i="3"/>
  <c r="D24" i="3" s="1"/>
  <c r="D31" i="3" s="1"/>
  <c r="D34" i="3" s="1"/>
  <c r="D36" i="3" s="1"/>
  <c r="C14" i="2"/>
  <c r="C15" i="2" s="1"/>
  <c r="H13" i="2"/>
  <c r="G13" i="2"/>
  <c r="D13" i="2"/>
  <c r="E13" i="2" s="1"/>
  <c r="F12" i="2"/>
  <c r="F14" i="2" s="1"/>
  <c r="F15" i="2" s="1"/>
  <c r="C12" i="2"/>
  <c r="D11" i="2"/>
  <c r="F9" i="2"/>
  <c r="D9" i="2"/>
  <c r="D12" i="2" s="1"/>
  <c r="C9" i="2"/>
  <c r="G8" i="2"/>
  <c r="H8" i="2" s="1"/>
  <c r="H9" i="2" s="1"/>
  <c r="H12" i="2" s="1"/>
  <c r="H14" i="2" s="1"/>
  <c r="H15" i="2" s="1"/>
  <c r="E8" i="2"/>
  <c r="D8" i="2"/>
  <c r="H7" i="2"/>
  <c r="G7" i="2"/>
  <c r="E7" i="2"/>
  <c r="E9" i="2" s="1"/>
  <c r="E12" i="2" s="1"/>
  <c r="E14" i="2" s="1"/>
  <c r="E15" i="2" s="1"/>
  <c r="D7" i="2"/>
  <c r="E6" i="2"/>
  <c r="H5" i="2"/>
  <c r="G5" i="2"/>
  <c r="G9" i="2" s="1"/>
  <c r="G12" i="2" s="1"/>
  <c r="G14" i="2" s="1"/>
  <c r="G15" i="2" s="1"/>
  <c r="E5" i="2"/>
  <c r="D5" i="2"/>
  <c r="C38" i="6" l="1"/>
  <c r="C503" i="6" s="1"/>
  <c r="D349" i="6"/>
  <c r="E193" i="6"/>
  <c r="D207" i="6"/>
  <c r="C122" i="6"/>
  <c r="G184" i="6"/>
  <c r="H184" i="6" s="1"/>
  <c r="I184" i="6" s="1"/>
  <c r="H183" i="6"/>
  <c r="I183" i="6" s="1"/>
  <c r="I182" i="6"/>
  <c r="I274" i="6"/>
  <c r="E194" i="6"/>
  <c r="F194" i="6"/>
  <c r="D252" i="6" s="1"/>
  <c r="G252" i="6" s="1"/>
  <c r="E166" i="6"/>
  <c r="K23" i="7"/>
  <c r="L23" i="7" s="1"/>
  <c r="K21" i="7"/>
  <c r="L21" i="7" s="1"/>
  <c r="K29" i="7"/>
  <c r="L29" i="7" s="1"/>
  <c r="K31" i="7"/>
  <c r="L31" i="7" s="1"/>
  <c r="K35" i="7"/>
  <c r="L35" i="7" s="1"/>
  <c r="K39" i="7"/>
  <c r="L39" i="7" s="1"/>
  <c r="K43" i="7"/>
  <c r="L43" i="7" s="1"/>
  <c r="K47" i="7"/>
  <c r="L47" i="7" s="1"/>
  <c r="K51" i="7"/>
  <c r="L51" i="7" s="1"/>
  <c r="K55" i="7"/>
  <c r="L55" i="7" s="1"/>
  <c r="K59" i="7"/>
  <c r="L59" i="7" s="1"/>
  <c r="K63" i="7"/>
  <c r="L63" i="7" s="1"/>
  <c r="K67" i="7"/>
  <c r="L67" i="7" s="1"/>
  <c r="K71" i="7"/>
  <c r="L71" i="7" s="1"/>
  <c r="K79" i="7"/>
  <c r="L79" i="7" s="1"/>
  <c r="K83" i="7"/>
  <c r="L83" i="7" s="1"/>
  <c r="K87" i="7"/>
  <c r="L87" i="7" s="1"/>
  <c r="K91" i="7"/>
  <c r="L91" i="7" s="1"/>
  <c r="K95" i="7"/>
  <c r="L95" i="7" s="1"/>
  <c r="K103" i="7"/>
  <c r="L103" i="7" s="1"/>
  <c r="K33" i="7"/>
  <c r="L33" i="7" s="1"/>
  <c r="K37" i="7"/>
  <c r="L37" i="7" s="1"/>
  <c r="K41" i="7"/>
  <c r="L41" i="7" s="1"/>
  <c r="K45" i="7"/>
  <c r="L45" i="7" s="1"/>
  <c r="K49" i="7"/>
  <c r="L49" i="7" s="1"/>
  <c r="K53" i="7"/>
  <c r="L53" i="7" s="1"/>
  <c r="K57" i="7"/>
  <c r="L57" i="7" s="1"/>
  <c r="K61" i="7"/>
  <c r="L61" i="7" s="1"/>
  <c r="K65" i="7"/>
  <c r="L65" i="7" s="1"/>
  <c r="K69" i="7"/>
  <c r="L69" i="7" s="1"/>
  <c r="K73" i="7"/>
  <c r="L73" i="7" s="1"/>
  <c r="K77" i="7"/>
  <c r="L77" i="7" s="1"/>
  <c r="K81" i="7"/>
  <c r="L81" i="7" s="1"/>
  <c r="K85" i="7"/>
  <c r="L85" i="7" s="1"/>
  <c r="K89" i="7"/>
  <c r="L89" i="7" s="1"/>
  <c r="K93" i="7"/>
  <c r="L93" i="7" s="1"/>
  <c r="K97" i="7"/>
  <c r="L97" i="7" s="1"/>
  <c r="K101" i="7"/>
  <c r="L101" i="7" s="1"/>
  <c r="K105" i="7"/>
  <c r="L105" i="7" s="1"/>
  <c r="K109" i="7"/>
  <c r="L109" i="7" s="1"/>
  <c r="K113" i="7"/>
  <c r="L113" i="7" s="1"/>
  <c r="K75" i="7"/>
  <c r="L75" i="7" s="1"/>
  <c r="K99" i="7"/>
  <c r="L99" i="7" s="1"/>
  <c r="K107" i="7"/>
  <c r="L107" i="7" s="1"/>
  <c r="K111" i="7"/>
  <c r="L111" i="7" s="1"/>
  <c r="G35" i="6"/>
  <c r="G38" i="6" s="1"/>
  <c r="G40" i="6" s="1"/>
  <c r="G207" i="6" s="1"/>
  <c r="E35" i="6"/>
  <c r="G194" i="6" s="1"/>
  <c r="D14" i="2"/>
  <c r="D15" i="2" s="1"/>
  <c r="E31" i="3"/>
  <c r="E34" i="3" s="1"/>
  <c r="E36" i="3" s="1"/>
  <c r="D28" i="5"/>
  <c r="D29" i="5" s="1"/>
  <c r="D32" i="5" s="1"/>
  <c r="C32" i="5"/>
  <c r="D27" i="5"/>
  <c r="E122" i="6" l="1"/>
  <c r="O706" i="6"/>
  <c r="I252" i="6"/>
  <c r="J252" i="6" s="1"/>
  <c r="F379" i="6"/>
  <c r="C40" i="6"/>
  <c r="D351" i="6"/>
  <c r="C121" i="6"/>
  <c r="H252" i="6"/>
  <c r="D208" i="6"/>
  <c r="F208" i="6" s="1"/>
  <c r="D265" i="6" s="1"/>
  <c r="F265" i="6" s="1"/>
  <c r="G265" i="6" s="1"/>
  <c r="J265" i="6" s="1"/>
  <c r="F207" i="6"/>
  <c r="G379" i="6"/>
  <c r="H379" i="6" s="1"/>
  <c r="G203" i="6"/>
  <c r="O251" i="6"/>
  <c r="I185" i="6"/>
  <c r="H185" i="6"/>
  <c r="E207" i="6"/>
  <c r="D253" i="6"/>
  <c r="G253" i="6" s="1"/>
  <c r="H253" i="6" s="1"/>
  <c r="K253" i="6" s="1"/>
  <c r="E195" i="6"/>
  <c r="E167" i="6"/>
  <c r="F166" i="6"/>
  <c r="H166" i="6" s="1"/>
  <c r="E38" i="6"/>
  <c r="E121" i="6" l="1"/>
  <c r="N706" i="6"/>
  <c r="K252" i="6"/>
  <c r="L252" i="6" s="1"/>
  <c r="L253" i="6" s="1"/>
  <c r="D403" i="6"/>
  <c r="D308" i="6"/>
  <c r="D339" i="6"/>
  <c r="M207" i="6"/>
  <c r="G390" i="6" s="1"/>
  <c r="H390" i="6" s="1"/>
  <c r="D264" i="6"/>
  <c r="F264" i="6" s="1"/>
  <c r="G264" i="6" s="1"/>
  <c r="J264" i="6" s="1"/>
  <c r="K264" i="6" s="1"/>
  <c r="K265" i="6" s="1"/>
  <c r="D209" i="6"/>
  <c r="D210" i="6" s="1"/>
  <c r="D211" i="6" s="1"/>
  <c r="D212" i="6" s="1"/>
  <c r="D213" i="6" s="1"/>
  <c r="D214" i="6" s="1"/>
  <c r="D215" i="6" s="1"/>
  <c r="D216" i="6" s="1"/>
  <c r="F216" i="6" s="1"/>
  <c r="D273" i="6" s="1"/>
  <c r="F273" i="6" s="1"/>
  <c r="G273" i="6" s="1"/>
  <c r="J273" i="6" s="1"/>
  <c r="I261" i="6"/>
  <c r="C498" i="6" s="1"/>
  <c r="R195" i="6"/>
  <c r="G380" i="6" s="1"/>
  <c r="H380" i="6" s="1"/>
  <c r="D222" i="6"/>
  <c r="E208" i="6"/>
  <c r="F196" i="6"/>
  <c r="E196" i="6"/>
  <c r="K203" i="6"/>
  <c r="E168" i="6"/>
  <c r="F167" i="6"/>
  <c r="H167" i="6" s="1"/>
  <c r="E40" i="6"/>
  <c r="D116" i="6" s="1"/>
  <c r="D404" i="6" l="1"/>
  <c r="E402" i="6"/>
  <c r="D309" i="6"/>
  <c r="D340" i="6"/>
  <c r="D321" i="6"/>
  <c r="D357" i="6"/>
  <c r="F212" i="6"/>
  <c r="D269" i="6" s="1"/>
  <c r="F269" i="6" s="1"/>
  <c r="G269" i="6" s="1"/>
  <c r="J269" i="6" s="1"/>
  <c r="E209" i="6"/>
  <c r="E211" i="6"/>
  <c r="F209" i="6"/>
  <c r="D266" i="6" s="1"/>
  <c r="F266" i="6" s="1"/>
  <c r="G266" i="6" s="1"/>
  <c r="J266" i="6" s="1"/>
  <c r="D217" i="6"/>
  <c r="R196" i="6"/>
  <c r="G381" i="6" s="1"/>
  <c r="H381" i="6" s="1"/>
  <c r="D254" i="6"/>
  <c r="G254" i="6" s="1"/>
  <c r="P251" i="6"/>
  <c r="E221" i="6"/>
  <c r="M208" i="6"/>
  <c r="G391" i="6" s="1"/>
  <c r="H391" i="6" s="1"/>
  <c r="D223" i="6"/>
  <c r="J261" i="6"/>
  <c r="E116" i="6"/>
  <c r="F210" i="6"/>
  <c r="D267" i="6" s="1"/>
  <c r="F267" i="6" s="1"/>
  <c r="G267" i="6" s="1"/>
  <c r="J267" i="6" s="1"/>
  <c r="E210" i="6"/>
  <c r="F197" i="6"/>
  <c r="D255" i="6" s="1"/>
  <c r="G255" i="6" s="1"/>
  <c r="H255" i="6" s="1"/>
  <c r="K255" i="6" s="1"/>
  <c r="E197" i="6"/>
  <c r="E212" i="6"/>
  <c r="F211" i="6"/>
  <c r="D268" i="6" s="1"/>
  <c r="F268" i="6" s="1"/>
  <c r="G268" i="6" s="1"/>
  <c r="J268" i="6" s="1"/>
  <c r="F168" i="6"/>
  <c r="H168" i="6" s="1"/>
  <c r="E169" i="6"/>
  <c r="F116" i="6" l="1"/>
  <c r="N704" i="6"/>
  <c r="D405" i="6"/>
  <c r="E403" i="6"/>
  <c r="D322" i="6"/>
  <c r="D358" i="6"/>
  <c r="D310" i="6"/>
  <c r="D341" i="6"/>
  <c r="M209" i="6"/>
  <c r="H254" i="6"/>
  <c r="K254" i="6" s="1"/>
  <c r="D224" i="6"/>
  <c r="M211" i="6"/>
  <c r="G394" i="6" s="1"/>
  <c r="M210" i="6"/>
  <c r="G393" i="6" s="1"/>
  <c r="E222" i="6"/>
  <c r="R197" i="6"/>
  <c r="G382" i="6" s="1"/>
  <c r="H382" i="6" s="1"/>
  <c r="F198" i="6"/>
  <c r="D256" i="6" s="1"/>
  <c r="G256" i="6" s="1"/>
  <c r="E198" i="6"/>
  <c r="E213" i="6"/>
  <c r="G169" i="6"/>
  <c r="G170" i="6" s="1"/>
  <c r="F169" i="6"/>
  <c r="D406" i="6" l="1"/>
  <c r="E223" i="6"/>
  <c r="G392" i="6"/>
  <c r="H392" i="6" s="1"/>
  <c r="D325" i="6"/>
  <c r="D361" i="6"/>
  <c r="D311" i="6"/>
  <c r="D342" i="6"/>
  <c r="D324" i="6"/>
  <c r="D360" i="6"/>
  <c r="D323" i="6"/>
  <c r="D359" i="6"/>
  <c r="L254" i="6"/>
  <c r="L255" i="6" s="1"/>
  <c r="M212" i="6"/>
  <c r="G395" i="6" s="1"/>
  <c r="D225" i="6"/>
  <c r="E225" i="6"/>
  <c r="E224" i="6"/>
  <c r="R198" i="6"/>
  <c r="G383" i="6" s="1"/>
  <c r="H383" i="6" s="1"/>
  <c r="O252" i="6"/>
  <c r="H169" i="6"/>
  <c r="H170" i="6" s="1"/>
  <c r="F199" i="6"/>
  <c r="D257" i="6" s="1"/>
  <c r="G257" i="6" s="1"/>
  <c r="H257" i="6" s="1"/>
  <c r="K257" i="6" s="1"/>
  <c r="E199" i="6"/>
  <c r="E214" i="6"/>
  <c r="F213" i="6"/>
  <c r="D270" i="6" s="1"/>
  <c r="F270" i="6" s="1"/>
  <c r="G270" i="6" s="1"/>
  <c r="J270" i="6" s="1"/>
  <c r="F170" i="6"/>
  <c r="D407" i="6" l="1"/>
  <c r="H393" i="6"/>
  <c r="E404" i="6"/>
  <c r="D312" i="6"/>
  <c r="D343" i="6"/>
  <c r="D326" i="6"/>
  <c r="D362" i="6"/>
  <c r="H256" i="6"/>
  <c r="K256" i="6" s="1"/>
  <c r="E226" i="6"/>
  <c r="M213" i="6"/>
  <c r="G396" i="6" s="1"/>
  <c r="D226" i="6"/>
  <c r="P252" i="6"/>
  <c r="K266" i="6"/>
  <c r="R199" i="6"/>
  <c r="G384" i="6" s="1"/>
  <c r="H384" i="6" s="1"/>
  <c r="O254" i="6"/>
  <c r="O253" i="6"/>
  <c r="F200" i="6"/>
  <c r="D258" i="6" s="1"/>
  <c r="G258" i="6" s="1"/>
  <c r="H258" i="6" s="1"/>
  <c r="K258" i="6" s="1"/>
  <c r="E200" i="6"/>
  <c r="E215" i="6"/>
  <c r="F214" i="6"/>
  <c r="D271" i="6" s="1"/>
  <c r="F271" i="6" s="1"/>
  <c r="G271" i="6" s="1"/>
  <c r="J271" i="6" s="1"/>
  <c r="D408" i="6" l="1"/>
  <c r="H394" i="6"/>
  <c r="E405" i="6"/>
  <c r="D313" i="6"/>
  <c r="D344" i="6"/>
  <c r="D327" i="6"/>
  <c r="D363" i="6"/>
  <c r="L256" i="6"/>
  <c r="L257" i="6" s="1"/>
  <c r="L258" i="6" s="1"/>
  <c r="D227" i="6"/>
  <c r="P253" i="6"/>
  <c r="K267" i="6"/>
  <c r="E227" i="6"/>
  <c r="R200" i="6"/>
  <c r="G385" i="6" s="1"/>
  <c r="H385" i="6" s="1"/>
  <c r="F201" i="6"/>
  <c r="D259" i="6" s="1"/>
  <c r="G259" i="6" s="1"/>
  <c r="H259" i="6" s="1"/>
  <c r="K259" i="6" s="1"/>
  <c r="E201" i="6"/>
  <c r="E202" i="6"/>
  <c r="F215" i="6"/>
  <c r="D272" i="6" s="1"/>
  <c r="F272" i="6" s="1"/>
  <c r="G272" i="6" s="1"/>
  <c r="J272" i="6" s="1"/>
  <c r="D409" i="6" l="1"/>
  <c r="H395" i="6"/>
  <c r="E406" i="6"/>
  <c r="D314" i="6"/>
  <c r="D345" i="6"/>
  <c r="L259" i="6"/>
  <c r="F217" i="6"/>
  <c r="M214" i="6"/>
  <c r="G397" i="6" s="1"/>
  <c r="D228" i="6"/>
  <c r="O255" i="6"/>
  <c r="O256" i="6"/>
  <c r="P254" i="6"/>
  <c r="K268" i="6"/>
  <c r="R201" i="6"/>
  <c r="G386" i="6" s="1"/>
  <c r="H386" i="6" s="1"/>
  <c r="E216" i="6"/>
  <c r="F202" i="6"/>
  <c r="D260" i="6" s="1"/>
  <c r="G260" i="6" s="1"/>
  <c r="D410" i="6" l="1"/>
  <c r="H396" i="6"/>
  <c r="E407" i="6"/>
  <c r="D315" i="6"/>
  <c r="D346" i="6"/>
  <c r="D328" i="6"/>
  <c r="D364" i="6"/>
  <c r="H260" i="6"/>
  <c r="K260" i="6" s="1"/>
  <c r="K261" i="6" s="1"/>
  <c r="G261" i="6"/>
  <c r="E228" i="6"/>
  <c r="M216" i="6"/>
  <c r="G399" i="6" s="1"/>
  <c r="M215" i="6"/>
  <c r="G398" i="6" s="1"/>
  <c r="P255" i="6"/>
  <c r="K269" i="6"/>
  <c r="O257" i="6"/>
  <c r="D229" i="6"/>
  <c r="R202" i="6"/>
  <c r="G387" i="6" s="1"/>
  <c r="H387" i="6" s="1"/>
  <c r="D411" i="6" s="1"/>
  <c r="L217" i="6"/>
  <c r="F203" i="6"/>
  <c r="H397" i="6" l="1"/>
  <c r="E408" i="6"/>
  <c r="D316" i="6"/>
  <c r="D317" i="6" s="1"/>
  <c r="D347" i="6"/>
  <c r="D330" i="6"/>
  <c r="D366" i="6"/>
  <c r="D329" i="6"/>
  <c r="D365" i="6"/>
  <c r="L260" i="6"/>
  <c r="M217" i="6"/>
  <c r="O712" i="6" s="1"/>
  <c r="E230" i="6"/>
  <c r="O258" i="6"/>
  <c r="D230" i="6"/>
  <c r="D231" i="6" s="1"/>
  <c r="P256" i="6"/>
  <c r="K270" i="6"/>
  <c r="E229" i="6"/>
  <c r="R203" i="6"/>
  <c r="N712" i="6" s="1"/>
  <c r="C332" i="6" l="1"/>
  <c r="N714" i="6"/>
  <c r="D331" i="6"/>
  <c r="H398" i="6"/>
  <c r="E409" i="6"/>
  <c r="E231" i="6"/>
  <c r="F274" i="6"/>
  <c r="C280" i="6" s="1"/>
  <c r="O259" i="6"/>
  <c r="H261" i="6"/>
  <c r="D348" i="6"/>
  <c r="G274" i="6"/>
  <c r="J274" i="6"/>
  <c r="D367" i="6"/>
  <c r="K271" i="6"/>
  <c r="P258" i="6" s="1"/>
  <c r="P257" i="6"/>
  <c r="U251" i="6" l="1"/>
  <c r="N713" i="6"/>
  <c r="C334" i="6"/>
  <c r="O714" i="6"/>
  <c r="D492" i="6"/>
  <c r="O721" i="6" s="1"/>
  <c r="C499" i="6"/>
  <c r="H399" i="6"/>
  <c r="E411" i="6" s="1"/>
  <c r="E410" i="6"/>
  <c r="D371" i="6"/>
  <c r="D369" i="6"/>
  <c r="D352" i="6"/>
  <c r="D350" i="6"/>
  <c r="L274" i="6"/>
  <c r="O713" i="6" s="1"/>
  <c r="K272" i="6"/>
  <c r="C279" i="6"/>
  <c r="C373" i="6" l="1"/>
  <c r="N715" i="6"/>
  <c r="D373" i="6"/>
  <c r="N716" i="6"/>
  <c r="C374" i="6"/>
  <c r="O715" i="6"/>
  <c r="D374" i="6"/>
  <c r="O716" i="6"/>
  <c r="D499" i="6"/>
  <c r="D500" i="6" s="1"/>
  <c r="U252" i="6"/>
  <c r="C504" i="6"/>
  <c r="C505" i="6" s="1"/>
  <c r="C500" i="6"/>
  <c r="C492" i="6"/>
  <c r="O260" i="6"/>
  <c r="C494" i="6"/>
  <c r="P259" i="6"/>
  <c r="K273" i="6"/>
  <c r="P260" i="6" s="1"/>
  <c r="G497" i="6" l="1"/>
  <c r="N717" i="6"/>
  <c r="F502" i="6"/>
  <c r="N718" i="6"/>
  <c r="C493" i="6"/>
  <c r="N721" i="6"/>
  <c r="G498" i="6"/>
  <c r="O717" i="6"/>
  <c r="D504" i="6"/>
  <c r="D505" i="6" s="1"/>
  <c r="F503" i="6" l="1"/>
  <c r="O7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tc={BD6DCC19-D57F-4E0C-A539-E1D33688D998}</author>
    <author>tc={944A8862-5F61-4610-84BA-FEAEF0FAA963}</author>
    <author>tc={C2719657-F081-407C-89BE-19397012CF85}</author>
    <author>tc={B2364EC1-61D8-4A31-9493-F157EDAAFD1B}</author>
    <author>tc={463B31F4-E3AB-4D24-9C9E-8C71D9620D54}</author>
    <author>tc={30A604BC-A767-46B0-A81E-EBF45802AA23}</author>
  </authors>
  <commentList>
    <comment ref="E181" authorId="0" shapeId="0" xr:uid="{BD6DCC19-D57F-4E0C-A539-E1D33688D998}">
      <text>
        <t>[Threaded comment]
Your version of Excel allows you to read this threaded comment; however, any edits to it will get removed if the file is opened in a newer version of Excel. Learn more: https://go.microsoft.com/fwlink/?linkid=870924
Comment:
    Since the first year repayment is 500.000 EUR it is assumed that the company will take 500.000 EUR of the loan in the first year rather than 450.000.</t>
      </text>
    </comment>
    <comment ref="I192" authorId="1" shapeId="0" xr:uid="{944A8862-5F61-4610-84BA-FEAEF0FAA963}">
      <text>
        <t>[Threaded comment]
Your version of Excel allows you to read this threaded comment; however, any edits to it will get removed if the file is opened in a newer version of Excel. Learn more: https://go.microsoft.com/fwlink/?linkid=870924
Comment:
    Additional Employees after implementation of the project: 10 with average company salary</t>
      </text>
    </comment>
    <comment ref="J192" authorId="2" shapeId="0" xr:uid="{C2719657-F081-407C-89BE-19397012CF85}">
      <text>
        <t>[Threaded comment]
Your version of Excel allows you to read this threaded comment; however, any edits to it will get removed if the file is opened in a newer version of Excel. Learn more: https://go.microsoft.com/fwlink/?linkid=870924
Comment:
    Marketing budgets adjusted to maintain projected sales.</t>
      </text>
    </comment>
    <comment ref="H206" authorId="3" shapeId="0" xr:uid="{B2364EC1-61D8-4A31-9493-F157EDAAFD1B}">
      <text>
        <t>[Threaded comment]
Your version of Excel allows you to read this threaded comment; however, any edits to it will get removed if the file is opened in a newer version of Excel. Learn more: https://go.microsoft.com/fwlink/?linkid=870924
Comment:
    2x the average salary of the company; infaltion planned after implementation of the project.</t>
      </text>
    </comment>
    <comment ref="I206" authorId="4" shapeId="0" xr:uid="{463B31F4-E3AB-4D24-9C9E-8C71D9620D54}">
      <text>
        <t>[Threaded comment]
Your version of Excel allows you to read this threaded comment; however, any edits to it will get removed if the file is opened in a newer version of Excel. Learn more: https://go.microsoft.com/fwlink/?linkid=870924
Comment:
    the provision and development of services will require the hiring of 10 people with 2x the average salary of the company starting in the first year. 
After the implementation of the campaign, it is planned to receive 5 people each year in the following periods.</t>
      </text>
    </comment>
    <comment ref="K206" authorId="5" shapeId="0" xr:uid="{30A604BC-A767-46B0-A81E-EBF45802AA23}">
      <text>
        <t>[Threaded comment]
Your version of Excel allows you to read this threaded comment; however, any edits to it will get removed if the file is opened in a newer version of Excel. Learn more: https://go.microsoft.com/fwlink/?linkid=870924
Comment:
    After campaign end, advertising budgets are expected to fall to € 1 million per year. We do not adjust inflation as the budget is given.</t>
      </text>
    </comment>
  </commentList>
</comments>
</file>

<file path=xl/sharedStrings.xml><?xml version="1.0" encoding="utf-8"?>
<sst xmlns="http://schemas.openxmlformats.org/spreadsheetml/2006/main" count="809" uniqueCount="471">
  <si>
    <t>Graded task</t>
  </si>
  <si>
    <t>You are a financial analyst working in manufacturing company. Your company's COO has come with a 2 development scenarious and ask you to evalute which one the company should go for.</t>
  </si>
  <si>
    <t>Details</t>
  </si>
  <si>
    <t>Two development scenarios are planned: with investments in fixed assets (buildings, equipment) or costs alone (marketing campaigns).</t>
  </si>
  <si>
    <t>The investment and financing structure is presented in a separate sheet.</t>
  </si>
  <si>
    <t>Scenarios</t>
  </si>
  <si>
    <t>1.</t>
  </si>
  <si>
    <t>The company will build a factory - buildings and machine tools.</t>
  </si>
  <si>
    <t>It is planned that after the implementation of the project, the sales volumes will increase by 50% from the current ones and should continue to increase by 10% annually.</t>
  </si>
  <si>
    <t>An additional 10 people with an average salary will be needed to service the new production capacity.</t>
  </si>
  <si>
    <t>Marketing budgets would need to be further adjusted to maintain projected sales growth.</t>
  </si>
  <si>
    <t>2.</t>
  </si>
  <si>
    <t>The company will carry out active marketing activities and develop an electronic product.</t>
  </si>
  <si>
    <t>Sales are expected to grow by 30% during the campaign. every year.</t>
  </si>
  <si>
    <t>In subsequent periods, advertising budgets are expected to fall to € 1 million / year, with growth expected to fall to 15%. (YoY).</t>
  </si>
  <si>
    <t>The provision and development of services will require the hiring of 10 people with 2x the average salary starting in the first year.</t>
  </si>
  <si>
    <t>After the implementation of the campaign, it is planned to receive 5 people each year in the following periods.</t>
  </si>
  <si>
    <t>Task</t>
  </si>
  <si>
    <t xml:space="preserve">Your task is to evaluate possible development scenarios and suggest in which company should invest if to invest in any. 
Your suggestion have to be based on financial statements data. 
There are various financial metrics for project evaluation, like: opportunity costs, payback period, IRR(internal return rate), NPV(neto present value) and ROI(return on investment). 
You can use some of them to background your decision. </t>
  </si>
  <si>
    <t>If any information is missing and you cannot forecast data to financial statements, use your assumptions.</t>
  </si>
  <si>
    <t>Evaluation criterias</t>
  </si>
  <si>
    <t>Forecasted cash flows for the both development scenarios</t>
  </si>
  <si>
    <t>Forecasted turnover and profit under the both development scenarios</t>
  </si>
  <si>
    <t>Explained, which information was missing(if any) and how assumptions were made to solve the task</t>
  </si>
  <si>
    <t>Clearly presented findings based on calculations and conclutions made</t>
  </si>
  <si>
    <t>Tables, charts are structuted and informative</t>
  </si>
  <si>
    <t>Possible questions during project review:</t>
  </si>
  <si>
    <t>Which financial indicators are used to evaluate a development project?</t>
  </si>
  <si>
    <t>Which statement shows investments in tangible assets?</t>
  </si>
  <si>
    <t>Which statement shows loans to finance investments?</t>
  </si>
  <si>
    <t>Which type of expenses is salary?</t>
  </si>
  <si>
    <t>Which statement shows EBITDA?</t>
  </si>
  <si>
    <t>1 scenario</t>
  </si>
  <si>
    <t>2 scenario</t>
  </si>
  <si>
    <t>Project value and funding sources, EUR</t>
  </si>
  <si>
    <t>EUR, without VAT</t>
  </si>
  <si>
    <t>Total</t>
  </si>
  <si>
    <t>Investments in fixed assets - equipment</t>
  </si>
  <si>
    <t>Investments in fixed assets - buildings</t>
  </si>
  <si>
    <t>Salary of the project implementation team</t>
  </si>
  <si>
    <t>Purchase of services</t>
  </si>
  <si>
    <t>Total value of the project</t>
  </si>
  <si>
    <t>Private investment (third party)</t>
  </si>
  <si>
    <t>Own funds</t>
  </si>
  <si>
    <t>Financing of credit institutions</t>
  </si>
  <si>
    <t>Project funding sources, total</t>
  </si>
  <si>
    <t>Loan terms</t>
  </si>
  <si>
    <t>Private investment</t>
  </si>
  <si>
    <t>Duration - 5 years, interest rate - 5 percent.</t>
  </si>
  <si>
    <t>Refund - at expiration.</t>
  </si>
  <si>
    <t>Bank loan</t>
  </si>
  <si>
    <t>Duration - 3 years, interest rate - 3 percent.</t>
  </si>
  <si>
    <t>Repayment - a monthly loan balance of EUR 500,000 is repaid.</t>
  </si>
  <si>
    <t>Income Statement, EUR</t>
  </si>
  <si>
    <t>Articles</t>
  </si>
  <si>
    <t>I.</t>
  </si>
  <si>
    <t>SALES REVENUE</t>
  </si>
  <si>
    <t>II.</t>
  </si>
  <si>
    <t>COST OF SALES</t>
  </si>
  <si>
    <t>Depreciation and amortization</t>
  </si>
  <si>
    <t>Materials (raw materials)</t>
  </si>
  <si>
    <t>Wage</t>
  </si>
  <si>
    <t>Rental of industrial premises</t>
  </si>
  <si>
    <t>Others</t>
  </si>
  <si>
    <t>III.</t>
  </si>
  <si>
    <t>GROSS PROFIT (LOSS)</t>
  </si>
  <si>
    <t>IV.</t>
  </si>
  <si>
    <t>OPERATING COSTS</t>
  </si>
  <si>
    <t xml:space="preserve">  IV.1</t>
  </si>
  <si>
    <t>For sale</t>
  </si>
  <si>
    <t>Rent of premises</t>
  </si>
  <si>
    <t xml:space="preserve">  IV.2</t>
  </si>
  <si>
    <t>General and administrative</t>
  </si>
  <si>
    <t>V.</t>
  </si>
  <si>
    <t>PROFIT (LOSS) FROM TYPICAL OPERATIONS</t>
  </si>
  <si>
    <t>VI.</t>
  </si>
  <si>
    <t>ANOTHER ACTIVITY</t>
  </si>
  <si>
    <t xml:space="preserve">  VI.1.</t>
  </si>
  <si>
    <t>Income</t>
  </si>
  <si>
    <t xml:space="preserve">  VI.2.</t>
  </si>
  <si>
    <t>Costs</t>
  </si>
  <si>
    <t>VII.</t>
  </si>
  <si>
    <t>FINANCING AND INVESTING ACTIVITIES</t>
  </si>
  <si>
    <t xml:space="preserve">  VII.1.</t>
  </si>
  <si>
    <t xml:space="preserve">  VII.2.</t>
  </si>
  <si>
    <t>VIII.</t>
  </si>
  <si>
    <t>ORDINARY PROFIT (LOSS)</t>
  </si>
  <si>
    <t>X.</t>
  </si>
  <si>
    <t>LOSSES</t>
  </si>
  <si>
    <t>XI.</t>
  </si>
  <si>
    <t>PROFIT (LOSS) BEFORE TAX</t>
  </si>
  <si>
    <t>XII.</t>
  </si>
  <si>
    <t>INCOME TAX</t>
  </si>
  <si>
    <t>XIII.</t>
  </si>
  <si>
    <t>NET PROFIT (LOSS)</t>
  </si>
  <si>
    <t>Actual</t>
  </si>
  <si>
    <t>FIXED ASSETS</t>
  </si>
  <si>
    <t>INTANGIBLE ASSETS</t>
  </si>
  <si>
    <t>Patents and licenses</t>
  </si>
  <si>
    <t>software</t>
  </si>
  <si>
    <t>Other current assets</t>
  </si>
  <si>
    <t>MATERIAL WEALTH</t>
  </si>
  <si>
    <t>Earth</t>
  </si>
  <si>
    <t>Buildings and structures</t>
  </si>
  <si>
    <t>Machinery and equipment</t>
  </si>
  <si>
    <t>Vehicles</t>
  </si>
  <si>
    <t>Other equipment, tools and installations</t>
  </si>
  <si>
    <t>Construction work in progress</t>
  </si>
  <si>
    <t>FINANCIAL PROPERTY</t>
  </si>
  <si>
    <t>OTHER FIXED ASSETS</t>
  </si>
  <si>
    <t>CURRENT ASSETS</t>
  </si>
  <si>
    <t>STOCKS</t>
  </si>
  <si>
    <t>Raw materials and components</t>
  </si>
  <si>
    <t>Unfinished production</t>
  </si>
  <si>
    <t>Finished products</t>
  </si>
  <si>
    <t>Goods for resale</t>
  </si>
  <si>
    <t>Other</t>
  </si>
  <si>
    <t>AMOUNTS RECEIVABLE DURING ONE YEAR</t>
  </si>
  <si>
    <t>Trade receivables</t>
  </si>
  <si>
    <t>Other receivables</t>
  </si>
  <si>
    <t>OTHER CURRENT ASSETS</t>
  </si>
  <si>
    <t>CASH AND CASH EQUIVALENTS</t>
  </si>
  <si>
    <t>TOTAL ASSETS:</t>
  </si>
  <si>
    <t>PERSONAL CAPITAL</t>
  </si>
  <si>
    <t>CAPITAL:</t>
  </si>
  <si>
    <t>Authorized capital</t>
  </si>
  <si>
    <t>Discount extras</t>
  </si>
  <si>
    <t>REVALUATION RESERVE</t>
  </si>
  <si>
    <t>RESERVES:</t>
  </si>
  <si>
    <t>Mandatory</t>
  </si>
  <si>
    <t>Kiti</t>
  </si>
  <si>
    <t>Retained Earnings (LOSS)</t>
  </si>
  <si>
    <t>Profit (loss) for the reporting year</t>
  </si>
  <si>
    <t>Profit (loss) for the previous year</t>
  </si>
  <si>
    <t>GRANTS AND SUBSIDIES</t>
  </si>
  <si>
    <t>PAYMENT SUMS AND LIABILITIES</t>
  </si>
  <si>
    <t>AMOUNTS PAYABLE AFTER ONE YEAR AND NON-CURRENT LIABILITIES</t>
  </si>
  <si>
    <t>Financial debts</t>
  </si>
  <si>
    <t>Other debts</t>
  </si>
  <si>
    <t>AMOUNTS PAYABLE WITHIN ONE YEAR AND CURRENT LIABILITIES</t>
  </si>
  <si>
    <t>Current part of long - term debt</t>
  </si>
  <si>
    <t>Debts to suppliers</t>
  </si>
  <si>
    <t>TOTAL EQUITY AND LIABILITIES:</t>
  </si>
  <si>
    <t>Cash inflow (including VAT):</t>
  </si>
  <si>
    <t>From customers</t>
  </si>
  <si>
    <t>Cash benefits:</t>
  </si>
  <si>
    <t>Money paid to suppliers</t>
  </si>
  <si>
    <t>For wages</t>
  </si>
  <si>
    <t>Fees paid</t>
  </si>
  <si>
    <t>Other benefits</t>
  </si>
  <si>
    <t>Net cash flows from manufacturing activities</t>
  </si>
  <si>
    <t>Acquisition of fixed assets</t>
  </si>
  <si>
    <t>Transfer of fixed assets</t>
  </si>
  <si>
    <t>Other cash flows from investing activities (listed)</t>
  </si>
  <si>
    <t>Net cash flows from investing activities</t>
  </si>
  <si>
    <t>Shareholders' contributions</t>
  </si>
  <si>
    <t>Dividends are paid</t>
  </si>
  <si>
    <t>Obtaining loans</t>
  </si>
  <si>
    <t>Repayment of loans</t>
  </si>
  <si>
    <t>Interest paid</t>
  </si>
  <si>
    <t>Other cash flows from financing activities</t>
  </si>
  <si>
    <t>Net cash flows from financing activities</t>
  </si>
  <si>
    <t>Cash flow</t>
  </si>
  <si>
    <t>Amount of money at the beginning of the year</t>
  </si>
  <si>
    <t>Amount of money at the end of the year</t>
  </si>
  <si>
    <t>Check</t>
  </si>
  <si>
    <t>The cost of financial investments and payback periods:</t>
  </si>
  <si>
    <t>https://pages.stern.nyu.edu/~adamodar/New_Home_Page/datacurrent.html?fbclid=IwZXh0bgNhZW0CMTAAAR2ZA4UAfETj5rgNOCKWprAbfo1dRmYW7qBZwCw5wZFQT2_6pmLDSfjN1i4_aem_AftDyP-0CnSdMKtTUwItrb8A-5-G9-lQ2aIBHM2znQ7JYlQYT1LBx8wFCwhUs2oesI0jimWzRak2Zq3925c0CPhu</t>
  </si>
  <si>
    <t xml:space="preserve"> </t>
  </si>
  <si>
    <t>Cash Flows Projection</t>
  </si>
  <si>
    <t>Year 1</t>
  </si>
  <si>
    <t>Year 2</t>
  </si>
  <si>
    <t>Year 3</t>
  </si>
  <si>
    <t>Year 4</t>
  </si>
  <si>
    <t>Year 5</t>
  </si>
  <si>
    <t>Year 6</t>
  </si>
  <si>
    <t>Year 7</t>
  </si>
  <si>
    <t>Year 8</t>
  </si>
  <si>
    <t>Year 9</t>
  </si>
  <si>
    <t>Year 10</t>
  </si>
  <si>
    <t>Year</t>
  </si>
  <si>
    <t>Cumulative investment + costs</t>
  </si>
  <si>
    <t>NPV</t>
  </si>
  <si>
    <t>ROI</t>
  </si>
  <si>
    <t>IRR</t>
  </si>
  <si>
    <t>Total Sales Revenue (in EUR)</t>
  </si>
  <si>
    <t>Additional Sales Revenue (from investment only)</t>
  </si>
  <si>
    <t>Net Present Value (NPV)</t>
  </si>
  <si>
    <t>Total NPV</t>
  </si>
  <si>
    <t>Initial investment</t>
  </si>
  <si>
    <t>Internal Rate of Return (IRR)</t>
  </si>
  <si>
    <t>.</t>
  </si>
  <si>
    <t>Payback Period</t>
  </si>
  <si>
    <t>Loan amount</t>
  </si>
  <si>
    <t>Annual interest rate</t>
  </si>
  <si>
    <t>Duration (years)</t>
  </si>
  <si>
    <t>Interest</t>
  </si>
  <si>
    <t>Total Repayment</t>
  </si>
  <si>
    <t>Repayment</t>
  </si>
  <si>
    <t>Cumulative Loan amount</t>
  </si>
  <si>
    <t>Total repayment</t>
  </si>
  <si>
    <t>Total number of payments</t>
  </si>
  <si>
    <t>Opportunity costs</t>
  </si>
  <si>
    <t>2. Data preparation</t>
  </si>
  <si>
    <t>Scenario 1</t>
  </si>
  <si>
    <t>Scenario 2</t>
  </si>
  <si>
    <t>Current revenue</t>
  </si>
  <si>
    <t>Profitability Index (PI)</t>
  </si>
  <si>
    <t>PI</t>
  </si>
  <si>
    <t>The company would allocate 5.4 mln. to the first scenario and 8 mln. to the second one. The money for investment will be collected for own funds, credit institutions and private investors.</t>
  </si>
  <si>
    <t>Value of investment</t>
  </si>
  <si>
    <t>Sources of financing:</t>
  </si>
  <si>
    <t>The projected cost of the projects, as well as investment are presented in the table below.</t>
  </si>
  <si>
    <t>Date updated:</t>
  </si>
  <si>
    <t>YouTube Video explaining estimation choices and process.</t>
  </si>
  <si>
    <t>Notes</t>
  </si>
  <si>
    <t>Created by:</t>
  </si>
  <si>
    <t>Aswath Damodaran, adamodar@stern.nyu.edu</t>
  </si>
  <si>
    <t>Pricing ratios (or multiples) can be used to price companies, with the end game of determining whether they are under or over priced.</t>
  </si>
  <si>
    <t>What is this data?</t>
  </si>
  <si>
    <t>Cost of equity and capital (updateable)</t>
  </si>
  <si>
    <t>Western Europe</t>
  </si>
  <si>
    <t>Home Page:</t>
  </si>
  <si>
    <t>http://www.damodaran.com</t>
  </si>
  <si>
    <t>Data website:</t>
  </si>
  <si>
    <t>https://pages.stern.nyu.edu/~adamodar/New_Home_Page/data.html</t>
  </si>
  <si>
    <t>Companies in each industry:</t>
  </si>
  <si>
    <t>https://pages.stern.nyu.edu/~adamodar/pc/datasets/indname.xls</t>
  </si>
  <si>
    <t>Variable definitions:</t>
  </si>
  <si>
    <t>https://pages.stern.nyu.edu/~adamodar/New_Home_Page/datafile/variable.htm</t>
  </si>
  <si>
    <t>To update this spreadsheet, enter the following</t>
  </si>
  <si>
    <t>Cost of Debt Lookup Table (based on std dev in stock prices)</t>
  </si>
  <si>
    <t>Long Term Treasury bond rate =</t>
  </si>
  <si>
    <t>Standard Deviation</t>
  </si>
  <si>
    <t>Basis Spread</t>
  </si>
  <si>
    <t>Risk Premium to Use for Equity =</t>
  </si>
  <si>
    <t>Global Default Spread to add to cost of debt =</t>
  </si>
  <si>
    <t>Do you want to use the marginal tax rate for cost of debt?</t>
  </si>
  <si>
    <t>Yes</t>
  </si>
  <si>
    <t>If yes, enter the marginal tax rate to use</t>
  </si>
  <si>
    <t>These costs of capital are in US$. To convert to a different currency, please enter</t>
  </si>
  <si>
    <t>Expected inflation rate in Euros =</t>
  </si>
  <si>
    <t>Expected inflation rate in US $ =</t>
  </si>
  <si>
    <t>Industry Name</t>
  </si>
  <si>
    <t>Number of Firms</t>
  </si>
  <si>
    <t>Beta</t>
  </si>
  <si>
    <t>Cost of Equity</t>
  </si>
  <si>
    <t>E/(D+E)</t>
  </si>
  <si>
    <t>Std Dev in Stock</t>
  </si>
  <si>
    <t>Cost of Debt</t>
  </si>
  <si>
    <t>Tax Rate</t>
  </si>
  <si>
    <t>After-tax Cost of Debt</t>
  </si>
  <si>
    <t>D/(D+E)</t>
  </si>
  <si>
    <t>Cost of Capital</t>
  </si>
  <si>
    <t>Cost of Capital (Euros)</t>
  </si>
  <si>
    <t>Advertising</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</si>
  <si>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</si>
  <si>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</si>
  <si>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</si>
  <si>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</si>
  <si>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</si>
  <si>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</si>
  <si>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</si>
  <si>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</si>
  <si>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</si>
  <si>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</si>
  <si>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</si>
  <si>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</si>
  <si>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</si>
  <si>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</si>
  <si>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</si>
  <si>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</si>
  <si>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</si>
  <si>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</si>
  <si>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</si>
  <si>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</si>
  <si>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</si>
  <si>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</si>
  <si>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</si>
  <si>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</si>
  <si>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</si>
  <si>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</si>
  <si>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</si>
  <si>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</si>
  <si>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</si>
  <si>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</si>
  <si>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</si>
  <si>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</si>
  <si>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</si>
  <si>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</si>
  <si>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</si>
  <si>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</si>
  <si>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</si>
  <si>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</si>
  <si>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</si>
  <si>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</si>
  <si>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</si>
  <si>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</si>
  <si>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</si>
  <si>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</si>
  <si>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</si>
  <si>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</si>
  <si>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</si>
  <si>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</si>
  <si>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</si>
  <si>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</si>
  <si>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</si>
  <si>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</si>
  <si>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</si>
  <si>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</si>
  <si>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</si>
  <si>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</si>
  <si>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</si>
  <si>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</si>
  <si>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</si>
  <si>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</si>
  <si>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</si>
  <si>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</si>
  <si>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</si>
  <si>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</si>
  <si>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</si>
  <si>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</si>
  <si>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</si>
  <si>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</si>
  <si>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</si>
  <si>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</si>
  <si>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</si>
  <si>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</si>
  <si>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</si>
  <si>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(REITs)</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</si>
  <si>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</si>
  <si>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</si>
  <si>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</si>
  <si>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</si>
  <si>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</si>
  <si>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</si>
  <si>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</si>
  <si>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</si>
  <si>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</si>
  <si>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</si>
  <si>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</si>
  <si>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</si>
  <si>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</si>
  <si>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</si>
  <si>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</si>
  <si>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</si>
  <si>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</si>
  <si>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</si>
  <si>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</si>
  <si>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Total Market</t>
  </si>
  <si>
    <t>Total Market (without financials)</t>
  </si>
  <si>
    <t>End Game</t>
  </si>
  <si>
    <t>To estimate the hurdle rate (required return) on both equity and overall capital invested for firms.</t>
  </si>
  <si>
    <t>Variable</t>
  </si>
  <si>
    <t>Explanation</t>
  </si>
  <si>
    <t>Why?</t>
  </si>
  <si>
    <t>Number of firms</t>
  </si>
  <si>
    <t>Number of firms in the indusry grouping.</t>
  </si>
  <si>
    <t>Law of large numbers?</t>
  </si>
  <si>
    <t>Average regression beta across companies in the group.</t>
  </si>
  <si>
    <t>Relative risk of sector</t>
  </si>
  <si>
    <t>Risk free Rate + Beta * Equity Risk Premium, in US $</t>
  </si>
  <si>
    <t>Required return on equity, given equity risk (beta).</t>
  </si>
  <si>
    <t>Total Debt (including lease debt)/ (Total Debt (including lease debt)+ Market Cap), aggregated across all firms in group, with all numbers other than market cap coming from most recent balance sheet; market cap is as of last day of the most recent year.</t>
  </si>
  <si>
    <t>Measure of debt used, as a proportion of overall funding (based upon market value)</t>
  </si>
  <si>
    <t>Cost of debt</t>
  </si>
  <si>
    <t>Pre-tax cost of borrowing for sector, estimated based upon the standard deviation of equity.</t>
  </si>
  <si>
    <t>This is an approximation, but the alternatives are not attractive. I could estimate the average cost of debt across firms in the group, but many of them are unrated and there are outliers.</t>
  </si>
  <si>
    <t>Pre-tax cost of borrowing  (1- Marginal tax rate), in US $</t>
  </si>
  <si>
    <t>Interest saves you taxes, at the margin.</t>
  </si>
  <si>
    <t>Cost of Equity * (Equity/ (Debt + Equity)) + Cost of Debt (1- Marginal tax rate) *(Debt/ (Debt + Equity)), with aggregated debt and market equity values across all companies in the sector, using most recent balance sheet for debt and most recent year-end for equity.</t>
  </si>
  <si>
    <t>Required return on invested capital.</t>
  </si>
  <si>
    <t>Cost of Capital (local currency)</t>
  </si>
  <si>
    <t>You can convert the $ cost of capital for a sector into any other currency, if you can estimate an expected inflation rate for the local currency.</t>
  </si>
  <si>
    <t>Required return on invested capital, converted into local currency.</t>
  </si>
  <si>
    <t>Damodarn.com</t>
  </si>
  <si>
    <t>Industry averages required rate of return</t>
  </si>
  <si>
    <t>Damodarn Industry Averages'!A1</t>
  </si>
  <si>
    <t>Eurostat</t>
  </si>
  <si>
    <t xml:space="preserve">https://ec.europa.eu/eurostat/statistics-explained/index.php?title=Consumer_prices_-_inflation#:~:text=Inflation%3A%20price%20changes%20over%20time%20in%20the%20European%20Union,-Over%20the%20last&amp;text=The%20average%20annual%20inflation%20rate,high%20of%209.2%20%25%20in%202022. </t>
  </si>
  <si>
    <t>Statista.com</t>
  </si>
  <si>
    <t xml:space="preserve">https://www.statista.com/statistics/1440325/forecasts-inflation-hicp-rate-european-union/#:~:text=Inflation%20in%20the%20Euro%20currency,3.3%20percent%20over%20the%20year. </t>
  </si>
  <si>
    <t>3. Data Analysis</t>
  </si>
  <si>
    <t>Private Investment Loan:</t>
  </si>
  <si>
    <t>Loan repayment</t>
  </si>
  <si>
    <t>at the end of 5 years</t>
  </si>
  <si>
    <t>Bank Loan:</t>
  </si>
  <si>
    <t>Assumed loan amount</t>
  </si>
  <si>
    <t>Outstanding loan</t>
  </si>
  <si>
    <t>YoY growth</t>
  </si>
  <si>
    <t>Cash Flow Projection</t>
  </si>
  <si>
    <t>Total Net Cash Flow</t>
  </si>
  <si>
    <t>Total Net Present Value (NPV)</t>
  </si>
  <si>
    <t>Scenario 1 Private Loan</t>
  </si>
  <si>
    <t>Scenario 1 Bank Loan</t>
  </si>
  <si>
    <t>Cumulative Net Cash Flow (Before Tax)</t>
  </si>
  <si>
    <t>Opportunity Costs</t>
  </si>
  <si>
    <t>Break Even Analysis</t>
  </si>
  <si>
    <t>Total investment with costs</t>
  </si>
  <si>
    <t>Risk analysis</t>
  </si>
  <si>
    <t>Cost of external financing and loan repayment for Scenario 1</t>
  </si>
  <si>
    <t>Break-even scenario 2</t>
  </si>
  <si>
    <t>Break-even scenario 1</t>
  </si>
  <si>
    <t xml:space="preserve">Cumulative sales </t>
  </si>
  <si>
    <t>Cumulative sales</t>
  </si>
  <si>
    <t>Cumulative Total NPV</t>
  </si>
  <si>
    <t xml:space="preserve">Net Cash Flow </t>
  </si>
  <si>
    <t>Total NPV (Discounted Total Net Cash Flow)</t>
  </si>
  <si>
    <r>
      <rPr>
        <sz val="11"/>
        <rFont val="Arial"/>
        <family val="2"/>
        <charset val="238"/>
        <scheme val="minor"/>
      </rPr>
      <t>"a monthly loan balance of EUR 500,000 is repaid"</t>
    </r>
    <r>
      <rPr>
        <sz val="11"/>
        <color rgb="FFFF0000"/>
        <rFont val="Arial"/>
        <family val="2"/>
        <charset val="238"/>
        <scheme val="minor"/>
      </rPr>
      <t xml:space="preserve"> - assumed it is a balance per year</t>
    </r>
  </si>
  <si>
    <t>PV of initial investment</t>
  </si>
  <si>
    <t>Year 0</t>
  </si>
  <si>
    <t>Total Net Cash Flows</t>
  </si>
  <si>
    <t>Net Cash Flows</t>
  </si>
  <si>
    <t>Equity</t>
  </si>
  <si>
    <t>Loan</t>
  </si>
  <si>
    <t>Source of founds</t>
  </si>
  <si>
    <t>Additional Sales Revenue (Investment Cash Inflows)</t>
  </si>
  <si>
    <t>Loan Cash Inflows</t>
  </si>
  <si>
    <t>Operational costs outflows: salaries</t>
  </si>
  <si>
    <t>Operational costs outflows: marketing</t>
  </si>
  <si>
    <t>Operational costs: Bank loan principal repayment</t>
  </si>
  <si>
    <t>Total Operational costs outflows</t>
  </si>
  <si>
    <t>Operational cash outflows</t>
  </si>
  <si>
    <t>Net Cash Flow</t>
  </si>
  <si>
    <t>Total loan cash outflows</t>
  </si>
  <si>
    <t>Salary per employee with inflation</t>
  </si>
  <si>
    <t>Number of ppl</t>
  </si>
  <si>
    <t>Investment structure</t>
  </si>
  <si>
    <t>NPV of future cash flows</t>
  </si>
  <si>
    <t>Loan cash inflows</t>
  </si>
  <si>
    <t>ROE</t>
  </si>
  <si>
    <t>Return on Investment (ROI) and Return on Equity (ROE)</t>
  </si>
  <si>
    <t>Initial investment (equity + loan)</t>
  </si>
  <si>
    <t>Equity investment</t>
  </si>
  <si>
    <t>Total Net Cash Flow s</t>
  </si>
  <si>
    <t xml:space="preserve">Cumulative sales projection </t>
  </si>
  <si>
    <t>Cumulative sales projection</t>
  </si>
  <si>
    <t>Initial investment - loan inflow</t>
  </si>
  <si>
    <t>Total operational costs</t>
  </si>
  <si>
    <t>Investment profitability</t>
  </si>
  <si>
    <t>Profitability of invested equity</t>
  </si>
  <si>
    <t>Invested equity</t>
  </si>
  <si>
    <t>1. Defining business problem</t>
  </si>
  <si>
    <t>Investment assumptions:</t>
  </si>
  <si>
    <t>Financial statement (Income statement, Balance Sheet, Cash Flow Statement) of the company for 2016 and 2017 was reviewed for further data necessary for the analysis.</t>
  </si>
  <si>
    <t>Additional necessary assumptions and data has been used for the analysis:</t>
  </si>
  <si>
    <t>Links to external sources used for assumptions:</t>
  </si>
  <si>
    <t>Investment structure and source of investment founding</t>
  </si>
  <si>
    <t>Investment Cash Outflows</t>
  </si>
  <si>
    <t>Operational costs outflows: salaries &amp; marketing plus inflation</t>
  </si>
  <si>
    <t>Operational costs outflows: Private loan interest</t>
  </si>
  <si>
    <t>Operational costs outflows: Private loan principal repayment</t>
  </si>
  <si>
    <t>Operational costs outflows: Bank loan interest</t>
  </si>
  <si>
    <t>4. Conclusions and recommendation</t>
  </si>
  <si>
    <t>CapEx</t>
  </si>
  <si>
    <t>OpEX</t>
  </si>
  <si>
    <t>Variables</t>
  </si>
  <si>
    <t>Investment structure:</t>
  </si>
  <si>
    <t>Total Cash Net Cash Flow</t>
  </si>
  <si>
    <t>Break even point</t>
  </si>
  <si>
    <t>Profitability Index for initial investment</t>
  </si>
  <si>
    <t>Profitability Index for invested equity</t>
  </si>
  <si>
    <t>Risks</t>
  </si>
  <si>
    <t>CapEx:</t>
  </si>
  <si>
    <t>OpEx:</t>
  </si>
  <si>
    <t>Duration in years</t>
  </si>
  <si>
    <t>Return on invested Equity</t>
  </si>
  <si>
    <t>Payback period in years</t>
  </si>
  <si>
    <t xml:space="preserve">
1. Cash for bank loan and interest repayment in the first two years of the project (2018 and 2019)
In the first scenario the company needs to secure cash for repayment of the first two years of bank loan instalments and interest (2018 €540,000, 2019 €590,000). In the first two years there will be no additional sales (cash inflows) from the investment to cover projected bank loan repayment. According to the company's balance sheet the company rather does not have cash to cover those payments. The company should analyse if the projected net profit from current business operations in 2018 and 2019 will be sufficient to secure cash for loan repayment (net profit in 2017 €365,384). If not, the company should negotiate loan repayment conditions, take additional loan or increase capital and own founds part of the investment.
2. Loan repayment in case of project's failure
In case the project will not generate projected sales the company may not be able to repay the loans (total loans repayment €3,025,000). This may result even in company's bankruptcy. 
3. Potential loss mitigation.
In case of the project failure the potential failure to repay the loans or stakeholder's loss might be mitigated by selling the assets from the investment - building and equipment (€4,528,273)</t>
  </si>
  <si>
    <t>The project is based on investment in operational costs only (€8,000,000 in purchase of services,  no assumption  that the "digital product" might be an asset representing market value). In case of project's failure the stakeholders' loss might not be recovered or mitigated from assets associated with the investment.</t>
  </si>
  <si>
    <t>Source of founding: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</si>
</sst>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 [$€-1]"/>
    <numFmt numFmtId="166" formatCode="[$€-2]\ #,##0"/>
    <numFmt numFmtId="167" formatCode="#,##0.000000"/>
  </numFmts>
  <fonts count="66">
    <font>
      <sz val="10"/>
      <color rgb="FF000000"/>
      <name val="Arial"/>
      <scheme val="minor"/>
    </font>
    <font>
      <sz val="10"/>
      <color theme="1"/>
      <name val="Arial"/>
      <family val="2"/>
      <charset val="238"/>
    </font>
    <font>
      <sz val="10"/>
      <color theme="1"/>
      <name val="Arial"/>
      <family val="2"/>
      <charset val="238"/>
    </font>
    <font>
      <b/>
      <sz val="10"/>
      <color theme="1"/>
      <name val="Arial"/>
      <family val="2"/>
      <charset val="238"/>
    </font>
    <font>
      <b/>
      <i/>
      <sz val="10"/>
      <color theme="1"/>
      <name val="Arial"/>
      <family val="2"/>
      <charset val="238"/>
    </font>
    <font>
      <b/>
      <sz val="10"/>
      <color theme="1"/>
      <name val="Arial"/>
      <family val="2"/>
      <charset val="238"/>
    </font>
    <font>
      <sz val="10"/>
      <name val="Arial"/>
      <family val="2"/>
      <charset val="238"/>
    </font>
    <font>
      <sz val="11"/>
      <color rgb="FF000000"/>
      <name val="Calibri"/>
      <family val="2"/>
      <charset val="238"/>
    </font>
    <font>
      <b/>
      <sz val="11"/>
      <color rgb="FF000000"/>
      <name val="Calibri"/>
      <family val="2"/>
      <charset val="238"/>
    </font>
    <font>
      <i/>
      <sz val="10"/>
      <color theme="1"/>
      <name val="Arial"/>
      <family val="2"/>
      <charset val="238"/>
    </font>
    <font>
      <sz val="10"/>
      <color theme="1"/>
      <name val="Times New Roman"/>
      <family val="1"/>
      <charset val="238"/>
    </font>
    <font>
      <b/>
      <sz val="10"/>
      <color theme="1"/>
      <name val="Times New Roman"/>
      <family val="1"/>
      <charset val="238"/>
    </font>
    <font>
      <i/>
      <sz val="10"/>
      <color rgb="FF000000"/>
      <name val="Times New Roman"/>
      <family val="1"/>
      <charset val="238"/>
    </font>
    <font>
      <u/>
      <sz val="10"/>
      <color rgb="FF000000"/>
      <name val="Arial"/>
      <family val="2"/>
      <charset val="238"/>
    </font>
    <font>
      <sz val="10"/>
      <color rgb="FF000000"/>
      <name val="Arial"/>
      <family val="2"/>
      <charset val="238"/>
    </font>
    <font>
      <b/>
      <sz val="10"/>
      <color rgb="FF000000"/>
      <name val="Arial"/>
      <family val="2"/>
      <charset val="238"/>
    </font>
    <font>
      <sz val="10"/>
      <color rgb="FF000000"/>
      <name val="Arial"/>
      <family val="2"/>
      <charset val="238"/>
      <scheme val="minor"/>
    </font>
    <font>
      <b/>
      <sz val="10"/>
      <color rgb="FF000000"/>
      <name val="Arial"/>
      <family val="2"/>
      <charset val="238"/>
      <scheme val="minor"/>
    </font>
    <font>
      <u/>
      <sz val="10"/>
      <color theme="10"/>
      <name val="Arial"/>
      <family val="2"/>
      <charset val="238"/>
      <scheme val="minor"/>
    </font>
    <font>
      <i/>
      <sz val="10"/>
      <color rgb="FF000000"/>
      <name val="Arial"/>
      <family val="2"/>
      <charset val="238"/>
      <scheme val="minor"/>
    </font>
    <font>
      <sz val="8"/>
      <name val="Arial"/>
      <family val="2"/>
      <charset val="238"/>
      <scheme val="minor"/>
    </font>
    <font>
      <sz val="10"/>
      <color rgb="FFFF0000"/>
      <name val="Arial"/>
      <family val="2"/>
      <charset val="238"/>
      <scheme val="minor"/>
    </font>
    <font>
      <b/>
      <sz val="10"/>
      <color rgb="FFFF0000"/>
      <name val="Arial"/>
      <family val="2"/>
      <charset val="238"/>
      <scheme val="minor"/>
    </font>
    <font>
      <sz val="11"/>
      <color rgb="FFFF0000"/>
      <name val="Arial"/>
      <family val="2"/>
      <charset val="238"/>
      <scheme val="minor"/>
    </font>
    <font>
      <sz val="11"/>
      <color theme="0"/>
      <name val="Arial"/>
      <family val="2"/>
      <charset val="238"/>
      <scheme val="minor"/>
    </font>
    <font>
      <sz val="11"/>
      <color rgb="FF000000"/>
      <name val="Arial"/>
      <family val="2"/>
      <charset val="238"/>
      <scheme val="minor"/>
    </font>
    <font>
      <b/>
      <sz val="14"/>
      <color rgb="FF000000"/>
      <name val="Arial"/>
      <family val="2"/>
      <charset val="238"/>
      <scheme val="minor"/>
    </font>
    <font>
      <b/>
      <sz val="11"/>
      <color rgb="FF000000"/>
      <name val="Arial"/>
      <family val="2"/>
      <charset val="238"/>
      <scheme val="minor"/>
    </font>
    <font>
      <b/>
      <sz val="12"/>
      <color rgb="FF000000"/>
      <name val="Arial"/>
      <family val="2"/>
      <charset val="238"/>
      <scheme val="minor"/>
    </font>
    <font>
      <b/>
      <sz val="12.5"/>
      <color rgb="FF0D0D0D"/>
      <name val="Segoe UI"/>
      <family val="2"/>
      <charset val="238"/>
    </font>
    <font>
      <sz val="11"/>
      <color theme="1"/>
      <name val="Arial"/>
      <family val="2"/>
      <charset val="238"/>
    </font>
    <font>
      <b/>
      <sz val="11"/>
      <color theme="1"/>
      <name val="Arial"/>
      <family val="2"/>
      <charset val="238"/>
    </font>
    <font>
      <b/>
      <sz val="12"/>
      <color theme="1"/>
      <name val="Arial"/>
      <family val="2"/>
      <charset val="238"/>
    </font>
    <font>
      <b/>
      <sz val="14"/>
      <color theme="1"/>
      <name val="Arial"/>
      <family val="2"/>
      <charset val="238"/>
    </font>
    <font>
      <sz val="12"/>
      <color theme="1"/>
      <name val="Arial"/>
      <family val="2"/>
      <scheme val="minor"/>
    </font>
    <font>
      <b/>
      <sz val="12"/>
      <color rgb="FF000000"/>
      <name val="Arial"/>
      <family val="2"/>
      <scheme val="minor"/>
    </font>
    <font>
      <i/>
      <sz val="12"/>
      <color rgb="FF000000"/>
      <name val="Arial"/>
      <family val="2"/>
      <scheme val="minor"/>
    </font>
    <font>
      <u/>
      <sz val="12"/>
      <color theme="10"/>
      <name val="Arial"/>
      <family val="2"/>
      <scheme val="minor"/>
    </font>
    <font>
      <b/>
      <sz val="12"/>
      <color theme="1"/>
      <name val="Arial"/>
      <family val="2"/>
      <scheme val="minor"/>
    </font>
    <font>
      <sz val="12"/>
      <name val="Arial"/>
      <family val="2"/>
      <scheme val="minor"/>
    </font>
    <font>
      <b/>
      <i/>
      <sz val="10"/>
      <name val="Arial"/>
      <family val="2"/>
      <scheme val="minor"/>
    </font>
    <font>
      <sz val="10"/>
      <name val="Arial"/>
      <family val="2"/>
      <scheme val="minor"/>
    </font>
    <font>
      <sz val="10"/>
      <color theme="1"/>
      <name val="Arial"/>
      <family val="2"/>
      <scheme val="minor"/>
    </font>
    <font>
      <sz val="12"/>
      <color rgb="FF000000"/>
      <name val="Calibri"/>
      <family val="2"/>
    </font>
    <font>
      <i/>
      <sz val="9"/>
      <name val="Geneva"/>
      <family val="2"/>
      <charset val="1"/>
    </font>
    <font>
      <sz val="9"/>
      <name val="Geneva"/>
      <family val="2"/>
      <charset val="1"/>
    </font>
    <font>
      <i/>
      <sz val="10"/>
      <name val="Arial"/>
      <family val="2"/>
      <scheme val="minor"/>
    </font>
    <font>
      <b/>
      <sz val="10"/>
      <name val="Arial"/>
      <family val="2"/>
      <scheme val="minor"/>
    </font>
    <font>
      <b/>
      <sz val="10"/>
      <color theme="1"/>
      <name val="Arial"/>
      <family val="2"/>
      <scheme val="minor"/>
    </font>
    <font>
      <b/>
      <sz val="10"/>
      <name val="Verdana"/>
      <family val="2"/>
    </font>
    <font>
      <sz val="14"/>
      <color theme="1"/>
      <name val="Arial"/>
      <family val="2"/>
      <scheme val="minor"/>
    </font>
    <font>
      <sz val="12"/>
      <color rgb="FFFF0000"/>
      <name val="Arial"/>
      <family val="2"/>
      <scheme val="minor"/>
    </font>
    <font>
      <b/>
      <i/>
      <sz val="10"/>
      <color rgb="FF000000"/>
      <name val="Arial"/>
      <family val="2"/>
      <charset val="238"/>
      <scheme val="minor"/>
    </font>
    <font>
      <sz val="10"/>
      <name val="Arial"/>
      <family val="2"/>
      <charset val="238"/>
      <scheme val="minor"/>
    </font>
    <font>
      <b/>
      <sz val="10"/>
      <name val="Arial"/>
      <family val="2"/>
      <charset val="238"/>
      <scheme val="minor"/>
    </font>
    <font>
      <sz val="10"/>
      <color theme="0"/>
      <name val="Arial"/>
      <family val="2"/>
      <charset val="238"/>
      <scheme val="minor"/>
    </font>
    <font>
      <b/>
      <i/>
      <sz val="11"/>
      <color theme="1"/>
      <name val="Arial"/>
      <family val="2"/>
      <charset val="238"/>
    </font>
    <font>
      <b/>
      <sz val="10"/>
      <color theme="0"/>
      <name val="Arial"/>
      <family val="2"/>
      <charset val="238"/>
      <scheme val="minor"/>
    </font>
    <font>
      <sz val="10"/>
      <color theme="4"/>
      <name val="Arial"/>
      <family val="2"/>
      <charset val="238"/>
      <scheme val="minor"/>
    </font>
    <font>
      <b/>
      <sz val="10"/>
      <color theme="4"/>
      <name val="Arial"/>
      <family val="2"/>
      <charset val="238"/>
      <scheme val="minor"/>
    </font>
    <font>
      <b/>
      <sz val="12"/>
      <color theme="4"/>
      <name val="Arial"/>
      <family val="2"/>
      <charset val="238"/>
      <scheme val="minor"/>
    </font>
    <font>
      <b/>
      <sz val="12"/>
      <color theme="0"/>
      <name val="Arial"/>
      <family val="2"/>
      <charset val="238"/>
      <scheme val="minor"/>
    </font>
    <font>
      <sz val="11"/>
      <name val="Arial"/>
      <family val="2"/>
      <charset val="238"/>
      <scheme val="minor"/>
    </font>
    <font>
      <b/>
      <sz val="12"/>
      <name val="Arial"/>
      <family val="2"/>
      <charset val="238"/>
      <scheme val="minor"/>
    </font>
    <font>
      <sz val="10"/>
      <color rgb="FFFF0000"/>
      <name val="Arial"/>
      <family val="2"/>
      <charset val="238"/>
    </font>
    <font>
      <i/>
      <sz val="10"/>
      <color theme="0"/>
      <name val="Arial"/>
      <family val="2"/>
      <charset val="238"/>
      <scheme val="minor"/>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0.14999847407452621"/>
        <bgColor indexed="64"/>
      </patternFill>
    </fill>
    <fill>
      <patternFill patternType="solid">
        <fgColor rgb="FFFFFFCC"/>
        <bgColor indexed="64"/>
      </patternFill>
    </fill>
    <fill>
      <patternFill patternType="solid">
        <fgColor theme="0" tint="-0.14999847407452621"/>
        <bgColor rgb="FF000000"/>
      </patternFill>
    </fill>
    <fill>
      <patternFill patternType="solid">
        <fgColor rgb="FFFCF305"/>
        <bgColor rgb="FF000000"/>
      </patternFill>
    </fill>
    <fill>
      <patternFill patternType="solid">
        <fgColor theme="0" tint="-0.14999847407452621"/>
        <bgColor indexed="64"/>
      </patternFill>
    </fill>
    <fill>
      <patternFill patternType="solid">
        <fgColor theme="0" tint="-4.9989318521683403E-2"/>
        <bgColor indexed="64"/>
      </patternFill>
    </fill>
  </fills>
  <borders count="68">
    <border>
      <left/>
      <right/>
      <top/>
      <bottom/>
      <diagonal/>
    </border>
    <border>
      <left style="double">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medium">
        <color rgb="FF000000"/>
      </top>
      <bottom style="thin">
        <color rgb="FF000000"/>
      </bottom>
      <diagonal/>
    </border>
    <border>
      <left/>
      <right/>
      <top style="thin">
        <color rgb="FF000000"/>
      </top>
      <bottom/>
      <diagonal/>
    </border>
    <border>
      <left/>
      <right/>
      <top/>
      <bottom style="thin">
        <color rgb="FF000000"/>
      </bottom>
      <diagonal/>
    </border>
    <border>
      <left style="double">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double">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rgb="FF000000"/>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8" fillId="0" borderId="0" applyNumberFormat="0" applyFill="0" applyBorder="0" applyAlignment="0" applyProtection="0"/>
    <xf numFmtId="0" fontId="34" fillId="0" borderId="0"/>
    <xf numFmtId="0" fontId="37" fillId="0" borderId="0" applyNumberFormat="0" applyFill="0" applyBorder="0" applyAlignment="0" applyProtection="0"/>
    <xf numFmtId="9" fontId="34" fillId="0" borderId="0" applyFont="0" applyFill="0" applyBorder="0" applyAlignment="0" applyProtection="0"/>
  </cellStyleXfs>
  <cellXfs count="34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quotePrefix="1" applyFont="1" applyAlignment="1">
      <alignment horizontal="right"/>
    </xf>
    <xf numFmtId="0" fontId="5" fillId="0" borderId="0" xfId="0" applyFont="1"/>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7" fillId="0" borderId="7" xfId="0" applyFont="1" applyBorder="1" applyAlignment="1">
      <alignment horizontal="left" vertical="center"/>
    </xf>
    <xf numFmtId="4" fontId="2" fillId="0" borderId="6" xfId="0" applyNumberFormat="1" applyFont="1" applyBorder="1"/>
    <xf numFmtId="4" fontId="2" fillId="0" borderId="8" xfId="0" applyNumberFormat="1" applyFont="1" applyBorder="1"/>
    <xf numFmtId="0" fontId="8" fillId="0" borderId="7" xfId="0" applyFont="1" applyBorder="1" applyAlignment="1">
      <alignment vertical="center"/>
    </xf>
    <xf numFmtId="4" fontId="5" fillId="0" borderId="6" xfId="0" applyNumberFormat="1" applyFont="1" applyBorder="1"/>
    <xf numFmtId="4" fontId="5" fillId="0" borderId="8" xfId="0" applyNumberFormat="1" applyFont="1" applyBorder="1"/>
    <xf numFmtId="0" fontId="8" fillId="0" borderId="9" xfId="0" applyFont="1" applyBorder="1" applyAlignment="1">
      <alignment vertical="center"/>
    </xf>
    <xf numFmtId="4" fontId="5" fillId="0" borderId="10" xfId="0" applyNumberFormat="1" applyFont="1" applyBorder="1"/>
    <xf numFmtId="4" fontId="5" fillId="0" borderId="11" xfId="0" applyNumberFormat="1" applyFont="1" applyBorder="1"/>
    <xf numFmtId="4" fontId="2" fillId="0" borderId="11" xfId="0" applyNumberFormat="1" applyFont="1" applyBorder="1"/>
    <xf numFmtId="0" fontId="8" fillId="0" borderId="12" xfId="0" applyFont="1" applyBorder="1" applyAlignment="1">
      <alignment vertical="center"/>
    </xf>
    <xf numFmtId="4" fontId="5" fillId="0" borderId="13" xfId="0" applyNumberFormat="1" applyFont="1" applyBorder="1"/>
    <xf numFmtId="4" fontId="5" fillId="0" borderId="14" xfId="0" applyNumberFormat="1" applyFont="1" applyBorder="1"/>
    <xf numFmtId="4" fontId="5" fillId="0" borderId="15" xfId="0" applyNumberFormat="1" applyFont="1" applyBorder="1"/>
    <xf numFmtId="4" fontId="2" fillId="0" borderId="0" xfId="0" applyNumberFormat="1" applyFont="1"/>
    <xf numFmtId="0" fontId="9" fillId="0" borderId="0" xfId="0" applyFont="1"/>
    <xf numFmtId="0" fontId="10" fillId="0" borderId="0" xfId="0" applyFont="1"/>
    <xf numFmtId="164" fontId="10" fillId="0" borderId="0" xfId="0" applyNumberFormat="1" applyFont="1"/>
    <xf numFmtId="0" fontId="11" fillId="0" borderId="0" xfId="0" applyFont="1"/>
    <xf numFmtId="0" fontId="11" fillId="0" borderId="0" xfId="0" applyFont="1" applyAlignment="1">
      <alignment horizontal="left"/>
    </xf>
    <xf numFmtId="3" fontId="11" fillId="0" borderId="0" xfId="0" applyNumberFormat="1" applyFont="1" applyAlignment="1">
      <alignment horizontal="right"/>
    </xf>
    <xf numFmtId="0" fontId="12" fillId="0" borderId="0" xfId="0" applyFont="1" applyAlignment="1">
      <alignment vertical="center" wrapText="1"/>
    </xf>
    <xf numFmtId="3" fontId="10" fillId="0" borderId="0" xfId="0" applyNumberFormat="1" applyFont="1" applyAlignment="1">
      <alignment vertical="center" wrapText="1"/>
    </xf>
    <xf numFmtId="3" fontId="2" fillId="0" borderId="0" xfId="0" applyNumberFormat="1" applyFont="1" applyAlignment="1">
      <alignment vertical="center" wrapText="1"/>
    </xf>
    <xf numFmtId="3" fontId="11" fillId="0" borderId="0" xfId="0" applyNumberFormat="1" applyFont="1"/>
    <xf numFmtId="0" fontId="10" fillId="0" borderId="0" xfId="0" applyFont="1" applyAlignment="1">
      <alignment horizontal="left"/>
    </xf>
    <xf numFmtId="3" fontId="10" fillId="0" borderId="0" xfId="0" applyNumberFormat="1" applyFont="1"/>
    <xf numFmtId="1" fontId="10" fillId="0" borderId="0" xfId="0" applyNumberFormat="1" applyFont="1"/>
    <xf numFmtId="0" fontId="5" fillId="0" borderId="6" xfId="0" applyFont="1" applyBorder="1" applyAlignment="1">
      <alignment wrapText="1"/>
    </xf>
    <xf numFmtId="0" fontId="2" fillId="0" borderId="7" xfId="0" applyFont="1" applyBorder="1"/>
    <xf numFmtId="3" fontId="2" fillId="0" borderId="6" xfId="0" applyNumberFormat="1" applyFont="1" applyBorder="1"/>
    <xf numFmtId="0" fontId="2" fillId="0" borderId="7" xfId="0" applyFont="1" applyBorder="1" applyAlignment="1">
      <alignment horizontal="left"/>
    </xf>
    <xf numFmtId="0" fontId="2" fillId="0" borderId="19" xfId="0" applyFont="1" applyBorder="1" applyAlignment="1">
      <alignment horizontal="left"/>
    </xf>
    <xf numFmtId="3" fontId="2" fillId="0" borderId="20" xfId="0" applyNumberFormat="1" applyFont="1" applyBorder="1"/>
    <xf numFmtId="0" fontId="2" fillId="0" borderId="21" xfId="0" applyFont="1" applyBorder="1" applyAlignment="1">
      <alignment horizontal="left"/>
    </xf>
    <xf numFmtId="3" fontId="2" fillId="0" borderId="22" xfId="0" applyNumberFormat="1" applyFont="1" applyBorder="1"/>
    <xf numFmtId="0" fontId="2" fillId="0" borderId="23" xfId="0" applyFont="1" applyBorder="1" applyAlignment="1">
      <alignment horizontal="left"/>
    </xf>
    <xf numFmtId="3" fontId="2" fillId="0" borderId="24" xfId="0" applyNumberFormat="1" applyFont="1" applyBorder="1"/>
    <xf numFmtId="0" fontId="2" fillId="0" borderId="25" xfId="0" applyFont="1" applyBorder="1" applyAlignment="1">
      <alignment horizontal="left"/>
    </xf>
    <xf numFmtId="3" fontId="2" fillId="0" borderId="26" xfId="0" applyNumberFormat="1" applyFont="1" applyBorder="1"/>
    <xf numFmtId="0" fontId="5" fillId="0" borderId="12" xfId="0" applyFont="1" applyBorder="1"/>
    <xf numFmtId="3" fontId="5" fillId="0" borderId="14" xfId="0" applyNumberFormat="1" applyFont="1" applyBorder="1"/>
    <xf numFmtId="3" fontId="2" fillId="0" borderId="0" xfId="0" applyNumberFormat="1" applyFont="1"/>
    <xf numFmtId="0" fontId="2" fillId="0" borderId="27" xfId="0" applyFont="1" applyBorder="1"/>
    <xf numFmtId="3" fontId="2" fillId="0" borderId="28" xfId="0" applyNumberFormat="1" applyFont="1" applyBorder="1"/>
    <xf numFmtId="0" fontId="2" fillId="0" borderId="0" xfId="0" applyFont="1" applyAlignment="1">
      <alignment horizontal="right"/>
    </xf>
    <xf numFmtId="0" fontId="13" fillId="0" borderId="7" xfId="0" applyFont="1" applyBorder="1" applyAlignment="1">
      <alignment vertical="center" wrapText="1"/>
    </xf>
    <xf numFmtId="3" fontId="2" fillId="0" borderId="6" xfId="0" applyNumberFormat="1" applyFont="1" applyBorder="1" applyAlignment="1">
      <alignment vertical="center" wrapText="1"/>
    </xf>
    <xf numFmtId="0" fontId="14" fillId="0" borderId="7" xfId="0" applyFont="1" applyBorder="1" applyAlignment="1">
      <alignment vertical="center" wrapText="1"/>
    </xf>
    <xf numFmtId="0" fontId="15" fillId="0" borderId="7" xfId="0" applyFont="1" applyBorder="1" applyAlignment="1">
      <alignment vertical="center" wrapText="1"/>
    </xf>
    <xf numFmtId="3" fontId="5" fillId="0" borderId="6" xfId="0" applyNumberFormat="1" applyFont="1" applyBorder="1" applyAlignment="1">
      <alignment vertical="center" wrapText="1"/>
    </xf>
    <xf numFmtId="0" fontId="2" fillId="0" borderId="7" xfId="0" applyFont="1" applyBorder="1" applyAlignment="1">
      <alignment vertical="center" wrapText="1"/>
    </xf>
    <xf numFmtId="0" fontId="14" fillId="0" borderId="12" xfId="0" applyFont="1" applyBorder="1" applyAlignment="1">
      <alignment vertical="center" wrapText="1"/>
    </xf>
    <xf numFmtId="3" fontId="5" fillId="0" borderId="14" xfId="0" applyNumberFormat="1" applyFont="1" applyBorder="1" applyAlignment="1">
      <alignment vertical="center" wrapText="1"/>
    </xf>
    <xf numFmtId="0" fontId="16" fillId="0" borderId="0" xfId="0" applyFont="1"/>
    <xf numFmtId="0" fontId="17" fillId="0" borderId="0" xfId="0" applyFont="1"/>
    <xf numFmtId="0" fontId="18" fillId="0" borderId="0" xfId="1"/>
    <xf numFmtId="0" fontId="1" fillId="0" borderId="0" xfId="0" applyFont="1" applyAlignment="1">
      <alignment horizontal="left" indent="1"/>
    </xf>
    <xf numFmtId="0" fontId="18" fillId="0" borderId="0" xfId="1" applyAlignment="1">
      <alignment horizontal="left" indent="1"/>
    </xf>
    <xf numFmtId="0" fontId="19" fillId="0" borderId="0" xfId="0" applyFont="1" applyAlignment="1">
      <alignment horizontal="left" indent="1"/>
    </xf>
    <xf numFmtId="0" fontId="16" fillId="0" borderId="0" xfId="0" applyFont="1" applyAlignment="1">
      <alignment horizontal="left" indent="1"/>
    </xf>
    <xf numFmtId="0" fontId="16" fillId="0" borderId="0" xfId="0" applyFont="1" applyAlignment="1">
      <alignment horizontal="right"/>
    </xf>
    <xf numFmtId="3" fontId="0" fillId="0" borderId="0" xfId="0" applyNumberFormat="1"/>
    <xf numFmtId="9" fontId="0" fillId="0" borderId="0" xfId="0" applyNumberFormat="1"/>
    <xf numFmtId="0" fontId="21" fillId="0" borderId="0" xfId="0" applyFont="1"/>
    <xf numFmtId="3" fontId="17" fillId="0" borderId="0" xfId="0" applyNumberFormat="1" applyFont="1"/>
    <xf numFmtId="9" fontId="17" fillId="0" borderId="0" xfId="0" applyNumberFormat="1" applyFont="1"/>
    <xf numFmtId="3" fontId="16" fillId="0" borderId="0" xfId="0" applyNumberFormat="1" applyFont="1"/>
    <xf numFmtId="3" fontId="21" fillId="0" borderId="0" xfId="0" applyNumberFormat="1" applyFont="1"/>
    <xf numFmtId="4" fontId="0" fillId="0" borderId="0" xfId="0" applyNumberFormat="1"/>
    <xf numFmtId="0" fontId="17" fillId="0" borderId="0" xfId="0" applyFont="1" applyAlignment="1">
      <alignment horizontal="right"/>
    </xf>
    <xf numFmtId="4" fontId="17" fillId="0" borderId="0" xfId="0" applyNumberFormat="1" applyFont="1"/>
    <xf numFmtId="0" fontId="25" fillId="0" borderId="0" xfId="0" applyFont="1"/>
    <xf numFmtId="0" fontId="27" fillId="0" borderId="0" xfId="0" applyFont="1"/>
    <xf numFmtId="0" fontId="28" fillId="0" borderId="0" xfId="0" applyFont="1"/>
    <xf numFmtId="0" fontId="30" fillId="0" borderId="0" xfId="0" applyFont="1"/>
    <xf numFmtId="0" fontId="0" fillId="0" borderId="0" xfId="0" applyAlignment="1">
      <alignment horizontal="center"/>
    </xf>
    <xf numFmtId="0" fontId="31" fillId="0" borderId="0" xfId="0" applyFont="1"/>
    <xf numFmtId="0" fontId="32" fillId="0" borderId="0" xfId="0" applyFont="1"/>
    <xf numFmtId="0" fontId="8" fillId="0" borderId="0" xfId="0" applyFont="1" applyAlignment="1">
      <alignment vertical="center"/>
    </xf>
    <xf numFmtId="4" fontId="5" fillId="0" borderId="0" xfId="0" applyNumberFormat="1" applyFont="1"/>
    <xf numFmtId="0" fontId="35" fillId="8" borderId="30" xfId="2" applyFont="1" applyFill="1" applyBorder="1" applyAlignment="1">
      <alignment horizontal="left"/>
    </xf>
    <xf numFmtId="0" fontId="34" fillId="0" borderId="0" xfId="2"/>
    <xf numFmtId="0" fontId="35" fillId="8" borderId="38" xfId="2" applyFont="1" applyFill="1" applyBorder="1" applyAlignment="1">
      <alignment horizontal="left"/>
    </xf>
    <xf numFmtId="0" fontId="38" fillId="0" borderId="0" xfId="2" applyFont="1"/>
    <xf numFmtId="0" fontId="35" fillId="8" borderId="45" xfId="2" applyFont="1" applyFill="1" applyBorder="1" applyAlignment="1">
      <alignment horizontal="left"/>
    </xf>
    <xf numFmtId="0" fontId="40" fillId="0" borderId="0" xfId="2" applyFont="1" applyAlignment="1">
      <alignment horizontal="left"/>
    </xf>
    <xf numFmtId="0" fontId="40" fillId="0" borderId="0" xfId="2" applyFont="1"/>
    <xf numFmtId="0" fontId="41" fillId="0" borderId="0" xfId="2" applyFont="1" applyAlignment="1">
      <alignment horizontal="center"/>
    </xf>
    <xf numFmtId="0" fontId="41" fillId="0" borderId="0" xfId="2" applyFont="1"/>
    <xf numFmtId="0" fontId="42" fillId="0" borderId="0" xfId="2" applyFont="1"/>
    <xf numFmtId="0" fontId="41" fillId="0" borderId="0" xfId="2" applyFont="1" applyAlignment="1">
      <alignment horizontal="left"/>
    </xf>
    <xf numFmtId="10" fontId="41" fillId="9" borderId="29" xfId="2" applyNumberFormat="1" applyFont="1" applyFill="1" applyBorder="1"/>
    <xf numFmtId="0" fontId="41" fillId="0" borderId="29" xfId="2" applyFont="1" applyBorder="1" applyAlignment="1">
      <alignment horizontal="center"/>
    </xf>
    <xf numFmtId="10" fontId="41" fillId="9" borderId="49" xfId="2" applyNumberFormat="1" applyFont="1" applyFill="1" applyBorder="1"/>
    <xf numFmtId="0" fontId="43" fillId="2" borderId="29" xfId="2" applyFont="1" applyFill="1" applyBorder="1" applyAlignment="1">
      <alignment horizontal="center"/>
    </xf>
    <xf numFmtId="0" fontId="43" fillId="2" borderId="29" xfId="2" applyFont="1" applyFill="1" applyBorder="1"/>
    <xf numFmtId="10" fontId="43" fillId="2" borderId="29" xfId="2" applyNumberFormat="1" applyFont="1" applyFill="1" applyBorder="1"/>
    <xf numFmtId="10" fontId="41" fillId="2" borderId="29" xfId="2" applyNumberFormat="1" applyFont="1" applyFill="1" applyBorder="1"/>
    <xf numFmtId="10" fontId="41" fillId="0" borderId="0" xfId="2" applyNumberFormat="1" applyFont="1"/>
    <xf numFmtId="0" fontId="41" fillId="9" borderId="39" xfId="2" applyFont="1" applyFill="1" applyBorder="1" applyAlignment="1">
      <alignment horizontal="center"/>
    </xf>
    <xf numFmtId="10" fontId="41" fillId="9" borderId="53" xfId="2" applyNumberFormat="1" applyFont="1" applyFill="1" applyBorder="1" applyAlignment="1">
      <alignment horizontal="center"/>
    </xf>
    <xf numFmtId="0" fontId="44" fillId="0" borderId="0" xfId="2" applyFont="1" applyAlignment="1">
      <alignment horizontal="left"/>
    </xf>
    <xf numFmtId="0" fontId="45" fillId="0" borderId="0" xfId="2" applyFont="1"/>
    <xf numFmtId="0" fontId="45" fillId="0" borderId="0" xfId="2" applyFont="1" applyAlignment="1">
      <alignment horizontal="left"/>
    </xf>
    <xf numFmtId="10" fontId="45" fillId="2" borderId="29" xfId="2" applyNumberFormat="1" applyFont="1" applyFill="1" applyBorder="1"/>
    <xf numFmtId="0" fontId="46" fillId="0" borderId="54" xfId="2" applyFont="1" applyBorder="1" applyAlignment="1">
      <alignment horizontal="left" wrapText="1"/>
    </xf>
    <xf numFmtId="0" fontId="46" fillId="0" borderId="49" xfId="2" applyFont="1" applyBorder="1" applyAlignment="1">
      <alignment horizontal="center" wrapText="1"/>
    </xf>
    <xf numFmtId="0" fontId="44" fillId="0" borderId="53" xfId="2" applyFont="1" applyBorder="1" applyAlignment="1">
      <alignment horizontal="center" wrapText="1"/>
    </xf>
    <xf numFmtId="0" fontId="42" fillId="0" borderId="0" xfId="2" applyFont="1" applyAlignment="1">
      <alignment wrapText="1"/>
    </xf>
    <xf numFmtId="0" fontId="41" fillId="0" borderId="43" xfId="2" applyFont="1" applyBorder="1" applyAlignment="1">
      <alignment horizontal="left"/>
    </xf>
    <xf numFmtId="2" fontId="41" fillId="0" borderId="29" xfId="2" applyNumberFormat="1" applyFont="1" applyBorder="1" applyAlignment="1">
      <alignment horizontal="center"/>
    </xf>
    <xf numFmtId="10" fontId="42" fillId="0" borderId="29" xfId="4" applyNumberFormat="1" applyFont="1" applyBorder="1" applyAlignment="1">
      <alignment horizontal="center"/>
    </xf>
    <xf numFmtId="10" fontId="42" fillId="0" borderId="29" xfId="2" applyNumberFormat="1" applyFont="1" applyBorder="1" applyAlignment="1">
      <alignment horizontal="center"/>
    </xf>
    <xf numFmtId="10" fontId="34" fillId="0" borderId="39" xfId="4" applyNumberFormat="1" applyFont="1" applyBorder="1" applyAlignment="1">
      <alignment horizontal="center"/>
    </xf>
    <xf numFmtId="10" fontId="42" fillId="2" borderId="29" xfId="4" applyNumberFormat="1" applyFont="1" applyFill="1" applyBorder="1" applyAlignment="1">
      <alignment horizontal="center"/>
    </xf>
    <xf numFmtId="0" fontId="47" fillId="0" borderId="43" xfId="2" applyFont="1" applyBorder="1" applyAlignment="1">
      <alignment horizontal="left"/>
    </xf>
    <xf numFmtId="0" fontId="47" fillId="0" borderId="29" xfId="2" applyFont="1" applyBorder="1" applyAlignment="1">
      <alignment horizontal="center"/>
    </xf>
    <xf numFmtId="2" fontId="47" fillId="0" borderId="29" xfId="2" applyNumberFormat="1" applyFont="1" applyBorder="1" applyAlignment="1">
      <alignment horizontal="center"/>
    </xf>
    <xf numFmtId="10" fontId="48" fillId="0" borderId="29" xfId="4" applyNumberFormat="1" applyFont="1" applyBorder="1" applyAlignment="1">
      <alignment horizontal="center"/>
    </xf>
    <xf numFmtId="10" fontId="48" fillId="0" borderId="29" xfId="2" applyNumberFormat="1" applyFont="1" applyBorder="1" applyAlignment="1">
      <alignment horizontal="center"/>
    </xf>
    <xf numFmtId="10" fontId="49" fillId="0" borderId="39" xfId="4" applyNumberFormat="1" applyFont="1" applyBorder="1" applyAlignment="1">
      <alignment horizontal="center"/>
    </xf>
    <xf numFmtId="0" fontId="48" fillId="0" borderId="0" xfId="2" applyFont="1"/>
    <xf numFmtId="0" fontId="47" fillId="0" borderId="55" xfId="2" applyFont="1" applyBorder="1" applyAlignment="1">
      <alignment horizontal="left"/>
    </xf>
    <xf numFmtId="0" fontId="47" fillId="0" borderId="34" xfId="2" applyFont="1" applyBorder="1" applyAlignment="1">
      <alignment horizontal="center"/>
    </xf>
    <xf numFmtId="2" fontId="47" fillId="0" borderId="34" xfId="2" applyNumberFormat="1" applyFont="1" applyBorder="1" applyAlignment="1">
      <alignment horizontal="center"/>
    </xf>
    <xf numFmtId="10" fontId="48" fillId="0" borderId="34" xfId="4" applyNumberFormat="1" applyFont="1" applyBorder="1" applyAlignment="1">
      <alignment horizontal="center"/>
    </xf>
    <xf numFmtId="10" fontId="48" fillId="0" borderId="34" xfId="2" applyNumberFormat="1" applyFont="1" applyBorder="1" applyAlignment="1">
      <alignment horizontal="center"/>
    </xf>
    <xf numFmtId="10" fontId="49" fillId="0" borderId="56" xfId="4" applyNumberFormat="1" applyFont="1" applyBorder="1" applyAlignment="1">
      <alignment horizontal="center"/>
    </xf>
    <xf numFmtId="0" fontId="34" fillId="0" borderId="0" xfId="2" applyAlignment="1">
      <alignment horizontal="left"/>
    </xf>
    <xf numFmtId="0" fontId="34" fillId="0" borderId="0" xfId="2" applyAlignment="1">
      <alignment horizontal="center"/>
    </xf>
    <xf numFmtId="0" fontId="50" fillId="0" borderId="57" xfId="2" applyFont="1" applyBorder="1" applyAlignment="1">
      <alignment vertical="center"/>
    </xf>
    <xf numFmtId="0" fontId="38" fillId="0" borderId="29" xfId="2" applyFont="1" applyBorder="1"/>
    <xf numFmtId="0" fontId="38" fillId="0" borderId="29" xfId="2" applyFont="1" applyBorder="1" applyAlignment="1">
      <alignment vertical="top" wrapText="1"/>
    </xf>
    <xf numFmtId="0" fontId="51" fillId="0" borderId="29" xfId="2" applyFont="1" applyBorder="1" applyAlignment="1">
      <alignment vertical="center"/>
    </xf>
    <xf numFmtId="0" fontId="34" fillId="0" borderId="29" xfId="2" applyBorder="1"/>
    <xf numFmtId="0" fontId="34" fillId="0" borderId="29" xfId="2" applyBorder="1" applyAlignment="1">
      <alignment vertical="top" wrapText="1"/>
    </xf>
    <xf numFmtId="0" fontId="18" fillId="0" borderId="0" xfId="1" quotePrefix="1"/>
    <xf numFmtId="0" fontId="52" fillId="0" borderId="0" xfId="0" applyFont="1" applyAlignment="1">
      <alignment horizontal="left" indent="1"/>
    </xf>
    <xf numFmtId="0" fontId="53" fillId="0" borderId="0" xfId="0" applyFont="1"/>
    <xf numFmtId="3" fontId="53" fillId="0" borderId="0" xfId="0" applyNumberFormat="1" applyFont="1"/>
    <xf numFmtId="0" fontId="54" fillId="0" borderId="0" xfId="0" applyFont="1"/>
    <xf numFmtId="3" fontId="54" fillId="0" borderId="0" xfId="0" applyNumberFormat="1" applyFont="1"/>
    <xf numFmtId="0" fontId="55" fillId="0" borderId="0" xfId="0" applyFont="1"/>
    <xf numFmtId="0" fontId="5" fillId="0" borderId="59" xfId="0" applyFont="1" applyBorder="1" applyAlignment="1">
      <alignment horizontal="center" vertical="center"/>
    </xf>
    <xf numFmtId="0" fontId="17" fillId="0" borderId="59" xfId="0" applyFont="1" applyBorder="1" applyAlignment="1">
      <alignment horizontal="center"/>
    </xf>
    <xf numFmtId="166" fontId="0" fillId="4" borderId="59" xfId="0" applyNumberFormat="1" applyFill="1" applyBorder="1"/>
    <xf numFmtId="166" fontId="0" fillId="5" borderId="59" xfId="0" applyNumberFormat="1" applyFill="1" applyBorder="1"/>
    <xf numFmtId="0" fontId="17" fillId="0" borderId="59" xfId="0" applyFont="1" applyBorder="1"/>
    <xf numFmtId="0" fontId="16" fillId="4" borderId="59" xfId="0" applyFont="1" applyFill="1" applyBorder="1"/>
    <xf numFmtId="0" fontId="16" fillId="5" borderId="59" xfId="0" applyFont="1" applyFill="1" applyBorder="1"/>
    <xf numFmtId="4" fontId="2" fillId="0" borderId="59" xfId="0" applyNumberFormat="1" applyFont="1" applyBorder="1"/>
    <xf numFmtId="4" fontId="5" fillId="6" borderId="59" xfId="0" applyNumberFormat="1" applyFont="1" applyFill="1" applyBorder="1"/>
    <xf numFmtId="4" fontId="5" fillId="0" borderId="59" xfId="0" applyNumberFormat="1" applyFont="1" applyBorder="1"/>
    <xf numFmtId="4" fontId="2" fillId="7" borderId="59" xfId="0" applyNumberFormat="1" applyFont="1" applyFill="1" applyBorder="1"/>
    <xf numFmtId="0" fontId="7" fillId="0" borderId="59" xfId="0" applyFont="1" applyBorder="1" applyAlignment="1">
      <alignment horizontal="left" vertical="center"/>
    </xf>
    <xf numFmtId="0" fontId="8" fillId="6" borderId="59" xfId="0" applyFont="1" applyFill="1" applyBorder="1" applyAlignment="1">
      <alignment vertical="center"/>
    </xf>
    <xf numFmtId="0" fontId="8" fillId="0" borderId="59" xfId="0" applyFont="1" applyBorder="1" applyAlignment="1">
      <alignment vertical="center"/>
    </xf>
    <xf numFmtId="0" fontId="5" fillId="11" borderId="59" xfId="0" applyFont="1" applyFill="1" applyBorder="1" applyAlignment="1">
      <alignment horizontal="center" vertical="center"/>
    </xf>
    <xf numFmtId="0" fontId="0" fillId="5" borderId="61" xfId="0" applyFill="1" applyBorder="1" applyAlignment="1">
      <alignment horizontal="center"/>
    </xf>
    <xf numFmtId="0" fontId="0" fillId="4" borderId="62" xfId="0" applyFill="1" applyBorder="1" applyAlignment="1">
      <alignment horizontal="center"/>
    </xf>
    <xf numFmtId="0" fontId="5" fillId="4" borderId="63" xfId="0" applyFont="1" applyFill="1" applyBorder="1" applyAlignment="1">
      <alignment horizontal="center"/>
    </xf>
    <xf numFmtId="0" fontId="5" fillId="4" borderId="61" xfId="0" applyFont="1" applyFill="1" applyBorder="1" applyAlignment="1">
      <alignment horizontal="center"/>
    </xf>
    <xf numFmtId="0" fontId="0" fillId="5" borderId="62" xfId="0" applyFill="1" applyBorder="1" applyAlignment="1">
      <alignment horizontal="center"/>
    </xf>
    <xf numFmtId="0" fontId="5" fillId="5" borderId="63" xfId="0" applyFont="1" applyFill="1" applyBorder="1" applyAlignment="1">
      <alignment horizontal="center"/>
    </xf>
    <xf numFmtId="0" fontId="17" fillId="10" borderId="59" xfId="0" applyFont="1" applyFill="1" applyBorder="1" applyAlignment="1">
      <alignment horizontal="center" vertical="center" wrapText="1"/>
    </xf>
    <xf numFmtId="0" fontId="16" fillId="0" borderId="59" xfId="0" applyFont="1" applyBorder="1" applyAlignment="1">
      <alignment horizontal="right"/>
    </xf>
    <xf numFmtId="0" fontId="0" fillId="0" borderId="59" xfId="0" applyBorder="1"/>
    <xf numFmtId="3" fontId="0" fillId="0" borderId="59" xfId="0" applyNumberFormat="1" applyBorder="1"/>
    <xf numFmtId="0" fontId="17" fillId="0" borderId="59" xfId="0" applyFont="1" applyBorder="1" applyAlignment="1">
      <alignment horizontal="right"/>
    </xf>
    <xf numFmtId="3" fontId="17" fillId="0" borderId="59" xfId="0" applyNumberFormat="1" applyFont="1" applyBorder="1"/>
    <xf numFmtId="0" fontId="56" fillId="0" borderId="0" xfId="0" applyFont="1"/>
    <xf numFmtId="165" fontId="25" fillId="0" borderId="0" xfId="0" applyNumberFormat="1" applyFont="1"/>
    <xf numFmtId="166" fontId="25" fillId="0" borderId="0" xfId="0" applyNumberFormat="1" applyFont="1"/>
    <xf numFmtId="0" fontId="23" fillId="0" borderId="0" xfId="0" applyFont="1"/>
    <xf numFmtId="3" fontId="21" fillId="0" borderId="59" xfId="0" applyNumberFormat="1" applyFont="1" applyBorder="1"/>
    <xf numFmtId="3" fontId="25" fillId="0" borderId="0" xfId="0" applyNumberFormat="1" applyFont="1"/>
    <xf numFmtId="3" fontId="54" fillId="10" borderId="59" xfId="0" applyNumberFormat="1" applyFont="1" applyFill="1" applyBorder="1" applyAlignment="1">
      <alignment horizontal="center" vertical="center" wrapText="1"/>
    </xf>
    <xf numFmtId="9" fontId="0" fillId="0" borderId="59" xfId="0" applyNumberFormat="1" applyBorder="1"/>
    <xf numFmtId="3" fontId="54" fillId="0" borderId="59" xfId="0" applyNumberFormat="1" applyFont="1" applyBorder="1"/>
    <xf numFmtId="3" fontId="53" fillId="0" borderId="59" xfId="0" applyNumberFormat="1" applyFont="1" applyBorder="1"/>
    <xf numFmtId="166" fontId="17" fillId="0" borderId="0" xfId="0" applyNumberFormat="1" applyFont="1"/>
    <xf numFmtId="3" fontId="22" fillId="0" borderId="0" xfId="0" applyNumberFormat="1" applyFont="1"/>
    <xf numFmtId="0" fontId="16" fillId="0" borderId="59" xfId="0" applyFont="1" applyBorder="1"/>
    <xf numFmtId="3" fontId="16" fillId="0" borderId="59" xfId="0" applyNumberFormat="1" applyFont="1" applyBorder="1"/>
    <xf numFmtId="0" fontId="16" fillId="0" borderId="59" xfId="0" applyFont="1" applyBorder="1" applyAlignment="1">
      <alignment horizontal="right" vertical="center" wrapText="1"/>
    </xf>
    <xf numFmtId="0" fontId="17" fillId="0" borderId="59" xfId="0" applyFont="1" applyBorder="1" applyAlignment="1">
      <alignment horizontal="center" vertical="center" wrapText="1"/>
    </xf>
    <xf numFmtId="3" fontId="53" fillId="0" borderId="59" xfId="0" applyNumberFormat="1" applyFont="1" applyBorder="1" applyAlignment="1">
      <alignment horizontal="right" vertical="center" wrapText="1"/>
    </xf>
    <xf numFmtId="3" fontId="53" fillId="0" borderId="59" xfId="0" applyNumberFormat="1" applyFont="1" applyBorder="1" applyAlignment="1">
      <alignment horizontal="right"/>
    </xf>
    <xf numFmtId="0" fontId="24" fillId="0" borderId="0" xfId="0" applyFont="1" applyAlignment="1">
      <alignment horizontal="left"/>
    </xf>
    <xf numFmtId="0" fontId="24" fillId="0" borderId="0" xfId="0" applyFont="1"/>
    <xf numFmtId="3" fontId="24" fillId="0" borderId="0" xfId="0" applyNumberFormat="1" applyFont="1"/>
    <xf numFmtId="166" fontId="24" fillId="0" borderId="0" xfId="0" applyNumberFormat="1" applyFont="1"/>
    <xf numFmtId="0" fontId="17" fillId="4" borderId="59" xfId="0" applyFont="1" applyFill="1" applyBorder="1" applyAlignment="1">
      <alignment horizontal="center" vertical="center" wrapText="1"/>
    </xf>
    <xf numFmtId="0" fontId="22" fillId="4" borderId="59" xfId="0" applyFont="1" applyFill="1" applyBorder="1" applyAlignment="1">
      <alignment horizontal="center" vertical="center" wrapText="1"/>
    </xf>
    <xf numFmtId="0" fontId="28" fillId="4" borderId="59" xfId="0" applyFont="1" applyFill="1" applyBorder="1" applyAlignment="1">
      <alignment horizontal="center" vertical="center" wrapText="1"/>
    </xf>
    <xf numFmtId="3" fontId="17" fillId="4" borderId="59" xfId="0" applyNumberFormat="1" applyFont="1" applyFill="1" applyBorder="1" applyAlignment="1">
      <alignment horizontal="center" vertical="center" wrapText="1"/>
    </xf>
    <xf numFmtId="3" fontId="54" fillId="4" borderId="59" xfId="0" applyNumberFormat="1" applyFont="1" applyFill="1" applyBorder="1" applyAlignment="1">
      <alignment horizontal="center" vertical="center" wrapText="1"/>
    </xf>
    <xf numFmtId="0" fontId="28" fillId="5" borderId="59" xfId="0" applyFont="1" applyFill="1" applyBorder="1" applyAlignment="1">
      <alignment horizontal="center" vertical="center" wrapText="1"/>
    </xf>
    <xf numFmtId="0" fontId="17" fillId="5" borderId="59" xfId="0" applyFont="1" applyFill="1" applyBorder="1" applyAlignment="1">
      <alignment horizontal="center" vertical="center" wrapText="1"/>
    </xf>
    <xf numFmtId="3" fontId="17" fillId="5" borderId="59" xfId="0" applyNumberFormat="1" applyFont="1" applyFill="1" applyBorder="1" applyAlignment="1">
      <alignment horizontal="center" vertical="center" wrapText="1"/>
    </xf>
    <xf numFmtId="3" fontId="54" fillId="5" borderId="59" xfId="0" applyNumberFormat="1" applyFont="1" applyFill="1" applyBorder="1" applyAlignment="1">
      <alignment horizontal="center" vertical="center" wrapText="1"/>
    </xf>
    <xf numFmtId="9" fontId="55" fillId="0" borderId="0" xfId="0" applyNumberFormat="1" applyFont="1"/>
    <xf numFmtId="0" fontId="57" fillId="0" borderId="0" xfId="0" applyFont="1"/>
    <xf numFmtId="3" fontId="57" fillId="0" borderId="0" xfId="0" applyNumberFormat="1" applyFont="1"/>
    <xf numFmtId="0" fontId="58" fillId="0" borderId="0" xfId="0" applyFont="1"/>
    <xf numFmtId="0" fontId="59" fillId="0" borderId="0" xfId="0" applyFont="1"/>
    <xf numFmtId="3" fontId="59" fillId="0" borderId="0" xfId="0" applyNumberFormat="1" applyFont="1"/>
    <xf numFmtId="0" fontId="59" fillId="0" borderId="0" xfId="0" applyFont="1" applyAlignment="1">
      <alignment horizontal="right"/>
    </xf>
    <xf numFmtId="0" fontId="60" fillId="0" borderId="0" xfId="0" applyFont="1"/>
    <xf numFmtId="3" fontId="16" fillId="0" borderId="0" xfId="0" applyNumberFormat="1" applyFont="1" applyAlignment="1">
      <alignment horizontal="right"/>
    </xf>
    <xf numFmtId="10" fontId="17" fillId="0" borderId="0" xfId="0" applyNumberFormat="1" applyFont="1"/>
    <xf numFmtId="9" fontId="17" fillId="0" borderId="0" xfId="0" applyNumberFormat="1" applyFont="1" applyAlignment="1">
      <alignment horizontal="right"/>
    </xf>
    <xf numFmtId="3" fontId="53" fillId="0" borderId="0" xfId="0" applyNumberFormat="1" applyFont="1" applyAlignment="1">
      <alignment horizontal="right" vertical="center" wrapText="1"/>
    </xf>
    <xf numFmtId="3" fontId="53" fillId="4" borderId="59" xfId="0" applyNumberFormat="1" applyFont="1" applyFill="1" applyBorder="1" applyAlignment="1">
      <alignment horizontal="center" vertical="center" wrapText="1"/>
    </xf>
    <xf numFmtId="3" fontId="16" fillId="4" borderId="59" xfId="0" applyNumberFormat="1" applyFont="1" applyFill="1" applyBorder="1" applyAlignment="1">
      <alignment horizontal="center" vertical="center" wrapText="1"/>
    </xf>
    <xf numFmtId="0" fontId="16" fillId="7" borderId="59" xfId="0" applyFont="1" applyFill="1" applyBorder="1" applyAlignment="1">
      <alignment horizontal="right"/>
    </xf>
    <xf numFmtId="0" fontId="0" fillId="7" borderId="59" xfId="0" applyFill="1" applyBorder="1"/>
    <xf numFmtId="3" fontId="53" fillId="7" borderId="59" xfId="0" applyNumberFormat="1" applyFont="1" applyFill="1" applyBorder="1"/>
    <xf numFmtId="3" fontId="16" fillId="7" borderId="59" xfId="0" applyNumberFormat="1" applyFont="1" applyFill="1" applyBorder="1"/>
    <xf numFmtId="0" fontId="16" fillId="7" borderId="59" xfId="0" applyFont="1" applyFill="1" applyBorder="1"/>
    <xf numFmtId="0" fontId="17" fillId="4" borderId="59" xfId="0" applyFont="1" applyFill="1" applyBorder="1" applyAlignment="1">
      <alignment horizontal="center" vertical="center"/>
    </xf>
    <xf numFmtId="0" fontId="17" fillId="5" borderId="59" xfId="0" applyFont="1" applyFill="1" applyBorder="1" applyAlignment="1">
      <alignment horizontal="center" vertical="center"/>
    </xf>
    <xf numFmtId="3" fontId="0" fillId="7" borderId="59" xfId="0" applyNumberFormat="1" applyFill="1" applyBorder="1"/>
    <xf numFmtId="0" fontId="17" fillId="4" borderId="64" xfId="0" applyFont="1" applyFill="1" applyBorder="1" applyAlignment="1">
      <alignment horizontal="center" vertical="center"/>
    </xf>
    <xf numFmtId="0" fontId="17" fillId="5" borderId="64" xfId="0" applyFont="1" applyFill="1" applyBorder="1" applyAlignment="1">
      <alignment horizontal="center" vertical="center"/>
    </xf>
    <xf numFmtId="3" fontId="16" fillId="0" borderId="59" xfId="0" applyNumberFormat="1" applyFont="1" applyBorder="1" applyAlignment="1">
      <alignment horizontal="center" vertical="center"/>
    </xf>
    <xf numFmtId="2" fontId="17" fillId="0" borderId="59" xfId="0" applyNumberFormat="1" applyFont="1" applyBorder="1" applyAlignment="1">
      <alignment horizontal="right"/>
    </xf>
    <xf numFmtId="3" fontId="0" fillId="10" borderId="59" xfId="0" applyNumberFormat="1" applyFill="1" applyBorder="1"/>
    <xf numFmtId="0" fontId="0" fillId="10" borderId="63" xfId="0" applyFill="1" applyBorder="1"/>
    <xf numFmtId="0" fontId="0" fillId="10" borderId="61" xfId="0" applyFill="1" applyBorder="1"/>
    <xf numFmtId="0" fontId="26" fillId="10" borderId="62" xfId="0" applyFont="1" applyFill="1" applyBorder="1" applyAlignment="1">
      <alignment vertical="center"/>
    </xf>
    <xf numFmtId="0" fontId="33" fillId="10" borderId="62" xfId="0" applyFont="1" applyFill="1" applyBorder="1" applyAlignment="1">
      <alignment vertical="center"/>
    </xf>
    <xf numFmtId="0" fontId="28" fillId="10" borderId="63" xfId="0" applyFont="1" applyFill="1" applyBorder="1" applyAlignment="1">
      <alignment vertical="center"/>
    </xf>
    <xf numFmtId="0" fontId="28" fillId="10" borderId="61" xfId="0" applyFont="1" applyFill="1" applyBorder="1" applyAlignment="1">
      <alignment vertical="center"/>
    </xf>
    <xf numFmtId="0" fontId="0" fillId="10" borderId="63" xfId="0" applyFill="1" applyBorder="1" applyAlignment="1">
      <alignment vertical="center"/>
    </xf>
    <xf numFmtId="0" fontId="0" fillId="10" borderId="61" xfId="0" applyFill="1" applyBorder="1" applyAlignment="1">
      <alignment vertical="center"/>
    </xf>
    <xf numFmtId="9" fontId="55" fillId="0" borderId="0" xfId="0" applyNumberFormat="1" applyFont="1" applyAlignment="1">
      <alignment horizontal="center"/>
    </xf>
    <xf numFmtId="0" fontId="28" fillId="11" borderId="65" xfId="0" applyFont="1" applyFill="1" applyBorder="1" applyAlignment="1">
      <alignment vertical="center"/>
    </xf>
    <xf numFmtId="0" fontId="0" fillId="11" borderId="66" xfId="0" applyFill="1" applyBorder="1" applyAlignment="1">
      <alignment vertical="center"/>
    </xf>
    <xf numFmtId="0" fontId="0" fillId="11" borderId="67" xfId="0" applyFill="1" applyBorder="1" applyAlignment="1">
      <alignment vertical="center"/>
    </xf>
    <xf numFmtId="0" fontId="0" fillId="11" borderId="66" xfId="0" applyFill="1" applyBorder="1"/>
    <xf numFmtId="0" fontId="0" fillId="11" borderId="67" xfId="0" applyFill="1" applyBorder="1"/>
    <xf numFmtId="0" fontId="21" fillId="11" borderId="66" xfId="0" applyFont="1" applyFill="1" applyBorder="1" applyAlignment="1">
      <alignment vertical="center"/>
    </xf>
    <xf numFmtId="0" fontId="28" fillId="11" borderId="65" xfId="0" applyFont="1" applyFill="1" applyBorder="1" applyAlignment="1">
      <alignment horizontal="left" vertical="center"/>
    </xf>
    <xf numFmtId="0" fontId="0" fillId="11" borderId="66" xfId="0" applyFill="1" applyBorder="1" applyAlignment="1">
      <alignment horizontal="left" vertical="center"/>
    </xf>
    <xf numFmtId="0" fontId="16" fillId="11" borderId="66" xfId="0" applyFont="1" applyFill="1" applyBorder="1" applyAlignment="1">
      <alignment horizontal="left" vertical="center"/>
    </xf>
    <xf numFmtId="0" fontId="0" fillId="11" borderId="67" xfId="0" applyFill="1" applyBorder="1" applyAlignment="1">
      <alignment horizontal="left" vertical="center"/>
    </xf>
    <xf numFmtId="0" fontId="26" fillId="11" borderId="65" xfId="0" applyFont="1" applyFill="1" applyBorder="1" applyAlignment="1">
      <alignment vertical="center"/>
    </xf>
    <xf numFmtId="166" fontId="55" fillId="0" borderId="0" xfId="0" applyNumberFormat="1" applyFont="1"/>
    <xf numFmtId="0" fontId="29" fillId="11" borderId="65" xfId="0" applyFont="1" applyFill="1" applyBorder="1" applyAlignment="1">
      <alignment vertical="center"/>
    </xf>
    <xf numFmtId="2" fontId="55" fillId="0" borderId="0" xfId="0" applyNumberFormat="1" applyFont="1"/>
    <xf numFmtId="0" fontId="28" fillId="11" borderId="66" xfId="0" applyFont="1" applyFill="1" applyBorder="1" applyAlignment="1">
      <alignment vertical="center"/>
    </xf>
    <xf numFmtId="0" fontId="28" fillId="11" borderId="67" xfId="0" applyFont="1" applyFill="1" applyBorder="1" applyAlignment="1">
      <alignment vertical="center"/>
    </xf>
    <xf numFmtId="0" fontId="17" fillId="0" borderId="59" xfId="0" applyFont="1" applyBorder="1" applyAlignment="1">
      <alignment horizontal="center" vertical="center"/>
    </xf>
    <xf numFmtId="3" fontId="17" fillId="7" borderId="59" xfId="0" applyNumberFormat="1" applyFont="1" applyFill="1" applyBorder="1"/>
    <xf numFmtId="166" fontId="0" fillId="0" borderId="0" xfId="0" applyNumberFormat="1"/>
    <xf numFmtId="0" fontId="61" fillId="0" borderId="0" xfId="0" applyFont="1" applyAlignment="1">
      <alignment horizontal="center" vertical="center" wrapText="1"/>
    </xf>
    <xf numFmtId="0" fontId="57" fillId="0" borderId="0" xfId="0" applyFont="1" applyAlignment="1">
      <alignment horizontal="center" vertical="center" wrapText="1"/>
    </xf>
    <xf numFmtId="0" fontId="55" fillId="0" borderId="0" xfId="0" applyFont="1" applyAlignment="1">
      <alignment horizontal="right"/>
    </xf>
    <xf numFmtId="0" fontId="16" fillId="10" borderId="59" xfId="0" applyFont="1" applyFill="1" applyBorder="1" applyAlignment="1">
      <alignment horizontal="right"/>
    </xf>
    <xf numFmtId="0" fontId="0" fillId="10" borderId="59" xfId="0" applyFill="1" applyBorder="1"/>
    <xf numFmtId="3" fontId="53" fillId="10" borderId="59" xfId="0" applyNumberFormat="1" applyFont="1" applyFill="1" applyBorder="1"/>
    <xf numFmtId="3" fontId="16" fillId="10" borderId="59" xfId="0" applyNumberFormat="1" applyFont="1" applyFill="1" applyBorder="1"/>
    <xf numFmtId="0" fontId="16" fillId="10" borderId="59" xfId="0" applyFont="1" applyFill="1" applyBorder="1"/>
    <xf numFmtId="3" fontId="17" fillId="0" borderId="0" xfId="0" applyNumberFormat="1" applyFont="1" applyAlignment="1">
      <alignment horizontal="right"/>
    </xf>
    <xf numFmtId="0" fontId="54" fillId="4" borderId="59" xfId="0" applyFont="1" applyFill="1" applyBorder="1" applyAlignment="1">
      <alignment horizontal="center" vertical="center" wrapText="1"/>
    </xf>
    <xf numFmtId="0" fontId="62" fillId="0" borderId="0" xfId="0" applyFont="1"/>
    <xf numFmtId="3" fontId="16" fillId="0" borderId="59" xfId="0" applyNumberFormat="1" applyFont="1" applyBorder="1" applyAlignment="1">
      <alignment horizontal="right" vertical="center"/>
    </xf>
    <xf numFmtId="3" fontId="0" fillId="0" borderId="59" xfId="0" applyNumberFormat="1" applyBorder="1" applyAlignment="1">
      <alignment horizontal="right"/>
    </xf>
    <xf numFmtId="0" fontId="54" fillId="5" borderId="59" xfId="0" applyFont="1" applyFill="1" applyBorder="1" applyAlignment="1">
      <alignment horizontal="center" vertical="center" wrapText="1"/>
    </xf>
    <xf numFmtId="167" fontId="21" fillId="0" borderId="0" xfId="0" applyNumberFormat="1" applyFont="1"/>
    <xf numFmtId="10" fontId="55" fillId="0" borderId="0" xfId="0" applyNumberFormat="1" applyFont="1"/>
    <xf numFmtId="0" fontId="3" fillId="0" borderId="59" xfId="0" applyFont="1" applyBorder="1" applyAlignment="1">
      <alignment horizontal="center" vertical="center"/>
    </xf>
    <xf numFmtId="166" fontId="0" fillId="10" borderId="59" xfId="0" applyNumberFormat="1" applyFill="1" applyBorder="1"/>
    <xf numFmtId="166" fontId="0" fillId="7" borderId="59" xfId="0" applyNumberFormat="1" applyFill="1" applyBorder="1"/>
    <xf numFmtId="3" fontId="54" fillId="7" borderId="59" xfId="0" applyNumberFormat="1" applyFont="1" applyFill="1" applyBorder="1" applyAlignment="1">
      <alignment horizontal="center" vertical="center" wrapText="1"/>
    </xf>
    <xf numFmtId="3" fontId="16" fillId="5" borderId="59" xfId="0" applyNumberFormat="1" applyFont="1" applyFill="1" applyBorder="1" applyAlignment="1">
      <alignment horizontal="center" vertical="center" wrapText="1"/>
    </xf>
    <xf numFmtId="0" fontId="57" fillId="0" borderId="0" xfId="0" applyFont="1" applyAlignment="1">
      <alignment horizontal="right"/>
    </xf>
    <xf numFmtId="9" fontId="57" fillId="0" borderId="0" xfId="0" applyNumberFormat="1" applyFont="1"/>
    <xf numFmtId="0" fontId="17" fillId="10" borderId="59" xfId="0" applyFont="1" applyFill="1" applyBorder="1"/>
    <xf numFmtId="0" fontId="63" fillId="0" borderId="0" xfId="0" applyFont="1"/>
    <xf numFmtId="0" fontId="64" fillId="0" borderId="0" xfId="0" applyFont="1"/>
    <xf numFmtId="0" fontId="57" fillId="0" borderId="0" xfId="0" applyFont="1" applyAlignment="1">
      <alignment horizontal="center"/>
    </xf>
    <xf numFmtId="0" fontId="65" fillId="0" borderId="0" xfId="0" applyFont="1" applyAlignment="1">
      <alignment horizontal="right"/>
    </xf>
    <xf numFmtId="3" fontId="55" fillId="0" borderId="0" xfId="0" applyNumberFormat="1" applyFont="1"/>
    <xf numFmtId="0" fontId="55" fillId="0" borderId="0" xfId="0" applyFont="1" applyAlignment="1">
      <alignment wrapText="1"/>
    </xf>
    <xf numFmtId="0" fontId="5" fillId="0" borderId="59" xfId="0" applyFont="1" applyBorder="1" applyAlignment="1">
      <alignment horizontal="center"/>
    </xf>
    <xf numFmtId="0" fontId="6" fillId="0" borderId="59" xfId="0" applyFont="1" applyBorder="1"/>
    <xf numFmtId="0" fontId="5" fillId="0" borderId="60" xfId="0" applyFont="1" applyBorder="1" applyAlignment="1">
      <alignment horizontal="center"/>
    </xf>
    <xf numFmtId="0" fontId="6" fillId="0" borderId="60" xfId="0" applyFont="1" applyBorder="1"/>
    <xf numFmtId="0" fontId="37" fillId="8" borderId="46" xfId="3" applyFill="1" applyBorder="1" applyAlignment="1">
      <alignment horizontal="left"/>
    </xf>
    <xf numFmtId="0" fontId="37" fillId="8" borderId="47" xfId="3" applyFill="1" applyBorder="1" applyAlignment="1">
      <alignment horizontal="left"/>
    </xf>
    <xf numFmtId="0" fontId="37" fillId="8" borderId="48" xfId="3" applyFill="1" applyBorder="1" applyAlignment="1">
      <alignment horizontal="left"/>
    </xf>
    <xf numFmtId="15" fontId="36" fillId="8" borderId="31" xfId="2" applyNumberFormat="1" applyFont="1" applyFill="1" applyBorder="1" applyAlignment="1">
      <alignment horizontal="left"/>
    </xf>
    <xf numFmtId="15" fontId="36" fillId="8" borderId="32" xfId="2" applyNumberFormat="1" applyFont="1" applyFill="1" applyBorder="1" applyAlignment="1">
      <alignment horizontal="left"/>
    </xf>
    <xf numFmtId="15" fontId="36" fillId="8" borderId="33" xfId="2" applyNumberFormat="1" applyFont="1" applyFill="1" applyBorder="1" applyAlignment="1">
      <alignment horizontal="left"/>
    </xf>
    <xf numFmtId="0" fontId="37" fillId="3" borderId="34" xfId="3" applyFill="1" applyBorder="1" applyAlignment="1">
      <alignment horizontal="center" vertical="center" wrapText="1"/>
    </xf>
    <xf numFmtId="0" fontId="37" fillId="3" borderId="42" xfId="3" applyFill="1" applyBorder="1" applyAlignment="1">
      <alignment horizontal="center" vertical="center" wrapText="1"/>
    </xf>
    <xf numFmtId="0" fontId="37" fillId="3" borderId="49" xfId="3" applyFill="1" applyBorder="1" applyAlignment="1">
      <alignment horizontal="center" vertical="center" wrapText="1"/>
    </xf>
    <xf numFmtId="0" fontId="38" fillId="0" borderId="35" xfId="2" applyFont="1" applyBorder="1" applyAlignment="1">
      <alignment horizontal="center"/>
    </xf>
    <xf numFmtId="0" fontId="38" fillId="0" borderId="36" xfId="2" applyFont="1" applyBorder="1" applyAlignment="1">
      <alignment horizontal="center"/>
    </xf>
    <xf numFmtId="0" fontId="38" fillId="0" borderId="37" xfId="2" applyFont="1" applyBorder="1" applyAlignment="1">
      <alignment horizontal="center"/>
    </xf>
    <xf numFmtId="0" fontId="37" fillId="8" borderId="39" xfId="3" applyFill="1" applyBorder="1" applyAlignment="1">
      <alignment horizontal="left"/>
    </xf>
    <xf numFmtId="0" fontId="37" fillId="8" borderId="40" xfId="3" applyFill="1" applyBorder="1" applyAlignment="1">
      <alignment horizontal="left"/>
    </xf>
    <xf numFmtId="0" fontId="37" fillId="8" borderId="41" xfId="3" applyFill="1" applyBorder="1" applyAlignment="1">
      <alignment horizontal="left"/>
    </xf>
    <xf numFmtId="0" fontId="34" fillId="0" borderId="43" xfId="2" applyBorder="1" applyAlignment="1">
      <alignment horizontal="left" vertical="top" wrapText="1"/>
    </xf>
    <xf numFmtId="0" fontId="34" fillId="0" borderId="29" xfId="2" applyBorder="1" applyAlignment="1">
      <alignment horizontal="left" vertical="top" wrapText="1"/>
    </xf>
    <xf numFmtId="0" fontId="34" fillId="0" borderId="44" xfId="2" applyBorder="1" applyAlignment="1">
      <alignment horizontal="left" vertical="top" wrapText="1"/>
    </xf>
    <xf numFmtId="0" fontId="34" fillId="0" borderId="50" xfId="2" applyBorder="1" applyAlignment="1">
      <alignment horizontal="left" vertical="top" wrapText="1"/>
    </xf>
    <xf numFmtId="0" fontId="34" fillId="0" borderId="51" xfId="2" applyBorder="1" applyAlignment="1">
      <alignment horizontal="left" vertical="top" wrapText="1"/>
    </xf>
    <xf numFmtId="0" fontId="34" fillId="0" borderId="52" xfId="2" applyBorder="1" applyAlignment="1">
      <alignment horizontal="left" vertical="top" wrapText="1"/>
    </xf>
    <xf numFmtId="0" fontId="39" fillId="8" borderId="39" xfId="2" applyFont="1" applyFill="1" applyBorder="1" applyAlignment="1">
      <alignment horizontal="left"/>
    </xf>
    <xf numFmtId="0" fontId="39" fillId="8" borderId="40" xfId="2" applyFont="1" applyFill="1" applyBorder="1" applyAlignment="1">
      <alignment horizontal="left"/>
    </xf>
    <xf numFmtId="0" fontId="39" fillId="8" borderId="43" xfId="2" applyFont="1" applyFill="1" applyBorder="1" applyAlignment="1">
      <alignment horizontal="left"/>
    </xf>
    <xf numFmtId="0" fontId="39" fillId="8" borderId="41" xfId="2" applyFont="1" applyFill="1" applyBorder="1" applyAlignment="1">
      <alignment horizontal="left"/>
    </xf>
    <xf numFmtId="15" fontId="37" fillId="8" borderId="39" xfId="3" applyNumberFormat="1" applyFill="1" applyBorder="1" applyAlignment="1">
      <alignment horizontal="left"/>
    </xf>
    <xf numFmtId="15" fontId="37" fillId="8" borderId="40" xfId="3" applyNumberFormat="1" applyFill="1" applyBorder="1" applyAlignment="1">
      <alignment horizontal="left"/>
    </xf>
    <xf numFmtId="15" fontId="37" fillId="8" borderId="41" xfId="3" applyNumberFormat="1" applyFill="1" applyBorder="1" applyAlignment="1">
      <alignment horizontal="left"/>
    </xf>
    <xf numFmtId="0" fontId="37" fillId="8" borderId="39" xfId="3" applyFill="1" applyBorder="1"/>
    <xf numFmtId="0" fontId="37" fillId="8" borderId="40" xfId="3" applyFill="1" applyBorder="1"/>
    <xf numFmtId="0" fontId="37" fillId="8" borderId="41" xfId="3" applyFill="1" applyBorder="1"/>
    <xf numFmtId="0" fontId="50" fillId="0" borderId="58" xfId="2" applyFont="1" applyBorder="1" applyAlignment="1">
      <alignment horizontal="left" wrapText="1"/>
    </xf>
    <xf numFmtId="0" fontId="50" fillId="0" borderId="0" xfId="2" applyFont="1" applyAlignment="1">
      <alignment horizontal="left" wrapText="1"/>
    </xf>
    <xf numFmtId="0" fontId="5" fillId="0" borderId="2" xfId="0" applyFont="1" applyBorder="1" applyAlignment="1">
      <alignment horizontal="center"/>
    </xf>
    <xf numFmtId="0" fontId="6" fillId="0" borderId="3" xfId="0" applyFont="1" applyBorder="1"/>
    <xf numFmtId="0" fontId="6" fillId="0" borderId="4" xfId="0" applyFont="1" applyBorder="1"/>
    <xf numFmtId="0" fontId="11" fillId="0" borderId="16" xfId="0" applyFont="1" applyBorder="1" applyAlignment="1">
      <alignment horizontal="center"/>
    </xf>
    <xf numFmtId="0" fontId="6" fillId="0" borderId="16" xfId="0" applyFont="1" applyBorder="1"/>
    <xf numFmtId="0" fontId="10" fillId="0" borderId="0" xfId="0" applyFont="1" applyAlignment="1">
      <alignment horizontal="center" vertical="center" wrapText="1"/>
    </xf>
    <xf numFmtId="0" fontId="0" fillId="0" borderId="0" xfId="0"/>
    <xf numFmtId="0" fontId="10" fillId="0" borderId="17" xfId="0" applyFont="1" applyBorder="1" applyAlignment="1">
      <alignment horizontal="center" vertical="center" wrapText="1"/>
    </xf>
    <xf numFmtId="1" fontId="10" fillId="0" borderId="17" xfId="0" applyNumberFormat="1" applyFont="1" applyBorder="1" applyAlignment="1">
      <alignment horizontal="center" vertical="center" wrapText="1"/>
    </xf>
    <xf numFmtId="0" fontId="6" fillId="0" borderId="18" xfId="0" applyFont="1" applyBorder="1"/>
  </cellXfs>
  <cellStyles count="5">
    <cellStyle name="Hyperlink" xfId="1" builtinId="8"/>
    <cellStyle name="Hyperlink 2" xfId="3" xr:uid="{B1D52D0E-C3FD-4A7F-BAB3-FF93CC9C3603}"/>
    <cellStyle name="Normal" xfId="0" builtinId="0"/>
    <cellStyle name="Normal 2" xfId="2" xr:uid="{5A48BAF2-B05C-4D17-87B5-6545B7B12C9C}"/>
    <cellStyle name="Percent 2" xfId="4" xr:uid="{573ABA42-78E6-4C7C-9852-D7479CA26727}"/>
  </cellStyles>
  <dxfs count="17">
    <dxf>
      <fill>
        <patternFill patternType="solid">
          <fgColor rgb="FFFF0000"/>
          <bgColor rgb="FFFF0000"/>
        </patternFill>
      </fill>
    </dxf>
    <dxf>
      <font>
        <b val="0"/>
        <i val="0"/>
        <strike val="0"/>
        <condense val="0"/>
        <extend val="0"/>
        <outline val="0"/>
        <shadow val="0"/>
        <u val="none"/>
        <vertAlign val="baseline"/>
        <sz val="12"/>
        <color theme="1"/>
        <name val="Arial"/>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10"/>
        <color auto="1"/>
        <name val="Arial"/>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Project!$B$116</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CF2FC99D-0BD4-4859-9932-B7BF3E4179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5BF-4135-9E0A-00C5569774E3}"/>
                </c:ext>
              </c:extLst>
            </c:dLbl>
            <c:dLbl>
              <c:idx val="1"/>
              <c:tx>
                <c:rich>
                  <a:bodyPr/>
                  <a:lstStyle/>
                  <a:p>
                    <a:fld id="{E0E18DE4-DFF4-438E-BEBC-B521A9D575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5BF-4135-9E0A-00C5569774E3}"/>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B9497465-9E15-4A24-9507-C17476B07102}"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5BF-4135-9E0A-00C5569774E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Project!$C$116:$E$116</c:f>
              <c:numCache>
                <c:formatCode>[$€-2]\ #\ ##0</c:formatCode>
                <c:ptCount val="3"/>
                <c:pt idx="0">
                  <c:v>1042309.2804448564</c:v>
                </c:pt>
                <c:pt idx="1">
                  <c:v>4375963.9206672851</c:v>
                </c:pt>
                <c:pt idx="2">
                  <c:v>5418273.2011121418</c:v>
                </c:pt>
              </c:numCache>
            </c:numRef>
          </c:val>
          <c:extLst>
            <c:ext xmlns:c15="http://schemas.microsoft.com/office/drawing/2012/chart" uri="{02D57815-91ED-43cb-92C2-25804820EDAC}">
              <c15:datalabelsRange>
                <c15:f>Project!$C$116:$E$116</c15:f>
                <c15:dlblRangeCache>
                  <c:ptCount val="3"/>
                  <c:pt idx="0">
                    <c:v>€ 1 042 309</c:v>
                  </c:pt>
                  <c:pt idx="1">
                    <c:v>€ 4 375 964</c:v>
                  </c:pt>
                  <c:pt idx="2">
                    <c:v>€ 5 418 273</c:v>
                  </c:pt>
                </c15:dlblRangeCache>
              </c15:datalabelsRange>
            </c:ext>
            <c:ext xmlns:c16="http://schemas.microsoft.com/office/drawing/2014/chart" uri="{C3380CC4-5D6E-409C-BE32-E72D297353CC}">
              <c16:uniqueId val="{00000000-85BF-4135-9E0A-00C5569774E3}"/>
            </c:ext>
          </c:extLst>
        </c:ser>
        <c:ser>
          <c:idx val="1"/>
          <c:order val="1"/>
          <c:tx>
            <c:strRef>
              <c:f>Project!$B$117</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6D4E6F40-AA13-47F5-A18B-1C65319D2E0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5BF-4135-9E0A-00C5569774E3}"/>
                </c:ext>
              </c:extLst>
            </c:dLbl>
            <c:dLbl>
              <c:idx val="1"/>
              <c:tx>
                <c:rich>
                  <a:bodyPr/>
                  <a:lstStyle/>
                  <a:p>
                    <a:fld id="{85E6F1C6-AEFD-4A20-88EB-64B799A0573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5BF-4135-9E0A-00C5569774E3}"/>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3660B9B6-0C0C-431B-AB0A-2DCC46D067C1}"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5BF-4135-9E0A-00C5569774E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Project!$C$117:$E$117</c:f>
              <c:numCache>
                <c:formatCode>[$€-2]\ #\ ##0</c:formatCode>
                <c:ptCount val="3"/>
                <c:pt idx="0">
                  <c:v>4000000</c:v>
                </c:pt>
                <c:pt idx="1">
                  <c:v>4000000</c:v>
                </c:pt>
                <c:pt idx="2">
                  <c:v>8000000</c:v>
                </c:pt>
              </c:numCache>
            </c:numRef>
          </c:val>
          <c:extLst>
            <c:ext xmlns:c15="http://schemas.microsoft.com/office/drawing/2012/chart" uri="{02D57815-91ED-43cb-92C2-25804820EDAC}">
              <c15:datalabelsRange>
                <c15:f>Project!$C$117:$E$117</c15:f>
                <c15:dlblRangeCache>
                  <c:ptCount val="3"/>
                  <c:pt idx="0">
                    <c:v>€ 4 000 000</c:v>
                  </c:pt>
                  <c:pt idx="1">
                    <c:v>€ 4 000 000</c:v>
                  </c:pt>
                  <c:pt idx="2">
                    <c:v>€ 8 000 000</c:v>
                  </c:pt>
                </c15:dlblRangeCache>
              </c15:datalabelsRange>
            </c:ext>
            <c:ext xmlns:c16="http://schemas.microsoft.com/office/drawing/2014/chart" uri="{C3380CC4-5D6E-409C-BE32-E72D297353CC}">
              <c16:uniqueId val="{00000001-85BF-4135-9E0A-00C5569774E3}"/>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Total</a:t>
            </a:r>
            <a:r>
              <a:rPr lang="pl-PL" baseline="0"/>
              <a:t> </a:t>
            </a:r>
            <a:r>
              <a:rPr lang="pl-PL"/>
              <a:t>Net Present Value (NPV)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Project!$T$251</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4DC86475-50B1-4290-8502-B0F0AE4CB7B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24C-402C-A33D-08F3AA762844}"/>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Project!$U$251</c:f>
              <c:numCache>
                <c:formatCode>[$€-2]\ #\ ##0</c:formatCode>
                <c:ptCount val="1"/>
                <c:pt idx="0">
                  <c:v>12984874.681416709</c:v>
                </c:pt>
              </c:numCache>
            </c:numRef>
          </c:val>
          <c:extLst>
            <c:ext xmlns:c15="http://schemas.microsoft.com/office/drawing/2012/chart" uri="{02D57815-91ED-43cb-92C2-25804820EDAC}">
              <c15:datalabelsRange>
                <c15:f>Project!$U$251:$U$252</c15:f>
                <c15:dlblRangeCache>
                  <c:ptCount val="2"/>
                  <c:pt idx="0">
                    <c:v>€ 12 984 875</c:v>
                  </c:pt>
                  <c:pt idx="1">
                    <c:v>€ 23 397 327</c:v>
                  </c:pt>
                </c15:dlblRangeCache>
              </c15:datalabelsRange>
            </c:ext>
            <c:ext xmlns:c16="http://schemas.microsoft.com/office/drawing/2014/chart" uri="{C3380CC4-5D6E-409C-BE32-E72D297353CC}">
              <c16:uniqueId val="{00000001-124C-402C-A33D-08F3AA762844}"/>
            </c:ext>
          </c:extLst>
        </c:ser>
        <c:ser>
          <c:idx val="1"/>
          <c:order val="1"/>
          <c:tx>
            <c:strRef>
              <c:f>Project!$T$252</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51283871-F2D5-4727-97A4-2209720674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24C-402C-A33D-08F3AA76284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Project!$U$252</c:f>
              <c:numCache>
                <c:formatCode>[$€-2]\ #\ ##0</c:formatCode>
                <c:ptCount val="1"/>
                <c:pt idx="0">
                  <c:v>23397326.894035533</c:v>
                </c:pt>
              </c:numCache>
            </c:numRef>
          </c:val>
          <c:extLst>
            <c:ext xmlns:c15="http://schemas.microsoft.com/office/drawing/2012/chart" uri="{02D57815-91ED-43cb-92C2-25804820EDAC}">
              <c15:datalabelsRange>
                <c15:f>Project!$U$252</c15:f>
                <c15:dlblRangeCache>
                  <c:ptCount val="1"/>
                  <c:pt idx="0">
                    <c:v>€ 23 397 327</c:v>
                  </c:pt>
                </c15:dlblRangeCache>
              </c15:datalabelsRange>
            </c:ext>
            <c:ext xmlns:c16="http://schemas.microsoft.com/office/drawing/2014/chart" uri="{C3380CC4-5D6E-409C-BE32-E72D297353CC}">
              <c16:uniqueId val="{00000003-124C-402C-A33D-08F3AA762844}"/>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Internal Rate of Return</a:t>
            </a:r>
          </a:p>
          <a:p>
            <a:pPr>
              <a:defRPr/>
            </a:pPr>
            <a:r>
              <a:rPr lang="pl-PL"/>
              <a:t> (IRR) </a:t>
            </a:r>
            <a:endParaRPr lang="en-US"/>
          </a:p>
        </c:rich>
      </c:tx>
      <c:layout>
        <c:manualLayout>
          <c:xMode val="edge"/>
          <c:yMode val="edge"/>
          <c:x val="0.35761379904889484"/>
          <c:y val="3.672784605433376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Project!$B$332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CCD2B424-47B6-4A04-9772-E97BB88BED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887-44F9-B213-321E6319D1BA}"/>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Project!$C$332</c:f>
              <c:numCache>
                <c:formatCode>0.00%</c:formatCode>
                <c:ptCount val="1"/>
                <c:pt idx="0">
                  <c:v>0.5467512533748411</c:v>
                </c:pt>
              </c:numCache>
            </c:numRef>
          </c:val>
          <c:extLst>
            <c:ext xmlns:c15="http://schemas.microsoft.com/office/drawing/2012/chart" uri="{02D57815-91ED-43cb-92C2-25804820EDAC}">
              <c15:datalabelsRange>
                <c15:f>Project!$C$332</c15:f>
                <c15:dlblRangeCache>
                  <c:ptCount val="1"/>
                  <c:pt idx="0">
                    <c:v>54,68%</c:v>
                  </c:pt>
                </c15:dlblRangeCache>
              </c15:datalabelsRange>
            </c:ext>
            <c:ext xmlns:c16="http://schemas.microsoft.com/office/drawing/2014/chart" uri="{C3380CC4-5D6E-409C-BE32-E72D297353CC}">
              <c16:uniqueId val="{00000001-E887-44F9-B213-321E6319D1BA}"/>
            </c:ext>
          </c:extLst>
        </c:ser>
        <c:ser>
          <c:idx val="1"/>
          <c:order val="1"/>
          <c:tx>
            <c:strRef>
              <c:f>Project!$B$334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D17CE06F-99B8-4001-BAE0-943DD0FA41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887-44F9-B213-321E6319D1B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Project!$C$334</c:f>
              <c:numCache>
                <c:formatCode>0.00%</c:formatCode>
                <c:ptCount val="1"/>
                <c:pt idx="0">
                  <c:v>0.58437455017102691</c:v>
                </c:pt>
              </c:numCache>
            </c:numRef>
          </c:val>
          <c:extLst>
            <c:ext xmlns:c15="http://schemas.microsoft.com/office/drawing/2012/chart" uri="{02D57815-91ED-43cb-92C2-25804820EDAC}">
              <c15:datalabelsRange>
                <c15:f>Project!$C$334</c15:f>
                <c15:dlblRangeCache>
                  <c:ptCount val="1"/>
                  <c:pt idx="0">
                    <c:v>58,44%</c:v>
                  </c:pt>
                </c15:dlblRangeCache>
              </c15:datalabelsRange>
            </c:ext>
            <c:ext xmlns:c16="http://schemas.microsoft.com/office/drawing/2014/chart" uri="{C3380CC4-5D6E-409C-BE32-E72D297353CC}">
              <c16:uniqueId val="{00000003-E887-44F9-B213-321E6319D1BA}"/>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Investment</a:t>
            </a:r>
          </a:p>
          <a:p>
            <a:pPr>
              <a:defRPr/>
            </a:pPr>
            <a:r>
              <a:rPr lang="pl-PL"/>
              <a:t> (ROI) </a:t>
            </a:r>
            <a:endParaRPr lang="en-US"/>
          </a:p>
        </c:rich>
      </c:tx>
      <c:layout>
        <c:manualLayout>
          <c:xMode val="edge"/>
          <c:yMode val="edge"/>
          <c:x val="0.37848762100887406"/>
          <c:y val="3.926701570680628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788638533404108E-2"/>
          <c:y val="0.17929872437560943"/>
          <c:w val="0.90421136146659586"/>
          <c:h val="0.70752487217386251"/>
        </c:manualLayout>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A27B1399-AAEE-4BA6-9246-19713665E4F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87B-4A8E-AC33-012D58E8C9ED}"/>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Project!$C$373</c:f>
              <c:numCache>
                <c:formatCode>0%</c:formatCode>
                <c:ptCount val="1"/>
                <c:pt idx="0">
                  <c:v>5.4281660634231974</c:v>
                </c:pt>
              </c:numCache>
            </c:numRef>
          </c:val>
          <c:extLst>
            <c:ext xmlns:c15="http://schemas.microsoft.com/office/drawing/2012/chart" uri="{02D57815-91ED-43cb-92C2-25804820EDAC}">
              <c15:datalabelsRange>
                <c15:f>Project!$C$373</c15:f>
                <c15:dlblRangeCache>
                  <c:ptCount val="1"/>
                  <c:pt idx="0">
                    <c:v>543%</c:v>
                  </c:pt>
                </c15:dlblRangeCache>
              </c15:datalabelsRange>
            </c:ext>
            <c:ext xmlns:c16="http://schemas.microsoft.com/office/drawing/2014/chart" uri="{C3380CC4-5D6E-409C-BE32-E72D297353CC}">
              <c16:uniqueId val="{00000001-587B-4A8E-AC33-012D58E8C9ED}"/>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074E0FE2-89E8-4C06-8BEA-96C56D14BAE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87B-4A8E-AC33-012D58E8C9E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587B-4A8E-AC33-012D58E8C9ED}"/>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Payback Period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Project!$C$401</c:f>
              <c:strCache>
                <c:ptCount val="1"/>
                <c:pt idx="0">
                  <c:v>Year</c:v>
                </c:pt>
              </c:strCache>
            </c:strRef>
          </c:tx>
          <c:spPr>
            <a:ln w="15875" cap="rnd">
              <a:solidFill>
                <a:srgbClr val="C0504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1369-488A-A419-F79292EF7158}"/>
            </c:ext>
          </c:extLst>
        </c:ser>
        <c:ser>
          <c:idx val="1"/>
          <c:order val="1"/>
          <c:tx>
            <c:strRef>
              <c:f>Project!$D$401</c:f>
              <c:strCache>
                <c:ptCount val="1"/>
                <c:pt idx="0">
                  <c:v>Scenario 1</c:v>
                </c:pt>
              </c:strCache>
            </c:strRef>
          </c:tx>
          <c:spPr>
            <a:ln w="25400" cap="rnd">
              <a:solidFill>
                <a:srgbClr val="4F81B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Project!$D$402:$D$411</c:f>
              <c:numCache>
                <c:formatCode>#,##0</c:formatCode>
                <c:ptCount val="10"/>
                <c:pt idx="0">
                  <c:v>-582309.28044485638</c:v>
                </c:pt>
                <c:pt idx="1">
                  <c:v>-3848273.2011121414</c:v>
                </c:pt>
                <c:pt idx="2">
                  <c:v>-2828146.3765060245</c:v>
                </c:pt>
                <c:pt idx="3">
                  <c:v>-643121.50451807259</c:v>
                </c:pt>
                <c:pt idx="4">
                  <c:v>1057770.4195898979</c:v>
                </c:pt>
                <c:pt idx="5">
                  <c:v>4807114.8850298878</c:v>
                </c:pt>
                <c:pt idx="6">
                  <c:v>9424775.9056151006</c:v>
                </c:pt>
                <c:pt idx="7">
                  <c:v>14998624.271733658</c:v>
                </c:pt>
                <c:pt idx="8">
                  <c:v>21625338.635509968</c:v>
                </c:pt>
                <c:pt idx="9">
                  <c:v>29411286.712632298</c:v>
                </c:pt>
              </c:numCache>
            </c:numRef>
          </c:val>
          <c:smooth val="0"/>
          <c:extLst>
            <c:ext xmlns:c16="http://schemas.microsoft.com/office/drawing/2014/chart" uri="{C3380CC4-5D6E-409C-BE32-E72D297353CC}">
              <c16:uniqueId val="{00000001-1369-488A-A419-F79292EF7158}"/>
            </c:ext>
          </c:extLst>
        </c:ser>
        <c:ser>
          <c:idx val="2"/>
          <c:order val="2"/>
          <c:tx>
            <c:strRef>
              <c:f>Project!$E$401</c:f>
              <c:strCache>
                <c:ptCount val="1"/>
                <c:pt idx="0">
                  <c:v>Scenario 2</c:v>
                </c:pt>
              </c:strCache>
            </c:strRef>
          </c:tx>
          <c:spPr>
            <a:ln w="25400" cap="rnd">
              <a:solidFill>
                <a:srgbClr val="9BBB59"/>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Project!$E$402:$E$411</c:f>
              <c:numCache>
                <c:formatCode>#,##0</c:formatCode>
                <c:ptCount val="10"/>
                <c:pt idx="0">
                  <c:v>-3275723.9052363299</c:v>
                </c:pt>
                <c:pt idx="1">
                  <c:v>-4829888.8872798886</c:v>
                </c:pt>
                <c:pt idx="2">
                  <c:v>-2583040.5692481454</c:v>
                </c:pt>
                <c:pt idx="3">
                  <c:v>600193.04387019388</c:v>
                </c:pt>
                <c:pt idx="4">
                  <c:v>4899589.7463381197</c:v>
                </c:pt>
                <c:pt idx="5">
                  <c:v>10523491.91355807</c:v>
                </c:pt>
                <c:pt idx="6">
                  <c:v>17713139.377722848</c:v>
                </c:pt>
                <c:pt idx="7">
                  <c:v>26747653.523188576</c:v>
                </c:pt>
                <c:pt idx="8">
                  <c:v>37949770.316787586</c:v>
                </c:pt>
                <c:pt idx="9">
                  <c:v>51692434.646356821</c:v>
                </c:pt>
              </c:numCache>
            </c:numRef>
          </c:val>
          <c:smooth val="0"/>
          <c:extLst>
            <c:ext xmlns:c16="http://schemas.microsoft.com/office/drawing/2014/chart" uri="{C3380CC4-5D6E-409C-BE32-E72D297353CC}">
              <c16:uniqueId val="{00000002-1369-488A-A419-F79292EF7158}"/>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Opportunity costs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Project!$B$493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3E20A0C6-5CFC-4374-8EE0-1CAC215AFD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1A8-401B-B2A4-E4BEA2B63400}"/>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Project!$C$493</c:f>
              <c:numCache>
                <c:formatCode>[$€-2]\ #\ ##0</c:formatCode>
                <c:ptCount val="1"/>
                <c:pt idx="0">
                  <c:v>23397326.894035533</c:v>
                </c:pt>
              </c:numCache>
            </c:numRef>
          </c:val>
          <c:extLst>
            <c:ext xmlns:c15="http://schemas.microsoft.com/office/drawing/2012/chart" uri="{02D57815-91ED-43cb-92C2-25804820EDAC}">
              <c15:datalabelsRange>
                <c15:f>Project!$C$493</c15:f>
                <c15:dlblRangeCache>
                  <c:ptCount val="1"/>
                  <c:pt idx="0">
                    <c:v>€ 23 397 327</c:v>
                  </c:pt>
                </c15:dlblRangeCache>
              </c15:datalabelsRange>
            </c:ext>
            <c:ext xmlns:c16="http://schemas.microsoft.com/office/drawing/2014/chart" uri="{C3380CC4-5D6E-409C-BE32-E72D297353CC}">
              <c16:uniqueId val="{00000001-F1A8-401B-B2A4-E4BEA2B63400}"/>
            </c:ext>
          </c:extLst>
        </c:ser>
        <c:ser>
          <c:idx val="1"/>
          <c:order val="1"/>
          <c:tx>
            <c:strRef>
              <c:f>Project!$B$494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8E5555A9-EEE3-431F-9520-DB12DD6C022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1A8-401B-B2A4-E4BEA2B634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Project!$C$494</c:f>
              <c:numCache>
                <c:formatCode>[$€-2]\ #\ ##0</c:formatCode>
                <c:ptCount val="1"/>
                <c:pt idx="0">
                  <c:v>12984874.681416709</c:v>
                </c:pt>
              </c:numCache>
            </c:numRef>
          </c:val>
          <c:extLst>
            <c:ext xmlns:c15="http://schemas.microsoft.com/office/drawing/2012/chart" uri="{02D57815-91ED-43cb-92C2-25804820EDAC}">
              <c15:datalabelsRange>
                <c15:f>Project!$C$494</c15:f>
                <c15:dlblRangeCache>
                  <c:ptCount val="1"/>
                  <c:pt idx="0">
                    <c:v>€ 12 984 875</c:v>
                  </c:pt>
                </c15:dlblRangeCache>
              </c15:datalabelsRange>
            </c:ext>
            <c:ext xmlns:c16="http://schemas.microsoft.com/office/drawing/2014/chart" uri="{C3380CC4-5D6E-409C-BE32-E72D297353CC}">
              <c16:uniqueId val="{00000003-F1A8-401B-B2A4-E4BEA2B63400}"/>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6294979215227946"/>
          <c:y val="0.90230662940262962"/>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Profitability Index (PI)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Project!$F$497</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7865A34E-F245-4B3A-8AC2-514175CB85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6AE-4EB4-B9B6-3DF96317189F}"/>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Project!$G$497</c:f>
              <c:numCache>
                <c:formatCode>0.00</c:formatCode>
                <c:ptCount val="1"/>
                <c:pt idx="0">
                  <c:v>3.396496854154837</c:v>
                </c:pt>
              </c:numCache>
            </c:numRef>
          </c:val>
          <c:extLst>
            <c:ext xmlns:c15="http://schemas.microsoft.com/office/drawing/2012/chart" uri="{02D57815-91ED-43cb-92C2-25804820EDAC}">
              <c15:datalabelsRange>
                <c15:f>Project!$G$497</c15:f>
                <c15:dlblRangeCache>
                  <c:ptCount val="1"/>
                  <c:pt idx="0">
                    <c:v>3,40</c:v>
                  </c:pt>
                </c15:dlblRangeCache>
              </c15:datalabelsRange>
            </c:ext>
            <c:ext xmlns:c16="http://schemas.microsoft.com/office/drawing/2014/chart" uri="{C3380CC4-5D6E-409C-BE32-E72D297353CC}">
              <c16:uniqueId val="{00000001-16AE-4EB4-B9B6-3DF96317189F}"/>
            </c:ext>
          </c:extLst>
        </c:ser>
        <c:ser>
          <c:idx val="1"/>
          <c:order val="1"/>
          <c:tx>
            <c:strRef>
              <c:f>Project!$F$498</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8893CCBB-38C9-4E58-83C2-216C56FB11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6AE-4EB4-B9B6-3DF96317189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Project!$G$498</c:f>
              <c:numCache>
                <c:formatCode>0.00</c:formatCode>
                <c:ptCount val="1"/>
                <c:pt idx="0">
                  <c:v>3.9246658617544417</c:v>
                </c:pt>
              </c:numCache>
            </c:numRef>
          </c:val>
          <c:extLst>
            <c:ext xmlns:c15="http://schemas.microsoft.com/office/drawing/2012/chart" uri="{02D57815-91ED-43cb-92C2-25804820EDAC}">
              <c15:datalabelsRange>
                <c15:f>Project!$G$498</c15:f>
                <c15:dlblRangeCache>
                  <c:ptCount val="1"/>
                  <c:pt idx="0">
                    <c:v>3,92</c:v>
                  </c:pt>
                </c15:dlblRangeCache>
              </c15:datalabelsRange>
            </c:ext>
            <c:ext xmlns:c16="http://schemas.microsoft.com/office/drawing/2014/chart" uri="{C3380CC4-5D6E-409C-BE32-E72D297353CC}">
              <c16:uniqueId val="{00000003-16AE-4EB4-B9B6-3DF96317189F}"/>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7"/>
          <c:min val="1"/>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3677847459370852"/>
          <c:y val="0.90575748263549638"/>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Minimum total sales</a:t>
            </a:r>
            <a:r>
              <a:rPr lang="pl-PL" baseline="0"/>
              <a:t> to break-even</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242295974384986E-2"/>
          <c:y val="0.11026267562614539"/>
          <c:w val="0.84962448979808813"/>
          <c:h val="0.73106436298394895"/>
        </c:manualLayout>
      </c:layout>
      <c:lineChart>
        <c:grouping val="standard"/>
        <c:varyColors val="0"/>
        <c:ser>
          <c:idx val="0"/>
          <c:order val="0"/>
          <c:tx>
            <c:strRef>
              <c:f>Project!$L$424</c:f>
              <c:strCache>
                <c:ptCount val="1"/>
                <c:pt idx="0">
                  <c:v>Year</c:v>
                </c:pt>
              </c:strCache>
            </c:strRef>
          </c:tx>
          <c:spPr>
            <a:ln w="15875" cap="rnd">
              <a:solidFill>
                <a:srgbClr val="FFFFFF">
                  <a:lumMod val="85000"/>
                </a:srgbClr>
              </a:solidFill>
              <a:round/>
            </a:ln>
            <a:effectLst/>
          </c:spPr>
          <c:marker>
            <c:symbol val="none"/>
          </c:marker>
          <c:dLbls>
            <c:dLbl>
              <c:idx val="0"/>
              <c:tx>
                <c:rich>
                  <a:bodyPr/>
                  <a:lstStyle/>
                  <a:p>
                    <a:fld id="{E2E7519A-9B81-4BB5-AB13-8765F73C134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95-4CAA-9EFE-5D0186D924EE}"/>
                </c:ext>
              </c:extLst>
            </c:dLbl>
            <c:dLbl>
              <c:idx val="1"/>
              <c:tx>
                <c:rich>
                  <a:bodyPr/>
                  <a:lstStyle/>
                  <a:p>
                    <a:fld id="{4A31179A-6AA1-48D7-92F9-BE92B8D852F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95-4CAA-9EFE-5D0186D924EE}"/>
                </c:ext>
              </c:extLst>
            </c:dLbl>
            <c:dLbl>
              <c:idx val="2"/>
              <c:tx>
                <c:rich>
                  <a:bodyPr/>
                  <a:lstStyle/>
                  <a:p>
                    <a:fld id="{2826C73A-B8E4-401C-BEFB-D27F4F42841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95-4CAA-9EFE-5D0186D924EE}"/>
                </c:ext>
              </c:extLst>
            </c:dLbl>
            <c:dLbl>
              <c:idx val="3"/>
              <c:tx>
                <c:rich>
                  <a:bodyPr/>
                  <a:lstStyle/>
                  <a:p>
                    <a:fld id="{E50A5736-6AD2-4A31-AAB7-ED934E3BBAD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95-4CAA-9EFE-5D0186D924EE}"/>
                </c:ext>
              </c:extLst>
            </c:dLbl>
            <c:dLbl>
              <c:idx val="4"/>
              <c:tx>
                <c:rich>
                  <a:bodyPr/>
                  <a:lstStyle/>
                  <a:p>
                    <a:fld id="{D9EB9CCC-CF27-4E1B-82A3-9AF399EDE26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495-4CAA-9EFE-5D0186D924EE}"/>
                </c:ext>
              </c:extLst>
            </c:dLbl>
            <c:dLbl>
              <c:idx val="5"/>
              <c:tx>
                <c:rich>
                  <a:bodyPr/>
                  <a:lstStyle/>
                  <a:p>
                    <a:fld id="{33AE7500-044A-45FB-B0EE-78CDF1300A9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495-4CAA-9EFE-5D0186D924EE}"/>
                </c:ext>
              </c:extLst>
            </c:dLbl>
            <c:dLbl>
              <c:idx val="6"/>
              <c:tx>
                <c:rich>
                  <a:bodyPr/>
                  <a:lstStyle/>
                  <a:p>
                    <a:fld id="{961454F1-0E60-476A-87AA-E401BBC83D5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95-4CAA-9EFE-5D0186D924EE}"/>
                </c:ext>
              </c:extLst>
            </c:dLbl>
            <c:dLbl>
              <c:idx val="7"/>
              <c:tx>
                <c:rich>
                  <a:bodyPr/>
                  <a:lstStyle/>
                  <a:p>
                    <a:fld id="{FA055EE6-EB9B-4F7B-A480-FF0749B3DC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95-4CAA-9EFE-5D0186D924EE}"/>
                </c:ext>
              </c:extLst>
            </c:dLbl>
            <c:dLbl>
              <c:idx val="8"/>
              <c:tx>
                <c:rich>
                  <a:bodyPr/>
                  <a:lstStyle/>
                  <a:p>
                    <a:fld id="{38F418F7-6427-44B3-A1E0-FD1BE3E38D4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95-4CAA-9EFE-5D0186D924EE}"/>
                </c:ext>
              </c:extLst>
            </c:dLbl>
            <c:dLbl>
              <c:idx val="9"/>
              <c:tx>
                <c:rich>
                  <a:bodyPr/>
                  <a:lstStyle/>
                  <a:p>
                    <a:fld id="{07217FF9-4352-491A-B7CA-B8065BCE443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Project!$L$425:$L$434</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Project!$L$425:$L$434</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0-8495-4CAA-9EFE-5D0186D924EE}"/>
            </c:ext>
          </c:extLst>
        </c:ser>
        <c:ser>
          <c:idx val="1"/>
          <c:order val="1"/>
          <c:tx>
            <c:strRef>
              <c:f>Project!$M$424</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D-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2E-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2F-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30-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31-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32-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33-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34-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35-8495-4CAA-9EFE-5D0186D924EE}"/>
                </c:ext>
              </c:extLst>
            </c:dLbl>
            <c:dLbl>
              <c:idx val="9"/>
              <c:tx>
                <c:rich>
                  <a:bodyPr/>
                  <a:lstStyle/>
                  <a:p>
                    <a:fld id="{18C844C7-CCFB-431B-88E6-D1A143421D6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Project!$M$425:$M$434</c:f>
              <c:numCache>
                <c:formatCode>[$€-2]\ #\ ##0</c:formatCode>
                <c:ptCount val="10"/>
                <c:pt idx="0">
                  <c:v>632309.28044485638</c:v>
                </c:pt>
                <c:pt idx="1">
                  <c:v>3848273.2011121465</c:v>
                </c:pt>
                <c:pt idx="2">
                  <c:v>5035273.2011121465</c:v>
                </c:pt>
                <c:pt idx="3">
                  <c:v>5719513.2011121465</c:v>
                </c:pt>
                <c:pt idx="4">
                  <c:v>7616238.0011121463</c:v>
                </c:pt>
                <c:pt idx="5">
                  <c:v>8265697.2971121464</c:v>
                </c:pt>
                <c:pt idx="6">
                  <c:v>8928145.7790321466</c:v>
                </c:pt>
                <c:pt idx="7">
                  <c:v>9603843.2305905465</c:v>
                </c:pt>
                <c:pt idx="8">
                  <c:v>10293054.631180115</c:v>
                </c:pt>
                <c:pt idx="9">
                  <c:v>10996050.259781474</c:v>
                </c:pt>
              </c:numCache>
            </c:numRef>
          </c:val>
          <c:smooth val="0"/>
          <c:extLst>
            <c:ext xmlns:c15="http://schemas.microsoft.com/office/drawing/2012/chart" uri="{02D57815-91ED-43cb-92C2-25804820EDAC}">
              <c15:datalabelsRange>
                <c15:f>Project!$M$425:$M$434</c15:f>
                <c15:dlblRangeCache>
                  <c:ptCount val="10"/>
                  <c:pt idx="0">
                    <c:v>€ 632 309</c:v>
                  </c:pt>
                  <c:pt idx="1">
                    <c:v>€ 3 848 273</c:v>
                  </c:pt>
                  <c:pt idx="2">
                    <c:v>€ 5 035 273</c:v>
                  </c:pt>
                  <c:pt idx="3">
                    <c:v>€ 5 719 513</c:v>
                  </c:pt>
                  <c:pt idx="4">
                    <c:v>€ 7 616 238</c:v>
                  </c:pt>
                  <c:pt idx="5">
                    <c:v>€ 8 265 697</c:v>
                  </c:pt>
                  <c:pt idx="6">
                    <c:v>€ 8 928 146</c:v>
                  </c:pt>
                  <c:pt idx="7">
                    <c:v>€ 9 603 843</c:v>
                  </c:pt>
                  <c:pt idx="8">
                    <c:v>€ 10 293 055</c:v>
                  </c:pt>
                  <c:pt idx="9">
                    <c:v>€ 10 996 050</c:v>
                  </c:pt>
                </c15:dlblRangeCache>
              </c15:datalabelsRange>
            </c:ext>
            <c:ext xmlns:c16="http://schemas.microsoft.com/office/drawing/2014/chart" uri="{C3380CC4-5D6E-409C-BE32-E72D297353CC}">
              <c16:uniqueId val="{00000001-8495-4CAA-9EFE-5D0186D924EE}"/>
            </c:ext>
          </c:extLst>
        </c:ser>
        <c:ser>
          <c:idx val="2"/>
          <c:order val="2"/>
          <c:tx>
            <c:strRef>
              <c:f>Project!$N$424</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3-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24-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25-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26-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27-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28-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29-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2A-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2B-8495-4CAA-9EFE-5D0186D924EE}"/>
                </c:ext>
              </c:extLst>
            </c:dLbl>
            <c:dLbl>
              <c:idx val="9"/>
              <c:tx>
                <c:rich>
                  <a:bodyPr/>
                  <a:lstStyle/>
                  <a:p>
                    <a:fld id="{DDA0379C-97A8-49FF-8BA0-F13DBFE6386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Project!$N$425:$N$434</c:f>
              <c:numCache>
                <c:formatCode>[$€-2]\ #\ ##0</c:formatCode>
                <c:ptCount val="10"/>
                <c:pt idx="0">
                  <c:v>4600000</c:v>
                </c:pt>
                <c:pt idx="1">
                  <c:v>9200000</c:v>
                </c:pt>
                <c:pt idx="2">
                  <c:v>11118000</c:v>
                </c:pt>
                <c:pt idx="3">
                  <c:v>13386480</c:v>
                </c:pt>
                <c:pt idx="4">
                  <c:v>16018692</c:v>
                </c:pt>
                <c:pt idx="5">
                  <c:v>19028277.888</c:v>
                </c:pt>
                <c:pt idx="6">
                  <c:v>22429279.734719999</c:v>
                </c:pt>
                <c:pt idx="7">
                  <c:v>26236150.344153598</c:v>
                </c:pt>
                <c:pt idx="8">
                  <c:v>30463764.066070653</c:v>
                </c:pt>
                <c:pt idx="9">
                  <c:v>35127427.876726732</c:v>
                </c:pt>
              </c:numCache>
            </c:numRef>
          </c:val>
          <c:smooth val="0"/>
          <c:extLst>
            <c:ext xmlns:c15="http://schemas.microsoft.com/office/drawing/2012/chart" uri="{02D57815-91ED-43cb-92C2-25804820EDAC}">
              <c15:datalabelsRange>
                <c15:f>Project!$N$425:$N$434</c15:f>
                <c15:dlblRangeCache>
                  <c:ptCount val="10"/>
                  <c:pt idx="0">
                    <c:v>€ 4 600 000</c:v>
                  </c:pt>
                  <c:pt idx="1">
                    <c:v>€ 9 200 000</c:v>
                  </c:pt>
                  <c:pt idx="2">
                    <c:v>€ 11 118 000</c:v>
                  </c:pt>
                  <c:pt idx="3">
                    <c:v>€ 13 386 480</c:v>
                  </c:pt>
                  <c:pt idx="4">
                    <c:v>€ 16 018 692</c:v>
                  </c:pt>
                  <c:pt idx="5">
                    <c:v>€ 19 028 278</c:v>
                  </c:pt>
                  <c:pt idx="6">
                    <c:v>€ 22 429 280</c:v>
                  </c:pt>
                  <c:pt idx="7">
                    <c:v>€ 26 236 150</c:v>
                  </c:pt>
                  <c:pt idx="8">
                    <c:v>€ 30 463 764</c:v>
                  </c:pt>
                  <c:pt idx="9">
                    <c:v>€ 35 127 428</c:v>
                  </c:pt>
                </c15:dlblRangeCache>
              </c15:datalabelsRange>
            </c:ext>
            <c:ext xmlns:c16="http://schemas.microsoft.com/office/drawing/2014/chart" uri="{C3380CC4-5D6E-409C-BE32-E72D297353CC}">
              <c16:uniqueId val="{00000002-8495-4CAA-9EFE-5D0186D924EE}"/>
            </c:ext>
          </c:extLst>
        </c:ser>
        <c:ser>
          <c:idx val="3"/>
          <c:order val="3"/>
          <c:tx>
            <c:strRef>
              <c:f>Project!$O$424</c:f>
              <c:strCache>
                <c:ptCount val="1"/>
                <c:pt idx="0">
                  <c:v>Break-even scenario 1</c:v>
                </c:pt>
              </c:strCache>
            </c:strRef>
          </c:tx>
          <c:spPr>
            <a:ln w="158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1A-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1B-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1C-8495-4CAA-9EFE-5D0186D924EE}"/>
                </c:ext>
              </c:extLst>
            </c:dLbl>
            <c:dLbl>
              <c:idx val="4"/>
              <c:tx>
                <c:rich>
                  <a:bodyPr/>
                  <a:lstStyle/>
                  <a:p>
                    <a:fld id="{A4E81B31-5BA8-4951-B656-0A2128AED7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1E-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1F-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20-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21-8495-4CAA-9EFE-5D0186D924EE}"/>
                </c:ext>
              </c:extLst>
            </c:dLbl>
            <c:dLbl>
              <c:idx val="9"/>
              <c:delete val="1"/>
              <c:extLst>
                <c:ext xmlns:c15="http://schemas.microsoft.com/office/drawing/2012/chart" uri="{CE6537A1-D6FC-4f65-9D91-7224C49458BB}"/>
                <c:ext xmlns:c16="http://schemas.microsoft.com/office/drawing/2014/chart" uri="{C3380CC4-5D6E-409C-BE32-E72D297353CC}">
                  <c16:uniqueId val="{00000022-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Project!$O$425:$O$434</c:f>
              <c:numCache>
                <c:formatCode>[$€-2]\ #\ ##0</c:formatCode>
                <c:ptCount val="10"/>
                <c:pt idx="0">
                  <c:v>7616238.0011121463</c:v>
                </c:pt>
                <c:pt idx="1">
                  <c:v>7616238.0011121463</c:v>
                </c:pt>
                <c:pt idx="2">
                  <c:v>7616238.0011121463</c:v>
                </c:pt>
                <c:pt idx="3">
                  <c:v>7616238.0011121463</c:v>
                </c:pt>
                <c:pt idx="4">
                  <c:v>7616238.0011121463</c:v>
                </c:pt>
                <c:pt idx="5">
                  <c:v>7616238.0011121463</c:v>
                </c:pt>
                <c:pt idx="6">
                  <c:v>7616238.0011121463</c:v>
                </c:pt>
                <c:pt idx="7">
                  <c:v>7616238.0011121463</c:v>
                </c:pt>
                <c:pt idx="8">
                  <c:v>7616238.0011121463</c:v>
                </c:pt>
                <c:pt idx="9">
                  <c:v>7616238.0011121463</c:v>
                </c:pt>
              </c:numCache>
            </c:numRef>
          </c:val>
          <c:smooth val="0"/>
          <c:extLst>
            <c:ext xmlns:c15="http://schemas.microsoft.com/office/drawing/2012/chart" uri="{02D57815-91ED-43cb-92C2-25804820EDAC}">
              <c15:datalabelsRange>
                <c15:f>Project!$O$425:$O$434</c15:f>
                <c15:dlblRangeCache>
                  <c:ptCount val="10"/>
                  <c:pt idx="0">
                    <c:v>€ 7 616 238</c:v>
                  </c:pt>
                  <c:pt idx="1">
                    <c:v>€ 7 616 238</c:v>
                  </c:pt>
                  <c:pt idx="2">
                    <c:v>€ 7 616 238</c:v>
                  </c:pt>
                  <c:pt idx="3">
                    <c:v>€ 7 616 238</c:v>
                  </c:pt>
                  <c:pt idx="4">
                    <c:v>€ 7 616 238</c:v>
                  </c:pt>
                  <c:pt idx="5">
                    <c:v>€ 7 616 238</c:v>
                  </c:pt>
                  <c:pt idx="6">
                    <c:v>€ 7 616 238</c:v>
                  </c:pt>
                  <c:pt idx="7">
                    <c:v>€ 7 616 238</c:v>
                  </c:pt>
                  <c:pt idx="8">
                    <c:v>€ 7 616 238</c:v>
                  </c:pt>
                  <c:pt idx="9">
                    <c:v>€ 7 616 238</c:v>
                  </c:pt>
                </c15:dlblRangeCache>
              </c15:datalabelsRange>
            </c:ext>
            <c:ext xmlns:c16="http://schemas.microsoft.com/office/drawing/2014/chart" uri="{C3380CC4-5D6E-409C-BE32-E72D297353CC}">
              <c16:uniqueId val="{00000003-8495-4CAA-9EFE-5D0186D924EE}"/>
            </c:ext>
          </c:extLst>
        </c:ser>
        <c:ser>
          <c:idx val="4"/>
          <c:order val="4"/>
          <c:tx>
            <c:strRef>
              <c:f>Project!$P$424</c:f>
              <c:strCache>
                <c:ptCount val="1"/>
                <c:pt idx="0">
                  <c:v>Break-even scenario 2</c:v>
                </c:pt>
              </c:strCache>
            </c:strRef>
          </c:tx>
          <c:spPr>
            <a:ln w="15875" cap="rnd">
              <a:solidFill>
                <a:schemeClr val="accent3">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10-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11-8495-4CAA-9EFE-5D0186D924EE}"/>
                </c:ext>
              </c:extLst>
            </c:dLbl>
            <c:dLbl>
              <c:idx val="3"/>
              <c:tx>
                <c:rich>
                  <a:bodyPr/>
                  <a:lstStyle/>
                  <a:p>
                    <a:fld id="{5C1652F4-2B9B-4241-B03A-5711129F97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13-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14-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15-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16-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17-8495-4CAA-9EFE-5D0186D924EE}"/>
                </c:ext>
              </c:extLst>
            </c:dLbl>
            <c:dLbl>
              <c:idx val="9"/>
              <c:delete val="1"/>
              <c:extLst>
                <c:ext xmlns:c15="http://schemas.microsoft.com/office/drawing/2012/chart" uri="{CE6537A1-D6FC-4f65-9D91-7224C49458BB}"/>
                <c:ext xmlns:c16="http://schemas.microsoft.com/office/drawing/2014/chart" uri="{C3380CC4-5D6E-409C-BE32-E72D297353CC}">
                  <c16:uniqueId val="{00000018-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Project!$P$425:$P$434</c:f>
              <c:numCache>
                <c:formatCode>[$€-2]\ #\ ##0</c:formatCode>
                <c:ptCount val="10"/>
                <c:pt idx="0">
                  <c:v>13386480</c:v>
                </c:pt>
                <c:pt idx="1">
                  <c:v>13386480</c:v>
                </c:pt>
                <c:pt idx="2">
                  <c:v>13386480</c:v>
                </c:pt>
                <c:pt idx="3">
                  <c:v>13386480</c:v>
                </c:pt>
                <c:pt idx="4">
                  <c:v>13386480</c:v>
                </c:pt>
                <c:pt idx="5">
                  <c:v>13386480</c:v>
                </c:pt>
                <c:pt idx="6">
                  <c:v>13386480</c:v>
                </c:pt>
                <c:pt idx="7">
                  <c:v>13386480</c:v>
                </c:pt>
                <c:pt idx="8">
                  <c:v>13386480</c:v>
                </c:pt>
                <c:pt idx="9">
                  <c:v>13386480</c:v>
                </c:pt>
              </c:numCache>
            </c:numRef>
          </c:val>
          <c:smooth val="0"/>
          <c:extLst>
            <c:ext xmlns:c15="http://schemas.microsoft.com/office/drawing/2012/chart" uri="{02D57815-91ED-43cb-92C2-25804820EDAC}">
              <c15:datalabelsRange>
                <c15:f>Project!$P$425:$P$434</c15:f>
                <c15:dlblRangeCache>
                  <c:ptCount val="10"/>
                  <c:pt idx="0">
                    <c:v>€ 13 386 480</c:v>
                  </c:pt>
                  <c:pt idx="1">
                    <c:v>€ 13 386 480</c:v>
                  </c:pt>
                  <c:pt idx="2">
                    <c:v>€ 13 386 480</c:v>
                  </c:pt>
                  <c:pt idx="3">
                    <c:v>€ 13 386 480</c:v>
                  </c:pt>
                  <c:pt idx="4">
                    <c:v>€ 13 386 480</c:v>
                  </c:pt>
                  <c:pt idx="5">
                    <c:v>€ 13 386 480</c:v>
                  </c:pt>
                  <c:pt idx="6">
                    <c:v>€ 13 386 480</c:v>
                  </c:pt>
                  <c:pt idx="7">
                    <c:v>€ 13 386 480</c:v>
                  </c:pt>
                  <c:pt idx="8">
                    <c:v>€ 13 386 480</c:v>
                  </c:pt>
                  <c:pt idx="9">
                    <c:v>€ 13 386 480</c:v>
                  </c:pt>
                </c15:dlblRangeCache>
              </c15:datalabelsRange>
            </c:ext>
            <c:ext xmlns:c16="http://schemas.microsoft.com/office/drawing/2014/chart" uri="{C3380CC4-5D6E-409C-BE32-E72D297353CC}">
              <c16:uniqueId val="{00000004-8495-4CAA-9EFE-5D0186D924EE}"/>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Minimum total sales</a:t>
            </a:r>
            <a:r>
              <a:rPr lang="pl-PL" baseline="0"/>
              <a:t> to break-even</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47250369279976"/>
          <c:y val="0.11376109690349977"/>
          <c:w val="0.8196640103381434"/>
          <c:h val="0.70666739755369545"/>
        </c:manualLayout>
      </c:layout>
      <c:lineChart>
        <c:grouping val="standard"/>
        <c:varyColors val="0"/>
        <c:ser>
          <c:idx val="0"/>
          <c:order val="0"/>
          <c:tx>
            <c:strRef>
              <c:f>Project!$L$424</c:f>
              <c:strCache>
                <c:ptCount val="1"/>
                <c:pt idx="0">
                  <c:v>Year</c:v>
                </c:pt>
              </c:strCache>
            </c:strRef>
          </c:tx>
          <c:spPr>
            <a:ln w="15875" cap="rnd">
              <a:solidFill>
                <a:srgbClr val="FFFFFF">
                  <a:lumMod val="85000"/>
                </a:srgbClr>
              </a:solidFill>
              <a:round/>
            </a:ln>
            <a:effectLst/>
          </c:spPr>
          <c:marker>
            <c:symbol val="none"/>
          </c:marker>
          <c:dLbls>
            <c:dLbl>
              <c:idx val="0"/>
              <c:tx>
                <c:rich>
                  <a:bodyPr/>
                  <a:lstStyle/>
                  <a:p>
                    <a:fld id="{456C5B6C-D02D-4C53-A4EB-59B2DE2FCC9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26A-4CFB-B091-A5E60F5F5713}"/>
                </c:ext>
              </c:extLst>
            </c:dLbl>
            <c:dLbl>
              <c:idx val="1"/>
              <c:tx>
                <c:rich>
                  <a:bodyPr/>
                  <a:lstStyle/>
                  <a:p>
                    <a:fld id="{042C8156-5D4F-4DB2-A45D-7482F52F4E4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26A-4CFB-B091-A5E60F5F5713}"/>
                </c:ext>
              </c:extLst>
            </c:dLbl>
            <c:dLbl>
              <c:idx val="2"/>
              <c:tx>
                <c:rich>
                  <a:bodyPr/>
                  <a:lstStyle/>
                  <a:p>
                    <a:fld id="{261F7323-3FD9-4359-9FFB-9408C381E4D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6A-4CFB-B091-A5E60F5F5713}"/>
                </c:ext>
              </c:extLst>
            </c:dLbl>
            <c:dLbl>
              <c:idx val="3"/>
              <c:tx>
                <c:rich>
                  <a:bodyPr/>
                  <a:lstStyle/>
                  <a:p>
                    <a:fld id="{8CD4DA1F-51AA-47AB-ABDE-B2E0EABD71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6A-4CFB-B091-A5E60F5F5713}"/>
                </c:ext>
              </c:extLst>
            </c:dLbl>
            <c:dLbl>
              <c:idx val="4"/>
              <c:tx>
                <c:rich>
                  <a:bodyPr/>
                  <a:lstStyle/>
                  <a:p>
                    <a:fld id="{093C6C55-35B0-44C6-9346-1C4834C4F11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6A-4CFB-B091-A5E60F5F5713}"/>
                </c:ext>
              </c:extLst>
            </c:dLbl>
            <c:dLbl>
              <c:idx val="5"/>
              <c:tx>
                <c:rich>
                  <a:bodyPr/>
                  <a:lstStyle/>
                  <a:p>
                    <a:fld id="{F0F677A6-5867-4DA1-8472-01AC63E6FD8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26A-4CFB-B091-A5E60F5F5713}"/>
                </c:ext>
              </c:extLst>
            </c:dLbl>
            <c:dLbl>
              <c:idx val="6"/>
              <c:tx>
                <c:rich>
                  <a:bodyPr/>
                  <a:lstStyle/>
                  <a:p>
                    <a:fld id="{5ECF9007-4CF4-46AC-ADDD-11F444DDA5F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26A-4CFB-B091-A5E60F5F5713}"/>
                </c:ext>
              </c:extLst>
            </c:dLbl>
            <c:dLbl>
              <c:idx val="7"/>
              <c:tx>
                <c:rich>
                  <a:bodyPr/>
                  <a:lstStyle/>
                  <a:p>
                    <a:fld id="{4F42419A-A6CE-415C-BDEF-162F36D59B6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6A-4CFB-B091-A5E60F5F5713}"/>
                </c:ext>
              </c:extLst>
            </c:dLbl>
            <c:dLbl>
              <c:idx val="8"/>
              <c:tx>
                <c:rich>
                  <a:bodyPr/>
                  <a:lstStyle/>
                  <a:p>
                    <a:fld id="{8507CE79-A056-44BE-9629-712B40A7DA5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6A-4CFB-B091-A5E60F5F5713}"/>
                </c:ext>
              </c:extLst>
            </c:dLbl>
            <c:dLbl>
              <c:idx val="9"/>
              <c:tx>
                <c:rich>
                  <a:bodyPr/>
                  <a:lstStyle/>
                  <a:p>
                    <a:fld id="{9EAAE265-F7B0-49B4-8D75-B0D6E9E9B51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Project!$L$425:$L$434</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Project!$L$425:$L$434</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A-426A-4CFB-B091-A5E60F5F5713}"/>
            </c:ext>
          </c:extLst>
        </c:ser>
        <c:ser>
          <c:idx val="1"/>
          <c:order val="1"/>
          <c:tx>
            <c:strRef>
              <c:f>Project!$M$424</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0C-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0D-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0E-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0F-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10-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11-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12-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13-426A-4CFB-B091-A5E60F5F5713}"/>
                </c:ext>
              </c:extLst>
            </c:dLbl>
            <c:dLbl>
              <c:idx val="9"/>
              <c:tx>
                <c:rich>
                  <a:bodyPr/>
                  <a:lstStyle/>
                  <a:p>
                    <a:fld id="{269FACED-C845-4383-8FF2-4B9FDD16F8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Project!$M$425:$M$434</c:f>
              <c:numCache>
                <c:formatCode>[$€-2]\ #\ ##0</c:formatCode>
                <c:ptCount val="10"/>
                <c:pt idx="0">
                  <c:v>632309.28044485638</c:v>
                </c:pt>
                <c:pt idx="1">
                  <c:v>3848273.2011121465</c:v>
                </c:pt>
                <c:pt idx="2">
                  <c:v>5035273.2011121465</c:v>
                </c:pt>
                <c:pt idx="3">
                  <c:v>5719513.2011121465</c:v>
                </c:pt>
                <c:pt idx="4">
                  <c:v>7616238.0011121463</c:v>
                </c:pt>
                <c:pt idx="5">
                  <c:v>8265697.2971121464</c:v>
                </c:pt>
                <c:pt idx="6">
                  <c:v>8928145.7790321466</c:v>
                </c:pt>
                <c:pt idx="7">
                  <c:v>9603843.2305905465</c:v>
                </c:pt>
                <c:pt idx="8">
                  <c:v>10293054.631180115</c:v>
                </c:pt>
                <c:pt idx="9">
                  <c:v>10996050.259781474</c:v>
                </c:pt>
              </c:numCache>
            </c:numRef>
          </c:val>
          <c:smooth val="0"/>
          <c:extLst>
            <c:ext xmlns:c15="http://schemas.microsoft.com/office/drawing/2012/chart" uri="{02D57815-91ED-43cb-92C2-25804820EDAC}">
              <c15:datalabelsRange>
                <c15:f>Project!$M$425:$M$434</c15:f>
                <c15:dlblRangeCache>
                  <c:ptCount val="10"/>
                  <c:pt idx="0">
                    <c:v>€ 632 309</c:v>
                  </c:pt>
                  <c:pt idx="1">
                    <c:v>€ 3 848 273</c:v>
                  </c:pt>
                  <c:pt idx="2">
                    <c:v>€ 5 035 273</c:v>
                  </c:pt>
                  <c:pt idx="3">
                    <c:v>€ 5 719 513</c:v>
                  </c:pt>
                  <c:pt idx="4">
                    <c:v>€ 7 616 238</c:v>
                  </c:pt>
                  <c:pt idx="5">
                    <c:v>€ 8 265 697</c:v>
                  </c:pt>
                  <c:pt idx="6">
                    <c:v>€ 8 928 146</c:v>
                  </c:pt>
                  <c:pt idx="7">
                    <c:v>€ 9 603 843</c:v>
                  </c:pt>
                  <c:pt idx="8">
                    <c:v>€ 10 293 055</c:v>
                  </c:pt>
                  <c:pt idx="9">
                    <c:v>€ 10 996 050</c:v>
                  </c:pt>
                </c15:dlblRangeCache>
              </c15:datalabelsRange>
            </c:ext>
            <c:ext xmlns:c16="http://schemas.microsoft.com/office/drawing/2014/chart" uri="{C3380CC4-5D6E-409C-BE32-E72D297353CC}">
              <c16:uniqueId val="{00000015-426A-4CFB-B091-A5E60F5F5713}"/>
            </c:ext>
          </c:extLst>
        </c:ser>
        <c:ser>
          <c:idx val="2"/>
          <c:order val="2"/>
          <c:tx>
            <c:strRef>
              <c:f>Project!$N$424</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17-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18-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19-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1A-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1B-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1C-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1D-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1E-426A-4CFB-B091-A5E60F5F5713}"/>
                </c:ext>
              </c:extLst>
            </c:dLbl>
            <c:dLbl>
              <c:idx val="9"/>
              <c:tx>
                <c:rich>
                  <a:bodyPr/>
                  <a:lstStyle/>
                  <a:p>
                    <a:fld id="{1FFE4F23-BD82-420B-B8FD-FFF815A8363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Project!$N$425:$N$434</c:f>
              <c:numCache>
                <c:formatCode>[$€-2]\ #\ ##0</c:formatCode>
                <c:ptCount val="10"/>
                <c:pt idx="0">
                  <c:v>4600000</c:v>
                </c:pt>
                <c:pt idx="1">
                  <c:v>9200000</c:v>
                </c:pt>
                <c:pt idx="2">
                  <c:v>11118000</c:v>
                </c:pt>
                <c:pt idx="3">
                  <c:v>13386480</c:v>
                </c:pt>
                <c:pt idx="4">
                  <c:v>16018692</c:v>
                </c:pt>
                <c:pt idx="5">
                  <c:v>19028277.888</c:v>
                </c:pt>
                <c:pt idx="6">
                  <c:v>22429279.734719999</c:v>
                </c:pt>
                <c:pt idx="7">
                  <c:v>26236150.344153598</c:v>
                </c:pt>
                <c:pt idx="8">
                  <c:v>30463764.066070653</c:v>
                </c:pt>
                <c:pt idx="9">
                  <c:v>35127427.876726732</c:v>
                </c:pt>
              </c:numCache>
            </c:numRef>
          </c:val>
          <c:smooth val="0"/>
          <c:extLst>
            <c:ext xmlns:c15="http://schemas.microsoft.com/office/drawing/2012/chart" uri="{02D57815-91ED-43cb-92C2-25804820EDAC}">
              <c15:datalabelsRange>
                <c15:f>Project!$N$425:$N$434</c15:f>
                <c15:dlblRangeCache>
                  <c:ptCount val="10"/>
                  <c:pt idx="0">
                    <c:v>€ 4 600 000</c:v>
                  </c:pt>
                  <c:pt idx="1">
                    <c:v>€ 9 200 000</c:v>
                  </c:pt>
                  <c:pt idx="2">
                    <c:v>€ 11 118 000</c:v>
                  </c:pt>
                  <c:pt idx="3">
                    <c:v>€ 13 386 480</c:v>
                  </c:pt>
                  <c:pt idx="4">
                    <c:v>€ 16 018 692</c:v>
                  </c:pt>
                  <c:pt idx="5">
                    <c:v>€ 19 028 278</c:v>
                  </c:pt>
                  <c:pt idx="6">
                    <c:v>€ 22 429 280</c:v>
                  </c:pt>
                  <c:pt idx="7">
                    <c:v>€ 26 236 150</c:v>
                  </c:pt>
                  <c:pt idx="8">
                    <c:v>€ 30 463 764</c:v>
                  </c:pt>
                  <c:pt idx="9">
                    <c:v>€ 35 127 428</c:v>
                  </c:pt>
                </c15:dlblRangeCache>
              </c15:datalabelsRange>
            </c:ext>
            <c:ext xmlns:c16="http://schemas.microsoft.com/office/drawing/2014/chart" uri="{C3380CC4-5D6E-409C-BE32-E72D297353CC}">
              <c16:uniqueId val="{00000020-426A-4CFB-B091-A5E60F5F5713}"/>
            </c:ext>
          </c:extLst>
        </c:ser>
        <c:ser>
          <c:idx val="3"/>
          <c:order val="3"/>
          <c:tx>
            <c:strRef>
              <c:f>Project!$O$424</c:f>
              <c:strCache>
                <c:ptCount val="1"/>
                <c:pt idx="0">
                  <c:v>Break-even scenario 1</c:v>
                </c:pt>
              </c:strCache>
            </c:strRef>
          </c:tx>
          <c:spPr>
            <a:ln w="158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1-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22-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23-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24-426A-4CFB-B091-A5E60F5F5713}"/>
                </c:ext>
              </c:extLst>
            </c:dLbl>
            <c:dLbl>
              <c:idx val="4"/>
              <c:tx>
                <c:rich>
                  <a:bodyPr/>
                  <a:lstStyle/>
                  <a:p>
                    <a:fld id="{970E19EE-BBC3-4B63-B789-116C8BB2EC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26-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27-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28-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29-426A-4CFB-B091-A5E60F5F5713}"/>
                </c:ext>
              </c:extLst>
            </c:dLbl>
            <c:dLbl>
              <c:idx val="9"/>
              <c:delete val="1"/>
              <c:extLst>
                <c:ext xmlns:c15="http://schemas.microsoft.com/office/drawing/2012/chart" uri="{CE6537A1-D6FC-4f65-9D91-7224C49458BB}"/>
                <c:ext xmlns:c16="http://schemas.microsoft.com/office/drawing/2014/chart" uri="{C3380CC4-5D6E-409C-BE32-E72D297353CC}">
                  <c16:uniqueId val="{0000002A-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Project!$O$425:$O$434</c:f>
              <c:numCache>
                <c:formatCode>[$€-2]\ #\ ##0</c:formatCode>
                <c:ptCount val="10"/>
                <c:pt idx="0">
                  <c:v>7616238.0011121463</c:v>
                </c:pt>
                <c:pt idx="1">
                  <c:v>7616238.0011121463</c:v>
                </c:pt>
                <c:pt idx="2">
                  <c:v>7616238.0011121463</c:v>
                </c:pt>
                <c:pt idx="3">
                  <c:v>7616238.0011121463</c:v>
                </c:pt>
                <c:pt idx="4">
                  <c:v>7616238.0011121463</c:v>
                </c:pt>
                <c:pt idx="5">
                  <c:v>7616238.0011121463</c:v>
                </c:pt>
                <c:pt idx="6">
                  <c:v>7616238.0011121463</c:v>
                </c:pt>
                <c:pt idx="7">
                  <c:v>7616238.0011121463</c:v>
                </c:pt>
                <c:pt idx="8">
                  <c:v>7616238.0011121463</c:v>
                </c:pt>
                <c:pt idx="9">
                  <c:v>7616238.0011121463</c:v>
                </c:pt>
              </c:numCache>
            </c:numRef>
          </c:val>
          <c:smooth val="0"/>
          <c:extLst>
            <c:ext xmlns:c15="http://schemas.microsoft.com/office/drawing/2012/chart" uri="{02D57815-91ED-43cb-92C2-25804820EDAC}">
              <c15:datalabelsRange>
                <c15:f>Project!$O$425:$O$434</c15:f>
                <c15:dlblRangeCache>
                  <c:ptCount val="10"/>
                  <c:pt idx="0">
                    <c:v>€ 7 616 238</c:v>
                  </c:pt>
                  <c:pt idx="1">
                    <c:v>€ 7 616 238</c:v>
                  </c:pt>
                  <c:pt idx="2">
                    <c:v>€ 7 616 238</c:v>
                  </c:pt>
                  <c:pt idx="3">
                    <c:v>€ 7 616 238</c:v>
                  </c:pt>
                  <c:pt idx="4">
                    <c:v>€ 7 616 238</c:v>
                  </c:pt>
                  <c:pt idx="5">
                    <c:v>€ 7 616 238</c:v>
                  </c:pt>
                  <c:pt idx="6">
                    <c:v>€ 7 616 238</c:v>
                  </c:pt>
                  <c:pt idx="7">
                    <c:v>€ 7 616 238</c:v>
                  </c:pt>
                  <c:pt idx="8">
                    <c:v>€ 7 616 238</c:v>
                  </c:pt>
                  <c:pt idx="9">
                    <c:v>€ 7 616 238</c:v>
                  </c:pt>
                </c15:dlblRangeCache>
              </c15:datalabelsRange>
            </c:ext>
            <c:ext xmlns:c16="http://schemas.microsoft.com/office/drawing/2014/chart" uri="{C3380CC4-5D6E-409C-BE32-E72D297353CC}">
              <c16:uniqueId val="{0000002B-426A-4CFB-B091-A5E60F5F5713}"/>
            </c:ext>
          </c:extLst>
        </c:ser>
        <c:ser>
          <c:idx val="4"/>
          <c:order val="4"/>
          <c:tx>
            <c:strRef>
              <c:f>Project!$P$424</c:f>
              <c:strCache>
                <c:ptCount val="1"/>
                <c:pt idx="0">
                  <c:v>Break-even scenario 2</c:v>
                </c:pt>
              </c:strCache>
            </c:strRef>
          </c:tx>
          <c:spPr>
            <a:ln w="15875" cap="rnd">
              <a:solidFill>
                <a:schemeClr val="accent3">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C-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2D-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2E-426A-4CFB-B091-A5E60F5F5713}"/>
                </c:ext>
              </c:extLst>
            </c:dLbl>
            <c:dLbl>
              <c:idx val="3"/>
              <c:tx>
                <c:rich>
                  <a:bodyPr/>
                  <a:lstStyle/>
                  <a:p>
                    <a:fld id="{B3C96D62-DC73-49E6-AA42-29039F5E095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30-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31-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32-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33-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34-426A-4CFB-B091-A5E60F5F5713}"/>
                </c:ext>
              </c:extLst>
            </c:dLbl>
            <c:dLbl>
              <c:idx val="9"/>
              <c:delete val="1"/>
              <c:extLst>
                <c:ext xmlns:c15="http://schemas.microsoft.com/office/drawing/2012/chart" uri="{CE6537A1-D6FC-4f65-9D91-7224C49458BB}"/>
                <c:ext xmlns:c16="http://schemas.microsoft.com/office/drawing/2014/chart" uri="{C3380CC4-5D6E-409C-BE32-E72D297353CC}">
                  <c16:uniqueId val="{00000035-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Project!$P$425:$P$434</c:f>
              <c:numCache>
                <c:formatCode>[$€-2]\ #\ ##0</c:formatCode>
                <c:ptCount val="10"/>
                <c:pt idx="0">
                  <c:v>13386480</c:v>
                </c:pt>
                <c:pt idx="1">
                  <c:v>13386480</c:v>
                </c:pt>
                <c:pt idx="2">
                  <c:v>13386480</c:v>
                </c:pt>
                <c:pt idx="3">
                  <c:v>13386480</c:v>
                </c:pt>
                <c:pt idx="4">
                  <c:v>13386480</c:v>
                </c:pt>
                <c:pt idx="5">
                  <c:v>13386480</c:v>
                </c:pt>
                <c:pt idx="6">
                  <c:v>13386480</c:v>
                </c:pt>
                <c:pt idx="7">
                  <c:v>13386480</c:v>
                </c:pt>
                <c:pt idx="8">
                  <c:v>13386480</c:v>
                </c:pt>
                <c:pt idx="9">
                  <c:v>13386480</c:v>
                </c:pt>
              </c:numCache>
            </c:numRef>
          </c:val>
          <c:smooth val="0"/>
          <c:extLst>
            <c:ext xmlns:c15="http://schemas.microsoft.com/office/drawing/2012/chart" uri="{02D57815-91ED-43cb-92C2-25804820EDAC}">
              <c15:datalabelsRange>
                <c15:f>Project!$P$425:$P$434</c15:f>
                <c15:dlblRangeCache>
                  <c:ptCount val="10"/>
                  <c:pt idx="0">
                    <c:v>€ 13 386 480</c:v>
                  </c:pt>
                  <c:pt idx="1">
                    <c:v>€ 13 386 480</c:v>
                  </c:pt>
                  <c:pt idx="2">
                    <c:v>€ 13 386 480</c:v>
                  </c:pt>
                  <c:pt idx="3">
                    <c:v>€ 13 386 480</c:v>
                  </c:pt>
                  <c:pt idx="4">
                    <c:v>€ 13 386 480</c:v>
                  </c:pt>
                  <c:pt idx="5">
                    <c:v>€ 13 386 480</c:v>
                  </c:pt>
                  <c:pt idx="6">
                    <c:v>€ 13 386 480</c:v>
                  </c:pt>
                  <c:pt idx="7">
                    <c:v>€ 13 386 480</c:v>
                  </c:pt>
                  <c:pt idx="8">
                    <c:v>€ 13 386 480</c:v>
                  </c:pt>
                  <c:pt idx="9">
                    <c:v>€ 13 386 480</c:v>
                  </c:pt>
                </c15:dlblRangeCache>
              </c15:datalabelsRange>
            </c:ext>
            <c:ext xmlns:c16="http://schemas.microsoft.com/office/drawing/2014/chart" uri="{C3380CC4-5D6E-409C-BE32-E72D297353CC}">
              <c16:uniqueId val="{00000036-426A-4CFB-B091-A5E60F5F5713}"/>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a:t>
            </a:r>
            <a:r>
              <a:rPr lang="pl-PL" baseline="0"/>
              <a:t> Present Value (NPV) </a:t>
            </a:r>
          </a:p>
          <a:p>
            <a:pPr>
              <a:defRPr/>
            </a:pPr>
            <a:r>
              <a:rPr lang="pl-PL" baseline="0"/>
              <a:t>(Increase over time)</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Project!$O$250</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A0E-418F-9438-2FAEECAE7211}"/>
                </c:ext>
              </c:extLst>
            </c:dLbl>
            <c:dLbl>
              <c:idx val="1"/>
              <c:delete val="1"/>
              <c:extLst>
                <c:ext xmlns:c15="http://schemas.microsoft.com/office/drawing/2012/chart" uri="{CE6537A1-D6FC-4f65-9D91-7224C49458BB}"/>
                <c:ext xmlns:c16="http://schemas.microsoft.com/office/drawing/2014/chart" uri="{C3380CC4-5D6E-409C-BE32-E72D297353CC}">
                  <c16:uniqueId val="{00000004-4A0E-418F-9438-2FAEECAE7211}"/>
                </c:ext>
              </c:extLst>
            </c:dLbl>
            <c:dLbl>
              <c:idx val="2"/>
              <c:delete val="1"/>
              <c:extLst>
                <c:ext xmlns:c15="http://schemas.microsoft.com/office/drawing/2012/chart" uri="{CE6537A1-D6FC-4f65-9D91-7224C49458BB}"/>
                <c:ext xmlns:c16="http://schemas.microsoft.com/office/drawing/2014/chart" uri="{C3380CC4-5D6E-409C-BE32-E72D297353CC}">
                  <c16:uniqueId val="{00000005-4A0E-418F-9438-2FAEECAE7211}"/>
                </c:ext>
              </c:extLst>
            </c:dLbl>
            <c:dLbl>
              <c:idx val="3"/>
              <c:delete val="1"/>
              <c:extLst>
                <c:ext xmlns:c15="http://schemas.microsoft.com/office/drawing/2012/chart" uri="{CE6537A1-D6FC-4f65-9D91-7224C49458BB}"/>
                <c:ext xmlns:c16="http://schemas.microsoft.com/office/drawing/2014/chart" uri="{C3380CC4-5D6E-409C-BE32-E72D297353CC}">
                  <c16:uniqueId val="{00000006-4A0E-418F-9438-2FAEECAE7211}"/>
                </c:ext>
              </c:extLst>
            </c:dLbl>
            <c:dLbl>
              <c:idx val="4"/>
              <c:delete val="1"/>
              <c:extLst>
                <c:ext xmlns:c15="http://schemas.microsoft.com/office/drawing/2012/chart" uri="{CE6537A1-D6FC-4f65-9D91-7224C49458BB}"/>
                <c:ext xmlns:c16="http://schemas.microsoft.com/office/drawing/2014/chart" uri="{C3380CC4-5D6E-409C-BE32-E72D297353CC}">
                  <c16:uniqueId val="{00000007-4A0E-418F-9438-2FAEECAE7211}"/>
                </c:ext>
              </c:extLst>
            </c:dLbl>
            <c:dLbl>
              <c:idx val="5"/>
              <c:delete val="1"/>
              <c:extLst>
                <c:ext xmlns:c15="http://schemas.microsoft.com/office/drawing/2012/chart" uri="{CE6537A1-D6FC-4f65-9D91-7224C49458BB}"/>
                <c:ext xmlns:c16="http://schemas.microsoft.com/office/drawing/2014/chart" uri="{C3380CC4-5D6E-409C-BE32-E72D297353CC}">
                  <c16:uniqueId val="{00000008-4A0E-418F-9438-2FAEECAE7211}"/>
                </c:ext>
              </c:extLst>
            </c:dLbl>
            <c:dLbl>
              <c:idx val="6"/>
              <c:tx>
                <c:rich>
                  <a:bodyPr/>
                  <a:lstStyle/>
                  <a:p>
                    <a:fld id="{1DCD6A80-2B94-439A-8B7B-8E2937C642F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A0E-418F-9438-2FAEECAE7211}"/>
                </c:ext>
              </c:extLst>
            </c:dLbl>
            <c:dLbl>
              <c:idx val="7"/>
              <c:tx>
                <c:rich>
                  <a:bodyPr/>
                  <a:lstStyle/>
                  <a:p>
                    <a:fld id="{E14333CF-5C13-4100-AE98-6FEE9816F0C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A0E-418F-9438-2FAEECAE7211}"/>
                </c:ext>
              </c:extLst>
            </c:dLbl>
            <c:dLbl>
              <c:idx val="8"/>
              <c:tx>
                <c:rich>
                  <a:bodyPr/>
                  <a:lstStyle/>
                  <a:p>
                    <a:fld id="{ECC437C9-9393-4764-B059-DB0744B6EB1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A0E-418F-9438-2FAEECAE7211}"/>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FD288809-2219-49A9-9187-FEDA69CAE7AD}"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Project!$O$251:$O$260</c:f>
              <c:numCache>
                <c:formatCode>[$€-2]\ #\ ##0</c:formatCode>
                <c:ptCount val="10"/>
                <c:pt idx="0">
                  <c:v>-529372.07313168747</c:v>
                </c:pt>
                <c:pt idx="1">
                  <c:v>-3228515.8092203527</c:v>
                </c:pt>
                <c:pt idx="2">
                  <c:v>-2462079.4270970495</c:v>
                </c:pt>
                <c:pt idx="3">
                  <c:v>-969678.03922193754</c:v>
                </c:pt>
                <c:pt idx="4">
                  <c:v>86442.024675815366</c:v>
                </c:pt>
                <c:pt idx="5">
                  <c:v>2202849.2302081049</c:v>
                </c:pt>
                <c:pt idx="6">
                  <c:v>4572439.4701588955</c:v>
                </c:pt>
                <c:pt idx="7">
                  <c:v>7172680.8691231655</c:v>
                </c:pt>
                <c:pt idx="8">
                  <c:v>9983054.6484354325</c:v>
                </c:pt>
                <c:pt idx="9">
                  <c:v>12984874.681416711</c:v>
                </c:pt>
              </c:numCache>
            </c:numRef>
          </c:val>
          <c:smooth val="0"/>
          <c:extLst>
            <c:ext xmlns:c15="http://schemas.microsoft.com/office/drawing/2012/chart" uri="{02D57815-91ED-43cb-92C2-25804820EDAC}">
              <c15:datalabelsRange>
                <c15:f>Project!$O$251:$O$260</c15:f>
                <c15:dlblRangeCache>
                  <c:ptCount val="10"/>
                  <c:pt idx="0">
                    <c:v>-€ 529 372</c:v>
                  </c:pt>
                  <c:pt idx="1">
                    <c:v>-€ 3 228 516</c:v>
                  </c:pt>
                  <c:pt idx="2">
                    <c:v>-€ 2 462 079</c:v>
                  </c:pt>
                  <c:pt idx="3">
                    <c:v>-€ 969 678</c:v>
                  </c:pt>
                  <c:pt idx="4">
                    <c:v>€ 86 442</c:v>
                  </c:pt>
                  <c:pt idx="5">
                    <c:v>€ 2 202 849</c:v>
                  </c:pt>
                  <c:pt idx="6">
                    <c:v>€ 4 572 439</c:v>
                  </c:pt>
                  <c:pt idx="7">
                    <c:v>€ 7 172 681</c:v>
                  </c:pt>
                  <c:pt idx="8">
                    <c:v>€ 9 983 055</c:v>
                  </c:pt>
                  <c:pt idx="9">
                    <c:v>€ 12 984 875</c:v>
                  </c:pt>
                </c15:dlblRangeCache>
              </c15:datalabelsRange>
            </c:ext>
            <c:ext xmlns:c16="http://schemas.microsoft.com/office/drawing/2014/chart" uri="{C3380CC4-5D6E-409C-BE32-E72D297353CC}">
              <c16:uniqueId val="{00000000-4A0E-418F-9438-2FAEECAE7211}"/>
            </c:ext>
          </c:extLst>
        </c:ser>
        <c:ser>
          <c:idx val="1"/>
          <c:order val="1"/>
          <c:tx>
            <c:strRef>
              <c:f>Project!$P$250</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7-4A0E-418F-9438-2FAEECAE7211}"/>
                </c:ext>
              </c:extLst>
            </c:dLbl>
            <c:dLbl>
              <c:idx val="1"/>
              <c:delete val="1"/>
              <c:extLst>
                <c:ext xmlns:c15="http://schemas.microsoft.com/office/drawing/2012/chart" uri="{CE6537A1-D6FC-4f65-9D91-7224C49458BB}"/>
                <c:ext xmlns:c16="http://schemas.microsoft.com/office/drawing/2014/chart" uri="{C3380CC4-5D6E-409C-BE32-E72D297353CC}">
                  <c16:uniqueId val="{00000018-4A0E-418F-9438-2FAEECAE7211}"/>
                </c:ext>
              </c:extLst>
            </c:dLbl>
            <c:dLbl>
              <c:idx val="2"/>
              <c:delete val="1"/>
              <c:extLst>
                <c:ext xmlns:c15="http://schemas.microsoft.com/office/drawing/2012/chart" uri="{CE6537A1-D6FC-4f65-9D91-7224C49458BB}"/>
                <c:ext xmlns:c16="http://schemas.microsoft.com/office/drawing/2014/chart" uri="{C3380CC4-5D6E-409C-BE32-E72D297353CC}">
                  <c16:uniqueId val="{00000019-4A0E-418F-9438-2FAEECAE7211}"/>
                </c:ext>
              </c:extLst>
            </c:dLbl>
            <c:dLbl>
              <c:idx val="3"/>
              <c:delete val="1"/>
              <c:extLst>
                <c:ext xmlns:c15="http://schemas.microsoft.com/office/drawing/2012/chart" uri="{CE6537A1-D6FC-4f65-9D91-7224C49458BB}"/>
                <c:ext xmlns:c16="http://schemas.microsoft.com/office/drawing/2014/chart" uri="{C3380CC4-5D6E-409C-BE32-E72D297353CC}">
                  <c16:uniqueId val="{0000001A-4A0E-418F-9438-2FAEECAE7211}"/>
                </c:ext>
              </c:extLst>
            </c:dLbl>
            <c:dLbl>
              <c:idx val="4"/>
              <c:delete val="1"/>
              <c:extLst>
                <c:ext xmlns:c15="http://schemas.microsoft.com/office/drawing/2012/chart" uri="{CE6537A1-D6FC-4f65-9D91-7224C49458BB}"/>
                <c:ext xmlns:c16="http://schemas.microsoft.com/office/drawing/2014/chart" uri="{C3380CC4-5D6E-409C-BE32-E72D297353CC}">
                  <c16:uniqueId val="{0000001B-4A0E-418F-9438-2FAEECAE7211}"/>
                </c:ext>
              </c:extLst>
            </c:dLbl>
            <c:dLbl>
              <c:idx val="5"/>
              <c:tx>
                <c:rich>
                  <a:bodyPr/>
                  <a:lstStyle/>
                  <a:p>
                    <a:fld id="{4A35B92C-ED2E-40C3-9AD5-50B462EEC55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4A0E-418F-9438-2FAEECAE7211}"/>
                </c:ext>
              </c:extLst>
            </c:dLbl>
            <c:dLbl>
              <c:idx val="6"/>
              <c:tx>
                <c:rich>
                  <a:bodyPr/>
                  <a:lstStyle/>
                  <a:p>
                    <a:fld id="{6ACC4A6A-326D-436D-B531-CA69C081600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4A0E-418F-9438-2FAEECAE7211}"/>
                </c:ext>
              </c:extLst>
            </c:dLbl>
            <c:dLbl>
              <c:idx val="7"/>
              <c:tx>
                <c:rich>
                  <a:bodyPr/>
                  <a:lstStyle/>
                  <a:p>
                    <a:fld id="{6FF968A3-89D2-4F14-9A7B-245E57E794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4A0E-418F-9438-2FAEECAE7211}"/>
                </c:ext>
              </c:extLst>
            </c:dLbl>
            <c:dLbl>
              <c:idx val="8"/>
              <c:tx>
                <c:rich>
                  <a:bodyPr/>
                  <a:lstStyle/>
                  <a:p>
                    <a:fld id="{91C1D746-EF0D-41D0-854C-7D22D9C4CA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A0E-418F-9438-2FAEECAE7211}"/>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866E578-489D-4798-8B07-EAC75F0656EC}"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Project!$P$251:$P$260</c:f>
              <c:numCache>
                <c:formatCode>[$€-2]\ #\ ##0</c:formatCode>
                <c:ptCount val="10"/>
                <c:pt idx="0">
                  <c:v>-2977930.8229421182</c:v>
                </c:pt>
                <c:pt idx="1">
                  <c:v>-4262364.6923996042</c:v>
                </c:pt>
                <c:pt idx="2">
                  <c:v>-2574274.2956815409</c:v>
                </c:pt>
                <c:pt idx="3">
                  <c:v>-400082.90635134606</c:v>
                </c:pt>
                <c:pt idx="4">
                  <c:v>2269504.1825012066</c:v>
                </c:pt>
                <c:pt idx="5">
                  <c:v>5444050.3410698064</c:v>
                </c:pt>
                <c:pt idx="6">
                  <c:v>9133476.3045227751</c:v>
                </c:pt>
                <c:pt idx="7">
                  <c:v>13348143.829991769</c:v>
                </c:pt>
                <c:pt idx="8">
                  <c:v>18098934.882887524</c:v>
                </c:pt>
                <c:pt idx="9">
                  <c:v>23397326.894035533</c:v>
                </c:pt>
              </c:numCache>
            </c:numRef>
          </c:val>
          <c:smooth val="0"/>
          <c:extLst>
            <c:ext xmlns:c15="http://schemas.microsoft.com/office/drawing/2012/chart" uri="{02D57815-91ED-43cb-92C2-25804820EDAC}">
              <c15:datalabelsRange>
                <c15:f>Project!$P$251:$P$260</c15:f>
                <c15:dlblRangeCache>
                  <c:ptCount val="10"/>
                  <c:pt idx="0">
                    <c:v>-€ 2 977 931</c:v>
                  </c:pt>
                  <c:pt idx="1">
                    <c:v>-€ 4 262 365</c:v>
                  </c:pt>
                  <c:pt idx="2">
                    <c:v>-€ 2 574 274</c:v>
                  </c:pt>
                  <c:pt idx="3">
                    <c:v>-€ 400 083</c:v>
                  </c:pt>
                  <c:pt idx="4">
                    <c:v>€ 2 269 504</c:v>
                  </c:pt>
                  <c:pt idx="5">
                    <c:v>€ 5 444 050</c:v>
                  </c:pt>
                  <c:pt idx="6">
                    <c:v>€ 9 133 476</c:v>
                  </c:pt>
                  <c:pt idx="7">
                    <c:v>€ 13 348 144</c:v>
                  </c:pt>
                  <c:pt idx="8">
                    <c:v>€ 18 098 935</c:v>
                  </c:pt>
                  <c:pt idx="9">
                    <c:v>€ 23 397 327</c:v>
                  </c:pt>
                </c15:dlblRangeCache>
              </c15:datalabelsRange>
            </c:ext>
            <c:ext xmlns:c16="http://schemas.microsoft.com/office/drawing/2014/chart" uri="{C3380CC4-5D6E-409C-BE32-E72D297353CC}">
              <c16:uniqueId val="{00000001-4A0E-418F-9438-2FAEECAE7211}"/>
            </c:ext>
          </c:extLst>
        </c:ser>
        <c:ser>
          <c:idx val="2"/>
          <c:order val="2"/>
          <c:tx>
            <c:strRef>
              <c:f>Project!$Q$250</c:f>
              <c:strCache>
                <c:ptCount val="1"/>
                <c:pt idx="0">
                  <c:v>Year</c:v>
                </c:pt>
              </c:strCache>
            </c:strRef>
          </c:tx>
          <c:spPr>
            <a:ln w="12700" cap="rnd">
              <a:solidFill>
                <a:srgbClr val="FFFFFF">
                  <a:lumMod val="85000"/>
                </a:srgbClr>
              </a:solidFill>
              <a:round/>
            </a:ln>
            <a:effectLst/>
          </c:spPr>
          <c:marker>
            <c:symbol val="none"/>
          </c:marker>
          <c:dLbls>
            <c:dLbl>
              <c:idx val="0"/>
              <c:tx>
                <c:rich>
                  <a:bodyPr/>
                  <a:lstStyle/>
                  <a:p>
                    <a:fld id="{E9CC8B86-5869-495E-813C-FCBDFC198F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A0E-418F-9438-2FAEECAE7211}"/>
                </c:ext>
              </c:extLst>
            </c:dLbl>
            <c:dLbl>
              <c:idx val="1"/>
              <c:tx>
                <c:rich>
                  <a:bodyPr/>
                  <a:lstStyle/>
                  <a:p>
                    <a:fld id="{1078F1B8-CEEC-434D-8429-04781AB8089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A0E-418F-9438-2FAEECAE7211}"/>
                </c:ext>
              </c:extLst>
            </c:dLbl>
            <c:dLbl>
              <c:idx val="2"/>
              <c:tx>
                <c:rich>
                  <a:bodyPr/>
                  <a:lstStyle/>
                  <a:p>
                    <a:fld id="{CCCDE4C6-1987-405D-8F91-3CE794B4BA9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A0E-418F-9438-2FAEECAE7211}"/>
                </c:ext>
              </c:extLst>
            </c:dLbl>
            <c:dLbl>
              <c:idx val="3"/>
              <c:tx>
                <c:rich>
                  <a:bodyPr/>
                  <a:lstStyle/>
                  <a:p>
                    <a:fld id="{3AF9E92F-945A-4D42-B37B-E1A60BBA940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A0E-418F-9438-2FAEECAE7211}"/>
                </c:ext>
              </c:extLst>
            </c:dLbl>
            <c:dLbl>
              <c:idx val="4"/>
              <c:tx>
                <c:rich>
                  <a:bodyPr/>
                  <a:lstStyle/>
                  <a:p>
                    <a:fld id="{621B5E33-BEF2-4D86-8BAE-0F24A15211B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A0E-418F-9438-2FAEECAE7211}"/>
                </c:ext>
              </c:extLst>
            </c:dLbl>
            <c:dLbl>
              <c:idx val="5"/>
              <c:tx>
                <c:rich>
                  <a:bodyPr/>
                  <a:lstStyle/>
                  <a:p>
                    <a:fld id="{E891BF6E-D442-4D1A-9E1A-F5087D2929F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A0E-418F-9438-2FAEECAE7211}"/>
                </c:ext>
              </c:extLst>
            </c:dLbl>
            <c:dLbl>
              <c:idx val="6"/>
              <c:tx>
                <c:rich>
                  <a:bodyPr/>
                  <a:lstStyle/>
                  <a:p>
                    <a:fld id="{72BA6593-5109-409D-B0CB-430F11192ED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A0E-418F-9438-2FAEECAE7211}"/>
                </c:ext>
              </c:extLst>
            </c:dLbl>
            <c:dLbl>
              <c:idx val="7"/>
              <c:tx>
                <c:rich>
                  <a:bodyPr/>
                  <a:lstStyle/>
                  <a:p>
                    <a:fld id="{BEC58C08-057C-4BB2-A81D-A70C9FCFE8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A0E-418F-9438-2FAEECAE7211}"/>
                </c:ext>
              </c:extLst>
            </c:dLbl>
            <c:dLbl>
              <c:idx val="8"/>
              <c:tx>
                <c:rich>
                  <a:bodyPr/>
                  <a:lstStyle/>
                  <a:p>
                    <a:fld id="{B97BAD66-AC6C-44C8-B2A4-0404B96B751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4A0E-418F-9438-2FAEECAE7211}"/>
                </c:ext>
              </c:extLst>
            </c:dLbl>
            <c:dLbl>
              <c:idx val="9"/>
              <c:tx>
                <c:rich>
                  <a:bodyPr/>
                  <a:lstStyle/>
                  <a:p>
                    <a:fld id="{12B95DD4-FF0F-4F8D-AA99-49CB81C8A04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Project!$Q$251:$Q$260</c:f>
              <c:numCache>
                <c:formatCode>[$€-2]\ #\ ##0</c:formatCode>
                <c:ptCount val="10"/>
                <c:pt idx="0">
                  <c:v>-5000000</c:v>
                </c:pt>
                <c:pt idx="1">
                  <c:v>-5000000</c:v>
                </c:pt>
                <c:pt idx="2">
                  <c:v>-5000000</c:v>
                </c:pt>
                <c:pt idx="3">
                  <c:v>-5000000</c:v>
                </c:pt>
                <c:pt idx="4">
                  <c:v>-5000000</c:v>
                </c:pt>
                <c:pt idx="5">
                  <c:v>-5000000</c:v>
                </c:pt>
                <c:pt idx="6">
                  <c:v>-5000000</c:v>
                </c:pt>
                <c:pt idx="7">
                  <c:v>-5000000</c:v>
                </c:pt>
                <c:pt idx="8">
                  <c:v>-5000000</c:v>
                </c:pt>
                <c:pt idx="9">
                  <c:v>-5000000</c:v>
                </c:pt>
              </c:numCache>
            </c:numRef>
          </c:val>
          <c:smooth val="0"/>
          <c:extLst>
            <c:ext xmlns:c15="http://schemas.microsoft.com/office/drawing/2012/chart" uri="{02D57815-91ED-43cb-92C2-25804820EDAC}">
              <c15:datalabelsRange>
                <c15:f>Project!$N$251:$N$260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2-4A0E-418F-9438-2FAEECAE7211}"/>
            </c:ext>
          </c:extLst>
        </c:ser>
        <c:ser>
          <c:idx val="3"/>
          <c:order val="3"/>
          <c:tx>
            <c:strRef>
              <c:f>Project!$R$250</c:f>
              <c:strCache>
                <c:ptCount val="1"/>
              </c:strCache>
            </c:strRef>
          </c:tx>
          <c:spPr>
            <a:ln w="15875" cap="rnd">
              <a:solidFill>
                <a:srgbClr val="C0504D"/>
              </a:solidFill>
              <a:round/>
            </a:ln>
            <a:effectLst/>
          </c:spPr>
          <c:marker>
            <c:symbol val="none"/>
          </c:marker>
          <c:val>
            <c:numRef>
              <c:f>Project!$R$251:$R$260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1-4A0E-418F-9438-2FAEECAE7211}"/>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a:t>
            </a:r>
            <a:r>
              <a:rPr lang="pl-PL" baseline="0"/>
              <a:t> Present Value (NPV) </a:t>
            </a:r>
          </a:p>
          <a:p>
            <a:pPr>
              <a:defRPr/>
            </a:pPr>
            <a:r>
              <a:rPr lang="pl-PL" baseline="0"/>
              <a:t>Increase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Project!$O$250</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6866-4354-8DC5-1A06AA1B8B60}"/>
                </c:ext>
              </c:extLst>
            </c:dLbl>
            <c:dLbl>
              <c:idx val="1"/>
              <c:delete val="1"/>
              <c:extLst>
                <c:ext xmlns:c15="http://schemas.microsoft.com/office/drawing/2012/chart" uri="{CE6537A1-D6FC-4f65-9D91-7224C49458BB}"/>
                <c:ext xmlns:c16="http://schemas.microsoft.com/office/drawing/2014/chart" uri="{C3380CC4-5D6E-409C-BE32-E72D297353CC}">
                  <c16:uniqueId val="{00000001-6866-4354-8DC5-1A06AA1B8B60}"/>
                </c:ext>
              </c:extLst>
            </c:dLbl>
            <c:dLbl>
              <c:idx val="2"/>
              <c:delete val="1"/>
              <c:extLst>
                <c:ext xmlns:c15="http://schemas.microsoft.com/office/drawing/2012/chart" uri="{CE6537A1-D6FC-4f65-9D91-7224C49458BB}"/>
                <c:ext xmlns:c16="http://schemas.microsoft.com/office/drawing/2014/chart" uri="{C3380CC4-5D6E-409C-BE32-E72D297353CC}">
                  <c16:uniqueId val="{00000002-6866-4354-8DC5-1A06AA1B8B60}"/>
                </c:ext>
              </c:extLst>
            </c:dLbl>
            <c:dLbl>
              <c:idx val="3"/>
              <c:delete val="1"/>
              <c:extLst>
                <c:ext xmlns:c15="http://schemas.microsoft.com/office/drawing/2012/chart" uri="{CE6537A1-D6FC-4f65-9D91-7224C49458BB}"/>
                <c:ext xmlns:c16="http://schemas.microsoft.com/office/drawing/2014/chart" uri="{C3380CC4-5D6E-409C-BE32-E72D297353CC}">
                  <c16:uniqueId val="{00000003-6866-4354-8DC5-1A06AA1B8B60}"/>
                </c:ext>
              </c:extLst>
            </c:dLbl>
            <c:dLbl>
              <c:idx val="4"/>
              <c:delete val="1"/>
              <c:extLst>
                <c:ext xmlns:c15="http://schemas.microsoft.com/office/drawing/2012/chart" uri="{CE6537A1-D6FC-4f65-9D91-7224C49458BB}"/>
                <c:ext xmlns:c16="http://schemas.microsoft.com/office/drawing/2014/chart" uri="{C3380CC4-5D6E-409C-BE32-E72D297353CC}">
                  <c16:uniqueId val="{00000004-6866-4354-8DC5-1A06AA1B8B60}"/>
                </c:ext>
              </c:extLst>
            </c:dLbl>
            <c:dLbl>
              <c:idx val="5"/>
              <c:delete val="1"/>
              <c:extLst>
                <c:ext xmlns:c15="http://schemas.microsoft.com/office/drawing/2012/chart" uri="{CE6537A1-D6FC-4f65-9D91-7224C49458BB}"/>
                <c:ext xmlns:c16="http://schemas.microsoft.com/office/drawing/2014/chart" uri="{C3380CC4-5D6E-409C-BE32-E72D297353CC}">
                  <c16:uniqueId val="{00000005-6866-4354-8DC5-1A06AA1B8B60}"/>
                </c:ext>
              </c:extLst>
            </c:dLbl>
            <c:dLbl>
              <c:idx val="6"/>
              <c:tx>
                <c:rich>
                  <a:bodyPr/>
                  <a:lstStyle/>
                  <a:p>
                    <a:fld id="{BB2543B5-7149-4C1F-B9FF-B6B3A7366BD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866-4354-8DC5-1A06AA1B8B60}"/>
                </c:ext>
              </c:extLst>
            </c:dLbl>
            <c:dLbl>
              <c:idx val="7"/>
              <c:tx>
                <c:rich>
                  <a:bodyPr/>
                  <a:lstStyle/>
                  <a:p>
                    <a:fld id="{0F5665EB-8795-4247-85CA-9CCE30BCECC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866-4354-8DC5-1A06AA1B8B60}"/>
                </c:ext>
              </c:extLst>
            </c:dLbl>
            <c:dLbl>
              <c:idx val="8"/>
              <c:tx>
                <c:rich>
                  <a:bodyPr/>
                  <a:lstStyle/>
                  <a:p>
                    <a:fld id="{E1D0788A-1BB5-456F-9AA8-95F66CBA86E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866-4354-8DC5-1A06AA1B8B60}"/>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0596FD0-9754-4F57-BFC2-CDFC44D3241D}"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Project!$O$251:$O$260</c:f>
              <c:numCache>
                <c:formatCode>[$€-2]\ #\ ##0</c:formatCode>
                <c:ptCount val="10"/>
                <c:pt idx="0">
                  <c:v>-529372.07313168747</c:v>
                </c:pt>
                <c:pt idx="1">
                  <c:v>-3228515.8092203527</c:v>
                </c:pt>
                <c:pt idx="2">
                  <c:v>-2462079.4270970495</c:v>
                </c:pt>
                <c:pt idx="3">
                  <c:v>-969678.03922193754</c:v>
                </c:pt>
                <c:pt idx="4">
                  <c:v>86442.024675815366</c:v>
                </c:pt>
                <c:pt idx="5">
                  <c:v>2202849.2302081049</c:v>
                </c:pt>
                <c:pt idx="6">
                  <c:v>4572439.4701588955</c:v>
                </c:pt>
                <c:pt idx="7">
                  <c:v>7172680.8691231655</c:v>
                </c:pt>
                <c:pt idx="8">
                  <c:v>9983054.6484354325</c:v>
                </c:pt>
                <c:pt idx="9">
                  <c:v>12984874.681416711</c:v>
                </c:pt>
              </c:numCache>
            </c:numRef>
          </c:val>
          <c:smooth val="0"/>
          <c:extLst>
            <c:ext xmlns:c15="http://schemas.microsoft.com/office/drawing/2012/chart" uri="{02D57815-91ED-43cb-92C2-25804820EDAC}">
              <c15:datalabelsRange>
                <c15:f>Project!$O$251:$O$260</c15:f>
                <c15:dlblRangeCache>
                  <c:ptCount val="10"/>
                  <c:pt idx="0">
                    <c:v>-€ 529 372</c:v>
                  </c:pt>
                  <c:pt idx="1">
                    <c:v>-€ 3 228 516</c:v>
                  </c:pt>
                  <c:pt idx="2">
                    <c:v>-€ 2 462 079</c:v>
                  </c:pt>
                  <c:pt idx="3">
                    <c:v>-€ 969 678</c:v>
                  </c:pt>
                  <c:pt idx="4">
                    <c:v>€ 86 442</c:v>
                  </c:pt>
                  <c:pt idx="5">
                    <c:v>€ 2 202 849</c:v>
                  </c:pt>
                  <c:pt idx="6">
                    <c:v>€ 4 572 439</c:v>
                  </c:pt>
                  <c:pt idx="7">
                    <c:v>€ 7 172 681</c:v>
                  </c:pt>
                  <c:pt idx="8">
                    <c:v>€ 9 983 055</c:v>
                  </c:pt>
                  <c:pt idx="9">
                    <c:v>€ 12 984 875</c:v>
                  </c:pt>
                </c15:dlblRangeCache>
              </c15:datalabelsRange>
            </c:ext>
            <c:ext xmlns:c16="http://schemas.microsoft.com/office/drawing/2014/chart" uri="{C3380CC4-5D6E-409C-BE32-E72D297353CC}">
              <c16:uniqueId val="{0000000A-6866-4354-8DC5-1A06AA1B8B60}"/>
            </c:ext>
          </c:extLst>
        </c:ser>
        <c:ser>
          <c:idx val="1"/>
          <c:order val="1"/>
          <c:tx>
            <c:strRef>
              <c:f>Project!$P$250</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866-4354-8DC5-1A06AA1B8B60}"/>
                </c:ext>
              </c:extLst>
            </c:dLbl>
            <c:dLbl>
              <c:idx val="1"/>
              <c:delete val="1"/>
              <c:extLst>
                <c:ext xmlns:c15="http://schemas.microsoft.com/office/drawing/2012/chart" uri="{CE6537A1-D6FC-4f65-9D91-7224C49458BB}"/>
                <c:ext xmlns:c16="http://schemas.microsoft.com/office/drawing/2014/chart" uri="{C3380CC4-5D6E-409C-BE32-E72D297353CC}">
                  <c16:uniqueId val="{0000000C-6866-4354-8DC5-1A06AA1B8B60}"/>
                </c:ext>
              </c:extLst>
            </c:dLbl>
            <c:dLbl>
              <c:idx val="2"/>
              <c:delete val="1"/>
              <c:extLst>
                <c:ext xmlns:c15="http://schemas.microsoft.com/office/drawing/2012/chart" uri="{CE6537A1-D6FC-4f65-9D91-7224C49458BB}"/>
                <c:ext xmlns:c16="http://schemas.microsoft.com/office/drawing/2014/chart" uri="{C3380CC4-5D6E-409C-BE32-E72D297353CC}">
                  <c16:uniqueId val="{0000000D-6866-4354-8DC5-1A06AA1B8B60}"/>
                </c:ext>
              </c:extLst>
            </c:dLbl>
            <c:dLbl>
              <c:idx val="3"/>
              <c:delete val="1"/>
              <c:extLst>
                <c:ext xmlns:c15="http://schemas.microsoft.com/office/drawing/2012/chart" uri="{CE6537A1-D6FC-4f65-9D91-7224C49458BB}"/>
                <c:ext xmlns:c16="http://schemas.microsoft.com/office/drawing/2014/chart" uri="{C3380CC4-5D6E-409C-BE32-E72D297353CC}">
                  <c16:uniqueId val="{0000000E-6866-4354-8DC5-1A06AA1B8B60}"/>
                </c:ext>
              </c:extLst>
            </c:dLbl>
            <c:dLbl>
              <c:idx val="4"/>
              <c:delete val="1"/>
              <c:extLst>
                <c:ext xmlns:c15="http://schemas.microsoft.com/office/drawing/2012/chart" uri="{CE6537A1-D6FC-4f65-9D91-7224C49458BB}"/>
                <c:ext xmlns:c16="http://schemas.microsoft.com/office/drawing/2014/chart" uri="{C3380CC4-5D6E-409C-BE32-E72D297353CC}">
                  <c16:uniqueId val="{0000000F-6866-4354-8DC5-1A06AA1B8B60}"/>
                </c:ext>
              </c:extLst>
            </c:dLbl>
            <c:dLbl>
              <c:idx val="5"/>
              <c:tx>
                <c:rich>
                  <a:bodyPr/>
                  <a:lstStyle/>
                  <a:p>
                    <a:fld id="{A5361D10-5DC6-4FE1-A961-AC30970D5D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866-4354-8DC5-1A06AA1B8B60}"/>
                </c:ext>
              </c:extLst>
            </c:dLbl>
            <c:dLbl>
              <c:idx val="6"/>
              <c:tx>
                <c:rich>
                  <a:bodyPr/>
                  <a:lstStyle/>
                  <a:p>
                    <a:fld id="{F8E379E4-C56E-4FFC-BA0E-774C5A08200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866-4354-8DC5-1A06AA1B8B60}"/>
                </c:ext>
              </c:extLst>
            </c:dLbl>
            <c:dLbl>
              <c:idx val="7"/>
              <c:tx>
                <c:rich>
                  <a:bodyPr/>
                  <a:lstStyle/>
                  <a:p>
                    <a:fld id="{83350DB5-630D-4681-8AF3-5CC45B1489B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866-4354-8DC5-1A06AA1B8B60}"/>
                </c:ext>
              </c:extLst>
            </c:dLbl>
            <c:dLbl>
              <c:idx val="8"/>
              <c:tx>
                <c:rich>
                  <a:bodyPr/>
                  <a:lstStyle/>
                  <a:p>
                    <a:fld id="{C154DA70-F3C2-4B18-A9CB-E7CDD0980A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866-4354-8DC5-1A06AA1B8B60}"/>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8A5DDA82-2961-4B37-8C30-4290C0960F29}"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Project!$P$251:$P$260</c:f>
              <c:numCache>
                <c:formatCode>[$€-2]\ #\ ##0</c:formatCode>
                <c:ptCount val="10"/>
                <c:pt idx="0">
                  <c:v>-2977930.8229421182</c:v>
                </c:pt>
                <c:pt idx="1">
                  <c:v>-4262364.6923996042</c:v>
                </c:pt>
                <c:pt idx="2">
                  <c:v>-2574274.2956815409</c:v>
                </c:pt>
                <c:pt idx="3">
                  <c:v>-400082.90635134606</c:v>
                </c:pt>
                <c:pt idx="4">
                  <c:v>2269504.1825012066</c:v>
                </c:pt>
                <c:pt idx="5">
                  <c:v>5444050.3410698064</c:v>
                </c:pt>
                <c:pt idx="6">
                  <c:v>9133476.3045227751</c:v>
                </c:pt>
                <c:pt idx="7">
                  <c:v>13348143.829991769</c:v>
                </c:pt>
                <c:pt idx="8">
                  <c:v>18098934.882887524</c:v>
                </c:pt>
                <c:pt idx="9">
                  <c:v>23397326.894035533</c:v>
                </c:pt>
              </c:numCache>
            </c:numRef>
          </c:val>
          <c:smooth val="0"/>
          <c:extLst>
            <c:ext xmlns:c15="http://schemas.microsoft.com/office/drawing/2012/chart" uri="{02D57815-91ED-43cb-92C2-25804820EDAC}">
              <c15:datalabelsRange>
                <c15:f>Project!$P$251:$P$260</c15:f>
                <c15:dlblRangeCache>
                  <c:ptCount val="10"/>
                  <c:pt idx="0">
                    <c:v>-€ 2 977 931</c:v>
                  </c:pt>
                  <c:pt idx="1">
                    <c:v>-€ 4 262 365</c:v>
                  </c:pt>
                  <c:pt idx="2">
                    <c:v>-€ 2 574 274</c:v>
                  </c:pt>
                  <c:pt idx="3">
                    <c:v>-€ 400 083</c:v>
                  </c:pt>
                  <c:pt idx="4">
                    <c:v>€ 2 269 504</c:v>
                  </c:pt>
                  <c:pt idx="5">
                    <c:v>€ 5 444 050</c:v>
                  </c:pt>
                  <c:pt idx="6">
                    <c:v>€ 9 133 476</c:v>
                  </c:pt>
                  <c:pt idx="7">
                    <c:v>€ 13 348 144</c:v>
                  </c:pt>
                  <c:pt idx="8">
                    <c:v>€ 18 098 935</c:v>
                  </c:pt>
                  <c:pt idx="9">
                    <c:v>€ 23 397 327</c:v>
                  </c:pt>
                </c15:dlblRangeCache>
              </c15:datalabelsRange>
            </c:ext>
            <c:ext xmlns:c16="http://schemas.microsoft.com/office/drawing/2014/chart" uri="{C3380CC4-5D6E-409C-BE32-E72D297353CC}">
              <c16:uniqueId val="{00000015-6866-4354-8DC5-1A06AA1B8B60}"/>
            </c:ext>
          </c:extLst>
        </c:ser>
        <c:ser>
          <c:idx val="2"/>
          <c:order val="2"/>
          <c:tx>
            <c:strRef>
              <c:f>Project!$Q$250</c:f>
              <c:strCache>
                <c:ptCount val="1"/>
                <c:pt idx="0">
                  <c:v>Year</c:v>
                </c:pt>
              </c:strCache>
            </c:strRef>
          </c:tx>
          <c:spPr>
            <a:ln w="12700" cap="rnd">
              <a:solidFill>
                <a:srgbClr val="FFFFFF">
                  <a:lumMod val="85000"/>
                </a:srgbClr>
              </a:solidFill>
              <a:round/>
            </a:ln>
            <a:effectLst/>
          </c:spPr>
          <c:marker>
            <c:symbol val="none"/>
          </c:marker>
          <c:dLbls>
            <c:dLbl>
              <c:idx val="0"/>
              <c:tx>
                <c:rich>
                  <a:bodyPr/>
                  <a:lstStyle/>
                  <a:p>
                    <a:fld id="{1AE4F119-972D-41A4-A715-258A1092EDC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866-4354-8DC5-1A06AA1B8B60}"/>
                </c:ext>
              </c:extLst>
            </c:dLbl>
            <c:dLbl>
              <c:idx val="1"/>
              <c:tx>
                <c:rich>
                  <a:bodyPr/>
                  <a:lstStyle/>
                  <a:p>
                    <a:fld id="{8FDD4145-2701-48DA-8E30-41E4D919923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866-4354-8DC5-1A06AA1B8B60}"/>
                </c:ext>
              </c:extLst>
            </c:dLbl>
            <c:dLbl>
              <c:idx val="2"/>
              <c:tx>
                <c:rich>
                  <a:bodyPr/>
                  <a:lstStyle/>
                  <a:p>
                    <a:fld id="{7162C050-3E51-4AC1-81F5-C0DC973CB70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866-4354-8DC5-1A06AA1B8B60}"/>
                </c:ext>
              </c:extLst>
            </c:dLbl>
            <c:dLbl>
              <c:idx val="3"/>
              <c:tx>
                <c:rich>
                  <a:bodyPr/>
                  <a:lstStyle/>
                  <a:p>
                    <a:fld id="{7C6B3D95-0668-448A-8B48-AAD8B76EFA4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866-4354-8DC5-1A06AA1B8B60}"/>
                </c:ext>
              </c:extLst>
            </c:dLbl>
            <c:dLbl>
              <c:idx val="4"/>
              <c:tx>
                <c:rich>
                  <a:bodyPr/>
                  <a:lstStyle/>
                  <a:p>
                    <a:fld id="{CEC239E3-48D0-41E8-B1E4-2CB21B7ACA1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6866-4354-8DC5-1A06AA1B8B60}"/>
                </c:ext>
              </c:extLst>
            </c:dLbl>
            <c:dLbl>
              <c:idx val="5"/>
              <c:tx>
                <c:rich>
                  <a:bodyPr/>
                  <a:lstStyle/>
                  <a:p>
                    <a:fld id="{38B6EEF6-CCC2-47D4-972A-16C7C6177FC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6866-4354-8DC5-1A06AA1B8B60}"/>
                </c:ext>
              </c:extLst>
            </c:dLbl>
            <c:dLbl>
              <c:idx val="6"/>
              <c:tx>
                <c:rich>
                  <a:bodyPr/>
                  <a:lstStyle/>
                  <a:p>
                    <a:fld id="{76479A00-6E2D-4E84-BB29-08F8B18C86C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6866-4354-8DC5-1A06AA1B8B60}"/>
                </c:ext>
              </c:extLst>
            </c:dLbl>
            <c:dLbl>
              <c:idx val="7"/>
              <c:tx>
                <c:rich>
                  <a:bodyPr/>
                  <a:lstStyle/>
                  <a:p>
                    <a:fld id="{B1565C21-0F9C-4F27-9789-F79922544AE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6866-4354-8DC5-1A06AA1B8B60}"/>
                </c:ext>
              </c:extLst>
            </c:dLbl>
            <c:dLbl>
              <c:idx val="8"/>
              <c:tx>
                <c:rich>
                  <a:bodyPr/>
                  <a:lstStyle/>
                  <a:p>
                    <a:fld id="{D7B6223A-FACF-49B1-BA89-26E2AF26D0C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6866-4354-8DC5-1A06AA1B8B60}"/>
                </c:ext>
              </c:extLst>
            </c:dLbl>
            <c:dLbl>
              <c:idx val="9"/>
              <c:tx>
                <c:rich>
                  <a:bodyPr/>
                  <a:lstStyle/>
                  <a:p>
                    <a:fld id="{FC34D8CF-C20B-4AF1-B3E9-41F0B4B0BD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Project!$Q$251:$Q$260</c:f>
              <c:numCache>
                <c:formatCode>[$€-2]\ #\ ##0</c:formatCode>
                <c:ptCount val="10"/>
                <c:pt idx="0">
                  <c:v>-5000000</c:v>
                </c:pt>
                <c:pt idx="1">
                  <c:v>-5000000</c:v>
                </c:pt>
                <c:pt idx="2">
                  <c:v>-5000000</c:v>
                </c:pt>
                <c:pt idx="3">
                  <c:v>-5000000</c:v>
                </c:pt>
                <c:pt idx="4">
                  <c:v>-5000000</c:v>
                </c:pt>
                <c:pt idx="5">
                  <c:v>-5000000</c:v>
                </c:pt>
                <c:pt idx="6">
                  <c:v>-5000000</c:v>
                </c:pt>
                <c:pt idx="7">
                  <c:v>-5000000</c:v>
                </c:pt>
                <c:pt idx="8">
                  <c:v>-5000000</c:v>
                </c:pt>
                <c:pt idx="9">
                  <c:v>-5000000</c:v>
                </c:pt>
              </c:numCache>
            </c:numRef>
          </c:val>
          <c:smooth val="0"/>
          <c:extLst>
            <c:ext xmlns:c15="http://schemas.microsoft.com/office/drawing/2012/chart" uri="{02D57815-91ED-43cb-92C2-25804820EDAC}">
              <c15:datalabelsRange>
                <c15:f>Project!$N$251:$N$260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20-6866-4354-8DC5-1A06AA1B8B60}"/>
            </c:ext>
          </c:extLst>
        </c:ser>
        <c:ser>
          <c:idx val="3"/>
          <c:order val="3"/>
          <c:tx>
            <c:strRef>
              <c:f>Project!$R$250</c:f>
              <c:strCache>
                <c:ptCount val="1"/>
              </c:strCache>
            </c:strRef>
          </c:tx>
          <c:spPr>
            <a:ln w="15875" cap="rnd">
              <a:solidFill>
                <a:srgbClr val="C0504D"/>
              </a:solidFill>
              <a:round/>
            </a:ln>
            <a:effectLst/>
          </c:spPr>
          <c:marker>
            <c:symbol val="none"/>
          </c:marker>
          <c:val>
            <c:numRef>
              <c:f>Project!$R$251:$R$260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1-6866-4354-8DC5-1A06AA1B8B60}"/>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Cash Flow Projection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Project!$C$220</c:f>
              <c:strCache>
                <c:ptCount val="1"/>
                <c:pt idx="0">
                  <c:v>Year</c:v>
                </c:pt>
              </c:strCache>
            </c:strRef>
          </c:tx>
          <c:spPr>
            <a:ln w="15875" cap="rnd">
              <a:solidFill>
                <a:srgbClr val="C0504D"/>
              </a:solidFill>
              <a:round/>
            </a:ln>
            <a:effectLst/>
          </c:spPr>
          <c:marker>
            <c:symbol val="none"/>
          </c:marker>
          <c:dLbls>
            <c:dLbl>
              <c:idx val="0"/>
              <c:tx>
                <c:rich>
                  <a:bodyPr/>
                  <a:lstStyle/>
                  <a:p>
                    <a:fld id="{73B8A4D4-F546-4A94-A0CB-16FEA05D8B4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CB-44F0-AC75-E9FF57E306C1}"/>
                </c:ext>
              </c:extLst>
            </c:dLbl>
            <c:dLbl>
              <c:idx val="1"/>
              <c:tx>
                <c:rich>
                  <a:bodyPr/>
                  <a:lstStyle/>
                  <a:p>
                    <a:fld id="{4F2D5813-C452-4D38-A5B1-95E6C9DC05C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CB-44F0-AC75-E9FF57E306C1}"/>
                </c:ext>
              </c:extLst>
            </c:dLbl>
            <c:dLbl>
              <c:idx val="2"/>
              <c:tx>
                <c:rich>
                  <a:bodyPr/>
                  <a:lstStyle/>
                  <a:p>
                    <a:fld id="{9209F07C-435E-4901-BC46-7CA89F06635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CB-44F0-AC75-E9FF57E306C1}"/>
                </c:ext>
              </c:extLst>
            </c:dLbl>
            <c:dLbl>
              <c:idx val="3"/>
              <c:tx>
                <c:rich>
                  <a:bodyPr/>
                  <a:lstStyle/>
                  <a:p>
                    <a:fld id="{F6552710-AD15-4F50-A1D9-5E91853EF60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CB-44F0-AC75-E9FF57E306C1}"/>
                </c:ext>
              </c:extLst>
            </c:dLbl>
            <c:dLbl>
              <c:idx val="4"/>
              <c:tx>
                <c:rich>
                  <a:bodyPr/>
                  <a:lstStyle/>
                  <a:p>
                    <a:fld id="{29590017-6B50-4AF9-A9CB-E01D08D02B7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CB-44F0-AC75-E9FF57E306C1}"/>
                </c:ext>
              </c:extLst>
            </c:dLbl>
            <c:dLbl>
              <c:idx val="5"/>
              <c:tx>
                <c:rich>
                  <a:bodyPr/>
                  <a:lstStyle/>
                  <a:p>
                    <a:fld id="{CB4FA3DD-7BF1-4518-9B3D-1D5228C561D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CB-44F0-AC75-E9FF57E306C1}"/>
                </c:ext>
              </c:extLst>
            </c:dLbl>
            <c:dLbl>
              <c:idx val="6"/>
              <c:tx>
                <c:rich>
                  <a:bodyPr/>
                  <a:lstStyle/>
                  <a:p>
                    <a:fld id="{4DC74AA6-3B6C-4E5A-BB26-81442ADD4FF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CB-44F0-AC75-E9FF57E306C1}"/>
                </c:ext>
              </c:extLst>
            </c:dLbl>
            <c:dLbl>
              <c:idx val="7"/>
              <c:tx>
                <c:rich>
                  <a:bodyPr/>
                  <a:lstStyle/>
                  <a:p>
                    <a:fld id="{DFF8A093-7E5A-43D9-A5DB-354740FB895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CB-44F0-AC75-E9FF57E306C1}"/>
                </c:ext>
              </c:extLst>
            </c:dLbl>
            <c:dLbl>
              <c:idx val="8"/>
              <c:tx>
                <c:rich>
                  <a:bodyPr/>
                  <a:lstStyle/>
                  <a:p>
                    <a:fld id="{9C7BC19A-150B-403A-870A-D406E1D0154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CB-44F0-AC75-E9FF57E306C1}"/>
                </c:ext>
              </c:extLst>
            </c:dLbl>
            <c:dLbl>
              <c:idx val="9"/>
              <c:tx>
                <c:rich>
                  <a:bodyPr/>
                  <a:lstStyle/>
                  <a:p>
                    <a:fld id="{CE3EF97E-3D5B-43F7-91D2-B09215EC56B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CB-44F0-AC75-E9FF57E306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Project!$C$221:$C$230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0-19CB-44F0-AC75-E9FF57E306C1}"/>
            </c:ext>
          </c:extLst>
        </c:ser>
        <c:ser>
          <c:idx val="1"/>
          <c:order val="1"/>
          <c:tx>
            <c:strRef>
              <c:f>Project!$D$220</c:f>
              <c:strCache>
                <c:ptCount val="1"/>
                <c:pt idx="0">
                  <c:v>Scenario 1</c:v>
                </c:pt>
              </c:strCache>
            </c:strRef>
          </c:tx>
          <c:spPr>
            <a:ln w="25400" cap="rnd">
              <a:solidFill>
                <a:srgbClr val="4F81BD"/>
              </a:solidFill>
              <a:round/>
            </a:ln>
            <a:effectLst/>
          </c:spPr>
          <c:marker>
            <c:symbol val="none"/>
          </c:marker>
          <c:val>
            <c:numRef>
              <c:f>Project!$D$221:$D$230</c:f>
              <c:numCache>
                <c:formatCode>#,##0</c:formatCode>
                <c:ptCount val="10"/>
                <c:pt idx="0">
                  <c:v>-582309.28044485638</c:v>
                </c:pt>
                <c:pt idx="1">
                  <c:v>-3265963.9206672851</c:v>
                </c:pt>
                <c:pt idx="2">
                  <c:v>1020126.8246061169</c:v>
                </c:pt>
                <c:pt idx="3">
                  <c:v>2185024.8719879519</c:v>
                </c:pt>
                <c:pt idx="4">
                  <c:v>1700891.9241079704</c:v>
                </c:pt>
                <c:pt idx="5">
                  <c:v>3749344.4654399902</c:v>
                </c:pt>
                <c:pt idx="6">
                  <c:v>4617661.0205852129</c:v>
                </c:pt>
                <c:pt idx="7">
                  <c:v>5573848.3661185578</c:v>
                </c:pt>
                <c:pt idx="8">
                  <c:v>6626714.3637763076</c:v>
                </c:pt>
                <c:pt idx="9">
                  <c:v>7785948.0771223288</c:v>
                </c:pt>
              </c:numCache>
            </c:numRef>
          </c:val>
          <c:smooth val="0"/>
          <c:extLst>
            <c:ext xmlns:c16="http://schemas.microsoft.com/office/drawing/2014/chart" uri="{C3380CC4-5D6E-409C-BE32-E72D297353CC}">
              <c16:uniqueId val="{00000001-19CB-44F0-AC75-E9FF57E306C1}"/>
            </c:ext>
          </c:extLst>
        </c:ser>
        <c:ser>
          <c:idx val="2"/>
          <c:order val="2"/>
          <c:tx>
            <c:strRef>
              <c:f>Project!$E$220</c:f>
              <c:strCache>
                <c:ptCount val="1"/>
                <c:pt idx="0">
                  <c:v>Scenario 2</c:v>
                </c:pt>
              </c:strCache>
            </c:strRef>
          </c:tx>
          <c:spPr>
            <a:ln w="25400" cap="rnd">
              <a:solidFill>
                <a:srgbClr val="9BBB59"/>
              </a:solidFill>
              <a:round/>
            </a:ln>
            <a:effectLst/>
          </c:spPr>
          <c:marker>
            <c:symbol val="none"/>
          </c:marker>
          <c:val>
            <c:numRef>
              <c:f>Project!$E$221:$E$230</c:f>
              <c:numCache>
                <c:formatCode>#,##0</c:formatCode>
                <c:ptCount val="10"/>
                <c:pt idx="0">
                  <c:v>-3275723.9052363299</c:v>
                </c:pt>
                <c:pt idx="1">
                  <c:v>-1554164.9820435587</c:v>
                </c:pt>
                <c:pt idx="2">
                  <c:v>2246848.3180317432</c:v>
                </c:pt>
                <c:pt idx="3">
                  <c:v>3183233.6131183393</c:v>
                </c:pt>
                <c:pt idx="4">
                  <c:v>4299396.7024679258</c:v>
                </c:pt>
                <c:pt idx="5">
                  <c:v>5623902.1672199499</c:v>
                </c:pt>
                <c:pt idx="6">
                  <c:v>7189647.4641647777</c:v>
                </c:pt>
                <c:pt idx="7">
                  <c:v>9034514.1454657298</c:v>
                </c:pt>
                <c:pt idx="8">
                  <c:v>11202116.79359901</c:v>
                </c:pt>
                <c:pt idx="9">
                  <c:v>13742664.329569232</c:v>
                </c:pt>
              </c:numCache>
            </c:numRef>
          </c:val>
          <c:smooth val="0"/>
          <c:extLst>
            <c:ext xmlns:c16="http://schemas.microsoft.com/office/drawing/2014/chart" uri="{C3380CC4-5D6E-409C-BE32-E72D297353CC}">
              <c16:uniqueId val="{0000000B-19CB-44F0-AC75-E9FF57E306C1}"/>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Source</a:t>
            </a:r>
            <a:r>
              <a:rPr lang="pl-PL" baseline="0"/>
              <a:t> of founds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Project!$C$120</c:f>
              <c:strCache>
                <c:ptCount val="1"/>
                <c:pt idx="0">
                  <c:v>Equity</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8E45AD12-721C-4CDA-B191-1721723EE997}" type="CELLRANGE">
                      <a:rPr lang="en-US"/>
                      <a:pPr/>
                      <a:t>[CELLRANGE]</a:t>
                    </a:fld>
                    <a:r>
                      <a:rPr lang="en-US" baseline="0"/>
                      <a:t>; </a:t>
                    </a:r>
                    <a:fld id="{9190123E-D9B4-49D6-A6B1-3283E0746B15}"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048-4B78-B9A6-3288FA269AB3}"/>
                </c:ext>
              </c:extLst>
            </c:dLbl>
            <c:dLbl>
              <c:idx val="1"/>
              <c:tx>
                <c:rich>
                  <a:bodyPr/>
                  <a:lstStyle/>
                  <a:p>
                    <a:fld id="{7200B359-C38B-422C-A6C0-6A809A67837F}" type="CELLRANGE">
                      <a:rPr lang="en-US"/>
                      <a:pPr/>
                      <a:t>[CELLRANGE]</a:t>
                    </a:fld>
                    <a:r>
                      <a:rPr lang="en-US" baseline="0"/>
                      <a:t>; </a:t>
                    </a:r>
                    <a:fld id="{2C560BEC-0EA7-46D9-B101-56E6E59ECB08}"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048-4B78-B9A6-3288FA269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Project!$B$121:$B$122</c:f>
              <c:strCache>
                <c:ptCount val="2"/>
                <c:pt idx="0">
                  <c:v>Scenario 1</c:v>
                </c:pt>
                <c:pt idx="1">
                  <c:v>Scenario 2</c:v>
                </c:pt>
              </c:strCache>
            </c:strRef>
          </c:cat>
          <c:val>
            <c:numRef>
              <c:f>Project!$C$121:$C$122</c:f>
              <c:numCache>
                <c:formatCode>[$€-2]\ #\ ##0</c:formatCode>
                <c:ptCount val="2"/>
                <c:pt idx="0">
                  <c:v>2718273.2011121409</c:v>
                </c:pt>
                <c:pt idx="1">
                  <c:v>8000000</c:v>
                </c:pt>
              </c:numCache>
            </c:numRef>
          </c:val>
          <c:extLst>
            <c:ext xmlns:c15="http://schemas.microsoft.com/office/drawing/2012/chart" uri="{02D57815-91ED-43cb-92C2-25804820EDAC}">
              <c15:datalabelsRange>
                <c15:f>Project!$C$121:$C$122</c15:f>
                <c15:dlblRangeCache>
                  <c:ptCount val="2"/>
                  <c:pt idx="0">
                    <c:v>€ 2 718 273</c:v>
                  </c:pt>
                  <c:pt idx="1">
                    <c:v>€ 8 000 000</c:v>
                  </c:pt>
                </c15:dlblRangeCache>
              </c15:datalabelsRange>
            </c:ext>
            <c:ext xmlns:c16="http://schemas.microsoft.com/office/drawing/2014/chart" uri="{C3380CC4-5D6E-409C-BE32-E72D297353CC}">
              <c16:uniqueId val="{00000003-1048-4B78-B9A6-3288FA269AB3}"/>
            </c:ext>
          </c:extLst>
        </c:ser>
        <c:ser>
          <c:idx val="1"/>
          <c:order val="1"/>
          <c:tx>
            <c:strRef>
              <c:f>Project!$D$120</c:f>
              <c:strCache>
                <c:ptCount val="1"/>
                <c:pt idx="0">
                  <c:v>Loan</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139D832F-A244-4F68-80F3-22063DB72523}" type="CELLRANGE">
                      <a:rPr lang="en-US"/>
                      <a:pPr/>
                      <a:t>[CELLRANGE]</a:t>
                    </a:fld>
                    <a:r>
                      <a:rPr lang="en-US" baseline="0"/>
                      <a:t>; </a:t>
                    </a:r>
                    <a:fld id="{577E9D90-96F7-4093-817C-6EAE2619DACA}"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048-4B78-B9A6-3288FA269AB3}"/>
                </c:ext>
              </c:extLst>
            </c:dLbl>
            <c:dLbl>
              <c:idx val="1"/>
              <c:delete val="1"/>
              <c:extLst>
                <c:ext xmlns:c15="http://schemas.microsoft.com/office/drawing/2012/chart" uri="{CE6537A1-D6FC-4f65-9D91-7224C49458BB}"/>
                <c:ext xmlns:c16="http://schemas.microsoft.com/office/drawing/2014/chart" uri="{C3380CC4-5D6E-409C-BE32-E72D297353CC}">
                  <c16:uniqueId val="{0000000C-1048-4B78-B9A6-3288FA269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Project!$B$121:$B$122</c:f>
              <c:strCache>
                <c:ptCount val="2"/>
                <c:pt idx="0">
                  <c:v>Scenario 1</c:v>
                </c:pt>
                <c:pt idx="1">
                  <c:v>Scenario 2</c:v>
                </c:pt>
              </c:strCache>
            </c:strRef>
          </c:cat>
          <c:val>
            <c:numRef>
              <c:f>Project!$D$121:$D$122</c:f>
              <c:numCache>
                <c:formatCode>[$€-2]\ #\ ##0</c:formatCode>
                <c:ptCount val="2"/>
                <c:pt idx="0">
                  <c:v>2700000</c:v>
                </c:pt>
                <c:pt idx="1">
                  <c:v>0</c:v>
                </c:pt>
              </c:numCache>
            </c:numRef>
          </c:val>
          <c:extLst>
            <c:ext xmlns:c15="http://schemas.microsoft.com/office/drawing/2012/chart" uri="{02D57815-91ED-43cb-92C2-25804820EDAC}">
              <c15:datalabelsRange>
                <c15:f>Project!$D$121:$D$122</c15:f>
                <c15:dlblRangeCache>
                  <c:ptCount val="2"/>
                  <c:pt idx="0">
                    <c:v>€ 2 700 000</c:v>
                  </c:pt>
                  <c:pt idx="1">
                    <c:v>€ 0</c:v>
                  </c:pt>
                </c15:dlblRangeCache>
              </c15:datalabelsRange>
            </c:ext>
            <c:ext xmlns:c16="http://schemas.microsoft.com/office/drawing/2014/chart" uri="{C3380CC4-5D6E-409C-BE32-E72D297353CC}">
              <c16:uniqueId val="{0000000A-1048-4B78-B9A6-3288FA269AB3}"/>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Investment</a:t>
            </a:r>
            <a:r>
              <a:rPr lang="pl-PL" baseline="0"/>
              <a:t> structure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Project!$C$125</c:f>
              <c:strCache>
                <c:ptCount val="1"/>
                <c:pt idx="0">
                  <c:v>CapEx</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C046A7A8-4CF7-400F-98B4-2CF50CF62988}" type="CELLRANGE">
                      <a:rPr lang="en-US"/>
                      <a:pPr/>
                      <a:t>[CELLRANGE]</a:t>
                    </a:fld>
                    <a:r>
                      <a:rPr lang="en-US" baseline="0"/>
                      <a:t>; </a:t>
                    </a:r>
                    <a:fld id="{E1670C2C-4DD1-403B-819C-CD4530C6108A}"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316-4438-9E5F-C7428C0EEB1F}"/>
                </c:ext>
              </c:extLst>
            </c:dLbl>
            <c:dLbl>
              <c:idx val="1"/>
              <c:delete val="1"/>
              <c:extLst>
                <c:ext xmlns:c15="http://schemas.microsoft.com/office/drawing/2012/chart" uri="{CE6537A1-D6FC-4f65-9D91-7224C49458BB}"/>
                <c:ext xmlns:c16="http://schemas.microsoft.com/office/drawing/2014/chart" uri="{C3380CC4-5D6E-409C-BE32-E72D297353CC}">
                  <c16:uniqueId val="{00000001-A316-4438-9E5F-C7428C0EEB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Project!$C$126:$C$127</c:f>
              <c:numCache>
                <c:formatCode>[$€-2]\ #\ ##0</c:formatCode>
                <c:ptCount val="2"/>
                <c:pt idx="0">
                  <c:v>4528273.2011121409</c:v>
                </c:pt>
                <c:pt idx="1">
                  <c:v>0</c:v>
                </c:pt>
              </c:numCache>
            </c:numRef>
          </c:val>
          <c:extLst>
            <c:ext xmlns:c15="http://schemas.microsoft.com/office/drawing/2012/chart" uri="{02D57815-91ED-43cb-92C2-25804820EDAC}">
              <c15:datalabelsRange>
                <c15:f>Project!$C$126:$C$127</c15:f>
                <c15:dlblRangeCache>
                  <c:ptCount val="2"/>
                  <c:pt idx="0">
                    <c:v>€ 4 528 273</c:v>
                  </c:pt>
                  <c:pt idx="1">
                    <c:v>€ 0</c:v>
                  </c:pt>
                </c15:dlblRangeCache>
              </c15:datalabelsRange>
            </c:ext>
            <c:ext xmlns:c16="http://schemas.microsoft.com/office/drawing/2014/chart" uri="{C3380CC4-5D6E-409C-BE32-E72D297353CC}">
              <c16:uniqueId val="{00000002-A316-4438-9E5F-C7428C0EEB1F}"/>
            </c:ext>
          </c:extLst>
        </c:ser>
        <c:ser>
          <c:idx val="1"/>
          <c:order val="1"/>
          <c:tx>
            <c:strRef>
              <c:f>Project!$D$125</c:f>
              <c:strCache>
                <c:ptCount val="1"/>
                <c:pt idx="0">
                  <c:v>OpEX</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6A6E14C3-52DD-45D0-AF58-8BDB692BABAB}" type="CELLRANGE">
                      <a:rPr lang="en-US"/>
                      <a:pPr/>
                      <a:t>[CELLRANGE]</a:t>
                    </a:fld>
                    <a:r>
                      <a:rPr lang="en-US" baseline="0"/>
                      <a:t>; </a:t>
                    </a:r>
                    <a:fld id="{5AF1BE0B-A9A1-4606-B1F9-CD4F6D79D74C}"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16-4438-9E5F-C7428C0EEB1F}"/>
                </c:ext>
              </c:extLst>
            </c:dLbl>
            <c:dLbl>
              <c:idx val="1"/>
              <c:tx>
                <c:rich>
                  <a:bodyPr/>
                  <a:lstStyle/>
                  <a:p>
                    <a:fld id="{4AA2CD7A-F8F8-476A-875B-2AE8F0EBAFE0}" type="CELLRANGE">
                      <a:rPr lang="en-US"/>
                      <a:pPr/>
                      <a:t>[CELLRANGE]</a:t>
                    </a:fld>
                    <a:r>
                      <a:rPr lang="en-US" baseline="0"/>
                      <a:t>; </a:t>
                    </a:r>
                    <a:fld id="{03D0F8FD-7760-4C62-9E00-54FD7420B5C5}"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16-4438-9E5F-C7428C0EEB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Project!$D$126:$D$127</c:f>
              <c:numCache>
                <c:formatCode>[$€-2]\ #\ ##0</c:formatCode>
                <c:ptCount val="2"/>
                <c:pt idx="0">
                  <c:v>890000</c:v>
                </c:pt>
                <c:pt idx="1">
                  <c:v>8000000</c:v>
                </c:pt>
              </c:numCache>
            </c:numRef>
          </c:val>
          <c:extLst>
            <c:ext xmlns:c15="http://schemas.microsoft.com/office/drawing/2012/chart" uri="{02D57815-91ED-43cb-92C2-25804820EDAC}">
              <c15:datalabelsRange>
                <c15:f>Project!$D$126:$D$127</c15:f>
                <c15:dlblRangeCache>
                  <c:ptCount val="2"/>
                  <c:pt idx="0">
                    <c:v>€ 890 000</c:v>
                  </c:pt>
                  <c:pt idx="1">
                    <c:v>€ 8 000 000</c:v>
                  </c:pt>
                </c15:dlblRangeCache>
              </c15:datalabelsRange>
            </c:ext>
            <c:ext xmlns:c16="http://schemas.microsoft.com/office/drawing/2014/chart" uri="{C3380CC4-5D6E-409C-BE32-E72D297353CC}">
              <c16:uniqueId val="{00000005-A316-4438-9E5F-C7428C0EEB1F}"/>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Source</a:t>
            </a:r>
            <a:r>
              <a:rPr lang="pl-PL" baseline="0"/>
              <a:t> of founds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Project!$C$120</c:f>
              <c:strCache>
                <c:ptCount val="1"/>
                <c:pt idx="0">
                  <c:v>Equity</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5FB31715-EB12-4D3E-9FC4-D24F8C36DBFB}" type="CELLRANGE">
                      <a:rPr lang="en-US"/>
                      <a:pPr/>
                      <a:t>[CELLRANGE]</a:t>
                    </a:fld>
                    <a:r>
                      <a:rPr lang="en-US" baseline="0"/>
                      <a:t>; </a:t>
                    </a:r>
                    <a:fld id="{C98A617E-39C3-4812-965C-694E92FDF08C}"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C71-4932-964A-6854B106F765}"/>
                </c:ext>
              </c:extLst>
            </c:dLbl>
            <c:dLbl>
              <c:idx val="1"/>
              <c:tx>
                <c:rich>
                  <a:bodyPr/>
                  <a:lstStyle/>
                  <a:p>
                    <a:fld id="{28F752B2-2D30-4B07-9168-0F07AF473BE6}" type="CELLRANGE">
                      <a:rPr lang="en-US"/>
                      <a:pPr/>
                      <a:t>[CELLRANGE]</a:t>
                    </a:fld>
                    <a:r>
                      <a:rPr lang="en-US" baseline="0"/>
                      <a:t>; </a:t>
                    </a:r>
                    <a:fld id="{9101F4D2-4D7B-49CD-B6A6-9BF73944BCF2}"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C71-4932-964A-6854B106F7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Project!$B$121:$B$122</c:f>
              <c:strCache>
                <c:ptCount val="2"/>
                <c:pt idx="0">
                  <c:v>Scenario 1</c:v>
                </c:pt>
                <c:pt idx="1">
                  <c:v>Scenario 2</c:v>
                </c:pt>
              </c:strCache>
            </c:strRef>
          </c:cat>
          <c:val>
            <c:numRef>
              <c:f>Project!$C$121:$C$122</c:f>
              <c:numCache>
                <c:formatCode>[$€-2]\ #\ ##0</c:formatCode>
                <c:ptCount val="2"/>
                <c:pt idx="0">
                  <c:v>2718273.2011121409</c:v>
                </c:pt>
                <c:pt idx="1">
                  <c:v>8000000</c:v>
                </c:pt>
              </c:numCache>
            </c:numRef>
          </c:val>
          <c:extLst>
            <c:ext xmlns:c15="http://schemas.microsoft.com/office/drawing/2012/chart" uri="{02D57815-91ED-43cb-92C2-25804820EDAC}">
              <c15:datalabelsRange>
                <c15:f>Project!$C$121:$C$122</c15:f>
                <c15:dlblRangeCache>
                  <c:ptCount val="2"/>
                  <c:pt idx="0">
                    <c:v>€ 2 718 273</c:v>
                  </c:pt>
                  <c:pt idx="1">
                    <c:v>€ 8 000 000</c:v>
                  </c:pt>
                </c15:dlblRangeCache>
              </c15:datalabelsRange>
            </c:ext>
            <c:ext xmlns:c16="http://schemas.microsoft.com/office/drawing/2014/chart" uri="{C3380CC4-5D6E-409C-BE32-E72D297353CC}">
              <c16:uniqueId val="{00000002-DC71-4932-964A-6854B106F765}"/>
            </c:ext>
          </c:extLst>
        </c:ser>
        <c:ser>
          <c:idx val="1"/>
          <c:order val="1"/>
          <c:tx>
            <c:strRef>
              <c:f>Project!$D$120</c:f>
              <c:strCache>
                <c:ptCount val="1"/>
                <c:pt idx="0">
                  <c:v>Loan</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79CD4938-49EE-40D9-B864-99259B521586}" type="CELLRANGE">
                      <a:rPr lang="en-US"/>
                      <a:pPr/>
                      <a:t>[CELLRANGE]</a:t>
                    </a:fld>
                    <a:r>
                      <a:rPr lang="en-US" baseline="0"/>
                      <a:t>; </a:t>
                    </a:r>
                    <a:fld id="{CF980A00-0729-4D30-9D6C-0783ECB7580B}"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C71-4932-964A-6854B106F765}"/>
                </c:ext>
              </c:extLst>
            </c:dLbl>
            <c:dLbl>
              <c:idx val="1"/>
              <c:delete val="1"/>
              <c:extLst>
                <c:ext xmlns:c15="http://schemas.microsoft.com/office/drawing/2012/chart" uri="{CE6537A1-D6FC-4f65-9D91-7224C49458BB}"/>
                <c:ext xmlns:c16="http://schemas.microsoft.com/office/drawing/2014/chart" uri="{C3380CC4-5D6E-409C-BE32-E72D297353CC}">
                  <c16:uniqueId val="{00000004-DC71-4932-964A-6854B106F7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Project!$B$121:$B$122</c:f>
              <c:strCache>
                <c:ptCount val="2"/>
                <c:pt idx="0">
                  <c:v>Scenario 1</c:v>
                </c:pt>
                <c:pt idx="1">
                  <c:v>Scenario 2</c:v>
                </c:pt>
              </c:strCache>
            </c:strRef>
          </c:cat>
          <c:val>
            <c:numRef>
              <c:f>Project!$D$121:$D$122</c:f>
              <c:numCache>
                <c:formatCode>[$€-2]\ #\ ##0</c:formatCode>
                <c:ptCount val="2"/>
                <c:pt idx="0">
                  <c:v>2700000</c:v>
                </c:pt>
                <c:pt idx="1">
                  <c:v>0</c:v>
                </c:pt>
              </c:numCache>
            </c:numRef>
          </c:val>
          <c:extLst>
            <c:ext xmlns:c15="http://schemas.microsoft.com/office/drawing/2012/chart" uri="{02D57815-91ED-43cb-92C2-25804820EDAC}">
              <c15:datalabelsRange>
                <c15:f>Project!$D$121:$D$122</c15:f>
                <c15:dlblRangeCache>
                  <c:ptCount val="2"/>
                  <c:pt idx="0">
                    <c:v>€ 2 700 000</c:v>
                  </c:pt>
                  <c:pt idx="1">
                    <c:v>€ 0</c:v>
                  </c:pt>
                </c15:dlblRangeCache>
              </c15:datalabelsRange>
            </c:ext>
            <c:ext xmlns:c16="http://schemas.microsoft.com/office/drawing/2014/chart" uri="{C3380CC4-5D6E-409C-BE32-E72D297353CC}">
              <c16:uniqueId val="{00000005-DC71-4932-964A-6854B106F765}"/>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Investment</a:t>
            </a:r>
            <a:r>
              <a:rPr lang="pl-PL" baseline="0"/>
              <a:t> structure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Project!$C$125</c:f>
              <c:strCache>
                <c:ptCount val="1"/>
                <c:pt idx="0">
                  <c:v>CapEx</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FDF76811-E9AD-48FE-AB0E-740FF45A02B6}" type="CELLRANGE">
                      <a:rPr lang="en-US"/>
                      <a:pPr/>
                      <a:t>[CELLRANGE]</a:t>
                    </a:fld>
                    <a:r>
                      <a:rPr lang="en-US" baseline="0"/>
                      <a:t>; </a:t>
                    </a:r>
                    <a:fld id="{2417D025-262A-4285-AE75-5BFBDA0D00E4}"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88D-4204-804C-5AA06727389A}"/>
                </c:ext>
              </c:extLst>
            </c:dLbl>
            <c:dLbl>
              <c:idx val="1"/>
              <c:delete val="1"/>
              <c:extLst>
                <c:ext xmlns:c15="http://schemas.microsoft.com/office/drawing/2012/chart" uri="{CE6537A1-D6FC-4f65-9D91-7224C49458BB}"/>
                <c:ext xmlns:c16="http://schemas.microsoft.com/office/drawing/2014/chart" uri="{C3380CC4-5D6E-409C-BE32-E72D297353CC}">
                  <c16:uniqueId val="{00000001-188D-4204-804C-5AA0672738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Project!$C$126:$C$127</c:f>
              <c:numCache>
                <c:formatCode>[$€-2]\ #\ ##0</c:formatCode>
                <c:ptCount val="2"/>
                <c:pt idx="0">
                  <c:v>4528273.2011121409</c:v>
                </c:pt>
                <c:pt idx="1">
                  <c:v>0</c:v>
                </c:pt>
              </c:numCache>
            </c:numRef>
          </c:val>
          <c:extLst>
            <c:ext xmlns:c15="http://schemas.microsoft.com/office/drawing/2012/chart" uri="{02D57815-91ED-43cb-92C2-25804820EDAC}">
              <c15:datalabelsRange>
                <c15:f>Project!$C$126:$C$127</c15:f>
                <c15:dlblRangeCache>
                  <c:ptCount val="2"/>
                  <c:pt idx="0">
                    <c:v>€ 4 528 273</c:v>
                  </c:pt>
                  <c:pt idx="1">
                    <c:v>€ 0</c:v>
                  </c:pt>
                </c15:dlblRangeCache>
              </c15:datalabelsRange>
            </c:ext>
            <c:ext xmlns:c16="http://schemas.microsoft.com/office/drawing/2014/chart" uri="{C3380CC4-5D6E-409C-BE32-E72D297353CC}">
              <c16:uniqueId val="{00000002-188D-4204-804C-5AA06727389A}"/>
            </c:ext>
          </c:extLst>
        </c:ser>
        <c:ser>
          <c:idx val="1"/>
          <c:order val="1"/>
          <c:tx>
            <c:strRef>
              <c:f>Project!$D$125</c:f>
              <c:strCache>
                <c:ptCount val="1"/>
                <c:pt idx="0">
                  <c:v>OpEX</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F52A4CAA-5E0A-4403-98D0-577788D4E6C5}" type="CELLRANGE">
                      <a:rPr lang="en-US"/>
                      <a:pPr/>
                      <a:t>[CELLRANGE]</a:t>
                    </a:fld>
                    <a:r>
                      <a:rPr lang="en-US" baseline="0"/>
                      <a:t>; </a:t>
                    </a:r>
                    <a:fld id="{1C864942-83BE-44DD-8903-4B95B977B846}"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88D-4204-804C-5AA06727389A}"/>
                </c:ext>
              </c:extLst>
            </c:dLbl>
            <c:dLbl>
              <c:idx val="1"/>
              <c:tx>
                <c:rich>
                  <a:bodyPr/>
                  <a:lstStyle/>
                  <a:p>
                    <a:fld id="{F16642D0-D194-48DA-8FED-F51BF2F0CFCE}" type="CELLRANGE">
                      <a:rPr lang="en-US"/>
                      <a:pPr/>
                      <a:t>[CELLRANGE]</a:t>
                    </a:fld>
                    <a:r>
                      <a:rPr lang="en-US" baseline="0"/>
                      <a:t>; </a:t>
                    </a:r>
                    <a:fld id="{C4E3AEA4-9132-488B-889B-C5643FDD9FF6}"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88D-4204-804C-5AA0672738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Project!$D$126:$D$127</c:f>
              <c:numCache>
                <c:formatCode>[$€-2]\ #\ ##0</c:formatCode>
                <c:ptCount val="2"/>
                <c:pt idx="0">
                  <c:v>890000</c:v>
                </c:pt>
                <c:pt idx="1">
                  <c:v>8000000</c:v>
                </c:pt>
              </c:numCache>
            </c:numRef>
          </c:val>
          <c:extLst>
            <c:ext xmlns:c15="http://schemas.microsoft.com/office/drawing/2012/chart" uri="{02D57815-91ED-43cb-92C2-25804820EDAC}">
              <c15:datalabelsRange>
                <c15:f>Project!$D$126:$D$127</c15:f>
                <c15:dlblRangeCache>
                  <c:ptCount val="2"/>
                  <c:pt idx="0">
                    <c:v>€ 890 000</c:v>
                  </c:pt>
                  <c:pt idx="1">
                    <c:v>€ 8 000 000</c:v>
                  </c:pt>
                </c15:dlblRangeCache>
              </c15:datalabelsRange>
            </c:ext>
            <c:ext xmlns:c16="http://schemas.microsoft.com/office/drawing/2014/chart" uri="{C3380CC4-5D6E-409C-BE32-E72D297353CC}">
              <c16:uniqueId val="{00000005-188D-4204-804C-5AA06727389A}"/>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invested</a:t>
            </a:r>
            <a:r>
              <a:rPr lang="pl-PL" baseline="0"/>
              <a:t> equity </a:t>
            </a:r>
          </a:p>
          <a:p>
            <a:pPr>
              <a:defRPr/>
            </a:pPr>
            <a:r>
              <a:rPr lang="pl-PL" baseline="0"/>
              <a:t>(ROE)</a:t>
            </a:r>
            <a:endParaRPr lang="pl-PL"/>
          </a:p>
        </c:rich>
      </c:tx>
      <c:layout>
        <c:manualLayout>
          <c:xMode val="edge"/>
          <c:yMode val="edge"/>
          <c:x val="0.24992055608518168"/>
          <c:y val="4.815722631400812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5FE6D6C4-91F7-4E93-8A14-CF479C8908B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D8A-4776-B77B-87FC26161706}"/>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Project!$D$373</c:f>
              <c:numCache>
                <c:formatCode>0%</c:formatCode>
                <c:ptCount val="1"/>
                <c:pt idx="0">
                  <c:v>10.819842060245861</c:v>
                </c:pt>
              </c:numCache>
            </c:numRef>
          </c:val>
          <c:extLst>
            <c:ext xmlns:c15="http://schemas.microsoft.com/office/drawing/2012/chart" uri="{02D57815-91ED-43cb-92C2-25804820EDAC}">
              <c15:datalabelsRange>
                <c15:f>Project!$D$373:$D$374</c15:f>
                <c15:dlblRangeCache>
                  <c:ptCount val="2"/>
                  <c:pt idx="0">
                    <c:v>1082%</c:v>
                  </c:pt>
                  <c:pt idx="1">
                    <c:v>646%</c:v>
                  </c:pt>
                </c15:dlblRangeCache>
              </c15:datalabelsRange>
            </c:ext>
            <c:ext xmlns:c16="http://schemas.microsoft.com/office/drawing/2014/chart" uri="{C3380CC4-5D6E-409C-BE32-E72D297353CC}">
              <c16:uniqueId val="{00000001-CD8A-4776-B77B-87FC26161706}"/>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7C4FDCB2-6522-4CD5-BE69-0F7A3325AD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8A-4776-B77B-87FC2616170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CD8A-4776-B77B-87FC2616170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invested</a:t>
            </a:r>
            <a:r>
              <a:rPr lang="pl-PL" baseline="0"/>
              <a:t> Equity </a:t>
            </a:r>
          </a:p>
          <a:p>
            <a:pPr>
              <a:defRPr/>
            </a:pPr>
            <a:r>
              <a:rPr lang="pl-PL" baseline="0"/>
              <a:t>(ROE)</a:t>
            </a:r>
            <a:endParaRPr lang="pl-PL"/>
          </a:p>
        </c:rich>
      </c:tx>
      <c:layout>
        <c:manualLayout>
          <c:xMode val="edge"/>
          <c:yMode val="edge"/>
          <c:x val="0.33835892003365198"/>
          <c:y val="3.42288331574824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ED095D60-2C55-475C-9BF8-6BFA14DE54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B9D-4A4F-9297-A0BE143140D0}"/>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Project!$D$373</c:f>
              <c:numCache>
                <c:formatCode>0%</c:formatCode>
                <c:ptCount val="1"/>
                <c:pt idx="0">
                  <c:v>10.819842060245861</c:v>
                </c:pt>
              </c:numCache>
            </c:numRef>
          </c:val>
          <c:extLst>
            <c:ext xmlns:c15="http://schemas.microsoft.com/office/drawing/2012/chart" uri="{02D57815-91ED-43cb-92C2-25804820EDAC}">
              <c15:datalabelsRange>
                <c15:f>Project!$D$373:$D$374</c15:f>
                <c15:dlblRangeCache>
                  <c:ptCount val="2"/>
                  <c:pt idx="0">
                    <c:v>1082%</c:v>
                  </c:pt>
                  <c:pt idx="1">
                    <c:v>646%</c:v>
                  </c:pt>
                </c15:dlblRangeCache>
              </c15:datalabelsRange>
            </c:ext>
            <c:ext xmlns:c16="http://schemas.microsoft.com/office/drawing/2014/chart" uri="{C3380CC4-5D6E-409C-BE32-E72D297353CC}">
              <c16:uniqueId val="{00000001-CD8A-4776-B77B-87FC26161706}"/>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1E593AAF-9131-487F-9CEC-F1381D6F00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B9D-4A4F-9297-A0BE143140D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CD8A-4776-B77B-87FC2616170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baseline="0"/>
              <a:t>Invested equity Profitability Index</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Project!$E$502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7D61481D-5332-4E81-B89D-D5DB9FABFCE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8F8-4935-B5DE-63DFDB4D240E}"/>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Project!$F$502</c:f>
              <c:numCache>
                <c:formatCode>0.00</c:formatCode>
                <c:ptCount val="1"/>
                <c:pt idx="0">
                  <c:v>5.7768836024664996</c:v>
                </c:pt>
              </c:numCache>
            </c:numRef>
          </c:val>
          <c:extLst>
            <c:ext xmlns:c15="http://schemas.microsoft.com/office/drawing/2012/chart" uri="{02D57815-91ED-43cb-92C2-25804820EDAC}">
              <c15:datalabelsRange>
                <c15:f>Project!$F$502:$F$503</c15:f>
                <c15:dlblRangeCache>
                  <c:ptCount val="2"/>
                  <c:pt idx="0">
                    <c:v>5,78</c:v>
                  </c:pt>
                  <c:pt idx="1">
                    <c:v>3,92</c:v>
                  </c:pt>
                </c15:dlblRangeCache>
              </c15:datalabelsRange>
            </c:ext>
            <c:ext xmlns:c16="http://schemas.microsoft.com/office/drawing/2014/chart" uri="{C3380CC4-5D6E-409C-BE32-E72D297353CC}">
              <c16:uniqueId val="{00000001-78F8-4935-B5DE-63DFDB4D240E}"/>
            </c:ext>
          </c:extLst>
        </c:ser>
        <c:ser>
          <c:idx val="1"/>
          <c:order val="1"/>
          <c:tx>
            <c:strRef>
              <c:f>Project!$E$503</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Project!$F$503</c:f>
              <c:numCache>
                <c:formatCode>0.00</c:formatCode>
                <c:ptCount val="1"/>
                <c:pt idx="0">
                  <c:v>3.9246658617544417</c:v>
                </c:pt>
              </c:numCache>
            </c:numRef>
          </c:val>
          <c:extLst>
            <c:ext xmlns:c16="http://schemas.microsoft.com/office/drawing/2014/chart" uri="{C3380CC4-5D6E-409C-BE32-E72D297353CC}">
              <c16:uniqueId val="{00000004-78F8-4935-B5DE-63DFDB4D240E}"/>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5297622726178879"/>
          <c:y val="0.90575750794835574"/>
          <c:w val="0.29717061254863264"/>
          <c:h val="6.436521392003972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baseline="0"/>
              <a:t>Invested Equity Profitability Index</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Project!$E$502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DA701EC6-C2FA-4907-93E6-7A25A699D96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CCD-42D3-B124-3AAA83534182}"/>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Project!$F$502</c:f>
              <c:numCache>
                <c:formatCode>0.00</c:formatCode>
                <c:ptCount val="1"/>
                <c:pt idx="0">
                  <c:v>5.7768836024664996</c:v>
                </c:pt>
              </c:numCache>
            </c:numRef>
          </c:val>
          <c:extLst>
            <c:ext xmlns:c15="http://schemas.microsoft.com/office/drawing/2012/chart" uri="{02D57815-91ED-43cb-92C2-25804820EDAC}">
              <c15:datalabelsRange>
                <c15:f>Project!$F$502:$F$503</c15:f>
                <c15:dlblRangeCache>
                  <c:ptCount val="2"/>
                  <c:pt idx="0">
                    <c:v>5,78</c:v>
                  </c:pt>
                  <c:pt idx="1">
                    <c:v>3,92</c:v>
                  </c:pt>
                </c15:dlblRangeCache>
              </c15:datalabelsRange>
            </c:ext>
            <c:ext xmlns:c16="http://schemas.microsoft.com/office/drawing/2014/chart" uri="{C3380CC4-5D6E-409C-BE32-E72D297353CC}">
              <c16:uniqueId val="{00000001-5CCD-42D3-B124-3AAA83534182}"/>
            </c:ext>
          </c:extLst>
        </c:ser>
        <c:ser>
          <c:idx val="1"/>
          <c:order val="1"/>
          <c:tx>
            <c:strRef>
              <c:f>Project!$E$503</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Project!$F$503</c:f>
              <c:numCache>
                <c:formatCode>0.00</c:formatCode>
                <c:ptCount val="1"/>
                <c:pt idx="0">
                  <c:v>3.9246658617544417</c:v>
                </c:pt>
              </c:numCache>
            </c:numRef>
          </c:val>
          <c:extLst>
            <c:ext xmlns:c16="http://schemas.microsoft.com/office/drawing/2014/chart" uri="{C3380CC4-5D6E-409C-BE32-E72D297353CC}">
              <c16:uniqueId val="{00000002-5CCD-42D3-B124-3AAA83534182}"/>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6493000137735121"/>
          <c:y val="0.90575750401948996"/>
          <c:w val="0.31227423814032523"/>
          <c:h val="6.5089560734147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Internal Rate of Return</a:t>
            </a:r>
          </a:p>
          <a:p>
            <a:pPr>
              <a:defRPr/>
            </a:pPr>
            <a:r>
              <a:rPr lang="pl-PL"/>
              <a:t> (IRR) </a:t>
            </a:r>
            <a:endParaRPr lang="en-US"/>
          </a:p>
        </c:rich>
      </c:tx>
      <c:layout>
        <c:manualLayout>
          <c:xMode val="edge"/>
          <c:yMode val="edge"/>
          <c:x val="0.32274579185733215"/>
          <c:y val="2.617801047120418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Project!$B$332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E128E91C-76F7-42AD-8449-CA08313316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466-45D7-B787-D9FF350E58D9}"/>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Project!$C$332</c:f>
              <c:numCache>
                <c:formatCode>0.00%</c:formatCode>
                <c:ptCount val="1"/>
                <c:pt idx="0">
                  <c:v>0.5467512533748411</c:v>
                </c:pt>
              </c:numCache>
            </c:numRef>
          </c:val>
          <c:extLst>
            <c:ext xmlns:c15="http://schemas.microsoft.com/office/drawing/2012/chart" uri="{02D57815-91ED-43cb-92C2-25804820EDAC}">
              <c15:datalabelsRange>
                <c15:f>Project!$C$332</c15:f>
                <c15:dlblRangeCache>
                  <c:ptCount val="1"/>
                  <c:pt idx="0">
                    <c:v>54,68%</c:v>
                  </c:pt>
                </c15:dlblRangeCache>
              </c15:datalabelsRange>
            </c:ext>
            <c:ext xmlns:c16="http://schemas.microsoft.com/office/drawing/2014/chart" uri="{C3380CC4-5D6E-409C-BE32-E72D297353CC}">
              <c16:uniqueId val="{00000001-6466-45D7-B787-D9FF350E58D9}"/>
            </c:ext>
          </c:extLst>
        </c:ser>
        <c:ser>
          <c:idx val="1"/>
          <c:order val="1"/>
          <c:tx>
            <c:strRef>
              <c:f>Project!$B$334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D22CC63D-23A6-424C-A3A1-7FA55E0998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466-45D7-B787-D9FF350E58D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Project!$C$334</c:f>
              <c:numCache>
                <c:formatCode>0.00%</c:formatCode>
                <c:ptCount val="1"/>
                <c:pt idx="0">
                  <c:v>0.58437455017102691</c:v>
                </c:pt>
              </c:numCache>
            </c:numRef>
          </c:val>
          <c:extLst>
            <c:ext xmlns:c15="http://schemas.microsoft.com/office/drawing/2012/chart" uri="{02D57815-91ED-43cb-92C2-25804820EDAC}">
              <c15:datalabelsRange>
                <c15:f>Project!$C$334</c15:f>
                <c15:dlblRangeCache>
                  <c:ptCount val="1"/>
                  <c:pt idx="0">
                    <c:v>58,44%</c:v>
                  </c:pt>
                </c15:dlblRangeCache>
              </c15:datalabelsRange>
            </c:ext>
            <c:ext xmlns:c16="http://schemas.microsoft.com/office/drawing/2014/chart" uri="{C3380CC4-5D6E-409C-BE32-E72D297353CC}">
              <c16:uniqueId val="{00000003-6466-45D7-B787-D9FF350E58D9}"/>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Investment</a:t>
            </a:r>
          </a:p>
          <a:p>
            <a:pPr>
              <a:defRPr/>
            </a:pPr>
            <a:r>
              <a:rPr lang="pl-PL"/>
              <a:t> (ROI) </a:t>
            </a:r>
            <a:endParaRPr lang="en-US"/>
          </a:p>
        </c:rich>
      </c:tx>
      <c:layout>
        <c:manualLayout>
          <c:xMode val="edge"/>
          <c:yMode val="edge"/>
          <c:x val="0.30636462423583849"/>
          <c:y val="3.037682892212640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4660FF03-74F1-440D-B12E-6CE599634B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61F-4A7D-B5F5-18255CA0CB2F}"/>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Project!$C$373:$C$373</c:f>
              <c:numCache>
                <c:formatCode>0%</c:formatCode>
                <c:ptCount val="1"/>
                <c:pt idx="0">
                  <c:v>5.4281660634231974</c:v>
                </c:pt>
              </c:numCache>
            </c:numRef>
          </c:val>
          <c:extLst>
            <c:ext xmlns:c15="http://schemas.microsoft.com/office/drawing/2012/chart" uri="{02D57815-91ED-43cb-92C2-25804820EDAC}">
              <c15:datalabelsRange>
                <c15:f>Project!$C$373</c15:f>
                <c15:dlblRangeCache>
                  <c:ptCount val="1"/>
                  <c:pt idx="0">
                    <c:v>543%</c:v>
                  </c:pt>
                </c15:dlblRangeCache>
              </c15:datalabelsRange>
            </c:ext>
            <c:ext xmlns:c16="http://schemas.microsoft.com/office/drawing/2014/chart" uri="{C3380CC4-5D6E-409C-BE32-E72D297353CC}">
              <c16:uniqueId val="{00000001-361F-4A7D-B5F5-18255CA0CB2F}"/>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60054D2A-9E16-4DC1-B579-C22FD36047F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61F-4A7D-B5F5-18255CA0CB2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Project!$C$374:$C$374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361F-4A7D-B5F5-18255CA0CB2F}"/>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Payback Period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Project!$C$401</c:f>
              <c:strCache>
                <c:ptCount val="1"/>
                <c:pt idx="0">
                  <c:v>Year</c:v>
                </c:pt>
              </c:strCache>
            </c:strRef>
          </c:tx>
          <c:spPr>
            <a:ln w="15875" cap="rnd">
              <a:solidFill>
                <a:srgbClr val="C0504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0A20-485C-8BE3-B0CB9B4B9545}"/>
            </c:ext>
          </c:extLst>
        </c:ser>
        <c:ser>
          <c:idx val="1"/>
          <c:order val="1"/>
          <c:tx>
            <c:strRef>
              <c:f>Project!$D$401</c:f>
              <c:strCache>
                <c:ptCount val="1"/>
                <c:pt idx="0">
                  <c:v>Scenario 1</c:v>
                </c:pt>
              </c:strCache>
            </c:strRef>
          </c:tx>
          <c:spPr>
            <a:ln w="25400" cap="rnd">
              <a:solidFill>
                <a:srgbClr val="4F81B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Project!$D$402:$D$411</c:f>
              <c:numCache>
                <c:formatCode>#,##0</c:formatCode>
                <c:ptCount val="10"/>
                <c:pt idx="0">
                  <c:v>-582309.28044485638</c:v>
                </c:pt>
                <c:pt idx="1">
                  <c:v>-3848273.2011121414</c:v>
                </c:pt>
                <c:pt idx="2">
                  <c:v>-2828146.3765060245</c:v>
                </c:pt>
                <c:pt idx="3">
                  <c:v>-643121.50451807259</c:v>
                </c:pt>
                <c:pt idx="4">
                  <c:v>1057770.4195898979</c:v>
                </c:pt>
                <c:pt idx="5">
                  <c:v>4807114.8850298878</c:v>
                </c:pt>
                <c:pt idx="6">
                  <c:v>9424775.9056151006</c:v>
                </c:pt>
                <c:pt idx="7">
                  <c:v>14998624.271733658</c:v>
                </c:pt>
                <c:pt idx="8">
                  <c:v>21625338.635509968</c:v>
                </c:pt>
                <c:pt idx="9">
                  <c:v>29411286.712632298</c:v>
                </c:pt>
              </c:numCache>
            </c:numRef>
          </c:val>
          <c:smooth val="0"/>
          <c:extLst>
            <c:ext xmlns:c16="http://schemas.microsoft.com/office/drawing/2014/chart" uri="{C3380CC4-5D6E-409C-BE32-E72D297353CC}">
              <c16:uniqueId val="{00000001-0A20-485C-8BE3-B0CB9B4B9545}"/>
            </c:ext>
          </c:extLst>
        </c:ser>
        <c:ser>
          <c:idx val="2"/>
          <c:order val="2"/>
          <c:tx>
            <c:strRef>
              <c:f>Project!$E$401</c:f>
              <c:strCache>
                <c:ptCount val="1"/>
                <c:pt idx="0">
                  <c:v>Scenario 2</c:v>
                </c:pt>
              </c:strCache>
            </c:strRef>
          </c:tx>
          <c:spPr>
            <a:ln w="25400" cap="rnd">
              <a:solidFill>
                <a:srgbClr val="9BBB59"/>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Project!$E$402:$E$411</c:f>
              <c:numCache>
                <c:formatCode>#,##0</c:formatCode>
                <c:ptCount val="10"/>
                <c:pt idx="0">
                  <c:v>-3275723.9052363299</c:v>
                </c:pt>
                <c:pt idx="1">
                  <c:v>-4829888.8872798886</c:v>
                </c:pt>
                <c:pt idx="2">
                  <c:v>-2583040.5692481454</c:v>
                </c:pt>
                <c:pt idx="3">
                  <c:v>600193.04387019388</c:v>
                </c:pt>
                <c:pt idx="4">
                  <c:v>4899589.7463381197</c:v>
                </c:pt>
                <c:pt idx="5">
                  <c:v>10523491.91355807</c:v>
                </c:pt>
                <c:pt idx="6">
                  <c:v>17713139.377722848</c:v>
                </c:pt>
                <c:pt idx="7">
                  <c:v>26747653.523188576</c:v>
                </c:pt>
                <c:pt idx="8">
                  <c:v>37949770.316787586</c:v>
                </c:pt>
                <c:pt idx="9">
                  <c:v>51692434.646356821</c:v>
                </c:pt>
              </c:numCache>
            </c:numRef>
          </c:val>
          <c:smooth val="0"/>
          <c:extLst>
            <c:ext xmlns:c16="http://schemas.microsoft.com/office/drawing/2014/chart" uri="{C3380CC4-5D6E-409C-BE32-E72D297353CC}">
              <c16:uniqueId val="{00000002-0A20-485C-8BE3-B0CB9B4B9545}"/>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Opportunity costs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Project!$B$493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9CDC6857-DF09-4A76-B400-1AA4579982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E0E-4333-89F9-F5FD6A42D6D6}"/>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Project!$C$493</c:f>
              <c:numCache>
                <c:formatCode>[$€-2]\ #\ ##0</c:formatCode>
                <c:ptCount val="1"/>
                <c:pt idx="0">
                  <c:v>23397326.894035533</c:v>
                </c:pt>
              </c:numCache>
            </c:numRef>
          </c:val>
          <c:extLst>
            <c:ext xmlns:c15="http://schemas.microsoft.com/office/drawing/2012/chart" uri="{02D57815-91ED-43cb-92C2-25804820EDAC}">
              <c15:datalabelsRange>
                <c15:f>Project!$C$493</c15:f>
                <c15:dlblRangeCache>
                  <c:ptCount val="1"/>
                  <c:pt idx="0">
                    <c:v>€ 23 397 327</c:v>
                  </c:pt>
                </c15:dlblRangeCache>
              </c15:datalabelsRange>
            </c:ext>
            <c:ext xmlns:c16="http://schemas.microsoft.com/office/drawing/2014/chart" uri="{C3380CC4-5D6E-409C-BE32-E72D297353CC}">
              <c16:uniqueId val="{00000001-1E0E-4333-89F9-F5FD6A42D6D6}"/>
            </c:ext>
          </c:extLst>
        </c:ser>
        <c:ser>
          <c:idx val="1"/>
          <c:order val="1"/>
          <c:tx>
            <c:strRef>
              <c:f>Project!$B$494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E6728611-E523-4F40-A7C0-C40B1C2FAA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E0E-4333-89F9-F5FD6A42D6D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Project!$C$494</c:f>
              <c:numCache>
                <c:formatCode>[$€-2]\ #\ ##0</c:formatCode>
                <c:ptCount val="1"/>
                <c:pt idx="0">
                  <c:v>12984874.681416709</c:v>
                </c:pt>
              </c:numCache>
            </c:numRef>
          </c:val>
          <c:extLst>
            <c:ext xmlns:c15="http://schemas.microsoft.com/office/drawing/2012/chart" uri="{02D57815-91ED-43cb-92C2-25804820EDAC}">
              <c15:datalabelsRange>
                <c15:f>Project!$C$494</c15:f>
                <c15:dlblRangeCache>
                  <c:ptCount val="1"/>
                  <c:pt idx="0">
                    <c:v>€ 12 984 875</c:v>
                  </c:pt>
                </c15:dlblRangeCache>
              </c15:datalabelsRange>
            </c:ext>
            <c:ext xmlns:c16="http://schemas.microsoft.com/office/drawing/2014/chart" uri="{C3380CC4-5D6E-409C-BE32-E72D297353CC}">
              <c16:uniqueId val="{00000005-1E0E-4333-89F9-F5FD6A42D6D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9156934746501898"/>
          <c:y val="0.9057577456191066"/>
          <c:w val="0.31353169228559163"/>
          <c:h val="6.35975711757610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a:t>
            </a:r>
            <a:r>
              <a:rPr lang="pl-PL" baseline="0"/>
              <a:t> investment </a:t>
            </a:r>
            <a:r>
              <a:rPr lang="pl-PL"/>
              <a:t>Profitability Index (PI)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Project!$F$497</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DB9121A9-58D3-48A8-95E8-198C47D0A0A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6F9-452E-B9BB-226EB9652847}"/>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Project!$G$497</c:f>
              <c:numCache>
                <c:formatCode>0.00</c:formatCode>
                <c:ptCount val="1"/>
                <c:pt idx="0">
                  <c:v>3.396496854154837</c:v>
                </c:pt>
              </c:numCache>
            </c:numRef>
          </c:val>
          <c:extLst>
            <c:ext xmlns:c15="http://schemas.microsoft.com/office/drawing/2012/chart" uri="{02D57815-91ED-43cb-92C2-25804820EDAC}">
              <c15:datalabelsRange>
                <c15:f>Project!$G$497</c15:f>
                <c15:dlblRangeCache>
                  <c:ptCount val="1"/>
                  <c:pt idx="0">
                    <c:v>3,40</c:v>
                  </c:pt>
                </c15:dlblRangeCache>
              </c15:datalabelsRange>
            </c:ext>
            <c:ext xmlns:c16="http://schemas.microsoft.com/office/drawing/2014/chart" uri="{C3380CC4-5D6E-409C-BE32-E72D297353CC}">
              <c16:uniqueId val="{00000001-36F9-452E-B9BB-226EB9652847}"/>
            </c:ext>
          </c:extLst>
        </c:ser>
        <c:ser>
          <c:idx val="1"/>
          <c:order val="1"/>
          <c:tx>
            <c:strRef>
              <c:f>Project!$F$498</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2BF90A8D-E162-442F-961E-A4E9A63D7D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6F9-452E-B9BB-226EB9652847}"/>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Project!$G$498</c:f>
              <c:numCache>
                <c:formatCode>0.00</c:formatCode>
                <c:ptCount val="1"/>
                <c:pt idx="0">
                  <c:v>3.9246658617544417</c:v>
                </c:pt>
              </c:numCache>
            </c:numRef>
          </c:val>
          <c:extLst>
            <c:ext xmlns:c15="http://schemas.microsoft.com/office/drawing/2012/chart" uri="{02D57815-91ED-43cb-92C2-25804820EDAC}">
              <c15:datalabelsRange>
                <c15:f>Project!$G$498</c15:f>
                <c15:dlblRangeCache>
                  <c:ptCount val="1"/>
                  <c:pt idx="0">
                    <c:v>3,92</c:v>
                  </c:pt>
                </c15:dlblRangeCache>
              </c15:datalabelsRange>
            </c:ext>
            <c:ext xmlns:c16="http://schemas.microsoft.com/office/drawing/2014/chart" uri="{C3380CC4-5D6E-409C-BE32-E72D297353CC}">
              <c16:uniqueId val="{00000003-36F9-452E-B9BB-226EB9652847}"/>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7"/>
          <c:min val="1"/>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2432909293331874"/>
          <c:y val="0.90575753771097522"/>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Project!$B$116</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2E2BAFCE-6006-4CF4-B9B3-A18DB95E24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961-4388-A353-39A153FA1960}"/>
                </c:ext>
              </c:extLst>
            </c:dLbl>
            <c:dLbl>
              <c:idx val="1"/>
              <c:tx>
                <c:rich>
                  <a:bodyPr/>
                  <a:lstStyle/>
                  <a:p>
                    <a:fld id="{B8C91ED4-5365-406A-B47D-5A01180B39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961-4388-A353-39A153FA1960}"/>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8278A9F6-29DC-44C4-8EA6-394A3802E9AC}"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961-4388-A353-39A153FA196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Project!$C$116:$E$116</c:f>
              <c:numCache>
                <c:formatCode>[$€-2]\ #\ ##0</c:formatCode>
                <c:ptCount val="3"/>
                <c:pt idx="0">
                  <c:v>1042309.2804448564</c:v>
                </c:pt>
                <c:pt idx="1">
                  <c:v>4375963.9206672851</c:v>
                </c:pt>
                <c:pt idx="2">
                  <c:v>5418273.2011121418</c:v>
                </c:pt>
              </c:numCache>
            </c:numRef>
          </c:val>
          <c:extLst>
            <c:ext xmlns:c15="http://schemas.microsoft.com/office/drawing/2012/chart" uri="{02D57815-91ED-43cb-92C2-25804820EDAC}">
              <c15:datalabelsRange>
                <c15:f>Project!$C$116:$E$116</c15:f>
                <c15:dlblRangeCache>
                  <c:ptCount val="3"/>
                  <c:pt idx="0">
                    <c:v>€ 1 042 309</c:v>
                  </c:pt>
                  <c:pt idx="1">
                    <c:v>€ 4 375 964</c:v>
                  </c:pt>
                  <c:pt idx="2">
                    <c:v>€ 5 418 273</c:v>
                  </c:pt>
                </c15:dlblRangeCache>
              </c15:datalabelsRange>
            </c:ext>
            <c:ext xmlns:c16="http://schemas.microsoft.com/office/drawing/2014/chart" uri="{C3380CC4-5D6E-409C-BE32-E72D297353CC}">
              <c16:uniqueId val="{00000003-0E32-4596-9B25-4191225057B6}"/>
            </c:ext>
          </c:extLst>
        </c:ser>
        <c:ser>
          <c:idx val="1"/>
          <c:order val="1"/>
          <c:tx>
            <c:strRef>
              <c:f>Project!$B$117</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9087660E-0566-4A91-B9F6-B3AF64DBDC1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961-4388-A353-39A153FA1960}"/>
                </c:ext>
              </c:extLst>
            </c:dLbl>
            <c:dLbl>
              <c:idx val="1"/>
              <c:tx>
                <c:rich>
                  <a:bodyPr/>
                  <a:lstStyle/>
                  <a:p>
                    <a:fld id="{07504016-A239-406E-8BF9-3AB39C4D76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961-4388-A353-39A153FA1960}"/>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5520CDF8-E3FA-4E47-8AB6-6211466122C4}"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961-4388-A353-39A153FA196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Project!$C$117:$E$117</c:f>
              <c:numCache>
                <c:formatCode>[$€-2]\ #\ ##0</c:formatCode>
                <c:ptCount val="3"/>
                <c:pt idx="0">
                  <c:v>4000000</c:v>
                </c:pt>
                <c:pt idx="1">
                  <c:v>4000000</c:v>
                </c:pt>
                <c:pt idx="2">
                  <c:v>8000000</c:v>
                </c:pt>
              </c:numCache>
            </c:numRef>
          </c:val>
          <c:extLst>
            <c:ext xmlns:c15="http://schemas.microsoft.com/office/drawing/2012/chart" uri="{02D57815-91ED-43cb-92C2-25804820EDAC}">
              <c15:datalabelsRange>
                <c15:f>Project!$C$117:$E$117</c15:f>
                <c15:dlblRangeCache>
                  <c:ptCount val="3"/>
                  <c:pt idx="0">
                    <c:v>€ 4 000 000</c:v>
                  </c:pt>
                  <c:pt idx="1">
                    <c:v>€ 4 000 000</c:v>
                  </c:pt>
                  <c:pt idx="2">
                    <c:v>€ 8 000 000</c:v>
                  </c:pt>
                </c15:dlblRangeCache>
              </c15:datalabelsRange>
            </c:ext>
            <c:ext xmlns:c16="http://schemas.microsoft.com/office/drawing/2014/chart" uri="{C3380CC4-5D6E-409C-BE32-E72D297353CC}">
              <c16:uniqueId val="{00000007-0E32-4596-9B25-4191225057B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 Cash Flow Projection </a:t>
            </a:r>
            <a:endParaRPr lang="en-US"/>
          </a:p>
        </c:rich>
      </c:tx>
      <c:layout>
        <c:manualLayout>
          <c:xMode val="edge"/>
          <c:yMode val="edge"/>
          <c:x val="0.3458399773863412"/>
          <c:y val="2.056319959067898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Project!$C$220</c:f>
              <c:strCache>
                <c:ptCount val="1"/>
                <c:pt idx="0">
                  <c:v>Year</c:v>
                </c:pt>
              </c:strCache>
            </c:strRef>
          </c:tx>
          <c:spPr>
            <a:ln w="15875" cap="rnd">
              <a:solidFill>
                <a:srgbClr val="C0504D"/>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3706-4D02-B618-72DA64C1D097}"/>
            </c:ext>
          </c:extLst>
        </c:ser>
        <c:ser>
          <c:idx val="1"/>
          <c:order val="1"/>
          <c:tx>
            <c:strRef>
              <c:f>Project!$D$220</c:f>
              <c:strCache>
                <c:ptCount val="1"/>
                <c:pt idx="0">
                  <c:v>Scenario 1</c:v>
                </c:pt>
              </c:strCache>
            </c:strRef>
          </c:tx>
          <c:spPr>
            <a:ln w="25400" cap="rnd">
              <a:solidFill>
                <a:srgbClr val="4F81BD"/>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Project!$D$221:$D$230</c:f>
              <c:numCache>
                <c:formatCode>#,##0</c:formatCode>
                <c:ptCount val="10"/>
                <c:pt idx="0">
                  <c:v>-582309.28044485638</c:v>
                </c:pt>
                <c:pt idx="1">
                  <c:v>-3265963.9206672851</c:v>
                </c:pt>
                <c:pt idx="2">
                  <c:v>1020126.8246061169</c:v>
                </c:pt>
                <c:pt idx="3">
                  <c:v>2185024.8719879519</c:v>
                </c:pt>
                <c:pt idx="4">
                  <c:v>1700891.9241079704</c:v>
                </c:pt>
                <c:pt idx="5">
                  <c:v>3749344.4654399902</c:v>
                </c:pt>
                <c:pt idx="6">
                  <c:v>4617661.0205852129</c:v>
                </c:pt>
                <c:pt idx="7">
                  <c:v>5573848.3661185578</c:v>
                </c:pt>
                <c:pt idx="8">
                  <c:v>6626714.3637763076</c:v>
                </c:pt>
                <c:pt idx="9">
                  <c:v>7785948.0771223288</c:v>
                </c:pt>
              </c:numCache>
            </c:numRef>
          </c:val>
          <c:smooth val="0"/>
          <c:extLst>
            <c:ext xmlns:c16="http://schemas.microsoft.com/office/drawing/2014/chart" uri="{C3380CC4-5D6E-409C-BE32-E72D297353CC}">
              <c16:uniqueId val="{00000001-3706-4D02-B618-72DA64C1D097}"/>
            </c:ext>
          </c:extLst>
        </c:ser>
        <c:ser>
          <c:idx val="2"/>
          <c:order val="2"/>
          <c:tx>
            <c:strRef>
              <c:f>Project!$E$220</c:f>
              <c:strCache>
                <c:ptCount val="1"/>
                <c:pt idx="0">
                  <c:v>Scenario 2</c:v>
                </c:pt>
              </c:strCache>
            </c:strRef>
          </c:tx>
          <c:spPr>
            <a:ln w="25400" cap="rnd">
              <a:solidFill>
                <a:srgbClr val="9BBB59"/>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Project!$E$221:$E$230</c:f>
              <c:numCache>
                <c:formatCode>#,##0</c:formatCode>
                <c:ptCount val="10"/>
                <c:pt idx="0">
                  <c:v>-3275723.9052363299</c:v>
                </c:pt>
                <c:pt idx="1">
                  <c:v>-1554164.9820435587</c:v>
                </c:pt>
                <c:pt idx="2">
                  <c:v>2246848.3180317432</c:v>
                </c:pt>
                <c:pt idx="3">
                  <c:v>3183233.6131183393</c:v>
                </c:pt>
                <c:pt idx="4">
                  <c:v>4299396.7024679258</c:v>
                </c:pt>
                <c:pt idx="5">
                  <c:v>5623902.1672199499</c:v>
                </c:pt>
                <c:pt idx="6">
                  <c:v>7189647.4641647777</c:v>
                </c:pt>
                <c:pt idx="7">
                  <c:v>9034514.1454657298</c:v>
                </c:pt>
                <c:pt idx="8">
                  <c:v>11202116.79359901</c:v>
                </c:pt>
                <c:pt idx="9">
                  <c:v>13742664.329569232</c:v>
                </c:pt>
              </c:numCache>
            </c:numRef>
          </c:val>
          <c:smooth val="0"/>
          <c:extLst>
            <c:ext xmlns:c16="http://schemas.microsoft.com/office/drawing/2014/chart" uri="{C3380CC4-5D6E-409C-BE32-E72D297353CC}">
              <c16:uniqueId val="{00000002-3706-4D02-B618-72DA64C1D097}"/>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xdr:col>
      <xdr:colOff>0</xdr:colOff>
      <xdr:row>275</xdr:row>
      <xdr:rowOff>4235</xdr:rowOff>
    </xdr:from>
    <xdr:to>
      <xdr:col>5</xdr:col>
      <xdr:colOff>465666</xdr:colOff>
      <xdr:row>299</xdr:row>
      <xdr:rowOff>31750</xdr:rowOff>
    </xdr:to>
    <xdr:sp macro="" textlink="">
      <xdr:nvSpPr>
        <xdr:cNvPr id="3" name="TextBox 2">
          <a:extLst>
            <a:ext uri="{FF2B5EF4-FFF2-40B4-BE49-F238E27FC236}">
              <a16:creationId xmlns:a16="http://schemas.microsoft.com/office/drawing/2014/main" id="{7AD21E3A-FB6E-15B2-EE20-0296ECE0362B}"/>
            </a:ext>
          </a:extLst>
        </xdr:cNvPr>
        <xdr:cNvSpPr txBox="1"/>
      </xdr:nvSpPr>
      <xdr:spPr>
        <a:xfrm>
          <a:off x="190500" y="55312735"/>
          <a:ext cx="6868583" cy="459951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l-PL" sz="1050">
              <a:solidFill>
                <a:schemeClr val="dk1"/>
              </a:solidFill>
              <a:effectLst/>
              <a:latin typeface="+mn-lt"/>
              <a:ea typeface="+mn-ea"/>
              <a:cs typeface="+mn-cs"/>
            </a:rPr>
            <a:t>Summary:</a:t>
          </a:r>
        </a:p>
        <a:p>
          <a:pPr marL="0" marR="0" lvl="0" indent="0" defTabSz="914400" eaLnBrk="1" fontAlgn="auto" latinLnBrk="0" hangingPunct="1">
            <a:lnSpc>
              <a:spcPct val="100000"/>
            </a:lnSpc>
            <a:spcBef>
              <a:spcPts val="0"/>
            </a:spcBef>
            <a:spcAft>
              <a:spcPts val="0"/>
            </a:spcAft>
            <a:buClrTx/>
            <a:buSzTx/>
            <a:buFontTx/>
            <a:buNone/>
            <a:tabLst/>
            <a:defRPr/>
          </a:pPr>
          <a:endParaRPr lang="pl-PL" sz="105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dk1"/>
              </a:solidFill>
              <a:effectLst/>
              <a:latin typeface="+mn-lt"/>
              <a:ea typeface="+mn-ea"/>
              <a:cs typeface="+mn-cs"/>
            </a:rPr>
            <a:t>NPV represents the value added by the investment. It directly measures the increase in the value of the </a:t>
          </a:r>
          <a:r>
            <a:rPr lang="pl-PL" sz="1050">
              <a:solidFill>
                <a:schemeClr val="dk1"/>
              </a:solidFill>
              <a:effectLst/>
              <a:latin typeface="+mn-lt"/>
              <a:ea typeface="+mn-ea"/>
              <a:cs typeface="+mn-cs"/>
            </a:rPr>
            <a:t>company</a:t>
          </a:r>
          <a:r>
            <a:rPr lang="en-US" sz="1050">
              <a:solidFill>
                <a:schemeClr val="dk1"/>
              </a:solidFill>
              <a:effectLst/>
              <a:latin typeface="+mn-lt"/>
              <a:ea typeface="+mn-ea"/>
              <a:cs typeface="+mn-cs"/>
            </a:rPr>
            <a:t> due to the project</a:t>
          </a:r>
          <a:r>
            <a:rPr lang="pl-PL" sz="1050">
              <a:solidFill>
                <a:schemeClr val="dk1"/>
              </a:solidFill>
              <a:effectLst/>
              <a:latin typeface="+mn-lt"/>
              <a:ea typeface="+mn-ea"/>
              <a:cs typeface="+mn-cs"/>
            </a:rPr>
            <a:t>, taking into account</a:t>
          </a:r>
          <a:r>
            <a:rPr lang="pl-PL" sz="1050" baseline="0">
              <a:solidFill>
                <a:schemeClr val="dk1"/>
              </a:solidFill>
              <a:effectLst/>
              <a:latin typeface="+mn-lt"/>
              <a:ea typeface="+mn-ea"/>
              <a:cs typeface="+mn-cs"/>
            </a:rPr>
            <a:t> p</a:t>
          </a:r>
          <a:r>
            <a:rPr lang="en-US" sz="1050"/>
            <a:t>resent value of </a:t>
          </a:r>
          <a:r>
            <a:rPr lang="pl-PL" sz="1050"/>
            <a:t>the </a:t>
          </a:r>
          <a:r>
            <a:rPr lang="en-US" sz="1050"/>
            <a:t>future cash </a:t>
          </a:r>
          <a:r>
            <a:rPr lang="pl-PL" sz="1050"/>
            <a:t>flows.</a:t>
          </a:r>
        </a:p>
        <a:p>
          <a:endParaRPr lang="pl-PL" sz="1050"/>
        </a:p>
        <a:p>
          <a:r>
            <a:rPr lang="pl-PL" sz="1050"/>
            <a:t>General </a:t>
          </a:r>
          <a:r>
            <a:rPr lang="en-US" sz="1050"/>
            <a:t>Decision Rule:</a:t>
          </a:r>
        </a:p>
        <a:p>
          <a:r>
            <a:rPr lang="en-US" sz="1050"/>
            <a:t>If NPV &gt; 0: The investment is considered profitable and should be accepted.</a:t>
          </a:r>
        </a:p>
        <a:p>
          <a:r>
            <a:rPr lang="en-US" sz="1050"/>
            <a:t>If NPV &lt; 0: The investment is not profitable and should be rejected.</a:t>
          </a:r>
        </a:p>
        <a:p>
          <a:r>
            <a:rPr lang="en-US" sz="1050"/>
            <a:t>If NPV = 0: The investment will break even.</a:t>
          </a:r>
          <a:endParaRPr lang="pl-PL" sz="1050"/>
        </a:p>
        <a:p>
          <a:endParaRPr lang="en-US" sz="1050"/>
        </a:p>
        <a:p>
          <a:r>
            <a:rPr lang="en-US" sz="1050"/>
            <a:t>NPV requires a predetermined discount rate to calculate the present value of future cash flows. This rate is typically the company’s cost of capital or required rate of return.</a:t>
          </a:r>
          <a:r>
            <a:rPr lang="pl-PL" sz="1050"/>
            <a:t> Applied</a:t>
          </a:r>
          <a:r>
            <a:rPr lang="pl-PL" sz="1050" baseline="0"/>
            <a:t> discount rate =  10% (see assumptions in point 2).</a:t>
          </a:r>
          <a:endParaRPr lang="pl-PL" sz="1050"/>
        </a:p>
        <a:p>
          <a:endParaRPr lang="pl-PL" sz="1050"/>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timing of investment cash outflows and inflows significantly impacts the calculation of NPV. In both scenarios</a:t>
          </a:r>
          <a:r>
            <a:rPr lang="pl-PL"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 investment is spread over the first two years and inflows begin at different times, the cash outflows </a:t>
          </a:r>
          <a:r>
            <a:rPr lang="pl-PL" sz="1100" b="0" i="0">
              <a:solidFill>
                <a:schemeClr val="dk1"/>
              </a:solidFill>
              <a:effectLst/>
              <a:latin typeface="+mn-lt"/>
              <a:ea typeface="+mn-ea"/>
              <a:cs typeface="+mn-cs"/>
            </a:rPr>
            <a:t>for the investment </a:t>
          </a:r>
          <a:r>
            <a:rPr lang="en-US" sz="1100" b="0" i="0">
              <a:solidFill>
                <a:schemeClr val="dk1"/>
              </a:solidFill>
              <a:effectLst/>
              <a:latin typeface="+mn-lt"/>
              <a:ea typeface="+mn-ea"/>
              <a:cs typeface="+mn-cs"/>
            </a:rPr>
            <a:t>should </a:t>
          </a:r>
          <a:r>
            <a:rPr lang="pl-PL" sz="1100" b="0" i="0">
              <a:solidFill>
                <a:schemeClr val="dk1"/>
              </a:solidFill>
              <a:effectLst/>
              <a:latin typeface="+mn-lt"/>
              <a:ea typeface="+mn-ea"/>
              <a:cs typeface="+mn-cs"/>
            </a:rPr>
            <a:t>therefore</a:t>
          </a:r>
          <a:r>
            <a:rPr lang="en-US" sz="1100" b="0" i="0">
              <a:solidFill>
                <a:schemeClr val="dk1"/>
              </a:solidFill>
              <a:effectLst/>
              <a:latin typeface="+mn-lt"/>
              <a:ea typeface="+mn-ea"/>
              <a:cs typeface="+mn-cs"/>
            </a:rPr>
            <a:t> be discounted to their present value similarly to the cash inflows. Investment outflows in years 1 and 2 need to be discounted back to present value at the discount rate used in the NPV calculation. This ensures that the time value of money is accounted for, as money spent or received in the future is worth less than money today.</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Similarly, inflows starting in year 1 for Scenario 2 and year 3 for Scenario 1 must be discounted back to their present values.</a:t>
          </a:r>
          <a:r>
            <a:rPr lang="pl-PL" sz="1100" b="0" i="0">
              <a:solidFill>
                <a:schemeClr val="dk1"/>
              </a:solidFill>
              <a:effectLst/>
              <a:latin typeface="+mn-lt"/>
              <a:ea typeface="+mn-ea"/>
              <a:cs typeface="+mn-cs"/>
            </a:rPr>
            <a:t> </a:t>
          </a:r>
          <a:r>
            <a:rPr lang="pl-PL" sz="1100" b="0" i="1">
              <a:solidFill>
                <a:schemeClr val="dk1"/>
              </a:solidFill>
              <a:effectLst/>
              <a:latin typeface="+mn-lt"/>
              <a:ea typeface="+mn-ea"/>
              <a:cs typeface="+mn-cs"/>
            </a:rPr>
            <a:t>NPV</a:t>
          </a:r>
          <a:r>
            <a:rPr lang="pl-PL" sz="1100" b="0" i="1" baseline="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Total PV of </a:t>
          </a:r>
          <a:r>
            <a:rPr lang="pl-PL" sz="1100" b="0" i="0">
              <a:solidFill>
                <a:schemeClr val="dk1"/>
              </a:solidFill>
              <a:effectLst/>
              <a:latin typeface="+mn-lt"/>
              <a:ea typeface="+mn-ea"/>
              <a:cs typeface="+mn-cs"/>
            </a:rPr>
            <a:t>Cash </a:t>
          </a:r>
          <a:r>
            <a:rPr lang="en-US" sz="1100" b="0" i="0">
              <a:solidFill>
                <a:schemeClr val="dk1"/>
              </a:solidFill>
              <a:effectLst/>
              <a:latin typeface="+mn-lt"/>
              <a:ea typeface="+mn-ea"/>
              <a:cs typeface="+mn-cs"/>
            </a:rPr>
            <a:t>Inflows−Total PV of </a:t>
          </a:r>
          <a:r>
            <a:rPr lang="pl-PL" sz="1100" b="0" i="0">
              <a:solidFill>
                <a:schemeClr val="dk1"/>
              </a:solidFill>
              <a:effectLst/>
              <a:latin typeface="+mn-lt"/>
              <a:ea typeface="+mn-ea"/>
              <a:cs typeface="+mn-cs"/>
            </a:rPr>
            <a:t>Cash </a:t>
          </a:r>
          <a:r>
            <a:rPr lang="en-US" sz="1100" b="0" i="0">
              <a:solidFill>
                <a:schemeClr val="dk1"/>
              </a:solidFill>
              <a:effectLst/>
              <a:latin typeface="+mn-lt"/>
              <a:ea typeface="+mn-ea"/>
              <a:cs typeface="+mn-cs"/>
            </a:rPr>
            <a:t>Outflows</a:t>
          </a:r>
          <a:endParaRPr lang="pl-PL"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0" i="0">
              <a:solidFill>
                <a:schemeClr val="dk1"/>
              </a:solidFill>
              <a:effectLst/>
              <a:latin typeface="+mn-lt"/>
              <a:ea typeface="+mn-ea"/>
              <a:cs typeface="+mn-cs"/>
            </a:rPr>
            <a:t>Both scenarios have positive NPVs, indicating that both projects are expected to generate more cash inflows than outflows when discounted back to present value terms. This means both projects are potentially profitable.</a:t>
          </a:r>
          <a:endParaRPr lang="pl-PL"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Scenario 2 has a higher NPV (€</a:t>
          </a:r>
          <a:r>
            <a:rPr lang="pl-PL" sz="1050" b="0" i="0">
              <a:solidFill>
                <a:schemeClr val="dk1"/>
              </a:solidFill>
              <a:effectLst/>
              <a:latin typeface="+mn-lt"/>
              <a:ea typeface="+mn-ea"/>
              <a:cs typeface="+mn-cs"/>
            </a:rPr>
            <a:t>23,397,327</a:t>
          </a:r>
          <a:r>
            <a:rPr lang="en-US" sz="1050" b="0" i="0">
              <a:solidFill>
                <a:schemeClr val="dk1"/>
              </a:solidFill>
              <a:effectLst/>
              <a:latin typeface="+mn-lt"/>
              <a:ea typeface="+mn-ea"/>
              <a:cs typeface="+mn-cs"/>
            </a:rPr>
            <a:t>) compared to Scenario 1 (€12,98</a:t>
          </a:r>
          <a:r>
            <a:rPr lang="pl-PL" sz="1050" b="0" i="0">
              <a:solidFill>
                <a:schemeClr val="dk1"/>
              </a:solidFill>
              <a:effectLst/>
              <a:latin typeface="+mn-lt"/>
              <a:ea typeface="+mn-ea"/>
              <a:cs typeface="+mn-cs"/>
            </a:rPr>
            <a:t>4,875</a:t>
          </a:r>
          <a:r>
            <a:rPr lang="en-US" sz="1050" b="0" i="0">
              <a:solidFill>
                <a:schemeClr val="dk1"/>
              </a:solidFill>
              <a:effectLst/>
              <a:latin typeface="+mn-lt"/>
              <a:ea typeface="+mn-ea"/>
              <a:cs typeface="+mn-cs"/>
            </a:rPr>
            <a:t>).</a:t>
          </a:r>
        </a:p>
        <a:p>
          <a:r>
            <a:rPr lang="en-US" sz="1050" b="0" i="0">
              <a:solidFill>
                <a:schemeClr val="dk1"/>
              </a:solidFill>
              <a:effectLst/>
              <a:latin typeface="+mn-lt"/>
              <a:ea typeface="+mn-ea"/>
              <a:cs typeface="+mn-cs"/>
            </a:rPr>
            <a:t>This suggests that Scenario 2 is expected to create more value for the company than Scenario 1</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which is expected result since Scenario 2 initial investment is higher.</a:t>
          </a:r>
          <a:endParaRPr lang="en-US"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50" b="0" i="0">
            <a:solidFill>
              <a:schemeClr val="dk1"/>
            </a:solidFill>
            <a:effectLst/>
            <a:latin typeface="+mn-lt"/>
            <a:ea typeface="+mn-ea"/>
            <a:cs typeface="+mn-cs"/>
          </a:endParaRPr>
        </a:p>
        <a:p>
          <a:endParaRPr lang="en-US" sz="1100"/>
        </a:p>
      </xdr:txBody>
    </xdr:sp>
    <xdr:clientData/>
  </xdr:twoCellAnchor>
  <xdr:twoCellAnchor>
    <xdr:from>
      <xdr:col>4</xdr:col>
      <xdr:colOff>456352</xdr:colOff>
      <xdr:row>304</xdr:row>
      <xdr:rowOff>3814</xdr:rowOff>
    </xdr:from>
    <xdr:to>
      <xdr:col>11</xdr:col>
      <xdr:colOff>1126066</xdr:colOff>
      <xdr:row>318</xdr:row>
      <xdr:rowOff>0</xdr:rowOff>
    </xdr:to>
    <xdr:sp macro="" textlink="">
      <xdr:nvSpPr>
        <xdr:cNvPr id="4" name="TextBox 3">
          <a:extLst>
            <a:ext uri="{FF2B5EF4-FFF2-40B4-BE49-F238E27FC236}">
              <a16:creationId xmlns:a16="http://schemas.microsoft.com/office/drawing/2014/main" id="{10CD2F3C-D415-4E7B-8EB2-DA7E372387FC}"/>
            </a:ext>
          </a:extLst>
        </xdr:cNvPr>
        <xdr:cNvSpPr txBox="1"/>
      </xdr:nvSpPr>
      <xdr:spPr>
        <a:xfrm>
          <a:off x="5934285" y="61785081"/>
          <a:ext cx="8611448" cy="290871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IRR is the discount rate that makes the NPV of all cash flows from a particular project equal to zero.</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a:t>General </a:t>
          </a:r>
          <a:r>
            <a:rPr lang="en-US" sz="1050"/>
            <a:t>Decision Rule:</a:t>
          </a:r>
        </a:p>
        <a:p>
          <a:r>
            <a:rPr lang="en-US" sz="1050"/>
            <a:t>If IRR &gt; required rate of return (cost of capital): The investment is considered acceptable.</a:t>
          </a:r>
        </a:p>
        <a:p>
          <a:r>
            <a:rPr lang="en-US" sz="1050"/>
            <a:t>If IRR &lt; required rate of return: The investment should be rejected.</a:t>
          </a:r>
        </a:p>
        <a:p>
          <a:r>
            <a:rPr lang="en-US" sz="1050"/>
            <a:t>If IRR = required rate of return: The investment will break even.</a:t>
          </a:r>
          <a:endParaRPr lang="pl-PL" sz="1050"/>
        </a:p>
        <a:p>
          <a:endParaRPr lang="en-US" sz="1050"/>
        </a:p>
        <a:p>
          <a:r>
            <a:rPr lang="en-US" sz="1050"/>
            <a:t>Discount Rate: IRR itself is the discount rate that equates the present value of cash inflows to the initial investment. It does not require a predetermined discount rate but is compared against the company’s required rate of return</a:t>
          </a:r>
          <a:r>
            <a:rPr lang="pl-PL" sz="1050" baseline="0"/>
            <a:t> (in this case 10%)</a:t>
          </a:r>
          <a:endParaRPr lang="pl-PL" sz="1050"/>
        </a:p>
        <a:p>
          <a:endParaRPr lang="en-US" sz="1050"/>
        </a:p>
        <a:p>
          <a:r>
            <a:rPr lang="en-US" sz="1050"/>
            <a:t>IRR provides the rate of return expected from the investment. It is a percentage that represents the efficiency or yield of the investment. This</a:t>
          </a:r>
          <a:r>
            <a:rPr lang="en-US" sz="1050" b="0" i="0">
              <a:solidFill>
                <a:schemeClr val="dk1"/>
              </a:solidFill>
              <a:effectLst/>
              <a:latin typeface="+mn-lt"/>
              <a:ea typeface="+mn-ea"/>
              <a:cs typeface="+mn-cs"/>
            </a:rPr>
            <a:t> IRR represents the annualized effective compounded return rate that can be earned on the invested capital, based on the provided series of cash flows.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a:t>Scenario 1 (Building a Factory) has an IRR of </a:t>
          </a:r>
          <a:r>
            <a:rPr lang="pl-PL" sz="1050"/>
            <a:t>54,68</a:t>
          </a:r>
          <a:r>
            <a:rPr lang="en-US" sz="1050"/>
            <a:t>%.</a:t>
          </a:r>
          <a:r>
            <a:rPr lang="pl-PL" sz="1050" baseline="0"/>
            <a:t> </a:t>
          </a:r>
          <a:r>
            <a:rPr lang="en-US" sz="1050"/>
            <a:t>Scenario 2 (Developing an Electronic Product and Marketing) has an IRR of </a:t>
          </a:r>
          <a:r>
            <a:rPr lang="pl-PL" sz="1050"/>
            <a:t>58,44</a:t>
          </a:r>
          <a:r>
            <a:rPr lang="en-US" sz="1050"/>
            <a:t>%</a:t>
          </a:r>
          <a:r>
            <a:rPr lang="pl-PL" sz="1050" baseline="0"/>
            <a:t> indicating higher return from the entire investment.</a:t>
          </a:r>
          <a:endParaRPr lang="pl-PL" sz="1050"/>
        </a:p>
        <a:p>
          <a:endParaRPr lang="en-US" sz="1050"/>
        </a:p>
      </xdr:txBody>
    </xdr:sp>
    <xdr:clientData/>
  </xdr:twoCellAnchor>
  <xdr:twoCellAnchor>
    <xdr:from>
      <xdr:col>4</xdr:col>
      <xdr:colOff>339727</xdr:colOff>
      <xdr:row>336</xdr:row>
      <xdr:rowOff>4231</xdr:rowOff>
    </xdr:from>
    <xdr:to>
      <xdr:col>12</xdr:col>
      <xdr:colOff>0</xdr:colOff>
      <xdr:row>355</xdr:row>
      <xdr:rowOff>0</xdr:rowOff>
    </xdr:to>
    <xdr:sp macro="" textlink="">
      <xdr:nvSpPr>
        <xdr:cNvPr id="5" name="TextBox 4">
          <a:extLst>
            <a:ext uri="{FF2B5EF4-FFF2-40B4-BE49-F238E27FC236}">
              <a16:creationId xmlns:a16="http://schemas.microsoft.com/office/drawing/2014/main" id="{34AFFD9F-BD25-4E2B-A909-E3F3B9A7AAF0}"/>
            </a:ext>
          </a:extLst>
        </xdr:cNvPr>
        <xdr:cNvSpPr txBox="1"/>
      </xdr:nvSpPr>
      <xdr:spPr>
        <a:xfrm>
          <a:off x="5800727" y="67472981"/>
          <a:ext cx="8719606" cy="381635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Return on Investment (ROI) is used to evaluate the efficiency or profitability of an investment. It measures the amount of return on an investment relative to the investment’s cost. ROI is expressed as a percentage and provides a simple, straightforward indication of the profitability of an investment.</a:t>
          </a:r>
          <a:r>
            <a:rPr lang="pl-PL" sz="1050" b="0" i="0">
              <a:solidFill>
                <a:schemeClr val="dk1"/>
              </a:solidFill>
              <a:effectLst/>
              <a:latin typeface="+mn-lt"/>
              <a:ea typeface="+mn-ea"/>
              <a:cs typeface="+mn-cs"/>
            </a:rPr>
            <a:t> </a:t>
          </a:r>
          <a:r>
            <a:rPr lang="en-US" sz="1050">
              <a:solidFill>
                <a:schemeClr val="dk1"/>
              </a:solidFill>
              <a:effectLst/>
              <a:latin typeface="+mn-lt"/>
              <a:ea typeface="+mn-ea"/>
              <a:cs typeface="+mn-cs"/>
            </a:rPr>
            <a:t>However, it doesn’t account for the time value of money</a:t>
          </a:r>
          <a:r>
            <a:rPr lang="pl-PL" sz="1050">
              <a:solidFill>
                <a:schemeClr val="dk1"/>
              </a:solidFill>
              <a:effectLst/>
              <a:latin typeface="+mn-lt"/>
              <a:ea typeface="+mn-ea"/>
              <a:cs typeface="+mn-cs"/>
            </a:rPr>
            <a:t>, so it</a:t>
          </a:r>
          <a:r>
            <a:rPr lang="pl-PL" sz="1050" baseline="0">
              <a:solidFill>
                <a:schemeClr val="dk1"/>
              </a:solidFill>
              <a:effectLst/>
              <a:latin typeface="+mn-lt"/>
              <a:ea typeface="+mn-ea"/>
              <a:cs typeface="+mn-cs"/>
            </a:rPr>
            <a:t> should not be a primary metric for long term investments</a:t>
          </a:r>
          <a:r>
            <a:rPr lang="en-US" sz="1050">
              <a:solidFill>
                <a:schemeClr val="dk1"/>
              </a:solidFill>
              <a:effectLst/>
              <a:latin typeface="+mn-lt"/>
              <a:ea typeface="+mn-ea"/>
              <a:cs typeface="+mn-cs"/>
            </a:rPr>
            <a:t>.</a:t>
          </a:r>
          <a:r>
            <a:rPr lang="pl-PL" sz="1050">
              <a:solidFill>
                <a:schemeClr val="dk1"/>
              </a:solidFill>
              <a:effectLst/>
              <a:latin typeface="+mn-lt"/>
              <a:ea typeface="+mn-ea"/>
              <a:cs typeface="+mn-cs"/>
            </a:rPr>
            <a:t> </a:t>
          </a:r>
          <a:r>
            <a:rPr lang="en-US" sz="1050" b="0" i="0">
              <a:solidFill>
                <a:schemeClr val="dk1"/>
              </a:solidFill>
              <a:effectLst/>
              <a:latin typeface="+mn-lt"/>
              <a:ea typeface="+mn-ea"/>
              <a:cs typeface="+mn-cs"/>
            </a:rPr>
            <a:t>A higher ROI indicates a more efficient use of investment funds.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a:t>The standard formula for ROI is: ROI = Net Profit/Cost of Investment ×100.</a:t>
          </a:r>
          <a:r>
            <a:rPr lang="en-US" sz="1050" b="0" i="0" u="none" strike="noStrike">
              <a:solidFill>
                <a:schemeClr val="dk1"/>
              </a:solidFill>
              <a:effectLst/>
              <a:latin typeface="+mn-lt"/>
              <a:ea typeface="+mn-ea"/>
              <a:cs typeface="+mn-cs"/>
            </a:rPr>
            <a:t>In th</a:t>
          </a:r>
          <a:r>
            <a:rPr lang="pl-PL" sz="1050" b="0" i="0" u="none" strike="noStrike">
              <a:solidFill>
                <a:schemeClr val="dk1"/>
              </a:solidFill>
              <a:effectLst/>
              <a:latin typeface="+mn-lt"/>
              <a:ea typeface="+mn-ea"/>
              <a:cs typeface="+mn-cs"/>
            </a:rPr>
            <a:t>e</a:t>
          </a:r>
          <a:r>
            <a:rPr lang="en-US" sz="1050" b="0" i="0" u="none" strike="noStrike">
              <a:solidFill>
                <a:schemeClr val="dk1"/>
              </a:solidFill>
              <a:effectLst/>
              <a:latin typeface="+mn-lt"/>
              <a:ea typeface="+mn-ea"/>
              <a:cs typeface="+mn-cs"/>
            </a:rPr>
            <a:t> context</a:t>
          </a:r>
          <a:r>
            <a:rPr lang="pl-PL" sz="1050" b="0" i="0" u="none" strike="noStrike">
              <a:solidFill>
                <a:schemeClr val="dk1"/>
              </a:solidFill>
              <a:effectLst/>
              <a:latin typeface="+mn-lt"/>
              <a:ea typeface="+mn-ea"/>
              <a:cs typeface="+mn-cs"/>
            </a:rPr>
            <a:t> of the project</a:t>
          </a:r>
          <a:r>
            <a:rPr lang="en-US" sz="1050" b="0" i="0" u="none" strike="noStrike">
              <a:solidFill>
                <a:schemeClr val="dk1"/>
              </a:solidFill>
              <a:effectLst/>
              <a:latin typeface="+mn-lt"/>
              <a:ea typeface="+mn-ea"/>
              <a:cs typeface="+mn-cs"/>
            </a:rPr>
            <a:t>:</a:t>
          </a:r>
          <a:r>
            <a:rPr lang="en-US" sz="1050"/>
            <a:t> </a:t>
          </a:r>
          <a:endParaRPr lang="pl-PL" sz="1050"/>
        </a:p>
        <a:p>
          <a:r>
            <a:rPr lang="en-US" sz="1050" b="0" i="0" u="none" strike="noStrike">
              <a:solidFill>
                <a:schemeClr val="dk1"/>
              </a:solidFill>
              <a:effectLst/>
              <a:latin typeface="+mn-lt"/>
              <a:ea typeface="+mn-ea"/>
              <a:cs typeface="+mn-cs"/>
            </a:rPr>
            <a:t>Net Profit</a:t>
          </a:r>
          <a:r>
            <a:rPr lang="pl-PL" sz="1050" b="0" i="0" u="none" strike="noStrike" baseline="0">
              <a:solidFill>
                <a:schemeClr val="dk1"/>
              </a:solidFill>
              <a:effectLst/>
              <a:latin typeface="+mn-lt"/>
              <a:ea typeface="+mn-ea"/>
              <a:cs typeface="+mn-cs"/>
            </a:rPr>
            <a:t> = </a:t>
          </a:r>
          <a:r>
            <a:rPr lang="en-US" sz="1050" b="0" i="0" u="none" strike="noStrike">
              <a:solidFill>
                <a:schemeClr val="dk1"/>
              </a:solidFill>
              <a:effectLst/>
              <a:latin typeface="+mn-lt"/>
              <a:ea typeface="+mn-ea"/>
              <a:cs typeface="+mn-cs"/>
            </a:rPr>
            <a:t>Total returns (sum of all net cash flows</a:t>
          </a:r>
          <a:r>
            <a:rPr lang="pl-PL" sz="1050" b="0" i="0" u="none" strike="noStrike">
              <a:solidFill>
                <a:schemeClr val="dk1"/>
              </a:solidFill>
              <a:effectLst/>
              <a:latin typeface="+mn-lt"/>
              <a:ea typeface="+mn-ea"/>
              <a:cs typeface="+mn-cs"/>
            </a:rPr>
            <a:t> including initial investment</a:t>
          </a:r>
          <a:r>
            <a:rPr lang="en-US" sz="1050" b="0" i="0" u="none" strike="noStrike">
              <a:solidFill>
                <a:schemeClr val="dk1"/>
              </a:solidFill>
              <a:effectLst/>
              <a:latin typeface="+mn-lt"/>
              <a:ea typeface="+mn-ea"/>
              <a:cs typeface="+mn-cs"/>
            </a:rPr>
            <a:t>)</a:t>
          </a:r>
          <a:endParaRPr lang="pl-PL" sz="1050"/>
        </a:p>
        <a:p>
          <a:r>
            <a:rPr lang="en-US" sz="1050" b="0" i="0" u="none" strike="noStrike">
              <a:solidFill>
                <a:schemeClr val="dk1"/>
              </a:solidFill>
              <a:effectLst/>
              <a:latin typeface="+mn-lt"/>
              <a:ea typeface="+mn-ea"/>
              <a:cs typeface="+mn-cs"/>
            </a:rPr>
            <a:t>Cost of Investment</a:t>
          </a:r>
          <a:r>
            <a:rPr lang="pl-PL" sz="1050" b="0" i="0" u="none" strike="noStrike" baseline="0">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 Initial investment</a:t>
          </a:r>
          <a:endParaRPr lang="pl-PL" sz="1050"/>
        </a:p>
        <a:p>
          <a:endParaRPr lang="pl-PL" sz="1050"/>
        </a:p>
        <a:p>
          <a:r>
            <a:rPr lang="pl-PL" sz="1050"/>
            <a:t>For</a:t>
          </a:r>
          <a:r>
            <a:rPr lang="pl-PL" sz="1050" baseline="0"/>
            <a:t> this analysis we can use ROI as an additional metric to show simple return from the investment. It should not however be a primary metric as it does not include time value of money.</a:t>
          </a:r>
        </a:p>
        <a:p>
          <a:endParaRPr lang="pl-PL" sz="1050" baseline="0"/>
        </a:p>
        <a:p>
          <a:r>
            <a:rPr lang="pl-PL" sz="1050" baseline="0"/>
            <a:t>Scenario 1 ROI is 543% comparing to 646% ROI of Scenario 2. This means that for every euro of investment in scenario 1 the expected return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5,43 and for every euro of investment in scenario 2 the expected return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6,46. In this terms we may consider Scenario 2</a:t>
          </a:r>
          <a:r>
            <a:rPr lang="pl-PL" sz="1050" b="0" i="0" baseline="0">
              <a:solidFill>
                <a:schemeClr val="dk1"/>
              </a:solidFill>
              <a:effectLst/>
              <a:latin typeface="+mn-lt"/>
              <a:ea typeface="+mn-ea"/>
              <a:cs typeface="+mn-cs"/>
            </a:rPr>
            <a:t> as more profitable.</a:t>
          </a:r>
          <a:endParaRPr lang="pl-PL" sz="1050" baseline="0"/>
        </a:p>
        <a:p>
          <a:endParaRPr lang="pl-PL" sz="1050" baseline="0"/>
        </a:p>
        <a:p>
          <a:r>
            <a:rPr lang="pl-PL" sz="1050" b="0" i="0">
              <a:solidFill>
                <a:schemeClr val="dk1"/>
              </a:solidFill>
              <a:effectLst/>
              <a:latin typeface="+mn-lt"/>
              <a:ea typeface="+mn-ea"/>
              <a:cs typeface="+mn-cs"/>
            </a:rPr>
            <a:t>On the other hand Return</a:t>
          </a:r>
          <a:r>
            <a:rPr lang="pl-PL" sz="1050" b="0" i="0" baseline="0">
              <a:solidFill>
                <a:schemeClr val="dk1"/>
              </a:solidFill>
              <a:effectLst/>
              <a:latin typeface="+mn-lt"/>
              <a:ea typeface="+mn-ea"/>
              <a:cs typeface="+mn-cs"/>
            </a:rPr>
            <a:t> on invested equity will be important to consider rate of return from the Equity part of the investment only. Since scenario 1 is leveraged with loans the return from invested Equity will be higher. This scenario might be more attractive from the stakeholders' point of view.</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For every euro invested in equity (capital) in scenario 1 stakeholders can expect a return of </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10,82 whereas for every euro invested in equity in Scenario 1 the considered return remains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6,46.</a:t>
          </a:r>
          <a:endParaRPr lang="pl-PL" sz="1050" b="0" i="0" baseline="0">
            <a:solidFill>
              <a:schemeClr val="dk1"/>
            </a:solidFill>
            <a:effectLst/>
            <a:latin typeface="+mn-lt"/>
            <a:ea typeface="+mn-ea"/>
            <a:cs typeface="+mn-cs"/>
          </a:endParaRPr>
        </a:p>
      </xdr:txBody>
    </xdr:sp>
    <xdr:clientData/>
  </xdr:twoCellAnchor>
  <xdr:twoCellAnchor>
    <xdr:from>
      <xdr:col>1</xdr:col>
      <xdr:colOff>24445</xdr:colOff>
      <xdr:row>3</xdr:row>
      <xdr:rowOff>4656</xdr:rowOff>
    </xdr:from>
    <xdr:to>
      <xdr:col>12</xdr:col>
      <xdr:colOff>0</xdr:colOff>
      <xdr:row>5</xdr:row>
      <xdr:rowOff>186266</xdr:rowOff>
    </xdr:to>
    <xdr:sp macro="" textlink="">
      <xdr:nvSpPr>
        <xdr:cNvPr id="2" name="TextBox 1">
          <a:extLst>
            <a:ext uri="{FF2B5EF4-FFF2-40B4-BE49-F238E27FC236}">
              <a16:creationId xmlns:a16="http://schemas.microsoft.com/office/drawing/2014/main" id="{2812FB82-E4B2-D420-43CC-B5CEE05CA4F3}"/>
            </a:ext>
          </a:extLst>
        </xdr:cNvPr>
        <xdr:cNvSpPr txBox="1"/>
      </xdr:nvSpPr>
      <xdr:spPr>
        <a:xfrm>
          <a:off x="219178" y="665056"/>
          <a:ext cx="14335022" cy="57107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l-PL" sz="1050" b="0" i="0">
              <a:solidFill>
                <a:schemeClr val="dk1"/>
              </a:solidFill>
              <a:effectLst/>
              <a:latin typeface="+mn-lt"/>
              <a:ea typeface="+mn-ea"/>
              <a:cs typeface="+mn-cs"/>
            </a:rPr>
            <a:t>Compare two</a:t>
          </a:r>
          <a:r>
            <a:rPr lang="en-US" sz="1050" b="0" i="0">
              <a:solidFill>
                <a:schemeClr val="dk1"/>
              </a:solidFill>
              <a:effectLst/>
              <a:latin typeface="+mn-lt"/>
              <a:ea typeface="+mn-ea"/>
              <a:cs typeface="+mn-cs"/>
            </a:rPr>
            <a:t> development scenarios</a:t>
          </a:r>
          <a:r>
            <a:rPr lang="pl-PL" sz="1050" b="0" i="0">
              <a:solidFill>
                <a:schemeClr val="dk1"/>
              </a:solidFill>
              <a:effectLst/>
              <a:latin typeface="+mn-lt"/>
              <a:ea typeface="+mn-ea"/>
              <a:cs typeface="+mn-cs"/>
            </a:rPr>
            <a:t> for</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 startup company that produces gadgets for smart homes. </a:t>
          </a:r>
          <a:endParaRPr lang="pl-PL" sz="1050" b="0" i="0">
            <a:solidFill>
              <a:schemeClr val="dk1"/>
            </a:solidFill>
            <a:effectLst/>
            <a:latin typeface="+mn-lt"/>
            <a:ea typeface="+mn-ea"/>
            <a:cs typeface="+mn-cs"/>
          </a:endParaRPr>
        </a:p>
        <a:p>
          <a:pPr algn="l"/>
          <a:r>
            <a:rPr lang="en-US" sz="1050" b="0" i="0">
              <a:solidFill>
                <a:schemeClr val="dk1"/>
              </a:solidFill>
              <a:effectLst/>
              <a:latin typeface="+mn-lt"/>
              <a:ea typeface="+mn-ea"/>
              <a:cs typeface="+mn-cs"/>
            </a:rPr>
            <a:t>The first investment opportunity is to build an extension of a factory building and increase manufacturing activities</a:t>
          </a:r>
          <a:r>
            <a:rPr lang="pl-PL" sz="1050" b="0" i="0">
              <a:solidFill>
                <a:schemeClr val="dk1"/>
              </a:solidFill>
              <a:effectLst/>
              <a:latin typeface="+mn-lt"/>
              <a:ea typeface="+mn-ea"/>
              <a:cs typeface="+mn-cs"/>
            </a:rPr>
            <a:t> (Scenario 1)</a:t>
          </a:r>
          <a:r>
            <a:rPr lang="en-US" sz="1050" b="0" i="0">
              <a:solidFill>
                <a:schemeClr val="dk1"/>
              </a:solidFill>
              <a:effectLst/>
              <a:latin typeface="+mn-lt"/>
              <a:ea typeface="+mn-ea"/>
              <a:cs typeface="+mn-cs"/>
            </a:rPr>
            <a:t>. The second scenario suggests building a digital product and investing in marketing</a:t>
          </a:r>
          <a:r>
            <a:rPr lang="pl-PL" sz="1050" b="0" i="0">
              <a:solidFill>
                <a:schemeClr val="dk1"/>
              </a:solidFill>
              <a:effectLst/>
              <a:latin typeface="+mn-lt"/>
              <a:ea typeface="+mn-ea"/>
              <a:cs typeface="+mn-cs"/>
            </a:rPr>
            <a:t> (Scenario 2)</a:t>
          </a:r>
          <a:r>
            <a:rPr lang="en-US" sz="1050" b="0" i="0">
              <a:solidFill>
                <a:schemeClr val="dk1"/>
              </a:solidFill>
              <a:effectLst/>
              <a:latin typeface="+mn-lt"/>
              <a:ea typeface="+mn-ea"/>
              <a:cs typeface="+mn-cs"/>
            </a:rPr>
            <a:t>. </a:t>
          </a:r>
          <a:endParaRPr lang="pl-PL" sz="105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l-PL" sz="1050" b="0" i="0">
              <a:solidFill>
                <a:schemeClr val="dk1"/>
              </a:solidFill>
              <a:effectLst/>
              <a:latin typeface="+mn-lt"/>
              <a:ea typeface="+mn-ea"/>
              <a:cs typeface="+mn-cs"/>
            </a:rPr>
            <a:t>E</a:t>
          </a:r>
          <a:r>
            <a:rPr lang="en-US" sz="1050" b="0" i="0">
              <a:solidFill>
                <a:schemeClr val="dk1"/>
              </a:solidFill>
              <a:effectLst/>
              <a:latin typeface="+mn-lt"/>
              <a:ea typeface="+mn-ea"/>
              <a:cs typeface="+mn-cs"/>
            </a:rPr>
            <a:t>valuate which </a:t>
          </a:r>
          <a:r>
            <a:rPr lang="pl-PL" sz="1050" b="0" i="0">
              <a:solidFill>
                <a:schemeClr val="dk1"/>
              </a:solidFill>
              <a:effectLst/>
              <a:latin typeface="+mn-lt"/>
              <a:ea typeface="+mn-ea"/>
              <a:cs typeface="+mn-cs"/>
            </a:rPr>
            <a:t>scenario</a:t>
          </a:r>
          <a:r>
            <a:rPr lang="pl-PL" sz="1050" b="0" i="0" baseline="0">
              <a:solidFill>
                <a:schemeClr val="dk1"/>
              </a:solidFill>
              <a:effectLst/>
              <a:latin typeface="+mn-lt"/>
              <a:ea typeface="+mn-ea"/>
              <a:cs typeface="+mn-cs"/>
            </a:rPr>
            <a:t> (if any) the</a:t>
          </a:r>
          <a:r>
            <a:rPr lang="en-US" sz="1050" b="0" i="0">
              <a:solidFill>
                <a:schemeClr val="dk1"/>
              </a:solidFill>
              <a:effectLst/>
              <a:latin typeface="+mn-lt"/>
              <a:ea typeface="+mn-ea"/>
              <a:cs typeface="+mn-cs"/>
            </a:rPr>
            <a:t> company should go for.</a:t>
          </a:r>
          <a:endParaRPr lang="en-US" sz="1050">
            <a:effectLst/>
          </a:endParaRPr>
        </a:p>
        <a:p>
          <a:pPr algn="l"/>
          <a:endParaRPr lang="en-US" sz="1050" b="0" i="0">
            <a:solidFill>
              <a:schemeClr val="dk1"/>
            </a:solidFill>
            <a:effectLst/>
            <a:latin typeface="+mn-lt"/>
            <a:ea typeface="+mn-ea"/>
            <a:cs typeface="+mn-cs"/>
          </a:endParaRPr>
        </a:p>
        <a:p>
          <a:pPr algn="l"/>
          <a:endParaRPr lang="pl-PL" sz="1100" baseline="0"/>
        </a:p>
        <a:p>
          <a:pPr algn="l"/>
          <a:endParaRPr lang="pl-PL" sz="1100" baseline="0"/>
        </a:p>
        <a:p>
          <a:pPr algn="l"/>
          <a:endParaRPr lang="en-US" sz="1100"/>
        </a:p>
      </xdr:txBody>
    </xdr:sp>
    <xdr:clientData/>
  </xdr:twoCellAnchor>
  <xdr:twoCellAnchor>
    <xdr:from>
      <xdr:col>5</xdr:col>
      <xdr:colOff>795865</xdr:colOff>
      <xdr:row>9</xdr:row>
      <xdr:rowOff>4655</xdr:rowOff>
    </xdr:from>
    <xdr:to>
      <xdr:col>11</xdr:col>
      <xdr:colOff>1134532</xdr:colOff>
      <xdr:row>21</xdr:row>
      <xdr:rowOff>25400</xdr:rowOff>
    </xdr:to>
    <xdr:sp macro="" textlink="">
      <xdr:nvSpPr>
        <xdr:cNvPr id="6" name="TextBox 5">
          <a:extLst>
            <a:ext uri="{FF2B5EF4-FFF2-40B4-BE49-F238E27FC236}">
              <a16:creationId xmlns:a16="http://schemas.microsoft.com/office/drawing/2014/main" id="{753D3617-222D-5A5A-5ABA-3D8D26DFE5AD}"/>
            </a:ext>
          </a:extLst>
        </xdr:cNvPr>
        <xdr:cNvSpPr txBox="1"/>
      </xdr:nvSpPr>
      <xdr:spPr>
        <a:xfrm>
          <a:off x="7408332" y="1833455"/>
          <a:ext cx="7145867" cy="235754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Assumptions for the second scenario</a:t>
          </a:r>
          <a:r>
            <a:rPr lang="pl-PL" sz="1050" b="1" i="0">
              <a:solidFill>
                <a:schemeClr val="dk1"/>
              </a:solidFill>
              <a:effectLst/>
              <a:latin typeface="+mn-lt"/>
              <a:ea typeface="+mn-ea"/>
              <a:cs typeface="+mn-cs"/>
            </a:rPr>
            <a:t> (</a:t>
          </a:r>
          <a:r>
            <a:rPr lang="en-US" sz="1050" b="1" i="0">
              <a:solidFill>
                <a:schemeClr val="dk1"/>
              </a:solidFill>
              <a:effectLst/>
              <a:latin typeface="+mn-lt"/>
              <a:ea typeface="+mn-ea"/>
              <a:cs typeface="+mn-cs"/>
            </a:rPr>
            <a:t>building a digital product and investing in marketing</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a:t>
          </a:r>
          <a:endParaRPr lang="pl-PL" sz="105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a:solidFill>
              <a:schemeClr val="dk1"/>
            </a:solidFill>
            <a:effectLst/>
            <a:latin typeface="+mn-lt"/>
            <a:ea typeface="+mn-ea"/>
            <a:cs typeface="+mn-cs"/>
          </a:endParaRPr>
        </a:p>
        <a:p>
          <a:r>
            <a:rPr lang="en-US" sz="1050" b="1" i="0">
              <a:solidFill>
                <a:schemeClr val="dk1"/>
              </a:solidFill>
              <a:effectLst/>
              <a:latin typeface="+mn-lt"/>
              <a:ea typeface="+mn-ea"/>
              <a:cs typeface="+mn-cs"/>
            </a:rPr>
            <a:t>Project</a:t>
          </a:r>
          <a:r>
            <a:rPr lang="en-US" sz="1050" b="0" i="0">
              <a:solidFill>
                <a:schemeClr val="dk1"/>
              </a:solidFill>
              <a:effectLst/>
              <a:latin typeface="+mn-lt"/>
              <a:ea typeface="+mn-ea"/>
              <a:cs typeface="+mn-cs"/>
            </a:rPr>
            <a:t>: will carry out active marketing activities and develop an electronic product.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sales are expected to grow by 30% during the campaign every year. In subsequent periods, growth is expected to fall to 15%.</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Cost</a:t>
          </a:r>
          <a:r>
            <a:rPr lang="en-US" sz="1050" b="0" i="0">
              <a:solidFill>
                <a:schemeClr val="dk1"/>
              </a:solidFill>
              <a:effectLst/>
              <a:latin typeface="+mn-lt"/>
              <a:ea typeface="+mn-ea"/>
              <a:cs typeface="+mn-cs"/>
            </a:rPr>
            <a:t>: the provision and development of services will require the hiring of 10 people with 2x the average salary of the company starting in the first year.</a:t>
          </a:r>
          <a:r>
            <a:rPr lang="pl-PL" sz="1050" b="0" i="0">
              <a:solidFill>
                <a:schemeClr val="dk1"/>
              </a:solidFill>
              <a:effectLst/>
              <a:latin typeface="+mn-lt"/>
              <a:ea typeface="+mn-ea"/>
              <a:cs typeface="+mn-cs"/>
            </a:rPr>
            <a:t> </a:t>
          </a:r>
          <a:r>
            <a:rPr lang="en-US" sz="1050" b="0" i="0" u="none" strike="noStrike">
              <a:solidFill>
                <a:srgbClr val="FF0000"/>
              </a:solidFill>
              <a:effectLst/>
              <a:latin typeface="+mn-lt"/>
              <a:ea typeface="+mn-ea"/>
              <a:cs typeface="+mn-cs"/>
            </a:rPr>
            <a:t>After the implementation of the campaign, it is planned to receive 5 people each year in the following periods.</a:t>
          </a:r>
          <a:r>
            <a:rPr lang="en-US" sz="1050">
              <a:solidFill>
                <a:srgbClr val="FF0000"/>
              </a:solidFill>
            </a:rPr>
            <a:t> </a:t>
          </a:r>
          <a:endParaRPr lang="pl-PL" sz="1050">
            <a:solidFill>
              <a:srgbClr val="FF0000"/>
            </a:solidFill>
          </a:endParaRPr>
        </a:p>
        <a:p>
          <a:endParaRPr lang="en-US" sz="1050" b="0" i="0">
            <a:solidFill>
              <a:srgbClr val="FF0000"/>
            </a:solidFill>
            <a:effectLst/>
            <a:latin typeface="+mn-lt"/>
            <a:ea typeface="+mn-ea"/>
            <a:cs typeface="+mn-cs"/>
          </a:endParaRPr>
        </a:p>
        <a:p>
          <a:r>
            <a:rPr lang="en-US" sz="1050" b="1" i="0">
              <a:solidFill>
                <a:schemeClr val="dk1"/>
              </a:solidFill>
              <a:effectLst/>
              <a:latin typeface="+mn-lt"/>
              <a:ea typeface="+mn-ea"/>
              <a:cs typeface="+mn-cs"/>
            </a:rPr>
            <a:t>Costs</a:t>
          </a:r>
          <a:r>
            <a:rPr lang="en-US" sz="1050" b="0" i="0">
              <a:solidFill>
                <a:schemeClr val="dk1"/>
              </a:solidFill>
              <a:effectLst/>
              <a:latin typeface="+mn-lt"/>
              <a:ea typeface="+mn-ea"/>
              <a:cs typeface="+mn-cs"/>
            </a:rPr>
            <a:t>: after campaign end, advertising budgets are expected to fall to € 1 million per year.</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Duration of the project</a:t>
          </a:r>
          <a:r>
            <a:rPr lang="en-US" sz="1050" b="0" i="0">
              <a:solidFill>
                <a:schemeClr val="dk1"/>
              </a:solidFill>
              <a:effectLst/>
              <a:latin typeface="+mn-lt"/>
              <a:ea typeface="+mn-ea"/>
              <a:cs typeface="+mn-cs"/>
            </a:rPr>
            <a:t>: 2 years.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xdr:txBody>
    </xdr:sp>
    <xdr:clientData/>
  </xdr:twoCellAnchor>
  <xdr:twoCellAnchor>
    <xdr:from>
      <xdr:col>1</xdr:col>
      <xdr:colOff>211</xdr:colOff>
      <xdr:row>9</xdr:row>
      <xdr:rowOff>3177</xdr:rowOff>
    </xdr:from>
    <xdr:to>
      <xdr:col>5</xdr:col>
      <xdr:colOff>321732</xdr:colOff>
      <xdr:row>21</xdr:row>
      <xdr:rowOff>0</xdr:rowOff>
    </xdr:to>
    <xdr:sp macro="" textlink="">
      <xdr:nvSpPr>
        <xdr:cNvPr id="7" name="TextBox 6">
          <a:extLst>
            <a:ext uri="{FF2B5EF4-FFF2-40B4-BE49-F238E27FC236}">
              <a16:creationId xmlns:a16="http://schemas.microsoft.com/office/drawing/2014/main" id="{939EAC64-AF23-3F75-DCFF-16AA143FA1DD}"/>
            </a:ext>
          </a:extLst>
        </xdr:cNvPr>
        <xdr:cNvSpPr txBox="1"/>
      </xdr:nvSpPr>
      <xdr:spPr>
        <a:xfrm>
          <a:off x="194944" y="1831977"/>
          <a:ext cx="6739255" cy="23336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a:solidFill>
                <a:schemeClr val="dk1"/>
              </a:solidFill>
              <a:effectLst/>
              <a:latin typeface="+mn-lt"/>
              <a:ea typeface="+mn-ea"/>
              <a:cs typeface="+mn-cs"/>
            </a:rPr>
            <a:t>Assumptions for the first scenario</a:t>
          </a:r>
          <a:r>
            <a:rPr lang="pl-PL" sz="1050" b="1" i="0">
              <a:solidFill>
                <a:schemeClr val="dk1"/>
              </a:solidFill>
              <a:effectLst/>
              <a:latin typeface="+mn-lt"/>
              <a:ea typeface="+mn-ea"/>
              <a:cs typeface="+mn-cs"/>
            </a:rPr>
            <a:t> (Building a factory and increase manufacturing activities)</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Project</a:t>
          </a:r>
          <a:r>
            <a:rPr lang="en-US" sz="1050" b="0" i="0">
              <a:solidFill>
                <a:schemeClr val="dk1"/>
              </a:solidFill>
              <a:effectLst/>
              <a:latin typeface="+mn-lt"/>
              <a:ea typeface="+mn-ea"/>
              <a:cs typeface="+mn-cs"/>
            </a:rPr>
            <a:t>: to build a factory, including buildings and machine tools required for production.</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it is planned that after the implementation of the project, the sales volumes will increase by 50% from the current ones and should continue to increase by 10% annually.</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Cost</a:t>
          </a:r>
          <a:r>
            <a:rPr lang="en-US" sz="1050" b="0" i="0">
              <a:solidFill>
                <a:schemeClr val="dk1"/>
              </a:solidFill>
              <a:effectLst/>
              <a:latin typeface="+mn-lt"/>
              <a:ea typeface="+mn-ea"/>
              <a:cs typeface="+mn-cs"/>
            </a:rPr>
            <a:t>: an additional 10 people with an average salary of the company will be needed to service the new production capacity.</a:t>
          </a:r>
          <a:r>
            <a:rPr lang="pl-PL" sz="1050" b="0" i="0">
              <a:solidFill>
                <a:schemeClr val="dk1"/>
              </a:solidFill>
              <a:effectLst/>
              <a:latin typeface="+mn-lt"/>
              <a:ea typeface="+mn-ea"/>
              <a:cs typeface="+mn-cs"/>
            </a:rPr>
            <a:t> </a:t>
          </a:r>
          <a:r>
            <a:rPr lang="en-US" sz="1050" b="0" i="0">
              <a:solidFill>
                <a:srgbClr val="FF0000"/>
              </a:solidFill>
              <a:effectLst/>
              <a:latin typeface="+mn-lt"/>
              <a:ea typeface="+mn-ea"/>
              <a:cs typeface="+mn-cs"/>
            </a:rPr>
            <a:t>The company had 9 employees at the beginning of 2016 and 60 at the end of 2017. </a:t>
          </a:r>
          <a:endParaRPr lang="en-US" sz="1050">
            <a:solidFill>
              <a:srgbClr val="FF0000"/>
            </a:solidFill>
            <a:effectLst/>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Costs</a:t>
          </a:r>
          <a:r>
            <a:rPr lang="en-US" sz="1050" b="0" i="0">
              <a:solidFill>
                <a:schemeClr val="dk1"/>
              </a:solidFill>
              <a:effectLst/>
              <a:latin typeface="+mn-lt"/>
              <a:ea typeface="+mn-ea"/>
              <a:cs typeface="+mn-cs"/>
            </a:rPr>
            <a:t>: marketing budgets would need to be further </a:t>
          </a:r>
          <a:r>
            <a:rPr lang="en-US" sz="1050" b="0" i="0">
              <a:solidFill>
                <a:sysClr val="windowText" lastClr="000000"/>
              </a:solidFill>
              <a:effectLst/>
              <a:latin typeface="+mn-lt"/>
              <a:ea typeface="+mn-ea"/>
              <a:cs typeface="+mn-cs"/>
            </a:rPr>
            <a:t>adjusted</a:t>
          </a:r>
          <a:r>
            <a:rPr lang="en-US" sz="1050" b="0" i="0">
              <a:solidFill>
                <a:schemeClr val="dk1"/>
              </a:solidFill>
              <a:effectLst/>
              <a:latin typeface="+mn-lt"/>
              <a:ea typeface="+mn-ea"/>
              <a:cs typeface="+mn-cs"/>
            </a:rPr>
            <a:t> to maintain projected sales growth.</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Duration of the project</a:t>
          </a:r>
          <a:r>
            <a:rPr lang="en-US" sz="1050" b="0" i="0">
              <a:solidFill>
                <a:schemeClr val="dk1"/>
              </a:solidFill>
              <a:effectLst/>
              <a:latin typeface="+mn-lt"/>
              <a:ea typeface="+mn-ea"/>
              <a:cs typeface="+mn-cs"/>
            </a:rPr>
            <a:t>: 2 years.</a:t>
          </a:r>
        </a:p>
        <a:p>
          <a:endParaRPr lang="pl-PL" sz="1100"/>
        </a:p>
      </xdr:txBody>
    </xdr:sp>
    <xdr:clientData/>
  </xdr:twoCellAnchor>
  <xdr:twoCellAnchor>
    <xdr:from>
      <xdr:col>1</xdr:col>
      <xdr:colOff>2965</xdr:colOff>
      <xdr:row>57</xdr:row>
      <xdr:rowOff>193676</xdr:rowOff>
    </xdr:from>
    <xdr:to>
      <xdr:col>11</xdr:col>
      <xdr:colOff>965200</xdr:colOff>
      <xdr:row>86</xdr:row>
      <xdr:rowOff>8467</xdr:rowOff>
    </xdr:to>
    <xdr:sp macro="" textlink="">
      <xdr:nvSpPr>
        <xdr:cNvPr id="9" name="TextBox 8">
          <a:extLst>
            <a:ext uri="{FF2B5EF4-FFF2-40B4-BE49-F238E27FC236}">
              <a16:creationId xmlns:a16="http://schemas.microsoft.com/office/drawing/2014/main" id="{76751391-132C-7CD0-CB6D-F7E15849AB45}"/>
            </a:ext>
          </a:extLst>
        </xdr:cNvPr>
        <xdr:cNvSpPr txBox="1"/>
      </xdr:nvSpPr>
      <xdr:spPr>
        <a:xfrm>
          <a:off x="197698" y="11445876"/>
          <a:ext cx="14187169" cy="546205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i="0" u="none" strike="noStrike">
              <a:solidFill>
                <a:schemeClr val="dk1"/>
              </a:solidFill>
              <a:effectLst/>
              <a:latin typeface="+mn-lt"/>
              <a:ea typeface="+mn-ea"/>
              <a:cs typeface="+mn-cs"/>
            </a:rPr>
            <a:t>Additional</a:t>
          </a:r>
          <a:r>
            <a:rPr lang="en-US" sz="1050" b="1" i="0" u="none" strike="noStrike">
              <a:solidFill>
                <a:schemeClr val="dk1"/>
              </a:solidFill>
              <a:effectLst/>
              <a:latin typeface="+mn-lt"/>
              <a:ea typeface="+mn-ea"/>
              <a:cs typeface="+mn-cs"/>
            </a:rPr>
            <a:t> </a:t>
          </a:r>
          <a:r>
            <a:rPr lang="pl-PL" sz="1050" b="1" i="0" u="none" strike="noStrike">
              <a:solidFill>
                <a:schemeClr val="dk1"/>
              </a:solidFill>
              <a:effectLst/>
              <a:latin typeface="+mn-lt"/>
              <a:ea typeface="+mn-ea"/>
              <a:cs typeface="+mn-cs"/>
            </a:rPr>
            <a:t>data and a</a:t>
          </a:r>
          <a:r>
            <a:rPr lang="en-US" sz="1050" b="1" i="0" u="none" strike="noStrike">
              <a:solidFill>
                <a:schemeClr val="dk1"/>
              </a:solidFill>
              <a:effectLst/>
              <a:latin typeface="+mn-lt"/>
              <a:ea typeface="+mn-ea"/>
              <a:cs typeface="+mn-cs"/>
            </a:rPr>
            <a:t>ssumptions</a:t>
          </a:r>
          <a:r>
            <a:rPr lang="pl-PL" sz="1050" b="1" i="0" u="none" strike="noStrike">
              <a:solidFill>
                <a:schemeClr val="dk1"/>
              </a:solidFill>
              <a:effectLst/>
              <a:latin typeface="+mn-lt"/>
              <a:ea typeface="+mn-ea"/>
              <a:cs typeface="+mn-cs"/>
            </a:rPr>
            <a:t> for both scenarios</a:t>
          </a:r>
          <a:r>
            <a:rPr lang="en-US" sz="1050" b="1" i="0" u="none" strike="noStrike">
              <a:solidFill>
                <a:schemeClr val="dk1"/>
              </a:solidFill>
              <a:effectLst/>
              <a:latin typeface="+mn-lt"/>
              <a:ea typeface="+mn-ea"/>
              <a:cs typeface="+mn-cs"/>
            </a:rPr>
            <a:t>:</a:t>
          </a:r>
          <a:r>
            <a:rPr lang="en-US" sz="1050"/>
            <a:t> </a:t>
          </a:r>
          <a:endParaRPr lang="pl-PL" sz="1050"/>
        </a:p>
        <a:p>
          <a:endParaRPr lang="pl-PL" sz="1050" b="0" i="0" u="none" strike="noStrike">
            <a:solidFill>
              <a:schemeClr val="dk1"/>
            </a:solidFill>
            <a:effectLst/>
            <a:latin typeface="+mn-lt"/>
            <a:ea typeface="+mn-ea"/>
            <a:cs typeface="+mn-cs"/>
          </a:endParaRPr>
        </a:p>
        <a:p>
          <a:r>
            <a:rPr lang="en-US" sz="1050" b="1" i="0" u="none" strike="noStrike">
              <a:solidFill>
                <a:schemeClr val="dk1"/>
              </a:solidFill>
              <a:effectLst/>
              <a:latin typeface="+mn-lt"/>
              <a:ea typeface="+mn-ea"/>
              <a:cs typeface="+mn-cs"/>
            </a:rPr>
            <a:t>1. Current Sales: </a:t>
          </a:r>
          <a:r>
            <a:rPr lang="en-US" sz="1050" b="0" i="0" u="none" strike="noStrike">
              <a:solidFill>
                <a:schemeClr val="dk1"/>
              </a:solidFill>
              <a:effectLst/>
              <a:latin typeface="+mn-lt"/>
              <a:ea typeface="+mn-ea"/>
              <a:cs typeface="+mn-cs"/>
            </a:rPr>
            <a:t>EUR 4,414,253.64 </a:t>
          </a:r>
          <a:r>
            <a:rPr lang="pl-PL" sz="1050" b="0" i="0" u="none" strike="noStrike">
              <a:solidFill>
                <a:schemeClr val="dk1"/>
              </a:solidFill>
              <a:effectLst/>
              <a:latin typeface="+mn-lt"/>
              <a:ea typeface="+mn-ea"/>
              <a:cs typeface="+mn-cs"/>
            </a:rPr>
            <a:t>(</a:t>
          </a:r>
          <a:r>
            <a:rPr lang="en-US" sz="1050" b="0" i="0" u="none" strike="noStrike">
              <a:solidFill>
                <a:schemeClr val="dk1"/>
              </a:solidFill>
              <a:effectLst/>
              <a:latin typeface="+mn-lt"/>
              <a:ea typeface="+mn-ea"/>
              <a:cs typeface="+mn-cs"/>
            </a:rPr>
            <a:t>according to the Income Statement for 2017</a:t>
          </a:r>
          <a:r>
            <a:rPr lang="pl-PL" sz="1050" b="0" i="0" u="none" strike="noStrike">
              <a:solidFill>
                <a:schemeClr val="dk1"/>
              </a:solidFill>
              <a:effectLst/>
              <a:latin typeface="+mn-lt"/>
              <a:ea typeface="+mn-ea"/>
              <a:cs typeface="+mn-cs"/>
            </a:rPr>
            <a:t>)</a:t>
          </a:r>
          <a:endParaRPr lang="pl-PL" sz="1050" b="0"/>
        </a:p>
        <a:p>
          <a:endParaRPr lang="pl-PL" sz="1050" b="0" i="0" u="none" strike="noStrike">
            <a:solidFill>
              <a:schemeClr val="dk1"/>
            </a:solidFill>
            <a:effectLst/>
            <a:latin typeface="+mn-lt"/>
            <a:ea typeface="+mn-ea"/>
            <a:cs typeface="+mn-cs"/>
          </a:endParaRPr>
        </a:p>
        <a:p>
          <a:r>
            <a:rPr lang="en-US" sz="1050" b="1" i="0" u="none" strike="noStrike">
              <a:solidFill>
                <a:schemeClr val="dk1"/>
              </a:solidFill>
              <a:effectLst/>
              <a:latin typeface="+mn-lt"/>
              <a:ea typeface="+mn-ea"/>
              <a:cs typeface="+mn-cs"/>
            </a:rPr>
            <a:t>2.</a:t>
          </a:r>
          <a:r>
            <a:rPr lang="pl-PL" sz="1050" b="1" i="0" u="none" strike="noStrike">
              <a:solidFill>
                <a:schemeClr val="dk1"/>
              </a:solidFill>
              <a:effectLst/>
              <a:latin typeface="+mn-lt"/>
              <a:ea typeface="+mn-ea"/>
              <a:cs typeface="+mn-cs"/>
            </a:rPr>
            <a:t> </a:t>
          </a:r>
          <a:r>
            <a:rPr lang="en-US" sz="1050" b="1" i="0" u="none" strike="noStrike">
              <a:solidFill>
                <a:schemeClr val="dk1"/>
              </a:solidFill>
              <a:effectLst/>
              <a:latin typeface="+mn-lt"/>
              <a:ea typeface="+mn-ea"/>
              <a:cs typeface="+mn-cs"/>
            </a:rPr>
            <a:t>Average Salary: </a:t>
          </a:r>
          <a:r>
            <a:rPr lang="en-US" sz="1050" b="0" i="0" u="none" strike="noStrike">
              <a:solidFill>
                <a:schemeClr val="dk1"/>
              </a:solidFill>
              <a:effectLst/>
              <a:latin typeface="+mn-lt"/>
              <a:ea typeface="+mn-ea"/>
              <a:cs typeface="+mn-cs"/>
            </a:rPr>
            <a:t>EUR 30,000 per year </a:t>
          </a:r>
          <a:endParaRPr lang="pl-PL" sz="1050" b="0" i="0" u="none" strike="noStrike">
            <a:solidFill>
              <a:schemeClr val="dk1"/>
            </a:solidFill>
            <a:effectLst/>
            <a:latin typeface="+mn-lt"/>
            <a:ea typeface="+mn-ea"/>
            <a:cs typeface="+mn-cs"/>
          </a:endParaRPr>
        </a:p>
        <a:p>
          <a:r>
            <a:rPr lang="en-US" sz="1050" b="0" i="0" u="none" strike="noStrike">
              <a:solidFill>
                <a:schemeClr val="dk1"/>
              </a:solidFill>
              <a:effectLst/>
              <a:latin typeface="+mn-lt"/>
              <a:ea typeface="+mn-ea"/>
              <a:cs typeface="+mn-cs"/>
            </a:rPr>
            <a:t>"The company had 9 employees at the beginning of 2016 and 60 at the end of 2017." Taking under consideration total salaries in 2016 and 2017 assumption of </a:t>
          </a:r>
          <a:r>
            <a:rPr lang="pl-PL" sz="1050" b="0" i="0" u="none" strike="noStrike">
              <a:solidFill>
                <a:schemeClr val="dk1"/>
              </a:solidFill>
              <a:effectLst/>
              <a:latin typeface="+mn-lt"/>
              <a:ea typeface="+mn-ea"/>
              <a:cs typeface="+mn-cs"/>
            </a:rPr>
            <a:t>EUR </a:t>
          </a:r>
          <a:r>
            <a:rPr lang="en-US" sz="1050" b="0" i="0" u="none" strike="noStrike">
              <a:solidFill>
                <a:schemeClr val="dk1"/>
              </a:solidFill>
              <a:effectLst/>
              <a:latin typeface="+mn-lt"/>
              <a:ea typeface="+mn-ea"/>
              <a:cs typeface="+mn-cs"/>
            </a:rPr>
            <a:t>30</a:t>
          </a:r>
          <a:r>
            <a:rPr lang="pl-PL" sz="1050" b="0" i="0" u="none" strike="noStrike">
              <a:solidFill>
                <a:schemeClr val="dk1"/>
              </a:solidFill>
              <a:effectLst/>
              <a:latin typeface="+mn-lt"/>
              <a:ea typeface="+mn-ea"/>
              <a:cs typeface="+mn-cs"/>
            </a:rPr>
            <a:t>,</a:t>
          </a:r>
          <a:r>
            <a:rPr lang="en-US" sz="1050" b="0" i="0" u="none" strike="noStrike">
              <a:solidFill>
                <a:schemeClr val="dk1"/>
              </a:solidFill>
              <a:effectLst/>
              <a:latin typeface="+mn-lt"/>
              <a:ea typeface="+mn-ea"/>
              <a:cs typeface="+mn-cs"/>
            </a:rPr>
            <a:t>000 EUR average salary</a:t>
          </a:r>
          <a:r>
            <a:rPr lang="en-US" sz="1050"/>
            <a:t> </a:t>
          </a:r>
          <a:r>
            <a:rPr lang="en-US" sz="1050" b="0" i="0" u="none" strike="noStrike">
              <a:solidFill>
                <a:schemeClr val="dk1"/>
              </a:solidFill>
              <a:effectLst/>
              <a:latin typeface="+mn-lt"/>
              <a:ea typeface="+mn-ea"/>
              <a:cs typeface="+mn-cs"/>
            </a:rPr>
            <a:t>would be equivalent of average employment of 17 people in 2016 and 46 in 2017</a:t>
          </a:r>
          <a:endParaRPr lang="pl-PL" sz="1050"/>
        </a:p>
        <a:p>
          <a:endParaRPr lang="pl-PL" sz="1050" b="0" i="0" u="none" strike="noStrike">
            <a:solidFill>
              <a:schemeClr val="dk1"/>
            </a:solidFill>
            <a:effectLst/>
            <a:latin typeface="+mn-lt"/>
            <a:ea typeface="+mn-ea"/>
            <a:cs typeface="+mn-cs"/>
          </a:endParaRPr>
        </a:p>
        <a:p>
          <a:r>
            <a:rPr lang="pl-PL" sz="1050" b="1" i="0" u="none" strike="noStrike">
              <a:solidFill>
                <a:schemeClr val="dk1"/>
              </a:solidFill>
              <a:effectLst/>
              <a:latin typeface="+mn-lt"/>
              <a:ea typeface="+mn-ea"/>
              <a:cs typeface="+mn-cs"/>
            </a:rPr>
            <a:t>3</a:t>
          </a:r>
          <a:r>
            <a:rPr lang="en-US" sz="1050" b="1" i="0" u="none" strike="noStrike">
              <a:solidFill>
                <a:schemeClr val="dk1"/>
              </a:solidFill>
              <a:effectLst/>
              <a:latin typeface="+mn-lt"/>
              <a:ea typeface="+mn-ea"/>
              <a:cs typeface="+mn-cs"/>
            </a:rPr>
            <a:t>. Discount Rate</a:t>
          </a:r>
          <a:r>
            <a:rPr lang="pl-PL" sz="1050" b="1" i="0" u="none" strike="noStrike">
              <a:solidFill>
                <a:schemeClr val="dk1"/>
              </a:solidFill>
              <a:effectLst/>
              <a:latin typeface="+mn-lt"/>
              <a:ea typeface="+mn-ea"/>
              <a:cs typeface="+mn-cs"/>
            </a:rPr>
            <a:t> (Expected Rate of Return)</a:t>
          </a:r>
          <a:r>
            <a:rPr lang="en-US" sz="1050" b="1" i="0" u="none" strike="noStrike">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10%</a:t>
          </a:r>
          <a:r>
            <a:rPr lang="en-US" sz="1050" b="0"/>
            <a:t> </a:t>
          </a:r>
          <a:endParaRPr lang="pl-PL" sz="1050"/>
        </a:p>
        <a:p>
          <a:r>
            <a:rPr lang="en-US" sz="1050">
              <a:solidFill>
                <a:schemeClr val="dk1"/>
              </a:solidFill>
              <a:effectLst/>
              <a:latin typeface="+mn-lt"/>
              <a:ea typeface="+mn-ea"/>
              <a:cs typeface="+mn-cs"/>
            </a:rPr>
            <a:t>NPV requires a predetermined discount rate to calculate the present value of future cash flows. This rate is typically the company’s cost of capital or required rate of return.</a:t>
          </a:r>
          <a:r>
            <a:rPr lang="pl-PL" sz="1050">
              <a:solidFill>
                <a:schemeClr val="dk1"/>
              </a:solidFill>
              <a:effectLst/>
              <a:latin typeface="+mn-lt"/>
              <a:ea typeface="+mn-ea"/>
              <a:cs typeface="+mn-cs"/>
            </a:rPr>
            <a:t> </a:t>
          </a:r>
        </a:p>
        <a:p>
          <a:r>
            <a:rPr lang="en-US" sz="1050" b="0" i="0">
              <a:solidFill>
                <a:schemeClr val="dk1"/>
              </a:solidFill>
              <a:effectLst/>
              <a:latin typeface="+mn-lt"/>
              <a:ea typeface="+mn-ea"/>
              <a:cs typeface="+mn-cs"/>
            </a:rPr>
            <a:t>The </a:t>
          </a:r>
          <a:r>
            <a:rPr lang="pl-PL" sz="1050" b="0" i="0">
              <a:solidFill>
                <a:schemeClr val="dk1"/>
              </a:solidFill>
              <a:effectLst/>
              <a:latin typeface="+mn-lt"/>
              <a:ea typeface="+mn-ea"/>
              <a:cs typeface="+mn-cs"/>
            </a:rPr>
            <a:t>current industry averages</a:t>
          </a:r>
          <a:r>
            <a:rPr lang="pl-PL" sz="1050" b="0" i="0" baseline="0">
              <a:solidFill>
                <a:schemeClr val="dk1"/>
              </a:solidFill>
              <a:effectLst/>
              <a:latin typeface="+mn-lt"/>
              <a:ea typeface="+mn-ea"/>
              <a:cs typeface="+mn-cs"/>
            </a:rPr>
            <a:t> of</a:t>
          </a:r>
          <a:r>
            <a:rPr lang="en-US" sz="1050" b="0" i="0">
              <a:solidFill>
                <a:schemeClr val="dk1"/>
              </a:solidFill>
              <a:effectLst/>
              <a:latin typeface="+mn-lt"/>
              <a:ea typeface="+mn-ea"/>
              <a:cs typeface="+mn-cs"/>
            </a:rPr>
            <a:t> required return on invested capital can be found on Damodarn.com</a:t>
          </a:r>
          <a:r>
            <a:rPr lang="pl-PL" sz="1050" b="0" i="0">
              <a:solidFill>
                <a:schemeClr val="dk1"/>
              </a:solidFill>
              <a:effectLst/>
              <a:latin typeface="+mn-lt"/>
              <a:ea typeface="+mn-ea"/>
              <a:cs typeface="+mn-cs"/>
            </a:rPr>
            <a:t> (see link below).</a:t>
          </a:r>
          <a:endParaRPr lang="pl-PL" sz="105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l-PL" sz="1050" b="0" i="0" u="none" strike="noStrike">
              <a:solidFill>
                <a:schemeClr val="dk1"/>
              </a:solidFill>
              <a:effectLst/>
              <a:latin typeface="+mn-lt"/>
              <a:ea typeface="+mn-ea"/>
              <a:cs typeface="+mn-cs"/>
            </a:rPr>
            <a:t>According to the assumption</a:t>
          </a:r>
          <a:r>
            <a:rPr lang="pl-PL" sz="1050" b="0" i="0" u="none" strike="noStrike" baseline="0">
              <a:solidFill>
                <a:schemeClr val="dk1"/>
              </a:solidFill>
              <a:effectLst/>
              <a:latin typeface="+mn-lt"/>
              <a:ea typeface="+mn-ea"/>
              <a:cs typeface="+mn-cs"/>
            </a:rPr>
            <a:t> that the company "</a:t>
          </a:r>
          <a:r>
            <a:rPr lang="en-US" sz="1050" b="0" i="0" u="none" strike="noStrike">
              <a:solidFill>
                <a:schemeClr val="dk1"/>
              </a:solidFill>
              <a:effectLst/>
              <a:latin typeface="+mn-lt"/>
              <a:ea typeface="+mn-ea"/>
              <a:cs typeface="+mn-cs"/>
            </a:rPr>
            <a:t>produces gadgets for smart homes", we can assume that the company is Electronic (General) industry</a:t>
          </a:r>
          <a:r>
            <a:rPr lang="pl-PL" sz="1050" b="0" i="0" u="none" strike="noStrike">
              <a:solidFill>
                <a:schemeClr val="dk1"/>
              </a:solidFill>
              <a:effectLst/>
              <a:latin typeface="+mn-lt"/>
              <a:ea typeface="+mn-ea"/>
              <a:cs typeface="+mn-cs"/>
            </a:rPr>
            <a:t> sector</a:t>
          </a:r>
          <a:r>
            <a:rPr lang="en-US" sz="1050" b="0" i="0" u="none" strike="noStrike">
              <a:solidFill>
                <a:schemeClr val="dk1"/>
              </a:solidFill>
              <a:effectLst/>
              <a:latin typeface="+mn-lt"/>
              <a:ea typeface="+mn-ea"/>
              <a:cs typeface="+mn-cs"/>
            </a:rPr>
            <a:t>.</a:t>
          </a:r>
          <a:r>
            <a:rPr lang="en-US" sz="1050"/>
            <a:t> </a:t>
          </a:r>
          <a:r>
            <a:rPr lang="pl-PL" sz="1050" b="0" i="0" baseline="0">
              <a:solidFill>
                <a:schemeClr val="dk1"/>
              </a:solidFill>
              <a:effectLst/>
              <a:latin typeface="+mn-lt"/>
              <a:ea typeface="+mn-ea"/>
              <a:cs typeface="+mn-cs"/>
            </a:rPr>
            <a:t>Additionally, as the investment is a future prediction, despite dates given in the project description, current predictions for expected rate of returned would be suitable.</a:t>
          </a:r>
        </a:p>
        <a:p>
          <a:pPr marL="0" marR="0" lvl="0" indent="0" defTabSz="914400" eaLnBrk="1" fontAlgn="auto" latinLnBrk="0" hangingPunct="1">
            <a:lnSpc>
              <a:spcPct val="100000"/>
            </a:lnSpc>
            <a:spcBef>
              <a:spcPts val="0"/>
            </a:spcBef>
            <a:spcAft>
              <a:spcPts val="0"/>
            </a:spcAft>
            <a:buClrTx/>
            <a:buSzTx/>
            <a:buFontTx/>
            <a:buNone/>
            <a:tabLst/>
            <a:defRPr/>
          </a:pPr>
          <a:endParaRPr lang="pl-PL" sz="1050"/>
        </a:p>
        <a:p>
          <a:r>
            <a:rPr lang="pl-PL" sz="1050" b="0" i="0">
              <a:solidFill>
                <a:schemeClr val="dk1"/>
              </a:solidFill>
              <a:effectLst/>
              <a:latin typeface="+mn-lt"/>
              <a:ea typeface="+mn-ea"/>
              <a:cs typeface="+mn-cs"/>
            </a:rPr>
            <a:t>The</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required return on invested capital for Electronic (General) industry in Europe </a:t>
          </a:r>
          <a:r>
            <a:rPr lang="pl-PL" sz="1050" b="0" i="0">
              <a:solidFill>
                <a:schemeClr val="dk1"/>
              </a:solidFill>
              <a:effectLst/>
              <a:latin typeface="+mn-lt"/>
              <a:ea typeface="+mn-ea"/>
              <a:cs typeface="+mn-cs"/>
            </a:rPr>
            <a:t>for 2024 </a:t>
          </a:r>
          <a:r>
            <a:rPr lang="en-US" sz="1050" b="0" i="0">
              <a:solidFill>
                <a:schemeClr val="dk1"/>
              </a:solidFill>
              <a:effectLst/>
              <a:latin typeface="+mn-lt"/>
              <a:ea typeface="+mn-ea"/>
              <a:cs typeface="+mn-cs"/>
            </a:rPr>
            <a:t>is 10,26%</a:t>
          </a:r>
          <a:r>
            <a:rPr lang="pl-PL" sz="1050" b="0" i="0">
              <a:solidFill>
                <a:schemeClr val="dk1"/>
              </a:solidFill>
              <a:effectLst/>
              <a:latin typeface="+mn-lt"/>
              <a:ea typeface="+mn-ea"/>
              <a:cs typeface="+mn-cs"/>
            </a:rPr>
            <a:t>, so we can assume 10%</a:t>
          </a:r>
          <a:r>
            <a:rPr lang="pl-PL" sz="1050" b="0" i="0" baseline="0">
              <a:solidFill>
                <a:schemeClr val="dk1"/>
              </a:solidFill>
              <a:effectLst/>
              <a:latin typeface="+mn-lt"/>
              <a:ea typeface="+mn-ea"/>
              <a:cs typeface="+mn-cs"/>
            </a:rPr>
            <a:t> discount rate for the project.</a:t>
          </a:r>
        </a:p>
        <a:p>
          <a:endParaRPr lang="pl-PL" sz="1050" b="0" i="0" u="none" strike="noStrike">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pl-PL" sz="1050" b="1" i="0" u="none" strike="noStrike">
              <a:solidFill>
                <a:schemeClr val="dk1"/>
              </a:solidFill>
              <a:effectLst/>
              <a:latin typeface="+mn-lt"/>
              <a:ea typeface="+mn-ea"/>
              <a:cs typeface="+mn-cs"/>
            </a:rPr>
            <a:t>4</a:t>
          </a:r>
          <a:r>
            <a:rPr lang="en-US" sz="1050" b="1" i="0" u="none" strike="noStrike">
              <a:solidFill>
                <a:schemeClr val="dk1"/>
              </a:solidFill>
              <a:effectLst/>
              <a:latin typeface="+mn-lt"/>
              <a:ea typeface="+mn-ea"/>
              <a:cs typeface="+mn-cs"/>
            </a:rPr>
            <a:t>.</a:t>
          </a:r>
          <a:r>
            <a:rPr lang="pl-PL" sz="1050" b="1" i="0" u="none" strike="noStrike">
              <a:solidFill>
                <a:schemeClr val="dk1"/>
              </a:solidFill>
              <a:effectLst/>
              <a:latin typeface="+mn-lt"/>
              <a:ea typeface="+mn-ea"/>
              <a:cs typeface="+mn-cs"/>
            </a:rPr>
            <a:t> Projected</a:t>
          </a:r>
          <a:r>
            <a:rPr lang="en-US" sz="1050" b="1" i="0" u="none" strike="noStrike">
              <a:solidFill>
                <a:schemeClr val="dk1"/>
              </a:solidFill>
              <a:effectLst/>
              <a:latin typeface="+mn-lt"/>
              <a:ea typeface="+mn-ea"/>
              <a:cs typeface="+mn-cs"/>
            </a:rPr>
            <a:t> Inflation Rate: </a:t>
          </a:r>
          <a:r>
            <a:rPr lang="en-US" sz="1050" b="0" i="0" u="none" strike="noStrike">
              <a:solidFill>
                <a:schemeClr val="dk1"/>
              </a:solidFill>
              <a:effectLst/>
              <a:latin typeface="+mn-lt"/>
              <a:ea typeface="+mn-ea"/>
              <a:cs typeface="+mn-cs"/>
            </a:rPr>
            <a:t>2% per year</a:t>
          </a:r>
          <a:r>
            <a:rPr lang="en-US" sz="1050" b="0"/>
            <a:t> </a:t>
          </a:r>
          <a:r>
            <a:rPr lang="pl-PL" sz="1050" b="0"/>
            <a:t>(</a:t>
          </a:r>
          <a:r>
            <a:rPr lang="pl-PL" sz="1100">
              <a:solidFill>
                <a:schemeClr val="dk1"/>
              </a:solidFill>
              <a:effectLst/>
              <a:latin typeface="+mn-lt"/>
              <a:ea typeface="+mn-ea"/>
              <a:cs typeface="+mn-cs"/>
            </a:rPr>
            <a:t>for operational expenses </a:t>
          </a:r>
          <a:r>
            <a:rPr lang="pl-PL" sz="1100" b="0">
              <a:solidFill>
                <a:schemeClr val="dk1"/>
              </a:solidFill>
              <a:effectLst/>
              <a:latin typeface="+mn-lt"/>
              <a:ea typeface="+mn-ea"/>
              <a:cs typeface="+mn-cs"/>
            </a:rPr>
            <a:t>after</a:t>
          </a:r>
          <a:r>
            <a:rPr lang="pl-PL" sz="1100" b="0" baseline="0">
              <a:solidFill>
                <a:schemeClr val="dk1"/>
              </a:solidFill>
              <a:effectLst/>
              <a:latin typeface="+mn-lt"/>
              <a:ea typeface="+mn-ea"/>
              <a:cs typeface="+mn-cs"/>
            </a:rPr>
            <a:t> implementation of the project, the projected sales growth includes inflation</a:t>
          </a:r>
          <a:r>
            <a:rPr lang="pl-PL" sz="1050" b="0" baseline="0"/>
            <a:t>)</a:t>
          </a:r>
          <a:endParaRPr lang="pl-PL" sz="1050" b="0"/>
        </a:p>
        <a:p>
          <a:r>
            <a:rPr lang="en-US" sz="1050" b="0" i="1" u="none" strike="noStrike">
              <a:solidFill>
                <a:schemeClr val="dk1"/>
              </a:solidFill>
              <a:effectLst/>
              <a:latin typeface="+mn-lt"/>
              <a:ea typeface="+mn-ea"/>
              <a:cs typeface="+mn-cs"/>
            </a:rPr>
            <a:t>"The average annual inflation rate increased to 1.7 % in 2017 and to 1.9 % in 2018, subsequently decreasing to 1.5 % in 2019. After a significant drop to 0.7 % in 2020, it rose sharply to 2.9 % in 2021, reaching a historical high of 9.2 % in 2022."</a:t>
          </a:r>
          <a:r>
            <a:rPr lang="en-US" sz="1050"/>
            <a:t> </a:t>
          </a:r>
          <a:r>
            <a:rPr lang="en-US" sz="1050" b="0" i="0" u="none" strike="noStrike">
              <a:solidFill>
                <a:schemeClr val="dk1"/>
              </a:solidFill>
              <a:effectLst/>
              <a:latin typeface="+mn-lt"/>
              <a:ea typeface="+mn-ea"/>
              <a:cs typeface="+mn-cs"/>
            </a:rPr>
            <a:t>Source: Eurostat</a:t>
          </a:r>
          <a:r>
            <a:rPr lang="pl-PL" sz="1050" b="0" i="0" u="none" strike="noStrike">
              <a:solidFill>
                <a:schemeClr val="dk1"/>
              </a:solidFill>
              <a:effectLst/>
              <a:latin typeface="+mn-lt"/>
              <a:ea typeface="+mn-ea"/>
              <a:cs typeface="+mn-cs"/>
            </a:rPr>
            <a:t>.</a:t>
          </a:r>
          <a:endParaRPr lang="pl-PL" sz="1050"/>
        </a:p>
        <a:p>
          <a:endParaRPr lang="pl-PL" sz="1050" b="0" i="1" u="none" strike="noStrike">
            <a:solidFill>
              <a:schemeClr val="dk1"/>
            </a:solidFill>
            <a:effectLst/>
            <a:latin typeface="+mn-lt"/>
            <a:ea typeface="+mn-ea"/>
            <a:cs typeface="+mn-cs"/>
          </a:endParaRPr>
        </a:p>
        <a:p>
          <a:r>
            <a:rPr lang="en-US" sz="1050" b="0" i="1" u="none" strike="noStrike">
              <a:solidFill>
                <a:schemeClr val="dk1"/>
              </a:solidFill>
              <a:effectLst/>
              <a:latin typeface="+mn-lt"/>
              <a:ea typeface="+mn-ea"/>
              <a:cs typeface="+mn-cs"/>
            </a:rPr>
            <a:t>"Inflation in the Euro currency area, which hit a peak of 10.6 percent in October 2022, is set to continue to fall in 2024, as economic forecasts predict that the HICP inflation rate will be between 2.4 percent and 3.3 percent over the year. </a:t>
          </a:r>
          <a:r>
            <a:rPr lang="en-US" sz="1050"/>
            <a:t> </a:t>
          </a:r>
          <a:r>
            <a:rPr lang="en-US" sz="1050" b="0" i="1" u="none" strike="noStrike">
              <a:solidFill>
                <a:schemeClr val="dk1"/>
              </a:solidFill>
              <a:effectLst/>
              <a:latin typeface="+mn-lt"/>
              <a:ea typeface="+mn-ea"/>
              <a:cs typeface="+mn-cs"/>
            </a:rPr>
            <a:t>This marks a significant drop from the rate in the Eurozone in 2023, which was 5.5 percent, and the rate is forecast to fall even further in 2025, to between 1.9 and 2.3 percent, nearing the European Central Bank's inflation target of two percent per annum."</a:t>
          </a:r>
          <a:r>
            <a:rPr lang="en-US" sz="1050"/>
            <a:t> </a:t>
          </a:r>
          <a:r>
            <a:rPr lang="en-US" sz="1050" b="0" i="0" u="none" strike="noStrike">
              <a:solidFill>
                <a:schemeClr val="dk1"/>
              </a:solidFill>
              <a:effectLst/>
              <a:latin typeface="+mn-lt"/>
              <a:ea typeface="+mn-ea"/>
              <a:cs typeface="+mn-cs"/>
            </a:rPr>
            <a:t>Source: Staista.com</a:t>
          </a:r>
          <a:r>
            <a:rPr lang="pl-PL" sz="1050" b="0" i="0" u="none" strike="noStrike">
              <a:solidFill>
                <a:schemeClr val="dk1"/>
              </a:solidFill>
              <a:effectLst/>
              <a:latin typeface="+mn-lt"/>
              <a:ea typeface="+mn-ea"/>
              <a:cs typeface="+mn-cs"/>
            </a:rPr>
            <a:t>.</a:t>
          </a:r>
        </a:p>
        <a:p>
          <a:r>
            <a:rPr lang="en-US" sz="1050" b="0" i="0" u="none" strike="noStrike">
              <a:solidFill>
                <a:schemeClr val="dk1"/>
              </a:solidFill>
              <a:effectLst/>
              <a:latin typeface="+mn-lt"/>
              <a:ea typeface="+mn-ea"/>
              <a:cs typeface="+mn-cs"/>
            </a:rPr>
            <a:t>As the investment is a prediction for the future, </a:t>
          </a:r>
          <a:r>
            <a:rPr lang="pl-PL" sz="1050" b="0" i="0" u="none" strike="noStrike">
              <a:solidFill>
                <a:schemeClr val="dk1"/>
              </a:solidFill>
              <a:effectLst/>
              <a:latin typeface="+mn-lt"/>
              <a:ea typeface="+mn-ea"/>
              <a:cs typeface="+mn-cs"/>
            </a:rPr>
            <a:t>despite</a:t>
          </a:r>
          <a:r>
            <a:rPr lang="pl-PL" sz="1050" b="0" i="0" u="none" strike="noStrike" baseline="0">
              <a:solidFill>
                <a:schemeClr val="dk1"/>
              </a:solidFill>
              <a:effectLst/>
              <a:latin typeface="+mn-lt"/>
              <a:ea typeface="+mn-ea"/>
              <a:cs typeface="+mn-cs"/>
            </a:rPr>
            <a:t> dates given in the project description</a:t>
          </a:r>
          <a:r>
            <a:rPr lang="en-US" sz="1050" b="0" i="0" u="none" strike="noStrike">
              <a:solidFill>
                <a:schemeClr val="dk1"/>
              </a:solidFill>
              <a:effectLst/>
              <a:latin typeface="+mn-lt"/>
              <a:ea typeface="+mn-ea"/>
              <a:cs typeface="+mn-cs"/>
            </a:rPr>
            <a:t>, we assume future prediction for inflation of 2%</a:t>
          </a:r>
          <a:r>
            <a:rPr lang="en-US" sz="1050"/>
            <a:t> </a:t>
          </a:r>
          <a:endParaRPr lang="pl-PL" sz="1050"/>
        </a:p>
        <a:p>
          <a:endParaRPr lang="pl-PL" sz="1050" b="0" i="0" u="none" strike="noStrike">
            <a:solidFill>
              <a:schemeClr val="dk1"/>
            </a:solidFill>
            <a:effectLst/>
            <a:latin typeface="+mn-lt"/>
            <a:ea typeface="+mn-ea"/>
            <a:cs typeface="+mn-cs"/>
          </a:endParaRPr>
        </a:p>
        <a:p>
          <a:r>
            <a:rPr lang="pl-PL" sz="1050" b="1" i="0" u="none" strike="noStrike">
              <a:solidFill>
                <a:schemeClr val="dk1"/>
              </a:solidFill>
              <a:effectLst/>
              <a:latin typeface="+mn-lt"/>
              <a:ea typeface="+mn-ea"/>
              <a:cs typeface="+mn-cs"/>
            </a:rPr>
            <a:t>5</a:t>
          </a:r>
          <a:r>
            <a:rPr lang="en-US" sz="1050" b="1" i="0" u="none" strike="noStrike">
              <a:solidFill>
                <a:schemeClr val="dk1"/>
              </a:solidFill>
              <a:effectLst/>
              <a:latin typeface="+mn-lt"/>
              <a:ea typeface="+mn-ea"/>
              <a:cs typeface="+mn-cs"/>
            </a:rPr>
            <a:t>. Duration for Evaluation: </a:t>
          </a:r>
          <a:r>
            <a:rPr lang="en-US" sz="1050" b="0" i="0" u="none" strike="noStrike">
              <a:solidFill>
                <a:schemeClr val="dk1"/>
              </a:solidFill>
              <a:effectLst/>
              <a:latin typeface="+mn-lt"/>
              <a:ea typeface="+mn-ea"/>
              <a:cs typeface="+mn-cs"/>
            </a:rPr>
            <a:t>10 years</a:t>
          </a:r>
          <a:endParaRPr lang="pl-PL" sz="1050" b="0" i="0" u="none" strike="noStrike">
            <a:solidFill>
              <a:schemeClr val="dk1"/>
            </a:solidFill>
            <a:effectLst/>
            <a:latin typeface="+mn-lt"/>
            <a:ea typeface="+mn-ea"/>
            <a:cs typeface="+mn-cs"/>
          </a:endParaRPr>
        </a:p>
        <a:p>
          <a:r>
            <a:rPr lang="pl-PL" sz="1050" b="0" i="0" u="none" strike="noStrike">
              <a:solidFill>
                <a:schemeClr val="dk1"/>
              </a:solidFill>
              <a:effectLst/>
              <a:latin typeface="+mn-lt"/>
              <a:ea typeface="+mn-ea"/>
              <a:cs typeface="+mn-cs"/>
            </a:rPr>
            <a:t>Given the projects</a:t>
          </a:r>
          <a:r>
            <a:rPr lang="pl-PL" sz="1050" b="0" i="0" u="none" strike="noStrike" baseline="0">
              <a:solidFill>
                <a:schemeClr val="dk1"/>
              </a:solidFill>
              <a:effectLst/>
              <a:latin typeface="+mn-lt"/>
              <a:ea typeface="+mn-ea"/>
              <a:cs typeface="+mn-cs"/>
            </a:rPr>
            <a:t> duration and value of the investment we assume that in both scenarios there are long term investment.</a:t>
          </a:r>
        </a:p>
        <a:p>
          <a:endParaRPr lang="pl-PL" sz="1050" b="0" i="0" u="none" strike="noStrike" baseline="0">
            <a:solidFill>
              <a:schemeClr val="dk1"/>
            </a:solidFill>
            <a:effectLst/>
            <a:latin typeface="+mn-lt"/>
            <a:ea typeface="+mn-ea"/>
            <a:cs typeface="+mn-cs"/>
          </a:endParaRPr>
        </a:p>
        <a:p>
          <a:r>
            <a:rPr lang="pl-PL" sz="1050" b="1" i="0" u="none" strike="noStrike" baseline="0">
              <a:solidFill>
                <a:schemeClr val="dk1"/>
              </a:solidFill>
              <a:effectLst/>
              <a:latin typeface="+mn-lt"/>
              <a:ea typeface="+mn-ea"/>
              <a:cs typeface="+mn-cs"/>
            </a:rPr>
            <a:t>6. Increasing stakeholders equity will be required to gather "own founds" for the investment</a:t>
          </a:r>
          <a:r>
            <a:rPr lang="pl-PL" sz="1050" b="0" i="0" u="none" strike="noStrike" baseline="0">
              <a:solidFill>
                <a:schemeClr val="dk1"/>
              </a:solidFill>
              <a:effectLst/>
              <a:latin typeface="+mn-lt"/>
              <a:ea typeface="+mn-ea"/>
              <a:cs typeface="+mn-cs"/>
            </a:rPr>
            <a:t>.</a:t>
          </a:r>
        </a:p>
        <a:p>
          <a:r>
            <a:rPr lang="pl-PL" sz="1050" b="0" i="0" u="none" strike="noStrike" baseline="0">
              <a:solidFill>
                <a:schemeClr val="dk1"/>
              </a:solidFill>
              <a:effectLst/>
              <a:latin typeface="+mn-lt"/>
              <a:ea typeface="+mn-ea"/>
              <a:cs typeface="+mn-cs"/>
            </a:rPr>
            <a:t>F</a:t>
          </a:r>
          <a:r>
            <a:rPr lang="pl-PL" sz="1050" b="0" i="0" baseline="0">
              <a:solidFill>
                <a:schemeClr val="dk1"/>
              </a:solidFill>
              <a:effectLst/>
              <a:latin typeface="+mn-lt"/>
              <a:ea typeface="+mn-ea"/>
              <a:cs typeface="+mn-cs"/>
            </a:rPr>
            <a:t>undings for the initial investment would have to be supported by increasing stakeholder's equity (the financial statement of the Company suggests that the Company does not have enough cash to cover "own founds" part of the investment). </a:t>
          </a:r>
          <a:endParaRPr lang="pl-PL" sz="1050" b="0" i="0" u="none" strike="noStrike" baseline="0">
            <a:solidFill>
              <a:schemeClr val="dk1"/>
            </a:solidFill>
            <a:effectLst/>
            <a:latin typeface="+mn-lt"/>
            <a:ea typeface="+mn-ea"/>
            <a:cs typeface="+mn-cs"/>
          </a:endParaRPr>
        </a:p>
      </xdr:txBody>
    </xdr:sp>
    <xdr:clientData/>
  </xdr:twoCellAnchor>
  <xdr:twoCellAnchor>
    <xdr:from>
      <xdr:col>1</xdr:col>
      <xdr:colOff>5714</xdr:colOff>
      <xdr:row>93</xdr:row>
      <xdr:rowOff>1271</xdr:rowOff>
    </xdr:from>
    <xdr:to>
      <xdr:col>5</xdr:col>
      <xdr:colOff>372533</xdr:colOff>
      <xdr:row>105</xdr:row>
      <xdr:rowOff>186266</xdr:rowOff>
    </xdr:to>
    <xdr:sp macro="" textlink="">
      <xdr:nvSpPr>
        <xdr:cNvPr id="10" name="TextBox 9">
          <a:extLst>
            <a:ext uri="{FF2B5EF4-FFF2-40B4-BE49-F238E27FC236}">
              <a16:creationId xmlns:a16="http://schemas.microsoft.com/office/drawing/2014/main" id="{B0381614-6FDC-AE0C-133D-34E2E10E63D7}"/>
            </a:ext>
          </a:extLst>
        </xdr:cNvPr>
        <xdr:cNvSpPr txBox="1"/>
      </xdr:nvSpPr>
      <xdr:spPr>
        <a:xfrm>
          <a:off x="200447" y="18069138"/>
          <a:ext cx="6784553" cy="252179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i="0">
              <a:solidFill>
                <a:schemeClr val="dk1"/>
              </a:solidFill>
              <a:effectLst/>
              <a:latin typeface="+mn-lt"/>
              <a:ea typeface="+mn-ea"/>
              <a:cs typeface="+mn-cs"/>
            </a:rPr>
            <a:t>Additional data and assumptions for</a:t>
          </a:r>
          <a:r>
            <a:rPr lang="pl-PL" sz="1050" b="1" i="0" baseline="0">
              <a:solidFill>
                <a:schemeClr val="dk1"/>
              </a:solidFill>
              <a:effectLst/>
              <a:latin typeface="+mn-lt"/>
              <a:ea typeface="+mn-ea"/>
              <a:cs typeface="+mn-cs"/>
            </a:rPr>
            <a:t> Scenario 1:</a:t>
          </a:r>
        </a:p>
        <a:p>
          <a:endParaRPr lang="pl-PL" sz="1050" b="1"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1</a:t>
          </a:r>
          <a:r>
            <a:rPr lang="en-US" sz="1050" b="0" i="0">
              <a:solidFill>
                <a:schemeClr val="dk1"/>
              </a:solidFill>
              <a:effectLst/>
              <a:latin typeface="+mn-lt"/>
              <a:ea typeface="+mn-ea"/>
              <a:cs typeface="+mn-cs"/>
            </a:rPr>
            <a:t>. </a:t>
          </a:r>
          <a:r>
            <a:rPr lang="en-US" sz="1050" b="1" i="0">
              <a:solidFill>
                <a:schemeClr val="dk1"/>
              </a:solidFill>
              <a:effectLst/>
              <a:latin typeface="+mn-lt"/>
              <a:ea typeface="+mn-ea"/>
              <a:cs typeface="+mn-cs"/>
            </a:rPr>
            <a:t>Increase in Sales: </a:t>
          </a:r>
          <a:r>
            <a:rPr lang="en-US" sz="1050" b="0" i="0">
              <a:solidFill>
                <a:schemeClr val="dk1"/>
              </a:solidFill>
              <a:effectLst/>
              <a:latin typeface="+mn-lt"/>
              <a:ea typeface="+mn-ea"/>
              <a:cs typeface="+mn-cs"/>
            </a:rPr>
            <a:t>50% "after the implementation of the project", followed by 10% annual growth - the biggest investment (in buildings) is planned for 2019, the 50% increase in sales is expected "after the implementation of the project",</a:t>
          </a:r>
          <a:r>
            <a:rPr lang="en-US" sz="1050">
              <a:solidFill>
                <a:schemeClr val="dk1"/>
              </a:solidFill>
              <a:effectLst/>
              <a:latin typeface="+mn-lt"/>
              <a:ea typeface="+mn-ea"/>
              <a:cs typeface="+mn-cs"/>
            </a:rPr>
            <a:t> </a:t>
          </a:r>
          <a:r>
            <a:rPr lang="en-US" sz="1050" b="0" i="0">
              <a:solidFill>
                <a:schemeClr val="dk1"/>
              </a:solidFill>
              <a:effectLst/>
              <a:latin typeface="+mn-lt"/>
              <a:ea typeface="+mn-ea"/>
              <a:cs typeface="+mn-cs"/>
            </a:rPr>
            <a:t>so the assumption is that the </a:t>
          </a:r>
          <a:r>
            <a:rPr lang="en-US" sz="1050" b="1" i="0">
              <a:solidFill>
                <a:schemeClr val="dk1"/>
              </a:solidFill>
              <a:effectLst/>
              <a:latin typeface="+mn-lt"/>
              <a:ea typeface="+mn-ea"/>
              <a:cs typeface="+mn-cs"/>
            </a:rPr>
            <a:t>initial year for the cash inflow from the investment w</a:t>
          </a:r>
          <a:r>
            <a:rPr lang="pl-PL" sz="1050" b="1" i="0">
              <a:solidFill>
                <a:schemeClr val="dk1"/>
              </a:solidFill>
              <a:effectLst/>
              <a:latin typeface="+mn-lt"/>
              <a:ea typeface="+mn-ea"/>
              <a:cs typeface="+mn-cs"/>
            </a:rPr>
            <a:t>ill</a:t>
          </a:r>
          <a:r>
            <a:rPr lang="en-US" sz="1050" b="1" i="0">
              <a:solidFill>
                <a:schemeClr val="dk1"/>
              </a:solidFill>
              <a:effectLst/>
              <a:latin typeface="+mn-lt"/>
              <a:ea typeface="+mn-ea"/>
              <a:cs typeface="+mn-cs"/>
            </a:rPr>
            <a:t> be 2020</a:t>
          </a:r>
          <a:r>
            <a:rPr lang="en-US" sz="1050" b="0" i="0">
              <a:solidFill>
                <a:schemeClr val="dk1"/>
              </a:solidFill>
              <a:effectLst/>
              <a:latin typeface="+mn-lt"/>
              <a:ea typeface="+mn-ea"/>
              <a:cs typeface="+mn-cs"/>
            </a:rPr>
            <a:t> (50%) followed by 10% growth in 2021 and the following years,</a:t>
          </a:r>
          <a:r>
            <a:rPr lang="en-US" sz="1050">
              <a:solidFill>
                <a:schemeClr val="dk1"/>
              </a:solidFill>
              <a:effectLst/>
              <a:latin typeface="+mn-lt"/>
              <a:ea typeface="+mn-ea"/>
              <a:cs typeface="+mn-cs"/>
            </a:rPr>
            <a:t> </a:t>
          </a:r>
          <a:endParaRPr lang="pl-PL" sz="1050">
            <a:solidFill>
              <a:schemeClr val="dk1"/>
            </a:solidFill>
            <a:effectLst/>
            <a:latin typeface="+mn-lt"/>
            <a:ea typeface="+mn-ea"/>
            <a:cs typeface="+mn-cs"/>
          </a:endParaRPr>
        </a:p>
        <a:p>
          <a:endParaRPr lang="pl-PL" sz="1050">
            <a:solidFill>
              <a:schemeClr val="dk1"/>
            </a:solidFill>
            <a:effectLst/>
            <a:latin typeface="+mn-lt"/>
            <a:ea typeface="+mn-ea"/>
            <a:cs typeface="+mn-cs"/>
          </a:endParaRPr>
        </a:p>
        <a:p>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Additional Employees</a:t>
          </a:r>
          <a:r>
            <a:rPr lang="pl-PL" sz="1050" b="0" i="0">
              <a:solidFill>
                <a:schemeClr val="dk1"/>
              </a:solidFill>
              <a:effectLst/>
              <a:latin typeface="+mn-lt"/>
              <a:ea typeface="+mn-ea"/>
              <a:cs typeface="+mn-cs"/>
            </a:rPr>
            <a:t> </a:t>
          </a:r>
          <a:r>
            <a:rPr lang="pl-PL" sz="1050" b="0" i="0" u="sng">
              <a:solidFill>
                <a:schemeClr val="dk1"/>
              </a:solidFill>
              <a:effectLst/>
              <a:latin typeface="+mn-lt"/>
              <a:ea typeface="+mn-ea"/>
              <a:cs typeface="+mn-cs"/>
            </a:rPr>
            <a:t>after</a:t>
          </a:r>
          <a:r>
            <a:rPr lang="pl-PL" sz="1050" b="0" i="0">
              <a:solidFill>
                <a:schemeClr val="dk1"/>
              </a:solidFill>
              <a:effectLst/>
              <a:latin typeface="+mn-lt"/>
              <a:ea typeface="+mn-ea"/>
              <a:cs typeface="+mn-cs"/>
            </a:rPr>
            <a:t> implementation of the project: 10</a:t>
          </a:r>
          <a:r>
            <a:rPr lang="pl-PL" sz="1050" b="0" i="0" baseline="0">
              <a:solidFill>
                <a:schemeClr val="dk1"/>
              </a:solidFill>
              <a:effectLst/>
              <a:latin typeface="+mn-lt"/>
              <a:ea typeface="+mn-ea"/>
              <a:cs typeface="+mn-cs"/>
            </a:rPr>
            <a:t> with average company salary</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pl-PL" sz="1050" b="1" i="0" baseline="0">
              <a:solidFill>
                <a:schemeClr val="dk1"/>
              </a:solidFill>
              <a:effectLst/>
              <a:latin typeface="+mn-lt"/>
              <a:ea typeface="+mn-ea"/>
              <a:cs typeface="+mn-cs"/>
            </a:rPr>
            <a:t>A</a:t>
          </a:r>
          <a:r>
            <a:rPr lang="en-US" sz="1050" b="1" i="0">
              <a:solidFill>
                <a:schemeClr val="dk1"/>
              </a:solidFill>
              <a:effectLst/>
              <a:latin typeface="+mn-lt"/>
              <a:ea typeface="+mn-ea"/>
              <a:cs typeface="+mn-cs"/>
            </a:rPr>
            <a:t>dditional cost of salaries </a:t>
          </a:r>
          <a:r>
            <a:rPr lang="pl-PL" sz="1050" b="1" i="0">
              <a:solidFill>
                <a:schemeClr val="dk1"/>
              </a:solidFill>
              <a:effectLst/>
              <a:latin typeface="+mn-lt"/>
              <a:ea typeface="+mn-ea"/>
              <a:cs typeface="+mn-cs"/>
            </a:rPr>
            <a:t>EUR </a:t>
          </a:r>
          <a:r>
            <a:rPr lang="en-US" sz="1050" b="1" i="0">
              <a:solidFill>
                <a:schemeClr val="dk1"/>
              </a:solidFill>
              <a:effectLst/>
              <a:latin typeface="+mn-lt"/>
              <a:ea typeface="+mn-ea"/>
              <a:cs typeface="+mn-cs"/>
            </a:rPr>
            <a:t>300</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000</a:t>
          </a:r>
          <a:r>
            <a:rPr lang="pl-PL" sz="1050" b="1" i="0" baseline="0">
              <a:solidFill>
                <a:schemeClr val="dk1"/>
              </a:solidFill>
              <a:effectLst/>
              <a:latin typeface="+mn-lt"/>
              <a:ea typeface="+mn-ea"/>
              <a:cs typeface="+mn-cs"/>
            </a:rPr>
            <a:t> </a:t>
          </a:r>
          <a:r>
            <a:rPr lang="en-US" sz="1050" b="1" i="0">
              <a:solidFill>
                <a:schemeClr val="dk1"/>
              </a:solidFill>
              <a:effectLst/>
              <a:latin typeface="+mn-lt"/>
              <a:ea typeface="+mn-ea"/>
              <a:cs typeface="+mn-cs"/>
            </a:rPr>
            <a:t>per year</a:t>
          </a:r>
          <a:r>
            <a:rPr lang="pl-PL" sz="1050" b="1" i="0">
              <a:solidFill>
                <a:schemeClr val="dk1"/>
              </a:solidFill>
              <a:effectLst/>
              <a:latin typeface="+mn-lt"/>
              <a:ea typeface="+mn-ea"/>
              <a:cs typeface="+mn-cs"/>
            </a:rPr>
            <a:t> after implementation</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 The cost of project implementation team</a:t>
          </a:r>
          <a:r>
            <a:rPr lang="pl-PL" sz="1050" b="0" i="0" baseline="0">
              <a:solidFill>
                <a:schemeClr val="dk1"/>
              </a:solidFill>
              <a:effectLst/>
              <a:latin typeface="+mn-lt"/>
              <a:ea typeface="+mn-ea"/>
              <a:cs typeface="+mn-cs"/>
            </a:rPr>
            <a:t> was projected in project implementation cost.</a:t>
          </a:r>
        </a:p>
        <a:p>
          <a:endParaRPr lang="pl-PL" sz="1050" b="0" i="0" baseline="0">
            <a:solidFill>
              <a:schemeClr val="dk1"/>
            </a:solidFill>
            <a:effectLst/>
            <a:latin typeface="+mn-lt"/>
            <a:ea typeface="+mn-ea"/>
            <a:cs typeface="+mn-cs"/>
          </a:endParaRPr>
        </a:p>
        <a:p>
          <a:r>
            <a:rPr lang="pl-PL" sz="1050" b="0" i="0">
              <a:solidFill>
                <a:schemeClr val="dk1"/>
              </a:solidFill>
              <a:effectLst/>
              <a:latin typeface="+mn-lt"/>
              <a:ea typeface="+mn-ea"/>
              <a:cs typeface="+mn-cs"/>
            </a:rPr>
            <a:t>3</a:t>
          </a:r>
          <a:r>
            <a:rPr lang="en-US" sz="1050" b="0" i="0">
              <a:solidFill>
                <a:schemeClr val="dk1"/>
              </a:solidFill>
              <a:effectLst/>
              <a:latin typeface="+mn-lt"/>
              <a:ea typeface="+mn-ea"/>
              <a:cs typeface="+mn-cs"/>
            </a:rPr>
            <a:t>. </a:t>
          </a:r>
          <a:r>
            <a:rPr lang="en-US" sz="1050" b="1" i="0">
              <a:solidFill>
                <a:schemeClr val="dk1"/>
              </a:solidFill>
              <a:effectLst/>
              <a:latin typeface="+mn-lt"/>
              <a:ea typeface="+mn-ea"/>
              <a:cs typeface="+mn-cs"/>
            </a:rPr>
            <a:t>Marketing Costs</a:t>
          </a:r>
          <a:r>
            <a:rPr lang="pl-PL" sz="1050" b="1" i="0">
              <a:solidFill>
                <a:schemeClr val="dk1"/>
              </a:solidFill>
              <a:effectLst/>
              <a:latin typeface="+mn-lt"/>
              <a:ea typeface="+mn-ea"/>
              <a:cs typeface="+mn-cs"/>
            </a:rPr>
            <a:t> after implementation</a:t>
          </a:r>
          <a:r>
            <a:rPr lang="pl-PL" sz="1050" b="1" i="0" baseline="0">
              <a:solidFill>
                <a:schemeClr val="dk1"/>
              </a:solidFill>
              <a:effectLst/>
              <a:latin typeface="+mn-lt"/>
              <a:ea typeface="+mn-ea"/>
              <a:cs typeface="+mn-cs"/>
            </a:rPr>
            <a:t> </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assuming that 375.000 EUR for "Purchase of services" in 2017 and 2018 are marketing cost</a:t>
          </a:r>
          <a:r>
            <a:rPr lang="pl-PL" sz="1050" b="0" i="0">
              <a:solidFill>
                <a:schemeClr val="dk1"/>
              </a:solidFill>
              <a:effectLst/>
              <a:latin typeface="+mn-lt"/>
              <a:ea typeface="+mn-ea"/>
              <a:cs typeface="+mn-cs"/>
            </a:rPr>
            <a:t>s</a:t>
          </a:r>
          <a:r>
            <a:rPr lang="en-US" sz="1050" b="0" i="0">
              <a:solidFill>
                <a:schemeClr val="dk1"/>
              </a:solidFill>
              <a:effectLst/>
              <a:latin typeface="+mn-lt"/>
              <a:ea typeface="+mn-ea"/>
              <a:cs typeface="+mn-cs"/>
            </a:rPr>
            <a:t>, further assumption that marketing budgets adjusted to maintain projected sales growth</a:t>
          </a:r>
          <a:r>
            <a:rPr lang="en-US" sz="1050">
              <a:solidFill>
                <a:schemeClr val="dk1"/>
              </a:solidFill>
              <a:effectLst/>
              <a:latin typeface="+mn-lt"/>
              <a:ea typeface="+mn-ea"/>
              <a:cs typeface="+mn-cs"/>
            </a:rPr>
            <a:t> </a:t>
          </a:r>
          <a:r>
            <a:rPr lang="en-US" sz="1050" b="0" i="0">
              <a:solidFill>
                <a:schemeClr val="dk1"/>
              </a:solidFill>
              <a:effectLst/>
              <a:latin typeface="+mn-lt"/>
              <a:ea typeface="+mn-ea"/>
              <a:cs typeface="+mn-cs"/>
            </a:rPr>
            <a:t>will be </a:t>
          </a:r>
          <a:r>
            <a:rPr lang="pl-PL" sz="1050" b="1" i="0">
              <a:solidFill>
                <a:schemeClr val="dk1"/>
              </a:solidFill>
              <a:effectLst/>
              <a:latin typeface="+mn-lt"/>
              <a:ea typeface="+mn-ea"/>
              <a:cs typeface="+mn-cs"/>
            </a:rPr>
            <a:t>EUR </a:t>
          </a:r>
          <a:r>
            <a:rPr lang="en-US" sz="1050" b="1" i="0">
              <a:solidFill>
                <a:schemeClr val="dk1"/>
              </a:solidFill>
              <a:effectLst/>
              <a:latin typeface="+mn-lt"/>
              <a:ea typeface="+mn-ea"/>
              <a:cs typeface="+mn-cs"/>
            </a:rPr>
            <a:t>300</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000 EUR per year</a:t>
          </a:r>
          <a:r>
            <a:rPr lang="pl-PL" sz="1050" b="0" i="0">
              <a:solidFill>
                <a:schemeClr val="dk1"/>
              </a:solidFill>
              <a:effectLst/>
              <a:latin typeface="+mn-lt"/>
              <a:ea typeface="+mn-ea"/>
              <a:cs typeface="+mn-cs"/>
            </a:rPr>
            <a:t>.</a:t>
          </a:r>
          <a:endParaRPr lang="en-US" sz="1050"/>
        </a:p>
      </xdr:txBody>
    </xdr:sp>
    <xdr:clientData/>
  </xdr:twoCellAnchor>
  <xdr:twoCellAnchor>
    <xdr:from>
      <xdr:col>5</xdr:col>
      <xdr:colOff>821267</xdr:colOff>
      <xdr:row>93</xdr:row>
      <xdr:rowOff>2963</xdr:rowOff>
    </xdr:from>
    <xdr:to>
      <xdr:col>12</xdr:col>
      <xdr:colOff>5716</xdr:colOff>
      <xdr:row>105</xdr:row>
      <xdr:rowOff>177800</xdr:rowOff>
    </xdr:to>
    <xdr:sp macro="" textlink="">
      <xdr:nvSpPr>
        <xdr:cNvPr id="11" name="TextBox 10">
          <a:extLst>
            <a:ext uri="{FF2B5EF4-FFF2-40B4-BE49-F238E27FC236}">
              <a16:creationId xmlns:a16="http://schemas.microsoft.com/office/drawing/2014/main" id="{13DA74F5-9464-6C62-989B-5382BA922BE0}"/>
            </a:ext>
          </a:extLst>
        </xdr:cNvPr>
        <xdr:cNvSpPr txBox="1"/>
      </xdr:nvSpPr>
      <xdr:spPr>
        <a:xfrm>
          <a:off x="7433734" y="18070830"/>
          <a:ext cx="7126182" cy="251163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a:t>Additional data and assumptions</a:t>
          </a:r>
          <a:r>
            <a:rPr lang="pl-PL" sz="1050" b="1" baseline="0"/>
            <a:t> for Scenario 2:</a:t>
          </a:r>
        </a:p>
        <a:p>
          <a:endParaRPr lang="pl-PL" sz="1050" b="1" baseline="0"/>
        </a:p>
        <a:p>
          <a:endParaRPr lang="pl-PL" sz="1050"/>
        </a:p>
        <a:p>
          <a:r>
            <a:rPr lang="pl-PL" sz="1050" b="0" i="0">
              <a:solidFill>
                <a:schemeClr val="dk1"/>
              </a:solidFill>
              <a:effectLst/>
              <a:latin typeface="+mn-lt"/>
              <a:ea typeface="+mn-ea"/>
              <a:cs typeface="+mn-cs"/>
            </a:rPr>
            <a:t>1. </a:t>
          </a:r>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sales are expected to grow by 30% during the campaign every year</a:t>
          </a:r>
          <a:r>
            <a:rPr lang="pl-PL" sz="1050" b="0" i="0">
              <a:solidFill>
                <a:schemeClr val="dk1"/>
              </a:solidFill>
              <a:effectLst/>
              <a:latin typeface="+mn-lt"/>
              <a:ea typeface="+mn-ea"/>
              <a:cs typeface="+mn-cs"/>
            </a:rPr>
            <a:t> (</a:t>
          </a:r>
          <a:r>
            <a:rPr lang="pl-PL" sz="1050" b="1" i="0">
              <a:solidFill>
                <a:schemeClr val="dk1"/>
              </a:solidFill>
              <a:effectLst/>
              <a:latin typeface="+mn-lt"/>
              <a:ea typeface="+mn-ea"/>
              <a:cs typeface="+mn-cs"/>
            </a:rPr>
            <a:t>starting</a:t>
          </a:r>
          <a:r>
            <a:rPr lang="pl-PL" sz="1050" b="1" i="0" baseline="0">
              <a:solidFill>
                <a:schemeClr val="dk1"/>
              </a:solidFill>
              <a:effectLst/>
              <a:latin typeface="+mn-lt"/>
              <a:ea typeface="+mn-ea"/>
              <a:cs typeface="+mn-cs"/>
            </a:rPr>
            <a:t> from the first year</a:t>
          </a:r>
          <a:r>
            <a:rPr lang="pl-PL" sz="1050" b="0" i="0" baseline="0">
              <a:solidFill>
                <a:schemeClr val="dk1"/>
              </a:solidFill>
              <a:effectLst/>
              <a:latin typeface="+mn-lt"/>
              <a:ea typeface="+mn-ea"/>
              <a:cs typeface="+mn-cs"/>
            </a:rPr>
            <a:t>)</a:t>
          </a:r>
          <a:r>
            <a:rPr lang="en-US" sz="1050" b="0" i="0">
              <a:solidFill>
                <a:schemeClr val="dk1"/>
              </a:solidFill>
              <a:effectLst/>
              <a:latin typeface="+mn-lt"/>
              <a:ea typeface="+mn-ea"/>
              <a:cs typeface="+mn-cs"/>
            </a:rPr>
            <a:t>. In subsequent periods, growth is expected to fall to 15%</a:t>
          </a:r>
          <a:r>
            <a:rPr lang="pl-PL" sz="1050" b="0" i="0">
              <a:solidFill>
                <a:schemeClr val="dk1"/>
              </a:solidFill>
              <a:effectLst/>
              <a:latin typeface="+mn-lt"/>
              <a:ea typeface="+mn-ea"/>
              <a:cs typeface="+mn-cs"/>
            </a:rPr>
            <a:t> (starting from 2020)</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 </a:t>
          </a:r>
          <a:endParaRPr lang="en-US" sz="1050">
            <a:effectLst/>
          </a:endParaRPr>
        </a:p>
        <a:p>
          <a:endParaRPr lang="pl-PL" sz="1050" b="1" i="0">
            <a:solidFill>
              <a:schemeClr val="dk1"/>
            </a:solidFill>
            <a:effectLst/>
            <a:latin typeface="+mn-lt"/>
            <a:ea typeface="+mn-ea"/>
            <a:cs typeface="+mn-cs"/>
          </a:endParaRPr>
        </a:p>
        <a:p>
          <a:r>
            <a:rPr lang="pl-PL" sz="1050" b="0" i="0">
              <a:solidFill>
                <a:schemeClr val="dk1"/>
              </a:solidFill>
              <a:effectLst/>
              <a:latin typeface="+mn-lt"/>
              <a:ea typeface="+mn-ea"/>
              <a:cs typeface="+mn-cs"/>
            </a:rPr>
            <a:t>2. </a:t>
          </a:r>
          <a:r>
            <a:rPr lang="pl-PL" sz="1050" b="1" i="0">
              <a:solidFill>
                <a:schemeClr val="dk1"/>
              </a:solidFill>
              <a:effectLst/>
              <a:latin typeface="+mn-lt"/>
              <a:ea typeface="+mn-ea"/>
              <a:cs typeface="+mn-cs"/>
            </a:rPr>
            <a:t>Additional</a:t>
          </a:r>
          <a:r>
            <a:rPr lang="pl-PL" sz="1050" b="1" i="0" baseline="0">
              <a:solidFill>
                <a:schemeClr val="dk1"/>
              </a:solidFill>
              <a:effectLst/>
              <a:latin typeface="+mn-lt"/>
              <a:ea typeface="+mn-ea"/>
              <a:cs typeface="+mn-cs"/>
            </a:rPr>
            <a:t> costs of employees</a:t>
          </a:r>
          <a:r>
            <a:rPr lang="en-US" sz="1050" b="0" i="0">
              <a:solidFill>
                <a:schemeClr val="dk1"/>
              </a:solidFill>
              <a:effectLst/>
              <a:latin typeface="+mn-lt"/>
              <a:ea typeface="+mn-ea"/>
              <a:cs typeface="+mn-cs"/>
            </a:rPr>
            <a:t>: the provision and development of services will require the hiring of 10 people with 2x the average salary of the company starting in the first year.</a:t>
          </a:r>
          <a:r>
            <a:rPr lang="pl-PL" sz="1050" b="0" i="0">
              <a:solidFill>
                <a:schemeClr val="dk1"/>
              </a:solidFill>
              <a:effectLst/>
              <a:latin typeface="+mn-lt"/>
              <a:ea typeface="+mn-ea"/>
              <a:cs typeface="+mn-cs"/>
            </a:rPr>
            <a:t> </a:t>
          </a:r>
          <a:r>
            <a:rPr lang="en-US" sz="1050" b="0" i="0" u="none" strike="noStrike">
              <a:solidFill>
                <a:srgbClr val="FF0000"/>
              </a:solidFill>
              <a:effectLst/>
              <a:latin typeface="+mn-lt"/>
              <a:ea typeface="+mn-ea"/>
              <a:cs typeface="+mn-cs"/>
            </a:rPr>
            <a:t>After the implementation of the campaign, it is planned to receive 5 people each year in the following periods.</a:t>
          </a:r>
          <a:r>
            <a:rPr lang="en-US" sz="1050">
              <a:solidFill>
                <a:srgbClr val="FF0000"/>
              </a:solidFill>
            </a:rPr>
            <a:t> </a:t>
          </a:r>
          <a:r>
            <a:rPr lang="pl-PL" sz="1050">
              <a:solidFill>
                <a:sysClr val="windowText" lastClr="000000"/>
              </a:solidFill>
            </a:rPr>
            <a:t>Additional cost of new employees, not included in the project implementation</a:t>
          </a:r>
          <a:r>
            <a:rPr lang="pl-PL" sz="1050" baseline="0">
              <a:solidFill>
                <a:sysClr val="windowText" lastClr="000000"/>
              </a:solidFill>
            </a:rPr>
            <a:t> costs</a:t>
          </a:r>
          <a:r>
            <a:rPr lang="pl-PL" sz="1050">
              <a:solidFill>
                <a:sysClr val="windowText" lastClr="000000"/>
              </a:solidFill>
            </a:rPr>
            <a:t>: 10</a:t>
          </a:r>
          <a:r>
            <a:rPr lang="pl-PL" sz="1050" baseline="0">
              <a:solidFill>
                <a:sysClr val="windowText" lastClr="000000"/>
              </a:solidFill>
            </a:rPr>
            <a:t> x 2x EUR 30.000 = EUR 600.000 in each year of the implementation period (2018, 2019). </a:t>
          </a:r>
          <a:r>
            <a:rPr lang="pl-PL" sz="1050">
              <a:solidFill>
                <a:sysClr val="windowText" lastClr="000000"/>
              </a:solidFill>
            </a:rPr>
            <a:t>After</a:t>
          </a:r>
          <a:r>
            <a:rPr lang="pl-PL" sz="1050" baseline="0">
              <a:solidFill>
                <a:sysClr val="windowText" lastClr="000000"/>
              </a:solidFill>
            </a:rPr>
            <a:t> the implementation (starting 2020) plus 5 new people each year = additional cost 300.000 EUR each year to previous year.</a:t>
          </a:r>
          <a:endParaRPr lang="en-US" sz="1050">
            <a:solidFill>
              <a:sysClr val="windowText" lastClr="000000"/>
            </a:solidFill>
            <a:effectLst/>
          </a:endParaRPr>
        </a:p>
        <a:p>
          <a:endParaRPr lang="pl-PL" sz="1050" b="1" i="0">
            <a:solidFill>
              <a:schemeClr val="dk1"/>
            </a:solidFill>
            <a:effectLst/>
            <a:latin typeface="+mn-lt"/>
            <a:ea typeface="+mn-ea"/>
            <a:cs typeface="+mn-cs"/>
          </a:endParaRPr>
        </a:p>
        <a:p>
          <a:r>
            <a:rPr lang="pl-PL" sz="1050" b="0" i="0">
              <a:solidFill>
                <a:schemeClr val="dk1"/>
              </a:solidFill>
              <a:effectLst/>
              <a:latin typeface="+mn-lt"/>
              <a:ea typeface="+mn-ea"/>
              <a:cs typeface="+mn-cs"/>
            </a:rPr>
            <a:t>3. </a:t>
          </a:r>
          <a:r>
            <a:rPr lang="pl-PL" sz="1050" b="1" i="0">
              <a:solidFill>
                <a:schemeClr val="dk1"/>
              </a:solidFill>
              <a:effectLst/>
              <a:latin typeface="+mn-lt"/>
              <a:ea typeface="+mn-ea"/>
              <a:cs typeface="+mn-cs"/>
            </a:rPr>
            <a:t>Marketing costs </a:t>
          </a:r>
          <a:r>
            <a:rPr lang="pl-PL" sz="1050" b="0" i="0">
              <a:solidFill>
                <a:schemeClr val="dk1"/>
              </a:solidFill>
              <a:effectLst/>
              <a:latin typeface="+mn-lt"/>
              <a:ea typeface="+mn-ea"/>
              <a:cs typeface="+mn-cs"/>
            </a:rPr>
            <a:t>- A</a:t>
          </a:r>
          <a:r>
            <a:rPr lang="en-US" sz="1050" b="0" i="0">
              <a:solidFill>
                <a:schemeClr val="dk1"/>
              </a:solidFill>
              <a:effectLst/>
              <a:latin typeface="+mn-lt"/>
              <a:ea typeface="+mn-ea"/>
              <a:cs typeface="+mn-cs"/>
            </a:rPr>
            <a:t>fter campaign end, advertising budgets are expected to fall to € 1 million per year.</a:t>
          </a:r>
          <a:endParaRPr lang="en-US" sz="1050">
            <a:effectLst/>
          </a:endParaRPr>
        </a:p>
      </xdr:txBody>
    </xdr:sp>
    <xdr:clientData/>
  </xdr:twoCellAnchor>
  <xdr:twoCellAnchor>
    <xdr:from>
      <xdr:col>4</xdr:col>
      <xdr:colOff>896834</xdr:colOff>
      <xdr:row>495</xdr:row>
      <xdr:rowOff>152401</xdr:rowOff>
    </xdr:from>
    <xdr:to>
      <xdr:col>12</xdr:col>
      <xdr:colOff>52917</xdr:colOff>
      <xdr:row>511</xdr:row>
      <xdr:rowOff>42332</xdr:rowOff>
    </xdr:to>
    <xdr:sp macro="" textlink="">
      <xdr:nvSpPr>
        <xdr:cNvPr id="12" name="TextBox 11">
          <a:extLst>
            <a:ext uri="{FF2B5EF4-FFF2-40B4-BE49-F238E27FC236}">
              <a16:creationId xmlns:a16="http://schemas.microsoft.com/office/drawing/2014/main" id="{4AC27B3B-6C38-4114-BDDE-98DF924C812B}"/>
            </a:ext>
          </a:extLst>
        </xdr:cNvPr>
        <xdr:cNvSpPr txBox="1"/>
      </xdr:nvSpPr>
      <xdr:spPr>
        <a:xfrm>
          <a:off x="6357834" y="100228401"/>
          <a:ext cx="8215416" cy="293793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P</a:t>
          </a:r>
          <a:r>
            <a:rPr lang="pl-PL" sz="1050" b="0" i="0">
              <a:solidFill>
                <a:schemeClr val="dk1"/>
              </a:solidFill>
              <a:effectLst/>
              <a:latin typeface="+mn-lt"/>
              <a:ea typeface="+mn-ea"/>
              <a:cs typeface="+mn-cs"/>
            </a:rPr>
            <a:t>rofitability</a:t>
          </a:r>
          <a:r>
            <a:rPr lang="pl-PL" sz="1050" b="0" i="0" baseline="0">
              <a:solidFill>
                <a:schemeClr val="dk1"/>
              </a:solidFill>
              <a:effectLst/>
              <a:latin typeface="+mn-lt"/>
              <a:ea typeface="+mn-ea"/>
              <a:cs typeface="+mn-cs"/>
            </a:rPr>
            <a:t> Index</a:t>
          </a:r>
          <a:r>
            <a:rPr lang="en-US" sz="1050" b="0" i="0">
              <a:solidFill>
                <a:schemeClr val="dk1"/>
              </a:solidFill>
              <a:effectLst/>
              <a:latin typeface="+mn-lt"/>
              <a:ea typeface="+mn-ea"/>
              <a:cs typeface="+mn-cs"/>
            </a:rPr>
            <a:t> </a:t>
          </a:r>
          <a:r>
            <a:rPr lang="pl-PL" sz="1050" b="0" i="0">
              <a:solidFill>
                <a:schemeClr val="dk1"/>
              </a:solidFill>
              <a:effectLst/>
              <a:latin typeface="+mn-lt"/>
              <a:ea typeface="+mn-ea"/>
              <a:cs typeface="+mn-cs"/>
            </a:rPr>
            <a:t>(PI) </a:t>
          </a:r>
          <a:r>
            <a:rPr lang="en-US" sz="1050" b="0" i="0">
              <a:solidFill>
                <a:schemeClr val="dk1"/>
              </a:solidFill>
              <a:effectLst/>
              <a:latin typeface="+mn-lt"/>
              <a:ea typeface="+mn-ea"/>
              <a:cs typeface="+mn-cs"/>
            </a:rPr>
            <a:t>is the ratio of the present value of future cash flows to the initial investment</a:t>
          </a:r>
          <a:r>
            <a:rPr lang="pl-PL" sz="1050" b="0" i="0">
              <a:solidFill>
                <a:schemeClr val="dk1"/>
              </a:solidFill>
              <a:effectLst/>
              <a:latin typeface="+mn-lt"/>
              <a:ea typeface="+mn-ea"/>
              <a:cs typeface="+mn-cs"/>
            </a:rPr>
            <a:t> (</a:t>
          </a:r>
          <a:r>
            <a:rPr lang="en-US" sz="1100" b="0" i="0">
              <a:solidFill>
                <a:schemeClr val="dk1"/>
              </a:solidFill>
              <a:effectLst/>
              <a:latin typeface="+mn-lt"/>
              <a:ea typeface="+mn-ea"/>
              <a:cs typeface="+mn-cs"/>
            </a:rPr>
            <a:t>using the non-discounted initial investment</a:t>
          </a:r>
          <a:r>
            <a:rPr lang="pl-PL" sz="1100" b="0" i="0">
              <a:solidFill>
                <a:schemeClr val="dk1"/>
              </a:solidFill>
              <a:effectLst/>
              <a:latin typeface="+mn-lt"/>
              <a:ea typeface="+mn-ea"/>
              <a:cs typeface="+mn-cs"/>
            </a:rPr>
            <a:t>)</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It helps in assessing the relative profitability of the projects. A PI greater than 1 indicates a good investment.</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PI</a:t>
          </a:r>
          <a:r>
            <a:rPr lang="en-US" sz="1050" b="0" i="0">
              <a:solidFill>
                <a:schemeClr val="dk1"/>
              </a:solidFill>
              <a:effectLst/>
              <a:latin typeface="+mn-lt"/>
              <a:ea typeface="+mn-ea"/>
              <a:cs typeface="+mn-cs"/>
            </a:rPr>
            <a:t> is calculated by dividing the present value of future cash flows by the initial investment.</a:t>
          </a:r>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PI = (NPV + Initial Investment)/Initial investment</a:t>
          </a:r>
        </a:p>
        <a:p>
          <a:endParaRPr lang="pl-PL" sz="1050" b="0" i="0">
            <a:solidFill>
              <a:schemeClr val="dk1"/>
            </a:solidFill>
            <a:effectLst/>
            <a:latin typeface="+mn-lt"/>
            <a:ea typeface="+mn-ea"/>
            <a:cs typeface="+mn-cs"/>
          </a:endParaRPr>
        </a:p>
        <a:p>
          <a:r>
            <a:rPr lang="pl-PL" sz="1050" b="0" i="0" baseline="0">
              <a:solidFill>
                <a:schemeClr val="dk1"/>
              </a:solidFill>
              <a:effectLst/>
              <a:latin typeface="+mn-lt"/>
              <a:ea typeface="+mn-ea"/>
              <a:cs typeface="+mn-cs"/>
            </a:rPr>
            <a:t>The project with</a:t>
          </a:r>
          <a:r>
            <a:rPr lang="en-US" sz="1050" b="0" i="0">
              <a:solidFill>
                <a:schemeClr val="dk1"/>
              </a:solidFill>
              <a:effectLst/>
              <a:latin typeface="+mn-lt"/>
              <a:ea typeface="+mn-ea"/>
              <a:cs typeface="+mn-cs"/>
            </a:rPr>
            <a:t> a higher PI indic</a:t>
          </a:r>
          <a:r>
            <a:rPr lang="pl-PL" sz="1050" b="0" i="0">
              <a:solidFill>
                <a:schemeClr val="dk1"/>
              </a:solidFill>
              <a:effectLst/>
              <a:latin typeface="+mn-lt"/>
              <a:ea typeface="+mn-ea"/>
              <a:cs typeface="+mn-cs"/>
            </a:rPr>
            <a:t>ates</a:t>
          </a:r>
          <a:r>
            <a:rPr lang="en-US" sz="1050" b="0" i="0">
              <a:solidFill>
                <a:schemeClr val="dk1"/>
              </a:solidFill>
              <a:effectLst/>
              <a:latin typeface="+mn-lt"/>
              <a:ea typeface="+mn-ea"/>
              <a:cs typeface="+mn-cs"/>
            </a:rPr>
            <a:t> a more attractive investment.</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For Scenario 1, the PI of </a:t>
          </a:r>
          <a:r>
            <a:rPr lang="pl-PL" sz="1050" b="0" i="0">
              <a:solidFill>
                <a:schemeClr val="dk1"/>
              </a:solidFill>
              <a:effectLst/>
              <a:latin typeface="+mn-lt"/>
              <a:ea typeface="+mn-ea"/>
              <a:cs typeface="+mn-cs"/>
            </a:rPr>
            <a:t>3,40</a:t>
          </a:r>
          <a:r>
            <a:rPr lang="en-US" sz="1050" b="0" i="0">
              <a:solidFill>
                <a:schemeClr val="dk1"/>
              </a:solidFill>
              <a:effectLst/>
              <a:latin typeface="+mn-lt"/>
              <a:ea typeface="+mn-ea"/>
              <a:cs typeface="+mn-cs"/>
            </a:rPr>
            <a:t> means that for every euro invested, there is a return of </a:t>
          </a:r>
          <a:r>
            <a:rPr lang="pl-PL" sz="1050" b="0" i="0">
              <a:solidFill>
                <a:schemeClr val="dk1"/>
              </a:solidFill>
              <a:effectLst/>
              <a:latin typeface="+mn-lt"/>
              <a:ea typeface="+mn-ea"/>
              <a:cs typeface="+mn-cs"/>
            </a:rPr>
            <a:t>3,40</a:t>
          </a:r>
          <a:r>
            <a:rPr lang="en-US" sz="1050" b="0" i="0">
              <a:solidFill>
                <a:schemeClr val="dk1"/>
              </a:solidFill>
              <a:effectLst/>
              <a:latin typeface="+mn-lt"/>
              <a:ea typeface="+mn-ea"/>
              <a:cs typeface="+mn-cs"/>
            </a:rPr>
            <a:t> euros.</a:t>
          </a:r>
        </a:p>
        <a:p>
          <a:r>
            <a:rPr lang="en-US" sz="1050" b="0" i="0">
              <a:solidFill>
                <a:schemeClr val="dk1"/>
              </a:solidFill>
              <a:effectLst/>
              <a:latin typeface="+mn-lt"/>
              <a:ea typeface="+mn-ea"/>
              <a:cs typeface="+mn-cs"/>
            </a:rPr>
            <a:t>For Scenario 2, the PI of </a:t>
          </a:r>
          <a:r>
            <a:rPr lang="pl-PL" sz="1050" b="0" i="0">
              <a:solidFill>
                <a:schemeClr val="dk1"/>
              </a:solidFill>
              <a:effectLst/>
              <a:latin typeface="+mn-lt"/>
              <a:ea typeface="+mn-ea"/>
              <a:cs typeface="+mn-cs"/>
            </a:rPr>
            <a:t>3,92</a:t>
          </a:r>
          <a:r>
            <a:rPr lang="en-US" sz="1050" b="0" i="0">
              <a:solidFill>
                <a:schemeClr val="dk1"/>
              </a:solidFill>
              <a:effectLst/>
              <a:latin typeface="+mn-lt"/>
              <a:ea typeface="+mn-ea"/>
              <a:cs typeface="+mn-cs"/>
            </a:rPr>
            <a:t> means that for every euro invested, there is a return of </a:t>
          </a:r>
          <a:r>
            <a:rPr lang="pl-PL" sz="1050" b="0" i="0">
              <a:solidFill>
                <a:schemeClr val="dk1"/>
              </a:solidFill>
              <a:effectLst/>
              <a:latin typeface="+mn-lt"/>
              <a:ea typeface="+mn-ea"/>
              <a:cs typeface="+mn-cs"/>
            </a:rPr>
            <a:t>3,92</a:t>
          </a:r>
          <a:r>
            <a:rPr lang="en-US" sz="1050" b="0" i="0">
              <a:solidFill>
                <a:schemeClr val="dk1"/>
              </a:solidFill>
              <a:effectLst/>
              <a:latin typeface="+mn-lt"/>
              <a:ea typeface="+mn-ea"/>
              <a:cs typeface="+mn-cs"/>
            </a:rPr>
            <a:t> euros.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This indicates that Scenario 2 is a more profitable investment. </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On the other hand this metric does</a:t>
          </a:r>
          <a:r>
            <a:rPr lang="pl-PL" sz="1050" b="0" i="0" baseline="0">
              <a:solidFill>
                <a:schemeClr val="dk1"/>
              </a:solidFill>
              <a:effectLst/>
              <a:latin typeface="+mn-lt"/>
              <a:ea typeface="+mn-ea"/>
              <a:cs typeface="+mn-cs"/>
            </a:rPr>
            <a:t> not take into account leveraged part of investment. The stakeholders' can be more interested in the return from the equity invested in the project that then overall investment profitability. Taking invested equity into account, Scenario 1 would be more attractive for the stakeholders as in returns 5,78 euros for every euro of invested stakeholders' equity.</a:t>
          </a:r>
          <a:endParaRPr lang="en-US" sz="1050" b="0" i="0">
            <a:solidFill>
              <a:schemeClr val="dk1"/>
            </a:solidFill>
            <a:effectLst/>
            <a:latin typeface="+mn-lt"/>
            <a:ea typeface="+mn-ea"/>
            <a:cs typeface="+mn-cs"/>
          </a:endParaRPr>
        </a:p>
      </xdr:txBody>
    </xdr:sp>
    <xdr:clientData/>
  </xdr:twoCellAnchor>
  <xdr:twoCellAnchor>
    <xdr:from>
      <xdr:col>5</xdr:col>
      <xdr:colOff>203200</xdr:colOff>
      <xdr:row>113</xdr:row>
      <xdr:rowOff>4657</xdr:rowOff>
    </xdr:from>
    <xdr:to>
      <xdr:col>11</xdr:col>
      <xdr:colOff>1117023</xdr:colOff>
      <xdr:row>128</xdr:row>
      <xdr:rowOff>17319</xdr:rowOff>
    </xdr:to>
    <xdr:sp macro="" textlink="">
      <xdr:nvSpPr>
        <xdr:cNvPr id="13" name="TextBox 12">
          <a:extLst>
            <a:ext uri="{FF2B5EF4-FFF2-40B4-BE49-F238E27FC236}">
              <a16:creationId xmlns:a16="http://schemas.microsoft.com/office/drawing/2014/main" id="{B385B26E-72F8-0CB2-0969-E2B1B64F8B87}"/>
            </a:ext>
          </a:extLst>
        </xdr:cNvPr>
        <xdr:cNvSpPr txBox="1"/>
      </xdr:nvSpPr>
      <xdr:spPr>
        <a:xfrm>
          <a:off x="6810086" y="21877521"/>
          <a:ext cx="7719869" cy="287016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a:t>
          </a:r>
        </a:p>
        <a:p>
          <a:endParaRPr lang="pl-PL" sz="1050"/>
        </a:p>
        <a:p>
          <a:r>
            <a:rPr lang="pl-PL" sz="1050"/>
            <a:t>In the first scenario </a:t>
          </a:r>
          <a:r>
            <a:rPr lang="pl-PL" sz="1050" baseline="0"/>
            <a:t>the project will be leveraged by external financing (loans). In the second scenario, the investment will be financed completely with own founds.</a:t>
          </a:r>
        </a:p>
        <a:p>
          <a:endParaRPr lang="pl-PL" sz="1050" baseline="0"/>
        </a:p>
        <a:p>
          <a:pPr marL="0" marR="0" lvl="0" indent="0" defTabSz="914400" eaLnBrk="1" fontAlgn="auto" latinLnBrk="0" hangingPunct="1">
            <a:lnSpc>
              <a:spcPct val="100000"/>
            </a:lnSpc>
            <a:spcBef>
              <a:spcPts val="0"/>
            </a:spcBef>
            <a:spcAft>
              <a:spcPts val="0"/>
            </a:spcAft>
            <a:buClrTx/>
            <a:buSzTx/>
            <a:buFontTx/>
            <a:buNone/>
            <a:tabLst/>
            <a:defRPr/>
          </a:pPr>
          <a:r>
            <a:rPr lang="pl-PL" sz="1050" baseline="0">
              <a:solidFill>
                <a:schemeClr val="dk1"/>
              </a:solidFill>
              <a:effectLst/>
              <a:latin typeface="+mn-lt"/>
              <a:ea typeface="+mn-ea"/>
              <a:cs typeface="+mn-cs"/>
            </a:rPr>
            <a:t>The company's financial statement suggest that the company has not enough cash or other liquid assets for financing the projects (in both scenarios). We can assume that the "own founds" would be gathered by increasing the stakeholders equity. </a:t>
          </a:r>
          <a:endParaRPr lang="pl-PL" sz="1050" baseline="0"/>
        </a:p>
        <a:p>
          <a:endParaRPr lang="pl-PL" sz="1050" baseline="0"/>
        </a:p>
        <a:p>
          <a:r>
            <a:rPr lang="pl-PL" sz="1050" baseline="0"/>
            <a:t>Value of "own founds" (equity) for Scenario 1 is 34% of the equity that is required for scenario 2. Lower equity engaged means lower risk undertaken by stakeholders. </a:t>
          </a:r>
        </a:p>
        <a:p>
          <a:endParaRPr lang="pl-PL" sz="1050" baseline="0"/>
        </a:p>
        <a:p>
          <a:r>
            <a:rPr lang="pl-PL" sz="1050" baseline="0">
              <a:solidFill>
                <a:schemeClr val="dk1"/>
              </a:solidFill>
              <a:effectLst/>
              <a:latin typeface="+mn-lt"/>
              <a:ea typeface="+mn-ea"/>
              <a:cs typeface="+mn-cs"/>
            </a:rPr>
            <a:t>The first scenario will be investment mostly in capital expenses (CapEx), which means increasing company's assets. Second scenario is based on investment in operational costs only (OpEx), since there is n</a:t>
          </a:r>
          <a:r>
            <a:rPr lang="pl-PL" sz="1050" b="0" i="0">
              <a:solidFill>
                <a:schemeClr val="dk1"/>
              </a:solidFill>
              <a:effectLst/>
              <a:latin typeface="+mn-lt"/>
              <a:ea typeface="+mn-ea"/>
              <a:cs typeface="+mn-cs"/>
            </a:rPr>
            <a:t>o</a:t>
          </a:r>
          <a:r>
            <a:rPr lang="pl-PL" sz="1050" b="0" i="0" baseline="0">
              <a:solidFill>
                <a:schemeClr val="dk1"/>
              </a:solidFill>
              <a:effectLst/>
              <a:latin typeface="+mn-lt"/>
              <a:ea typeface="+mn-ea"/>
              <a:cs typeface="+mn-cs"/>
            </a:rPr>
            <a:t> assumption </a:t>
          </a:r>
          <a:r>
            <a:rPr lang="pl-PL" sz="1050" b="0" i="0">
              <a:solidFill>
                <a:schemeClr val="dk1"/>
              </a:solidFill>
              <a:effectLst/>
              <a:latin typeface="+mn-lt"/>
              <a:ea typeface="+mn-ea"/>
              <a:cs typeface="+mn-cs"/>
            </a:rPr>
            <a:t>that</a:t>
          </a:r>
          <a:r>
            <a:rPr lang="pl-PL" sz="1050" b="0" i="0" baseline="0">
              <a:solidFill>
                <a:schemeClr val="dk1"/>
              </a:solidFill>
              <a:effectLst/>
              <a:latin typeface="+mn-lt"/>
              <a:ea typeface="+mn-ea"/>
              <a:cs typeface="+mn-cs"/>
            </a:rPr>
            <a:t> the "digital product" might be an asset representing market value). </a:t>
          </a:r>
          <a:endParaRPr lang="pl-PL" sz="1050" baseline="0"/>
        </a:p>
        <a:p>
          <a:endParaRPr lang="pl-PL" sz="1050" baseline="0"/>
        </a:p>
        <a:p>
          <a:r>
            <a:rPr lang="en-US" sz="1050" b="0" i="0">
              <a:solidFill>
                <a:schemeClr val="dk1"/>
              </a:solidFill>
              <a:effectLst/>
              <a:latin typeface="+mn-lt"/>
              <a:ea typeface="+mn-ea"/>
              <a:cs typeface="+mn-cs"/>
            </a:rPr>
            <a:t>To evaluate and compare the two development scenarios </a:t>
          </a:r>
          <a:r>
            <a:rPr lang="pl-PL" sz="1050" b="0" i="0">
              <a:solidFill>
                <a:schemeClr val="dk1"/>
              </a:solidFill>
              <a:effectLst/>
              <a:latin typeface="+mn-lt"/>
              <a:ea typeface="+mn-ea"/>
              <a:cs typeface="+mn-cs"/>
            </a:rPr>
            <a:t>we</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should use several financial metrics</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that </a:t>
          </a:r>
          <a:r>
            <a:rPr lang="en-US" sz="1050" b="0" i="0">
              <a:solidFill>
                <a:schemeClr val="dk1"/>
              </a:solidFill>
              <a:effectLst/>
              <a:latin typeface="+mn-lt"/>
              <a:ea typeface="+mn-ea"/>
              <a:cs typeface="+mn-cs"/>
            </a:rPr>
            <a:t>will provide a comprehensive analysis of the potential profitability, risk, and overall value added by each investment</a:t>
          </a:r>
          <a:r>
            <a:rPr lang="pl-PL" sz="1050" b="0" i="0">
              <a:solidFill>
                <a:schemeClr val="dk1"/>
              </a:solidFill>
              <a:effectLst/>
              <a:latin typeface="+mn-lt"/>
              <a:ea typeface="+mn-ea"/>
              <a:cs typeface="+mn-cs"/>
            </a:rPr>
            <a:t>, from both the company as well as the stakeholders' point of view</a:t>
          </a:r>
          <a:r>
            <a:rPr lang="en-US" sz="1050" b="0" i="0">
              <a:solidFill>
                <a:schemeClr val="dk1"/>
              </a:solidFill>
              <a:effectLst/>
              <a:latin typeface="+mn-lt"/>
              <a:ea typeface="+mn-ea"/>
              <a:cs typeface="+mn-cs"/>
            </a:rPr>
            <a:t>.</a:t>
          </a:r>
          <a:endParaRPr lang="pl-PL" sz="1050" baseline="0"/>
        </a:p>
        <a:p>
          <a:r>
            <a:rPr lang="pl-PL" sz="1050" baseline="0"/>
            <a:t>.</a:t>
          </a:r>
          <a:endParaRPr lang="en-US" sz="1050"/>
        </a:p>
      </xdr:txBody>
    </xdr:sp>
    <xdr:clientData/>
  </xdr:twoCellAnchor>
  <xdr:twoCellAnchor>
    <xdr:from>
      <xdr:col>1</xdr:col>
      <xdr:colOff>1272</xdr:colOff>
      <xdr:row>129</xdr:row>
      <xdr:rowOff>191135</xdr:rowOff>
    </xdr:from>
    <xdr:to>
      <xdr:col>3</xdr:col>
      <xdr:colOff>660400</xdr:colOff>
      <xdr:row>146</xdr:row>
      <xdr:rowOff>177800</xdr:rowOff>
    </xdr:to>
    <xdr:graphicFrame macro="">
      <xdr:nvGraphicFramePr>
        <xdr:cNvPr id="15" name="Chart 14">
          <a:extLst>
            <a:ext uri="{FF2B5EF4-FFF2-40B4-BE49-F238E27FC236}">
              <a16:creationId xmlns:a16="http://schemas.microsoft.com/office/drawing/2014/main" id="{8CA80D4A-494E-B19E-03B5-DE1A60DF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3811</xdr:colOff>
      <xdr:row>151</xdr:row>
      <xdr:rowOff>3811</xdr:rowOff>
    </xdr:from>
    <xdr:to>
      <xdr:col>11</xdr:col>
      <xdr:colOff>1100667</xdr:colOff>
      <xdr:row>155</xdr:row>
      <xdr:rowOff>0</xdr:rowOff>
    </xdr:to>
    <xdr:sp macro="" textlink="">
      <xdr:nvSpPr>
        <xdr:cNvPr id="16" name="TextBox 15">
          <a:extLst>
            <a:ext uri="{FF2B5EF4-FFF2-40B4-BE49-F238E27FC236}">
              <a16:creationId xmlns:a16="http://schemas.microsoft.com/office/drawing/2014/main" id="{9837B4DF-1718-DA9D-69D9-B228ED77A709}"/>
            </a:ext>
          </a:extLst>
        </xdr:cNvPr>
        <xdr:cNvSpPr txBox="1"/>
      </xdr:nvSpPr>
      <xdr:spPr>
        <a:xfrm>
          <a:off x="198544" y="29823411"/>
          <a:ext cx="14321790" cy="77512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l-PL" sz="1100">
              <a:solidFill>
                <a:schemeClr val="dk1"/>
              </a:solidFill>
              <a:effectLst/>
              <a:latin typeface="+mn-lt"/>
              <a:ea typeface="+mn-ea"/>
              <a:cs typeface="+mn-cs"/>
            </a:rPr>
            <a:t>In the first scenario </a:t>
          </a:r>
          <a:r>
            <a:rPr lang="pl-PL" sz="1100" baseline="0">
              <a:solidFill>
                <a:schemeClr val="dk1"/>
              </a:solidFill>
              <a:effectLst/>
              <a:latin typeface="+mn-lt"/>
              <a:ea typeface="+mn-ea"/>
              <a:cs typeface="+mn-cs"/>
            </a:rPr>
            <a:t>the project will be leveraged by external financing (loans). The cost of external financing in this case will increase the costs of the project (</a:t>
          </a:r>
          <a:r>
            <a:rPr lang="en-US" sz="1100" b="0" i="0">
              <a:solidFill>
                <a:schemeClr val="dk1"/>
              </a:solidFill>
              <a:effectLst/>
              <a:latin typeface="+mn-lt"/>
              <a:ea typeface="+mn-ea"/>
              <a:cs typeface="+mn-cs"/>
            </a:rPr>
            <a:t>operational costs associated with servicing the loan</a:t>
          </a:r>
          <a:r>
            <a:rPr lang="pl-PL" sz="1100" b="0" i="0">
              <a:solidFill>
                <a:schemeClr val="dk1"/>
              </a:solidFill>
              <a:effectLst/>
              <a:latin typeface="+mn-lt"/>
              <a:ea typeface="+mn-ea"/>
              <a:cs typeface="+mn-cs"/>
            </a:rPr>
            <a:t>)</a:t>
          </a:r>
          <a:r>
            <a:rPr lang="pl-PL" sz="1100" baseline="0">
              <a:solidFill>
                <a:schemeClr val="dk1"/>
              </a:solidFill>
              <a:effectLst/>
              <a:latin typeface="+mn-lt"/>
              <a:ea typeface="+mn-ea"/>
              <a:cs typeface="+mn-cs"/>
            </a:rPr>
            <a:t>. </a:t>
          </a:r>
          <a:r>
            <a:rPr lang="en-US" sz="1100" b="0" i="0">
              <a:solidFill>
                <a:schemeClr val="dk1"/>
              </a:solidFill>
              <a:effectLst/>
              <a:latin typeface="+mn-lt"/>
              <a:ea typeface="+mn-ea"/>
              <a:cs typeface="+mn-cs"/>
            </a:rPr>
            <a:t>Loan repayments (principal and interest) are treated as cash outflows during the project's life</a:t>
          </a:r>
          <a:r>
            <a:rPr lang="pl-PL" sz="1100" b="0" i="0">
              <a:solidFill>
                <a:schemeClr val="dk1"/>
              </a:solidFill>
              <a:effectLst/>
              <a:latin typeface="+mn-lt"/>
              <a:ea typeface="+mn-ea"/>
              <a:cs typeface="+mn-cs"/>
            </a:rPr>
            <a:t>.</a:t>
          </a:r>
          <a:endParaRPr lang="en-US" sz="1050">
            <a:effectLst/>
          </a:endParaRPr>
        </a:p>
        <a:p>
          <a:endParaRPr lang="pl-PL" sz="1050" baseline="0"/>
        </a:p>
        <a:p>
          <a:r>
            <a:rPr lang="pl-PL" sz="1050" baseline="0"/>
            <a:t>The Company will use the loans partially through the project duration. We assume that the interest rate will be applied to the amount outstanding in each year of the loan repayment.</a:t>
          </a:r>
          <a:endParaRPr lang="en-US" sz="1050"/>
        </a:p>
      </xdr:txBody>
    </xdr:sp>
    <xdr:clientData/>
  </xdr:twoCellAnchor>
  <xdr:twoCellAnchor>
    <xdr:from>
      <xdr:col>5</xdr:col>
      <xdr:colOff>500381</xdr:colOff>
      <xdr:row>219</xdr:row>
      <xdr:rowOff>4230</xdr:rowOff>
    </xdr:from>
    <xdr:to>
      <xdr:col>13</xdr:col>
      <xdr:colOff>47625</xdr:colOff>
      <xdr:row>243</xdr:row>
      <xdr:rowOff>161924</xdr:rowOff>
    </xdr:to>
    <xdr:graphicFrame macro="">
      <xdr:nvGraphicFramePr>
        <xdr:cNvPr id="19" name="Chart 18">
          <a:extLst>
            <a:ext uri="{FF2B5EF4-FFF2-40B4-BE49-F238E27FC236}">
              <a16:creationId xmlns:a16="http://schemas.microsoft.com/office/drawing/2014/main" id="{61FE1887-8FFD-44E1-80A8-E6E930E9E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xdr:colOff>
      <xdr:row>232</xdr:row>
      <xdr:rowOff>0</xdr:rowOff>
    </xdr:from>
    <xdr:to>
      <xdr:col>4</xdr:col>
      <xdr:colOff>1123950</xdr:colOff>
      <xdr:row>244</xdr:row>
      <xdr:rowOff>152399</xdr:rowOff>
    </xdr:to>
    <xdr:sp macro="" textlink="">
      <xdr:nvSpPr>
        <xdr:cNvPr id="21" name="TextBox 20">
          <a:extLst>
            <a:ext uri="{FF2B5EF4-FFF2-40B4-BE49-F238E27FC236}">
              <a16:creationId xmlns:a16="http://schemas.microsoft.com/office/drawing/2014/main" id="{CF6397F8-D868-41FA-8E30-F667614167EC}"/>
            </a:ext>
          </a:extLst>
        </xdr:cNvPr>
        <xdr:cNvSpPr txBox="1"/>
      </xdr:nvSpPr>
      <xdr:spPr>
        <a:xfrm>
          <a:off x="190502" y="46110525"/>
          <a:ext cx="6400798" cy="243839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 </a:t>
          </a:r>
        </a:p>
        <a:p>
          <a:endParaRPr lang="pl-PL" sz="1050"/>
        </a:p>
        <a:p>
          <a:r>
            <a:rPr lang="pl-PL" sz="1050"/>
            <a:t>For prediction</a:t>
          </a:r>
          <a:r>
            <a:rPr lang="pl-PL" sz="1050" baseline="0"/>
            <a:t> of future cash inflows from the investment we use assumptions about the sales growth for both scenarios minus current sales to capture </a:t>
          </a:r>
          <a:r>
            <a:rPr lang="pl-PL" sz="1050" b="1" baseline="0"/>
            <a:t>only the additional sales generated by the investment = value created by the investment</a:t>
          </a:r>
          <a:r>
            <a:rPr lang="pl-PL" sz="1050" baseline="0"/>
            <a:t>. </a:t>
          </a:r>
        </a:p>
        <a:p>
          <a:endParaRPr lang="pl-PL" sz="1050" baseline="0"/>
        </a:p>
        <a:p>
          <a:r>
            <a:rPr lang="pl-PL" sz="1050" baseline="0"/>
            <a:t>We assume that the sales growth prediction includes also the impact of inflation, so no inflation adjustment is required for the investment operational costs. </a:t>
          </a:r>
        </a:p>
        <a:p>
          <a:endParaRPr lang="pl-PL" sz="1050" baseline="0"/>
        </a:p>
        <a:p>
          <a:r>
            <a:rPr lang="pl-PL" sz="1050" baseline="0"/>
            <a:t>To capture total net cash flows from the investment (cash inflows - cash outflows) we apply initial investment, operational costs including loan costs and repayment and impact of inflation to the calculations.</a:t>
          </a:r>
        </a:p>
        <a:p>
          <a:endParaRPr lang="pl-PL" sz="1050" baseline="0"/>
        </a:p>
        <a:p>
          <a:r>
            <a:rPr lang="pl-PL" sz="1050" baseline="0"/>
            <a:t>Predicted total net cash flow (including initial investment) is </a:t>
          </a:r>
          <a:r>
            <a:rPr lang="en-US" sz="1100" b="0" i="0">
              <a:solidFill>
                <a:schemeClr val="dk1"/>
              </a:solidFill>
              <a:effectLst/>
              <a:latin typeface="+mn-lt"/>
              <a:ea typeface="+mn-ea"/>
              <a:cs typeface="+mn-cs"/>
            </a:rPr>
            <a:t>€</a:t>
          </a:r>
          <a:r>
            <a:rPr lang="pl-PL" sz="1050" baseline="0"/>
            <a:t>29,411,287 for Scenario 1 and </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51,692,435 for Scenario 2.</a:t>
          </a:r>
          <a:endParaRPr lang="en-US" sz="1050"/>
        </a:p>
      </xdr:txBody>
    </xdr:sp>
    <xdr:clientData/>
  </xdr:twoCellAnchor>
  <xdr:twoCellAnchor>
    <xdr:from>
      <xdr:col>4</xdr:col>
      <xdr:colOff>448947</xdr:colOff>
      <xdr:row>318</xdr:row>
      <xdr:rowOff>210822</xdr:rowOff>
    </xdr:from>
    <xdr:to>
      <xdr:col>8</xdr:col>
      <xdr:colOff>264583</xdr:colOff>
      <xdr:row>333</xdr:row>
      <xdr:rowOff>21167</xdr:rowOff>
    </xdr:to>
    <xdr:graphicFrame macro="">
      <xdr:nvGraphicFramePr>
        <xdr:cNvPr id="22" name="Chart 21">
          <a:extLst>
            <a:ext uri="{FF2B5EF4-FFF2-40B4-BE49-F238E27FC236}">
              <a16:creationId xmlns:a16="http://schemas.microsoft.com/office/drawing/2014/main" id="{E359E6C4-8C6F-4784-B4B1-A27C8553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372537</xdr:colOff>
      <xdr:row>355</xdr:row>
      <xdr:rowOff>222671</xdr:rowOff>
    </xdr:from>
    <xdr:to>
      <xdr:col>8</xdr:col>
      <xdr:colOff>0</xdr:colOff>
      <xdr:row>372</xdr:row>
      <xdr:rowOff>19050</xdr:rowOff>
    </xdr:to>
    <xdr:graphicFrame macro="">
      <xdr:nvGraphicFramePr>
        <xdr:cNvPr id="23" name="Chart 22">
          <a:extLst>
            <a:ext uri="{FF2B5EF4-FFF2-40B4-BE49-F238E27FC236}">
              <a16:creationId xmlns:a16="http://schemas.microsoft.com/office/drawing/2014/main" id="{4049DC3A-140C-4F29-BC3D-F58847993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367876</xdr:colOff>
      <xdr:row>399</xdr:row>
      <xdr:rowOff>186479</xdr:rowOff>
    </xdr:from>
    <xdr:to>
      <xdr:col>12</xdr:col>
      <xdr:colOff>9525</xdr:colOff>
      <xdr:row>419</xdr:row>
      <xdr:rowOff>28575</xdr:rowOff>
    </xdr:to>
    <xdr:graphicFrame macro="">
      <xdr:nvGraphicFramePr>
        <xdr:cNvPr id="24" name="Chart 23">
          <a:extLst>
            <a:ext uri="{FF2B5EF4-FFF2-40B4-BE49-F238E27FC236}">
              <a16:creationId xmlns:a16="http://schemas.microsoft.com/office/drawing/2014/main" id="{DEBA5C5D-A29F-46DB-8FC8-3AD6D726C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190077</xdr:colOff>
      <xdr:row>412</xdr:row>
      <xdr:rowOff>4656</xdr:rowOff>
    </xdr:from>
    <xdr:to>
      <xdr:col>4</xdr:col>
      <xdr:colOff>1117600</xdr:colOff>
      <xdr:row>419</xdr:row>
      <xdr:rowOff>33867</xdr:rowOff>
    </xdr:to>
    <xdr:sp macro="" textlink="">
      <xdr:nvSpPr>
        <xdr:cNvPr id="25" name="TextBox 24">
          <a:extLst>
            <a:ext uri="{FF2B5EF4-FFF2-40B4-BE49-F238E27FC236}">
              <a16:creationId xmlns:a16="http://schemas.microsoft.com/office/drawing/2014/main" id="{B835291D-2475-2390-7F8F-5E16EB3B6768}"/>
            </a:ext>
          </a:extLst>
        </xdr:cNvPr>
        <xdr:cNvSpPr txBox="1"/>
      </xdr:nvSpPr>
      <xdr:spPr>
        <a:xfrm>
          <a:off x="190077" y="84214123"/>
          <a:ext cx="6405456" cy="139234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b="0" i="0">
              <a:solidFill>
                <a:schemeClr val="dk1"/>
              </a:solidFill>
              <a:effectLst/>
              <a:latin typeface="+mn-lt"/>
              <a:ea typeface="+mn-ea"/>
              <a:cs typeface="+mn-cs"/>
            </a:rPr>
            <a:t>Summary: </a:t>
          </a:r>
        </a:p>
        <a:p>
          <a:endParaRPr lang="pl-PL" sz="1100" b="0" i="0">
            <a:solidFill>
              <a:schemeClr val="dk1"/>
            </a:solidFill>
            <a:effectLst/>
            <a:latin typeface="+mn-lt"/>
            <a:ea typeface="+mn-ea"/>
            <a:cs typeface="+mn-cs"/>
          </a:endParaRPr>
        </a:p>
        <a:p>
          <a:r>
            <a:rPr lang="pl-PL" sz="1100" b="0" i="0">
              <a:solidFill>
                <a:schemeClr val="dk1"/>
              </a:solidFill>
              <a:effectLst/>
              <a:latin typeface="+mn-lt"/>
              <a:ea typeface="+mn-ea"/>
              <a:cs typeface="+mn-cs"/>
            </a:rPr>
            <a:t>Payback period d</a:t>
          </a:r>
          <a:r>
            <a:rPr lang="en-US" sz="1100" b="0" i="0">
              <a:solidFill>
                <a:schemeClr val="dk1"/>
              </a:solidFill>
              <a:effectLst/>
              <a:latin typeface="+mn-lt"/>
              <a:ea typeface="+mn-ea"/>
              <a:cs typeface="+mn-cs"/>
            </a:rPr>
            <a:t>etermine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time taken to recover initial investment from cumulative net cash flows</a:t>
          </a:r>
          <a:r>
            <a:rPr lang="pl-PL" sz="1100" b="0" i="0">
              <a:solidFill>
                <a:schemeClr val="dk1"/>
              </a:solidFill>
              <a:effectLst/>
              <a:latin typeface="+mn-lt"/>
              <a:ea typeface="+mn-ea"/>
              <a:cs typeface="+mn-cs"/>
            </a:rPr>
            <a:t>.</a:t>
          </a:r>
        </a:p>
        <a:p>
          <a:endParaRPr lang="pl-PL" sz="1100" b="0" i="0">
            <a:solidFill>
              <a:schemeClr val="dk1"/>
            </a:solidFill>
            <a:effectLst/>
            <a:latin typeface="+mn-lt"/>
            <a:ea typeface="+mn-ea"/>
            <a:cs typeface="+mn-cs"/>
          </a:endParaRPr>
        </a:p>
        <a:p>
          <a:r>
            <a:rPr lang="pl-PL" sz="1100" b="0" i="0">
              <a:solidFill>
                <a:schemeClr val="dk1"/>
              </a:solidFill>
              <a:effectLst/>
              <a:latin typeface="+mn-lt"/>
              <a:ea typeface="+mn-ea"/>
              <a:cs typeface="+mn-cs"/>
            </a:rPr>
            <a:t>In Scenario 1 the investment and</a:t>
          </a:r>
          <a:r>
            <a:rPr lang="pl-PL" sz="1100" b="0" i="0" baseline="0">
              <a:solidFill>
                <a:schemeClr val="dk1"/>
              </a:solidFill>
              <a:effectLst/>
              <a:latin typeface="+mn-lt"/>
              <a:ea typeface="+mn-ea"/>
              <a:cs typeface="+mn-cs"/>
            </a:rPr>
            <a:t> additional costs required for the project so far should </a:t>
          </a:r>
          <a:r>
            <a:rPr lang="pl-PL" sz="1100" b="0" i="0">
              <a:solidFill>
                <a:schemeClr val="dk1"/>
              </a:solidFill>
              <a:effectLst/>
              <a:latin typeface="+mn-lt"/>
              <a:ea typeface="+mn-ea"/>
              <a:cs typeface="+mn-cs"/>
            </a:rPr>
            <a:t>be recovered in the</a:t>
          </a:r>
          <a:r>
            <a:rPr lang="pl-PL" sz="1100" b="0" i="0" baseline="0">
              <a:solidFill>
                <a:schemeClr val="dk1"/>
              </a:solidFill>
              <a:effectLst/>
              <a:latin typeface="+mn-lt"/>
              <a:ea typeface="+mn-ea"/>
              <a:cs typeface="+mn-cs"/>
            </a:rPr>
            <a:t> 5th</a:t>
          </a:r>
          <a:r>
            <a:rPr lang="pl-PL" sz="1100" b="0" i="0">
              <a:solidFill>
                <a:schemeClr val="dk1"/>
              </a:solidFill>
              <a:effectLst/>
              <a:latin typeface="+mn-lt"/>
              <a:ea typeface="+mn-ea"/>
              <a:cs typeface="+mn-cs"/>
            </a:rPr>
            <a:t> year</a:t>
          </a:r>
          <a:r>
            <a:rPr lang="pl-PL" sz="1100" b="0" i="0" baseline="0">
              <a:solidFill>
                <a:schemeClr val="dk1"/>
              </a:solidFill>
              <a:effectLst/>
              <a:latin typeface="+mn-lt"/>
              <a:ea typeface="+mn-ea"/>
              <a:cs typeface="+mn-cs"/>
            </a:rPr>
            <a:t> (2022)</a:t>
          </a:r>
          <a:r>
            <a:rPr lang="pl-PL" sz="1100" b="0" i="0">
              <a:solidFill>
                <a:schemeClr val="dk1"/>
              </a:solidFill>
              <a:effectLst/>
              <a:latin typeface="+mn-lt"/>
              <a:ea typeface="+mn-ea"/>
              <a:cs typeface="+mn-cs"/>
            </a:rPr>
            <a:t>. In Scenario 2 the investment and</a:t>
          </a:r>
          <a:r>
            <a:rPr lang="pl-PL" sz="1100" b="0" i="0" baseline="0">
              <a:solidFill>
                <a:schemeClr val="dk1"/>
              </a:solidFill>
              <a:effectLst/>
              <a:latin typeface="+mn-lt"/>
              <a:ea typeface="+mn-ea"/>
              <a:cs typeface="+mn-cs"/>
            </a:rPr>
            <a:t> additional costs required for the project so far should </a:t>
          </a:r>
          <a:r>
            <a:rPr lang="pl-PL" sz="1100" b="0" i="0">
              <a:solidFill>
                <a:schemeClr val="dk1"/>
              </a:solidFill>
              <a:effectLst/>
              <a:latin typeface="+mn-lt"/>
              <a:ea typeface="+mn-ea"/>
              <a:cs typeface="+mn-cs"/>
            </a:rPr>
            <a:t>be recovered in the</a:t>
          </a:r>
          <a:r>
            <a:rPr lang="pl-PL" sz="1100" b="0" i="0" baseline="0">
              <a:solidFill>
                <a:schemeClr val="dk1"/>
              </a:solidFill>
              <a:effectLst/>
              <a:latin typeface="+mn-lt"/>
              <a:ea typeface="+mn-ea"/>
              <a:cs typeface="+mn-cs"/>
            </a:rPr>
            <a:t> 4th</a:t>
          </a:r>
          <a:r>
            <a:rPr lang="pl-PL" sz="1100" b="0" i="0">
              <a:solidFill>
                <a:schemeClr val="dk1"/>
              </a:solidFill>
              <a:effectLst/>
              <a:latin typeface="+mn-lt"/>
              <a:ea typeface="+mn-ea"/>
              <a:cs typeface="+mn-cs"/>
            </a:rPr>
            <a:t> year</a:t>
          </a:r>
          <a:r>
            <a:rPr lang="pl-PL" sz="1100" b="0" i="0" baseline="0">
              <a:solidFill>
                <a:schemeClr val="dk1"/>
              </a:solidFill>
              <a:effectLst/>
              <a:latin typeface="+mn-lt"/>
              <a:ea typeface="+mn-ea"/>
              <a:cs typeface="+mn-cs"/>
            </a:rPr>
            <a:t> (2021)</a:t>
          </a:r>
          <a:r>
            <a:rPr lang="pl-PL" sz="1100" b="0" i="0">
              <a:solidFill>
                <a:schemeClr val="dk1"/>
              </a:solidFill>
              <a:effectLst/>
              <a:latin typeface="+mn-lt"/>
              <a:ea typeface="+mn-ea"/>
              <a:cs typeface="+mn-cs"/>
            </a:rPr>
            <a:t>. </a:t>
          </a:r>
          <a:endParaRPr lang="en-US" sz="1100"/>
        </a:p>
      </xdr:txBody>
    </xdr:sp>
    <xdr:clientData/>
  </xdr:twoCellAnchor>
  <xdr:twoCellAnchor>
    <xdr:from>
      <xdr:col>1</xdr:col>
      <xdr:colOff>1</xdr:colOff>
      <xdr:row>474</xdr:row>
      <xdr:rowOff>30480</xdr:rowOff>
    </xdr:from>
    <xdr:to>
      <xdr:col>3</xdr:col>
      <xdr:colOff>1117600</xdr:colOff>
      <xdr:row>489</xdr:row>
      <xdr:rowOff>16933</xdr:rowOff>
    </xdr:to>
    <xdr:sp macro="" textlink="">
      <xdr:nvSpPr>
        <xdr:cNvPr id="26" name="TextBox 25">
          <a:extLst>
            <a:ext uri="{FF2B5EF4-FFF2-40B4-BE49-F238E27FC236}">
              <a16:creationId xmlns:a16="http://schemas.microsoft.com/office/drawing/2014/main" id="{835F05A9-D76A-4BA4-6F9C-525258F984D0}"/>
            </a:ext>
          </a:extLst>
        </xdr:cNvPr>
        <xdr:cNvSpPr txBox="1"/>
      </xdr:nvSpPr>
      <xdr:spPr>
        <a:xfrm>
          <a:off x="194734" y="79227680"/>
          <a:ext cx="5266266" cy="2907453"/>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Opportunity cost represents the potential benefits an individual, investor, or business misses out on when choosing one alternative over another. In other words, it’s the value of the next best alternative that is forgone when a decision is made. This concept is crucial in decision-making because it helps to compare the relative value of different choices.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To calculate opportunity costs, </a:t>
          </a:r>
          <a:r>
            <a:rPr lang="pl-PL" sz="1050" b="0" i="0">
              <a:solidFill>
                <a:schemeClr val="dk1"/>
              </a:solidFill>
              <a:effectLst/>
              <a:latin typeface="+mn-lt"/>
              <a:ea typeface="+mn-ea"/>
              <a:cs typeface="+mn-cs"/>
            </a:rPr>
            <a:t>we </a:t>
          </a:r>
          <a:r>
            <a:rPr lang="en-US" sz="1050" b="0" i="0">
              <a:solidFill>
                <a:schemeClr val="dk1"/>
              </a:solidFill>
              <a:effectLst/>
              <a:latin typeface="+mn-lt"/>
              <a:ea typeface="+mn-ea"/>
              <a:cs typeface="+mn-cs"/>
            </a:rPr>
            <a:t>consider what </a:t>
          </a:r>
          <a:r>
            <a:rPr lang="pl-PL" sz="1050" b="0" i="0">
              <a:solidFill>
                <a:schemeClr val="dk1"/>
              </a:solidFill>
              <a:effectLst/>
              <a:latin typeface="+mn-lt"/>
              <a:ea typeface="+mn-ea"/>
              <a:cs typeface="+mn-cs"/>
            </a:rPr>
            <a:t>we</a:t>
          </a:r>
          <a:r>
            <a:rPr lang="en-US" sz="1050" b="0" i="0">
              <a:solidFill>
                <a:schemeClr val="dk1"/>
              </a:solidFill>
              <a:effectLst/>
              <a:latin typeface="+mn-lt"/>
              <a:ea typeface="+mn-ea"/>
              <a:cs typeface="+mn-cs"/>
            </a:rPr>
            <a:t> are sacrificing by not investing in the alternative option.</a:t>
          </a:r>
          <a:r>
            <a:rPr lang="pl-PL" sz="1050" b="0" i="0">
              <a:solidFill>
                <a:schemeClr val="dk1"/>
              </a:solidFill>
              <a:effectLst/>
              <a:latin typeface="+mn-lt"/>
              <a:ea typeface="+mn-ea"/>
              <a:cs typeface="+mn-cs"/>
            </a:rPr>
            <a:t> </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Alternative option</a:t>
          </a:r>
          <a:r>
            <a:rPr lang="pl-PL" sz="1050" b="0" i="0" baseline="0">
              <a:solidFill>
                <a:schemeClr val="dk1"/>
              </a:solidFill>
              <a:effectLst/>
              <a:latin typeface="+mn-lt"/>
              <a:ea typeface="+mn-ea"/>
              <a:cs typeface="+mn-cs"/>
            </a:rPr>
            <a:t> for Scenario 1 will be investment in Scenario 2. For Scenario 2 alternative option is investment in Scenario 1.</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Opportunity costs for Scenario 1 is the return (NPV) we give up from Scenario 2. Opportunity costs for scenario 2 is the return (NPV) we give up from Scenario 1.</a:t>
          </a:r>
        </a:p>
        <a:p>
          <a:endParaRPr lang="pl-PL" sz="1050" b="0" i="0" u="none" strike="noStrike" baseline="0">
            <a:solidFill>
              <a:schemeClr val="dk1"/>
            </a:solidFill>
            <a:effectLst/>
            <a:latin typeface="+mn-lt"/>
            <a:ea typeface="+mn-ea"/>
            <a:cs typeface="+mn-cs"/>
          </a:endParaRPr>
        </a:p>
        <a:p>
          <a:r>
            <a:rPr lang="en-US" sz="1050" b="0" i="0" u="none" strike="noStrike">
              <a:solidFill>
                <a:schemeClr val="dk1"/>
              </a:solidFill>
              <a:effectLst/>
              <a:latin typeface="+mn-lt"/>
              <a:ea typeface="+mn-ea"/>
              <a:cs typeface="+mn-cs"/>
            </a:rPr>
            <a:t>Opportunity costs for Scenario 1 = NPV from Scenario 2</a:t>
          </a:r>
          <a:r>
            <a:rPr lang="en-US" sz="1050"/>
            <a:t> </a:t>
          </a:r>
          <a:endParaRPr lang="pl-PL" sz="1050"/>
        </a:p>
        <a:p>
          <a:r>
            <a:rPr lang="en-US" sz="1050" b="0" i="0" u="none" strike="noStrike">
              <a:solidFill>
                <a:schemeClr val="dk1"/>
              </a:solidFill>
              <a:effectLst/>
              <a:latin typeface="+mn-lt"/>
              <a:ea typeface="+mn-ea"/>
              <a:cs typeface="+mn-cs"/>
            </a:rPr>
            <a:t>Opportunity costs for Scenario 2 = NPV from Scenario 1</a:t>
          </a:r>
          <a:r>
            <a:rPr lang="en-US" sz="1050"/>
            <a:t> </a:t>
          </a:r>
        </a:p>
      </xdr:txBody>
    </xdr:sp>
    <xdr:clientData/>
  </xdr:twoCellAnchor>
  <xdr:twoCellAnchor>
    <xdr:from>
      <xdr:col>5</xdr:col>
      <xdr:colOff>25401</xdr:colOff>
      <xdr:row>474</xdr:row>
      <xdr:rowOff>4657</xdr:rowOff>
    </xdr:from>
    <xdr:to>
      <xdr:col>9</xdr:col>
      <xdr:colOff>1115696</xdr:colOff>
      <xdr:row>491</xdr:row>
      <xdr:rowOff>0</xdr:rowOff>
    </xdr:to>
    <xdr:graphicFrame macro="">
      <xdr:nvGraphicFramePr>
        <xdr:cNvPr id="27" name="Chart 26">
          <a:extLst>
            <a:ext uri="{FF2B5EF4-FFF2-40B4-BE49-F238E27FC236}">
              <a16:creationId xmlns:a16="http://schemas.microsoft.com/office/drawing/2014/main" id="{F9034F83-16B9-462B-81A2-61352C1F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512</xdr:row>
      <xdr:rowOff>1060</xdr:rowOff>
    </xdr:from>
    <xdr:to>
      <xdr:col>4</xdr:col>
      <xdr:colOff>626533</xdr:colOff>
      <xdr:row>529</xdr:row>
      <xdr:rowOff>33867</xdr:rowOff>
    </xdr:to>
    <xdr:graphicFrame macro="">
      <xdr:nvGraphicFramePr>
        <xdr:cNvPr id="28" name="Chart 27">
          <a:extLst>
            <a:ext uri="{FF2B5EF4-FFF2-40B4-BE49-F238E27FC236}">
              <a16:creationId xmlns:a16="http://schemas.microsoft.com/office/drawing/2014/main" id="{22B3290A-3CC5-4D12-9518-EE7C726EF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190927</xdr:colOff>
      <xdr:row>531</xdr:row>
      <xdr:rowOff>0</xdr:rowOff>
    </xdr:from>
    <xdr:to>
      <xdr:col>3</xdr:col>
      <xdr:colOff>1117600</xdr:colOff>
      <xdr:row>531</xdr:row>
      <xdr:rowOff>0</xdr:rowOff>
    </xdr:to>
    <xdr:sp macro="" textlink="">
      <xdr:nvSpPr>
        <xdr:cNvPr id="29" name="TextBox 28">
          <a:extLst>
            <a:ext uri="{FF2B5EF4-FFF2-40B4-BE49-F238E27FC236}">
              <a16:creationId xmlns:a16="http://schemas.microsoft.com/office/drawing/2014/main" id="{B66A55E2-96D0-448B-849F-42243E1FC6E0}"/>
            </a:ext>
          </a:extLst>
        </xdr:cNvPr>
        <xdr:cNvSpPr txBox="1"/>
      </xdr:nvSpPr>
      <xdr:spPr>
        <a:xfrm>
          <a:off x="190927" y="95174858"/>
          <a:ext cx="5270073" cy="252200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In the first scenario the company</a:t>
          </a:r>
          <a:r>
            <a:rPr lang="pl-PL" sz="1050" baseline="0"/>
            <a:t>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7,616,238 of sales</a:t>
          </a:r>
          <a:r>
            <a:rPr lang="pl-PL" sz="1050" b="0" i="0" baseline="0">
              <a:solidFill>
                <a:schemeClr val="dk1"/>
              </a:solidFill>
              <a:effectLst/>
              <a:latin typeface="+mn-lt"/>
              <a:ea typeface="+mn-ea"/>
              <a:cs typeface="+mn-cs"/>
            </a:rPr>
            <a:t> to cover initial investment and additional costs for the period of 5 years. For the entire 10 years period the break even point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10,996,050.</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In the second scenario the</a:t>
          </a:r>
          <a:r>
            <a:rPr lang="pl-PL" sz="1050" b="0" i="0" baseline="0">
              <a:solidFill>
                <a:schemeClr val="dk1"/>
              </a:solidFill>
              <a:effectLst/>
              <a:latin typeface="+mn-lt"/>
              <a:ea typeface="+mn-ea"/>
              <a:cs typeface="+mn-cs"/>
            </a:rPr>
            <a:t> company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13,672,480</a:t>
          </a:r>
          <a:r>
            <a:rPr lang="pl-PL" sz="1050" b="0" i="0" baseline="0">
              <a:solidFill>
                <a:schemeClr val="dk1"/>
              </a:solidFill>
              <a:effectLst/>
              <a:latin typeface="+mn-lt"/>
              <a:ea typeface="+mn-ea"/>
              <a:cs typeface="+mn-cs"/>
            </a:rPr>
            <a:t> of sales to cover the investment and additional costs for 4 years and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43,096,407</a:t>
          </a:r>
          <a:r>
            <a:rPr lang="pl-PL" sz="1050" b="0" i="0" baseline="0">
              <a:solidFill>
                <a:schemeClr val="dk1"/>
              </a:solidFill>
              <a:effectLst/>
              <a:latin typeface="+mn-lt"/>
              <a:ea typeface="+mn-ea"/>
              <a:cs typeface="+mn-cs"/>
            </a:rPr>
            <a:t> for the entire 10 years.</a:t>
          </a:r>
          <a:endParaRPr lang="en-US" sz="1050"/>
        </a:p>
      </xdr:txBody>
    </xdr:sp>
    <xdr:clientData/>
  </xdr:twoCellAnchor>
  <xdr:twoCellAnchor>
    <xdr:from>
      <xdr:col>1</xdr:col>
      <xdr:colOff>4658</xdr:colOff>
      <xdr:row>532</xdr:row>
      <xdr:rowOff>186268</xdr:rowOff>
    </xdr:from>
    <xdr:to>
      <xdr:col>5</xdr:col>
      <xdr:colOff>364066</xdr:colOff>
      <xdr:row>548</xdr:row>
      <xdr:rowOff>1</xdr:rowOff>
    </xdr:to>
    <xdr:sp macro="" textlink="">
      <xdr:nvSpPr>
        <xdr:cNvPr id="30" name="TextBox 29">
          <a:extLst>
            <a:ext uri="{FF2B5EF4-FFF2-40B4-BE49-F238E27FC236}">
              <a16:creationId xmlns:a16="http://schemas.microsoft.com/office/drawing/2014/main" id="{C038511C-263B-36B3-1752-1EDA5D96C419}"/>
            </a:ext>
          </a:extLst>
        </xdr:cNvPr>
        <xdr:cNvSpPr txBox="1"/>
      </xdr:nvSpPr>
      <xdr:spPr>
        <a:xfrm>
          <a:off x="199391" y="96757068"/>
          <a:ext cx="6777142" cy="292946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baseline="0"/>
            <a:t>Scenario 1:</a:t>
          </a:r>
          <a:endParaRPr lang="pl-PL" sz="1050" b="1"/>
        </a:p>
        <a:p>
          <a:endParaRPr lang="pl-PL" sz="1050"/>
        </a:p>
        <a:p>
          <a:r>
            <a:rPr lang="pl-PL" sz="1050"/>
            <a:t>1.</a:t>
          </a:r>
          <a:r>
            <a:rPr lang="pl-PL" sz="1050" baseline="0"/>
            <a:t> Cash for bank loan and interest repayment in the first two years of the project (2018 and 2019)</a:t>
          </a:r>
        </a:p>
        <a:p>
          <a:r>
            <a:rPr lang="pl-PL" sz="1050" baseline="0"/>
            <a:t>In the first scenario the company needs to secure cash for repayment of the first two years of bank loan instalments and interest (2018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540,000, 2019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590,000)</a:t>
          </a:r>
          <a:r>
            <a:rPr lang="pl-PL" sz="1050" baseline="0"/>
            <a:t>. In the first two years there will be no additional sales (cash inflows) from the investment to cover projected bank loan repayment. According to the company's balance sheet the company rather does not have cash to cover those payments. The company should analyse if the projected net profit from current business operations in 2018 and 2019 will be sufficient to secure cash for loan repayment (net profit in 2017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365,384). If</a:t>
          </a:r>
          <a:r>
            <a:rPr lang="pl-PL" sz="1050" b="0" i="0" baseline="0">
              <a:solidFill>
                <a:schemeClr val="dk1"/>
              </a:solidFill>
              <a:effectLst/>
              <a:latin typeface="+mn-lt"/>
              <a:ea typeface="+mn-ea"/>
              <a:cs typeface="+mn-cs"/>
            </a:rPr>
            <a:t> not, the company should negotiate loan repayment conditions, take additional loan or increase capital and own founds part of the investment.</a:t>
          </a:r>
        </a:p>
        <a:p>
          <a:endParaRPr lang="pl-PL" sz="1050"/>
        </a:p>
        <a:p>
          <a:r>
            <a:rPr lang="pl-PL" sz="1050"/>
            <a:t>2. Loan</a:t>
          </a:r>
          <a:r>
            <a:rPr lang="pl-PL" sz="1050" baseline="0"/>
            <a:t> repayment in case of project's failure</a:t>
          </a:r>
        </a:p>
        <a:p>
          <a:r>
            <a:rPr lang="pl-PL" sz="1050" baseline="0"/>
            <a:t>In case the project will not generate projected sales the company may not be able to repay the loans (total loans repayment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3,025,000)</a:t>
          </a:r>
          <a:r>
            <a:rPr lang="pl-PL" sz="1050" baseline="0"/>
            <a:t>. This may result even in company's insolvency and bankruptcy. </a:t>
          </a:r>
        </a:p>
        <a:p>
          <a:endParaRPr lang="pl-PL" sz="1050" baseline="0"/>
        </a:p>
        <a:p>
          <a:r>
            <a:rPr lang="pl-PL" sz="1050" baseline="0"/>
            <a:t>3. Potential loss mitigation.</a:t>
          </a:r>
        </a:p>
        <a:p>
          <a:r>
            <a:rPr lang="pl-PL" sz="1050" baseline="0"/>
            <a:t>In case of the project failure the potential failure to repay the loans or stakeholder's loss might be mitigated by selling the assets from the investment - building and equipment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4,528,273</a:t>
          </a:r>
          <a:r>
            <a:rPr lang="pl-PL" sz="1050" b="0" i="0" baseline="0">
              <a:solidFill>
                <a:schemeClr val="dk1"/>
              </a:solidFill>
              <a:effectLst/>
              <a:latin typeface="+mn-lt"/>
              <a:ea typeface="+mn-ea"/>
              <a:cs typeface="+mn-cs"/>
            </a:rPr>
            <a:t>)</a:t>
          </a:r>
          <a:endParaRPr lang="pl-PL" sz="1050" baseline="0"/>
        </a:p>
      </xdr:txBody>
    </xdr:sp>
    <xdr:clientData/>
  </xdr:twoCellAnchor>
  <xdr:twoCellAnchor>
    <xdr:from>
      <xdr:col>5</xdr:col>
      <xdr:colOff>897466</xdr:colOff>
      <xdr:row>532</xdr:row>
      <xdr:rowOff>181610</xdr:rowOff>
    </xdr:from>
    <xdr:to>
      <xdr:col>11</xdr:col>
      <xdr:colOff>1109133</xdr:colOff>
      <xdr:row>547</xdr:row>
      <xdr:rowOff>186267</xdr:rowOff>
    </xdr:to>
    <xdr:sp macro="" textlink="">
      <xdr:nvSpPr>
        <xdr:cNvPr id="31" name="TextBox 30">
          <a:extLst>
            <a:ext uri="{FF2B5EF4-FFF2-40B4-BE49-F238E27FC236}">
              <a16:creationId xmlns:a16="http://schemas.microsoft.com/office/drawing/2014/main" id="{40D5643D-84E3-1739-35B3-DD788255C4A7}"/>
            </a:ext>
          </a:extLst>
        </xdr:cNvPr>
        <xdr:cNvSpPr txBox="1"/>
      </xdr:nvSpPr>
      <xdr:spPr>
        <a:xfrm>
          <a:off x="7509933" y="96752410"/>
          <a:ext cx="7018867" cy="292565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a:t>Scenario 2:</a:t>
          </a:r>
        </a:p>
        <a:p>
          <a:endParaRPr lang="pl-PL" sz="1050"/>
        </a:p>
        <a:p>
          <a:r>
            <a:rPr lang="pl-PL" sz="1050"/>
            <a:t>The</a:t>
          </a:r>
          <a:r>
            <a:rPr lang="pl-PL" sz="1050" baseline="0"/>
            <a:t> project is based on investment in operational costs only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8,000,000 in purchase of services,  no</a:t>
          </a:r>
          <a:r>
            <a:rPr lang="pl-PL" sz="1050" b="0" i="0" baseline="0">
              <a:solidFill>
                <a:schemeClr val="dk1"/>
              </a:solidFill>
              <a:effectLst/>
              <a:latin typeface="+mn-lt"/>
              <a:ea typeface="+mn-ea"/>
              <a:cs typeface="+mn-cs"/>
            </a:rPr>
            <a:t> assumption </a:t>
          </a:r>
          <a:r>
            <a:rPr lang="pl-PL" sz="1050" b="0" i="0">
              <a:solidFill>
                <a:schemeClr val="dk1"/>
              </a:solidFill>
              <a:effectLst/>
              <a:latin typeface="+mn-lt"/>
              <a:ea typeface="+mn-ea"/>
              <a:cs typeface="+mn-cs"/>
            </a:rPr>
            <a:t> that</a:t>
          </a:r>
          <a:r>
            <a:rPr lang="pl-PL" sz="1050" b="0" i="0" baseline="0">
              <a:solidFill>
                <a:schemeClr val="dk1"/>
              </a:solidFill>
              <a:effectLst/>
              <a:latin typeface="+mn-lt"/>
              <a:ea typeface="+mn-ea"/>
              <a:cs typeface="+mn-cs"/>
            </a:rPr>
            <a:t> the "digital product" might be an asset representing market value). In case of project failure the stakeholders loss might not be recovered or mitigated from assets associated with the investment.</a:t>
          </a:r>
          <a:endParaRPr lang="pl-PL" sz="1050"/>
        </a:p>
      </xdr:txBody>
    </xdr:sp>
    <xdr:clientData/>
  </xdr:twoCellAnchor>
  <xdr:twoCellAnchor>
    <xdr:from>
      <xdr:col>1</xdr:col>
      <xdr:colOff>482598</xdr:colOff>
      <xdr:row>553</xdr:row>
      <xdr:rowOff>8457</xdr:rowOff>
    </xdr:from>
    <xdr:to>
      <xdr:col>5</xdr:col>
      <xdr:colOff>484504</xdr:colOff>
      <xdr:row>572</xdr:row>
      <xdr:rowOff>1904</xdr:rowOff>
    </xdr:to>
    <xdr:graphicFrame macro="">
      <xdr:nvGraphicFramePr>
        <xdr:cNvPr id="32" name="Chart 31">
          <a:extLst>
            <a:ext uri="{FF2B5EF4-FFF2-40B4-BE49-F238E27FC236}">
              <a16:creationId xmlns:a16="http://schemas.microsoft.com/office/drawing/2014/main" id="{D1CB9CB0-F269-4905-A301-C9D056B2E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1250</xdr:colOff>
      <xdr:row>574</xdr:row>
      <xdr:rowOff>2750</xdr:rowOff>
    </xdr:from>
    <xdr:to>
      <xdr:col>11</xdr:col>
      <xdr:colOff>711200</xdr:colOff>
      <xdr:row>593</xdr:row>
      <xdr:rowOff>8466</xdr:rowOff>
    </xdr:to>
    <xdr:graphicFrame macro="">
      <xdr:nvGraphicFramePr>
        <xdr:cNvPr id="33" name="Chart 32">
          <a:extLst>
            <a:ext uri="{FF2B5EF4-FFF2-40B4-BE49-F238E27FC236}">
              <a16:creationId xmlns:a16="http://schemas.microsoft.com/office/drawing/2014/main" id="{7701553E-83DC-419B-AD21-C051CF73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460162</xdr:colOff>
      <xdr:row>595</xdr:row>
      <xdr:rowOff>8467</xdr:rowOff>
    </xdr:from>
    <xdr:to>
      <xdr:col>5</xdr:col>
      <xdr:colOff>372533</xdr:colOff>
      <xdr:row>613</xdr:row>
      <xdr:rowOff>186267</xdr:rowOff>
    </xdr:to>
    <xdr:graphicFrame macro="">
      <xdr:nvGraphicFramePr>
        <xdr:cNvPr id="34" name="Chart 33">
          <a:extLst>
            <a:ext uri="{FF2B5EF4-FFF2-40B4-BE49-F238E27FC236}">
              <a16:creationId xmlns:a16="http://schemas.microsoft.com/office/drawing/2014/main" id="{110B6C8A-A78E-49C2-B13B-4222DB9B7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408518</xdr:colOff>
      <xdr:row>637</xdr:row>
      <xdr:rowOff>1906</xdr:rowOff>
    </xdr:from>
    <xdr:to>
      <xdr:col>5</xdr:col>
      <xdr:colOff>381000</xdr:colOff>
      <xdr:row>655</xdr:row>
      <xdr:rowOff>186267</xdr:rowOff>
    </xdr:to>
    <xdr:graphicFrame macro="">
      <xdr:nvGraphicFramePr>
        <xdr:cNvPr id="35" name="Chart 34">
          <a:extLst>
            <a:ext uri="{FF2B5EF4-FFF2-40B4-BE49-F238E27FC236}">
              <a16:creationId xmlns:a16="http://schemas.microsoft.com/office/drawing/2014/main" id="{1CC8F398-063A-4D28-ADAE-8F077254F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371899</xdr:colOff>
      <xdr:row>658</xdr:row>
      <xdr:rowOff>837</xdr:rowOff>
    </xdr:from>
    <xdr:to>
      <xdr:col>5</xdr:col>
      <xdr:colOff>352001</xdr:colOff>
      <xdr:row>676</xdr:row>
      <xdr:rowOff>193042</xdr:rowOff>
    </xdr:to>
    <xdr:graphicFrame macro="">
      <xdr:nvGraphicFramePr>
        <xdr:cNvPr id="36" name="Chart 35">
          <a:extLst>
            <a:ext uri="{FF2B5EF4-FFF2-40B4-BE49-F238E27FC236}">
              <a16:creationId xmlns:a16="http://schemas.microsoft.com/office/drawing/2014/main" id="{E207BF74-565F-4EAC-BDBC-E110C1C17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415493</xdr:colOff>
      <xdr:row>615</xdr:row>
      <xdr:rowOff>190919</xdr:rowOff>
    </xdr:from>
    <xdr:to>
      <xdr:col>5</xdr:col>
      <xdr:colOff>399839</xdr:colOff>
      <xdr:row>635</xdr:row>
      <xdr:rowOff>1904</xdr:rowOff>
    </xdr:to>
    <xdr:graphicFrame macro="">
      <xdr:nvGraphicFramePr>
        <xdr:cNvPr id="37" name="Chart 36">
          <a:extLst>
            <a:ext uri="{FF2B5EF4-FFF2-40B4-BE49-F238E27FC236}">
              <a16:creationId xmlns:a16="http://schemas.microsoft.com/office/drawing/2014/main" id="{BD1A4B65-5973-4107-A0BA-61996DB4B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4659</xdr:colOff>
      <xdr:row>637</xdr:row>
      <xdr:rowOff>8467</xdr:rowOff>
    </xdr:from>
    <xdr:to>
      <xdr:col>11</xdr:col>
      <xdr:colOff>745066</xdr:colOff>
      <xdr:row>655</xdr:row>
      <xdr:rowOff>179705</xdr:rowOff>
    </xdr:to>
    <xdr:graphicFrame macro="">
      <xdr:nvGraphicFramePr>
        <xdr:cNvPr id="38" name="Chart 37">
          <a:extLst>
            <a:ext uri="{FF2B5EF4-FFF2-40B4-BE49-F238E27FC236}">
              <a16:creationId xmlns:a16="http://schemas.microsoft.com/office/drawing/2014/main" id="{A2C90B74-5590-4270-9C49-10F40AAFE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326390</xdr:colOff>
      <xdr:row>679</xdr:row>
      <xdr:rowOff>10373</xdr:rowOff>
    </xdr:from>
    <xdr:to>
      <xdr:col>5</xdr:col>
      <xdr:colOff>347132</xdr:colOff>
      <xdr:row>698</xdr:row>
      <xdr:rowOff>10372</xdr:rowOff>
    </xdr:to>
    <xdr:graphicFrame macro="">
      <xdr:nvGraphicFramePr>
        <xdr:cNvPr id="39" name="Chart 38">
          <a:extLst>
            <a:ext uri="{FF2B5EF4-FFF2-40B4-BE49-F238E27FC236}">
              <a16:creationId xmlns:a16="http://schemas.microsoft.com/office/drawing/2014/main" id="{6490B6F4-74A8-4EEB-A4B8-EE95C5B98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403652</xdr:colOff>
      <xdr:row>448</xdr:row>
      <xdr:rowOff>24766</xdr:rowOff>
    </xdr:from>
    <xdr:to>
      <xdr:col>11</xdr:col>
      <xdr:colOff>1117600</xdr:colOff>
      <xdr:row>463</xdr:row>
      <xdr:rowOff>8468</xdr:rowOff>
    </xdr:to>
    <xdr:sp macro="" textlink="">
      <xdr:nvSpPr>
        <xdr:cNvPr id="43" name="TextBox 42">
          <a:extLst>
            <a:ext uri="{FF2B5EF4-FFF2-40B4-BE49-F238E27FC236}">
              <a16:creationId xmlns:a16="http://schemas.microsoft.com/office/drawing/2014/main" id="{BD8270ED-C4C2-44CD-8357-2888FC329EA2}"/>
            </a:ext>
          </a:extLst>
        </xdr:cNvPr>
        <xdr:cNvSpPr txBox="1"/>
      </xdr:nvSpPr>
      <xdr:spPr>
        <a:xfrm>
          <a:off x="8150652" y="91913499"/>
          <a:ext cx="6386615" cy="290470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a:t>
          </a:r>
        </a:p>
        <a:p>
          <a:endParaRPr lang="pl-PL" sz="1050"/>
        </a:p>
        <a:p>
          <a:r>
            <a:rPr lang="pl-PL" sz="1050"/>
            <a:t>In the first scenario the company</a:t>
          </a:r>
          <a:r>
            <a:rPr lang="pl-PL" sz="1050" baseline="0"/>
            <a:t>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7,616,238 of new sales</a:t>
          </a:r>
          <a:r>
            <a:rPr lang="pl-PL" sz="1050" b="0" i="0" baseline="0">
              <a:solidFill>
                <a:schemeClr val="dk1"/>
              </a:solidFill>
              <a:effectLst/>
              <a:latin typeface="+mn-lt"/>
              <a:ea typeface="+mn-ea"/>
              <a:cs typeface="+mn-cs"/>
            </a:rPr>
            <a:t> to cover initial investment and additional costs for the period of 5 years. At this level of sales the investment will break even, with is projected to happen in the 5th year (2022). </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For the entire 10 years period the break even point would be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10,996,050 to cover the investment and projected operational costs for that period.</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In the second scenario the</a:t>
          </a:r>
          <a:r>
            <a:rPr lang="pl-PL" sz="1050" b="0" i="0" baseline="0">
              <a:solidFill>
                <a:schemeClr val="dk1"/>
              </a:solidFill>
              <a:effectLst/>
              <a:latin typeface="+mn-lt"/>
              <a:ea typeface="+mn-ea"/>
              <a:cs typeface="+mn-cs"/>
            </a:rPr>
            <a:t> company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13,386,480</a:t>
          </a:r>
          <a:r>
            <a:rPr lang="pl-PL" sz="1050" b="0" i="0" baseline="0">
              <a:solidFill>
                <a:schemeClr val="dk1"/>
              </a:solidFill>
              <a:effectLst/>
              <a:latin typeface="+mn-lt"/>
              <a:ea typeface="+mn-ea"/>
              <a:cs typeface="+mn-cs"/>
            </a:rPr>
            <a:t> of new sales to cover the investment and additional costs for 4 years. </a:t>
          </a:r>
          <a:r>
            <a:rPr lang="pl-PL" sz="1100" b="0" i="0" baseline="0">
              <a:solidFill>
                <a:schemeClr val="dk1"/>
              </a:solidFill>
              <a:effectLst/>
              <a:latin typeface="+mn-lt"/>
              <a:ea typeface="+mn-ea"/>
              <a:cs typeface="+mn-cs"/>
            </a:rPr>
            <a:t>At this level of sales the investment will break even, which is projected to happen in the 4th year.</a:t>
          </a:r>
        </a:p>
        <a:p>
          <a:endParaRPr lang="pl-PL" sz="1100" b="0" i="0" baseline="0">
            <a:solidFill>
              <a:schemeClr val="dk1"/>
            </a:solidFill>
            <a:effectLst/>
            <a:latin typeface="+mn-lt"/>
            <a:ea typeface="+mn-ea"/>
            <a:cs typeface="+mn-cs"/>
          </a:endParaRPr>
        </a:p>
        <a:p>
          <a:r>
            <a:rPr lang="pl-PL" sz="1100" b="0" i="0" baseline="0">
              <a:solidFill>
                <a:schemeClr val="dk1"/>
              </a:solidFill>
              <a:effectLst/>
              <a:latin typeface="+mn-lt"/>
              <a:ea typeface="+mn-ea"/>
              <a:cs typeface="+mn-cs"/>
            </a:rPr>
            <a:t>For the entire 10 years period the break even point would be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35,127,428</a:t>
          </a:r>
          <a:r>
            <a:rPr lang="pl-PL" sz="1050" b="0" i="0" baseline="0">
              <a:solidFill>
                <a:schemeClr val="dk1"/>
              </a:solidFill>
              <a:effectLst/>
              <a:latin typeface="+mn-lt"/>
              <a:ea typeface="+mn-ea"/>
              <a:cs typeface="+mn-cs"/>
            </a:rPr>
            <a:t> 10 years </a:t>
          </a:r>
          <a:r>
            <a:rPr lang="pl-PL" sz="1100" b="0" i="0">
              <a:solidFill>
                <a:schemeClr val="dk1"/>
              </a:solidFill>
              <a:effectLst/>
              <a:latin typeface="+mn-lt"/>
              <a:ea typeface="+mn-ea"/>
              <a:cs typeface="+mn-cs"/>
            </a:rPr>
            <a:t>to cover the investment and projected additional costs for that period.</a:t>
          </a:r>
          <a:endParaRPr lang="en-US" sz="1050"/>
        </a:p>
      </xdr:txBody>
    </xdr:sp>
    <xdr:clientData/>
  </xdr:twoCellAnchor>
  <xdr:twoCellAnchor>
    <xdr:from>
      <xdr:col>1</xdr:col>
      <xdr:colOff>26459</xdr:colOff>
      <xdr:row>448</xdr:row>
      <xdr:rowOff>14393</xdr:rowOff>
    </xdr:from>
    <xdr:to>
      <xdr:col>6</xdr:col>
      <xdr:colOff>6561</xdr:colOff>
      <xdr:row>469</xdr:row>
      <xdr:rowOff>156211</xdr:rowOff>
    </xdr:to>
    <xdr:graphicFrame macro="">
      <xdr:nvGraphicFramePr>
        <xdr:cNvPr id="45" name="Chart 44">
          <a:extLst>
            <a:ext uri="{FF2B5EF4-FFF2-40B4-BE49-F238E27FC236}">
              <a16:creationId xmlns:a16="http://schemas.microsoft.com/office/drawing/2014/main" id="{CFD6C8AD-913D-4812-9216-5778DB70E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1907</xdr:colOff>
      <xdr:row>616</xdr:row>
      <xdr:rowOff>1065</xdr:rowOff>
    </xdr:from>
    <xdr:to>
      <xdr:col>11</xdr:col>
      <xdr:colOff>770466</xdr:colOff>
      <xdr:row>635</xdr:row>
      <xdr:rowOff>0</xdr:rowOff>
    </xdr:to>
    <xdr:graphicFrame macro="">
      <xdr:nvGraphicFramePr>
        <xdr:cNvPr id="46" name="Chart 45">
          <a:extLst>
            <a:ext uri="{FF2B5EF4-FFF2-40B4-BE49-F238E27FC236}">
              <a16:creationId xmlns:a16="http://schemas.microsoft.com/office/drawing/2014/main" id="{1232162E-F6A1-4BBE-93BA-FCD9FFE26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719667</xdr:colOff>
      <xdr:row>275</xdr:row>
      <xdr:rowOff>5505</xdr:rowOff>
    </xdr:from>
    <xdr:to>
      <xdr:col>12</xdr:col>
      <xdr:colOff>1121834</xdr:colOff>
      <xdr:row>299</xdr:row>
      <xdr:rowOff>10583</xdr:rowOff>
    </xdr:to>
    <xdr:graphicFrame macro="">
      <xdr:nvGraphicFramePr>
        <xdr:cNvPr id="47" name="Chart 46">
          <a:extLst>
            <a:ext uri="{FF2B5EF4-FFF2-40B4-BE49-F238E27FC236}">
              <a16:creationId xmlns:a16="http://schemas.microsoft.com/office/drawing/2014/main" id="{E23B7135-846F-4E54-95CE-AF5236CBD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595</xdr:row>
      <xdr:rowOff>8469</xdr:rowOff>
    </xdr:from>
    <xdr:to>
      <xdr:col>11</xdr:col>
      <xdr:colOff>762000</xdr:colOff>
      <xdr:row>614</xdr:row>
      <xdr:rowOff>0</xdr:rowOff>
    </xdr:to>
    <xdr:graphicFrame macro="">
      <xdr:nvGraphicFramePr>
        <xdr:cNvPr id="48" name="Chart 47">
          <a:extLst>
            <a:ext uri="{FF2B5EF4-FFF2-40B4-BE49-F238E27FC236}">
              <a16:creationId xmlns:a16="http://schemas.microsoft.com/office/drawing/2014/main" id="{73BE691F-5428-4D28-B329-3EB44E38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31325</xdr:colOff>
      <xdr:row>700</xdr:row>
      <xdr:rowOff>5714</xdr:rowOff>
    </xdr:from>
    <xdr:to>
      <xdr:col>12</xdr:col>
      <xdr:colOff>66675</xdr:colOff>
      <xdr:row>739</xdr:row>
      <xdr:rowOff>152400</xdr:rowOff>
    </xdr:to>
    <xdr:sp macro="" textlink="">
      <xdr:nvSpPr>
        <xdr:cNvPr id="49" name="TextBox 48">
          <a:extLst>
            <a:ext uri="{FF2B5EF4-FFF2-40B4-BE49-F238E27FC236}">
              <a16:creationId xmlns:a16="http://schemas.microsoft.com/office/drawing/2014/main" id="{52398312-BB84-A29B-A50A-54D2131FD316}"/>
            </a:ext>
          </a:extLst>
        </xdr:cNvPr>
        <xdr:cNvSpPr txBox="1"/>
      </xdr:nvSpPr>
      <xdr:spPr>
        <a:xfrm>
          <a:off x="221825" y="139280264"/>
          <a:ext cx="14380000" cy="1255776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050" b="1"/>
        </a:p>
        <a:p>
          <a:r>
            <a:rPr lang="pl-PL" sz="1050" b="1"/>
            <a:t>Summary:</a:t>
          </a:r>
        </a:p>
        <a:p>
          <a:endParaRPr lang="pl-PL" sz="1050"/>
        </a:p>
        <a:p>
          <a:r>
            <a:rPr lang="en-US" sz="1050" b="1" i="0">
              <a:solidFill>
                <a:schemeClr val="dk1"/>
              </a:solidFill>
              <a:effectLst/>
              <a:latin typeface="+mn-lt"/>
              <a:ea typeface="+mn-ea"/>
              <a:cs typeface="+mn-cs"/>
            </a:rPr>
            <a:t>Key Metrics Comparison</a:t>
          </a:r>
          <a:r>
            <a:rPr lang="pl-PL" sz="1050" b="1" i="0">
              <a:solidFill>
                <a:schemeClr val="dk1"/>
              </a:solidFill>
              <a:effectLst/>
              <a:latin typeface="+mn-lt"/>
              <a:ea typeface="+mn-ea"/>
              <a:cs typeface="+mn-cs"/>
            </a:rPr>
            <a:t>:</a:t>
          </a:r>
        </a:p>
        <a:p>
          <a:endParaRPr lang="en-US" sz="1050" b="1" i="0">
            <a:solidFill>
              <a:schemeClr val="dk1"/>
            </a:solidFill>
            <a:effectLst/>
            <a:latin typeface="+mn-lt"/>
            <a:ea typeface="+mn-ea"/>
            <a:cs typeface="+mn-cs"/>
          </a:endParaRPr>
        </a:p>
        <a:p>
          <a:r>
            <a:rPr lang="pl-PL" sz="1050" b="1" i="0">
              <a:solidFill>
                <a:schemeClr val="dk1"/>
              </a:solidFill>
              <a:effectLst/>
              <a:latin typeface="+mn-lt"/>
              <a:ea typeface="+mn-ea"/>
              <a:cs typeface="+mn-cs"/>
            </a:rPr>
            <a:t>1. </a:t>
          </a:r>
          <a:r>
            <a:rPr lang="en-US" sz="1050" b="1" i="0">
              <a:solidFill>
                <a:schemeClr val="dk1"/>
              </a:solidFill>
              <a:effectLst/>
              <a:latin typeface="+mn-lt"/>
              <a:ea typeface="+mn-ea"/>
              <a:cs typeface="+mn-cs"/>
            </a:rPr>
            <a:t>Initial Investment and Funding Structure</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Scenario 1 requires an initial investment of €5,418,273, funded by €2,718,273 in equity and €2,700,000 in loans.</a:t>
          </a:r>
        </a:p>
        <a:p>
          <a:pPr lvl="1"/>
          <a:r>
            <a:rPr lang="en-US" sz="1050" b="0" i="0">
              <a:solidFill>
                <a:schemeClr val="dk1"/>
              </a:solidFill>
              <a:effectLst/>
              <a:latin typeface="+mn-lt"/>
              <a:ea typeface="+mn-ea"/>
              <a:cs typeface="+mn-cs"/>
            </a:rPr>
            <a:t>Scenario 2 requires a higher initial investment of €8,000,000, fully funded by equity, with no loans involved.</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2. </a:t>
          </a:r>
          <a:r>
            <a:rPr lang="en-US" sz="1050" b="1" i="0">
              <a:solidFill>
                <a:schemeClr val="dk1"/>
              </a:solidFill>
              <a:effectLst/>
              <a:latin typeface="+mn-lt"/>
              <a:ea typeface="+mn-ea"/>
              <a:cs typeface="+mn-cs"/>
            </a:rPr>
            <a:t>Investment Structure</a:t>
          </a:r>
          <a:r>
            <a:rPr lang="en-US" sz="1050" b="0" i="0">
              <a:solidFill>
                <a:schemeClr val="dk1"/>
              </a:solidFill>
              <a:effectLst/>
              <a:latin typeface="+mn-lt"/>
              <a:ea typeface="+mn-ea"/>
              <a:cs typeface="+mn-cs"/>
            </a:rPr>
            <a:t>:</a:t>
          </a:r>
        </a:p>
        <a:p>
          <a:pPr lvl="1"/>
          <a:r>
            <a:rPr lang="en-US" sz="1050" b="0" i="0">
              <a:solidFill>
                <a:schemeClr val="dk1"/>
              </a:solidFill>
              <a:effectLst/>
              <a:latin typeface="+mn-lt"/>
              <a:ea typeface="+mn-ea"/>
              <a:cs typeface="+mn-cs"/>
            </a:rPr>
            <a:t>Scenario 1 focuses on capital expenditures (CapEx) of €4,528,273 and operational expenditures (OpEx) of €890,000.</a:t>
          </a:r>
        </a:p>
        <a:p>
          <a:pPr lvl="1"/>
          <a:r>
            <a:rPr lang="en-US" sz="1050" b="0" i="0">
              <a:solidFill>
                <a:schemeClr val="dk1"/>
              </a:solidFill>
              <a:effectLst/>
              <a:latin typeface="+mn-lt"/>
              <a:ea typeface="+mn-ea"/>
              <a:cs typeface="+mn-cs"/>
            </a:rPr>
            <a:t>Scenario 2 consists entirely of operational expenditures (OpEx) amounting to €8,000,000.</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3. </a:t>
          </a:r>
          <a:r>
            <a:rPr lang="en-US" sz="1050" b="1" i="0">
              <a:solidFill>
                <a:schemeClr val="dk1"/>
              </a:solidFill>
              <a:effectLst/>
              <a:latin typeface="+mn-lt"/>
              <a:ea typeface="+mn-ea"/>
              <a:cs typeface="+mn-cs"/>
            </a:rPr>
            <a:t>Financial Performance</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Net Present Value (NPV)</a:t>
          </a:r>
          <a:r>
            <a:rPr lang="en-US" sz="1050" b="0" i="0">
              <a:solidFill>
                <a:schemeClr val="dk1"/>
              </a:solidFill>
              <a:effectLst/>
              <a:latin typeface="+mn-lt"/>
              <a:ea typeface="+mn-ea"/>
              <a:cs typeface="+mn-cs"/>
            </a:rPr>
            <a:t>: Scenario 1 has an NPV of €12,984,875, while Scenario 2's NPV is higher at €23,</a:t>
          </a:r>
          <a:r>
            <a:rPr lang="pl-PL" sz="1050" b="0" i="0">
              <a:solidFill>
                <a:schemeClr val="dk1"/>
              </a:solidFill>
              <a:effectLst/>
              <a:latin typeface="+mn-lt"/>
              <a:ea typeface="+mn-ea"/>
              <a:cs typeface="+mn-cs"/>
            </a:rPr>
            <a:t>397,327</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Internal Rate of Return (IRR)</a:t>
          </a:r>
          <a:r>
            <a:rPr lang="en-US" sz="1050" b="0" i="0">
              <a:solidFill>
                <a:schemeClr val="dk1"/>
              </a:solidFill>
              <a:effectLst/>
              <a:latin typeface="+mn-lt"/>
              <a:ea typeface="+mn-ea"/>
              <a:cs typeface="+mn-cs"/>
            </a:rPr>
            <a:t>: Scenario 1 </a:t>
          </a:r>
          <a:r>
            <a:rPr lang="pl-PL" sz="1050" b="0" i="0">
              <a:solidFill>
                <a:schemeClr val="dk1"/>
              </a:solidFill>
              <a:effectLst/>
              <a:latin typeface="+mn-lt"/>
              <a:ea typeface="+mn-ea"/>
              <a:cs typeface="+mn-cs"/>
            </a:rPr>
            <a:t>predicts</a:t>
          </a:r>
          <a:r>
            <a:rPr lang="en-US" sz="1050" b="0" i="0">
              <a:solidFill>
                <a:schemeClr val="dk1"/>
              </a:solidFill>
              <a:effectLst/>
              <a:latin typeface="+mn-lt"/>
              <a:ea typeface="+mn-ea"/>
              <a:cs typeface="+mn-cs"/>
            </a:rPr>
            <a:t> an IRR of 54.68%, whereas Scenario 2 provides a slightly higher IRR of 58.</a:t>
          </a:r>
          <a:r>
            <a:rPr lang="pl-PL" sz="1050" b="0" i="0">
              <a:solidFill>
                <a:schemeClr val="dk1"/>
              </a:solidFill>
              <a:effectLst/>
              <a:latin typeface="+mn-lt"/>
              <a:ea typeface="+mn-ea"/>
              <a:cs typeface="+mn-cs"/>
            </a:rPr>
            <a:t>44</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Return on Investment (ROI)</a:t>
          </a:r>
          <a:r>
            <a:rPr lang="en-US" sz="1050" b="0" i="0">
              <a:solidFill>
                <a:schemeClr val="dk1"/>
              </a:solidFill>
              <a:effectLst/>
              <a:latin typeface="+mn-lt"/>
              <a:ea typeface="+mn-ea"/>
              <a:cs typeface="+mn-cs"/>
            </a:rPr>
            <a:t>: Scenario 1 </a:t>
          </a:r>
          <a:r>
            <a:rPr lang="pl-PL" sz="1050" b="0" i="0">
              <a:solidFill>
                <a:schemeClr val="dk1"/>
              </a:solidFill>
              <a:effectLst/>
              <a:latin typeface="+mn-lt"/>
              <a:ea typeface="+mn-ea"/>
              <a:cs typeface="+mn-cs"/>
            </a:rPr>
            <a:t>prediction</a:t>
          </a:r>
          <a:r>
            <a:rPr lang="pl-PL" sz="1050" b="0" i="0" baseline="0">
              <a:solidFill>
                <a:schemeClr val="dk1"/>
              </a:solidFill>
              <a:effectLst/>
              <a:latin typeface="+mn-lt"/>
              <a:ea typeface="+mn-ea"/>
              <a:cs typeface="+mn-cs"/>
            </a:rPr>
            <a:t> of</a:t>
          </a:r>
          <a:r>
            <a:rPr lang="en-US" sz="1050" b="0" i="0">
              <a:solidFill>
                <a:schemeClr val="dk1"/>
              </a:solidFill>
              <a:effectLst/>
              <a:latin typeface="+mn-lt"/>
              <a:ea typeface="+mn-ea"/>
              <a:cs typeface="+mn-cs"/>
            </a:rPr>
            <a:t> ROI of 543%, compared to Scenario 2's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Return on Invested Equity</a:t>
          </a:r>
          <a:r>
            <a:rPr lang="en-US" sz="1050" b="0" i="0">
              <a:solidFill>
                <a:schemeClr val="dk1"/>
              </a:solidFill>
              <a:effectLst/>
              <a:latin typeface="+mn-lt"/>
              <a:ea typeface="+mn-ea"/>
              <a:cs typeface="+mn-cs"/>
            </a:rPr>
            <a:t>: Scenario 1 significantly outperforms with a 1082% return, in contrast to Scenario 2's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4. </a:t>
          </a:r>
          <a:r>
            <a:rPr lang="en-US" sz="1050" b="1" i="0">
              <a:solidFill>
                <a:schemeClr val="dk1"/>
              </a:solidFill>
              <a:effectLst/>
              <a:latin typeface="+mn-lt"/>
              <a:ea typeface="+mn-ea"/>
              <a:cs typeface="+mn-cs"/>
            </a:rPr>
            <a:t>Profitability and Payback</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Profitability Index (PI)</a:t>
          </a:r>
          <a:r>
            <a:rPr lang="en-US" sz="1050" b="0" i="0">
              <a:solidFill>
                <a:schemeClr val="dk1"/>
              </a:solidFill>
              <a:effectLst/>
              <a:latin typeface="+mn-lt"/>
              <a:ea typeface="+mn-ea"/>
              <a:cs typeface="+mn-cs"/>
            </a:rPr>
            <a:t>: Scenario 1 has a PI of 3.40, while Scenario 2 has a higher PI of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Profitability Index for Invested Equity</a:t>
          </a:r>
          <a:r>
            <a:rPr lang="en-US" sz="1050" b="0" i="0">
              <a:solidFill>
                <a:schemeClr val="dk1"/>
              </a:solidFill>
              <a:effectLst/>
              <a:latin typeface="+mn-lt"/>
              <a:ea typeface="+mn-ea"/>
              <a:cs typeface="+mn-cs"/>
            </a:rPr>
            <a:t>: Scenario 1 has a significantly higher PI for invested equity at 5.78 compared to Scenario 2’s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Payback Period</a:t>
          </a:r>
          <a:r>
            <a:rPr lang="en-US" sz="1050" b="0" i="0">
              <a:solidFill>
                <a:schemeClr val="dk1"/>
              </a:solidFill>
              <a:effectLst/>
              <a:latin typeface="+mn-lt"/>
              <a:ea typeface="+mn-ea"/>
              <a:cs typeface="+mn-cs"/>
            </a:rPr>
            <a:t>: Scenario 1 has a payback period of 5 years, and Scenario 2 is shorter at 4 years.</a:t>
          </a:r>
        </a:p>
        <a:p>
          <a:pPr lvl="1"/>
          <a:r>
            <a:rPr lang="en-US" sz="1050" b="1" i="0">
              <a:solidFill>
                <a:schemeClr val="dk1"/>
              </a:solidFill>
              <a:effectLst/>
              <a:latin typeface="+mn-lt"/>
              <a:ea typeface="+mn-ea"/>
              <a:cs typeface="+mn-cs"/>
            </a:rPr>
            <a:t>Break-Even Point</a:t>
          </a:r>
          <a:r>
            <a:rPr lang="en-US" sz="1050" b="0" i="0">
              <a:solidFill>
                <a:schemeClr val="dk1"/>
              </a:solidFill>
              <a:effectLst/>
              <a:latin typeface="+mn-lt"/>
              <a:ea typeface="+mn-ea"/>
              <a:cs typeface="+mn-cs"/>
            </a:rPr>
            <a:t>: Scenario 1’s break-even is €7,616,238, compared to Scenario 2’s €13,3</a:t>
          </a:r>
          <a:r>
            <a:rPr lang="pl-PL" sz="1050" b="0" i="0">
              <a:solidFill>
                <a:schemeClr val="dk1"/>
              </a:solidFill>
              <a:effectLst/>
              <a:latin typeface="+mn-lt"/>
              <a:ea typeface="+mn-ea"/>
              <a:cs typeface="+mn-cs"/>
            </a:rPr>
            <a:t>86,480</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5. </a:t>
          </a:r>
          <a:r>
            <a:rPr lang="en-US" sz="1050" b="1" i="0">
              <a:solidFill>
                <a:schemeClr val="dk1"/>
              </a:solidFill>
              <a:effectLst/>
              <a:latin typeface="+mn-lt"/>
              <a:ea typeface="+mn-ea"/>
              <a:cs typeface="+mn-cs"/>
            </a:rPr>
            <a:t>Opportunity Costs</a:t>
          </a:r>
          <a:r>
            <a:rPr lang="en-US" sz="1050" b="0" i="0">
              <a:solidFill>
                <a:schemeClr val="dk1"/>
              </a:solidFill>
              <a:effectLst/>
              <a:latin typeface="+mn-lt"/>
              <a:ea typeface="+mn-ea"/>
              <a:cs typeface="+mn-cs"/>
            </a:rPr>
            <a:t>: </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Scenario 1's opportunity cost is €23,</a:t>
          </a:r>
          <a:r>
            <a:rPr lang="pl-PL" sz="1050" b="0" i="0">
              <a:solidFill>
                <a:schemeClr val="dk1"/>
              </a:solidFill>
              <a:effectLst/>
              <a:latin typeface="+mn-lt"/>
              <a:ea typeface="+mn-ea"/>
              <a:cs typeface="+mn-cs"/>
            </a:rPr>
            <a:t>397,327</a:t>
          </a:r>
          <a:r>
            <a:rPr lang="en-US" sz="1050" b="0" i="0">
              <a:solidFill>
                <a:schemeClr val="dk1"/>
              </a:solidFill>
              <a:effectLst/>
              <a:latin typeface="+mn-lt"/>
              <a:ea typeface="+mn-ea"/>
              <a:cs typeface="+mn-cs"/>
            </a:rPr>
            <a:t>, and Scenario 2’s opportunity cost is €12,984,875.</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6. </a:t>
          </a:r>
          <a:r>
            <a:rPr lang="en-US" sz="1050" b="1" i="0">
              <a:solidFill>
                <a:schemeClr val="dk1"/>
              </a:solidFill>
              <a:effectLst/>
              <a:latin typeface="+mn-lt"/>
              <a:ea typeface="+mn-ea"/>
              <a:cs typeface="+mn-cs"/>
            </a:rPr>
            <a:t>Risk Analysis</a:t>
          </a:r>
          <a:endParaRPr lang="pl-PL" sz="1050" b="1" i="0">
            <a:solidFill>
              <a:schemeClr val="dk1"/>
            </a:solidFill>
            <a:effectLst/>
            <a:latin typeface="+mn-lt"/>
            <a:ea typeface="+mn-ea"/>
            <a:cs typeface="+mn-cs"/>
          </a:endParaRPr>
        </a:p>
        <a:p>
          <a:endParaRPr lang="en-US" sz="1050" b="1" i="0">
            <a:solidFill>
              <a:schemeClr val="dk1"/>
            </a:solidFill>
            <a:effectLst/>
            <a:latin typeface="+mn-lt"/>
            <a:ea typeface="+mn-ea"/>
            <a:cs typeface="+mn-cs"/>
          </a:endParaRPr>
        </a:p>
        <a:p>
          <a:pPr lvl="1"/>
          <a:r>
            <a:rPr lang="en-US" sz="1050" b="1" i="0">
              <a:solidFill>
                <a:schemeClr val="dk1"/>
              </a:solidFill>
              <a:effectLst/>
              <a:latin typeface="+mn-lt"/>
              <a:ea typeface="+mn-ea"/>
              <a:cs typeface="+mn-cs"/>
            </a:rPr>
            <a:t>Scenario 1 Risks</a:t>
          </a:r>
          <a:r>
            <a:rPr lang="en-US" sz="1050" b="0" i="0">
              <a:solidFill>
                <a:schemeClr val="dk1"/>
              </a:solidFill>
              <a:effectLst/>
              <a:latin typeface="+mn-lt"/>
              <a:ea typeface="+mn-ea"/>
              <a:cs typeface="+mn-cs"/>
            </a:rPr>
            <a:t>:</a:t>
          </a:r>
        </a:p>
        <a:p>
          <a:pPr lvl="2"/>
          <a:r>
            <a:rPr lang="en-US" sz="1050" b="0" i="0">
              <a:solidFill>
                <a:schemeClr val="dk1"/>
              </a:solidFill>
              <a:effectLst/>
              <a:latin typeface="+mn-lt"/>
              <a:ea typeface="+mn-ea"/>
              <a:cs typeface="+mn-cs"/>
            </a:rPr>
            <a:t>The necessity to secure cash for loan repayment in the first two years (€540,000 in 2018 and €590,000 in 2019), with no additional sales to cover these payments.</a:t>
          </a:r>
        </a:p>
        <a:p>
          <a:pPr lvl="2"/>
          <a:r>
            <a:rPr lang="en-US" sz="1050" b="0" i="0">
              <a:solidFill>
                <a:schemeClr val="dk1"/>
              </a:solidFill>
              <a:effectLst/>
              <a:latin typeface="+mn-lt"/>
              <a:ea typeface="+mn-ea"/>
              <a:cs typeface="+mn-cs"/>
            </a:rPr>
            <a:t>Potential failure to repay loans could result in bankruptcy.</a:t>
          </a:r>
        </a:p>
        <a:p>
          <a:pPr lvl="2"/>
          <a:r>
            <a:rPr lang="en-US" sz="1050" b="0" i="0">
              <a:solidFill>
                <a:schemeClr val="dk1"/>
              </a:solidFill>
              <a:effectLst/>
              <a:latin typeface="+mn-lt"/>
              <a:ea typeface="+mn-ea"/>
              <a:cs typeface="+mn-cs"/>
            </a:rPr>
            <a:t>In the event of project failure, asset liquidation (building and equipment) may mitigate losses.</a:t>
          </a:r>
          <a:endParaRPr lang="pl-PL" sz="1050" b="0" i="0">
            <a:solidFill>
              <a:schemeClr val="dk1"/>
            </a:solidFill>
            <a:effectLst/>
            <a:latin typeface="+mn-lt"/>
            <a:ea typeface="+mn-ea"/>
            <a:cs typeface="+mn-cs"/>
          </a:endParaRPr>
        </a:p>
        <a:p>
          <a:pPr lvl="2"/>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Scenario 2 Risks</a:t>
          </a:r>
          <a:r>
            <a:rPr lang="en-US" sz="1050" b="0" i="0">
              <a:solidFill>
                <a:schemeClr val="dk1"/>
              </a:solidFill>
              <a:effectLst/>
              <a:latin typeface="+mn-lt"/>
              <a:ea typeface="+mn-ea"/>
              <a:cs typeface="+mn-cs"/>
            </a:rPr>
            <a:t>:</a:t>
          </a:r>
        </a:p>
        <a:p>
          <a:pPr lvl="2"/>
          <a:r>
            <a:rPr lang="en-US" sz="1050" b="0" i="0">
              <a:solidFill>
                <a:schemeClr val="dk1"/>
              </a:solidFill>
              <a:effectLst/>
              <a:latin typeface="+mn-lt"/>
              <a:ea typeface="+mn-ea"/>
              <a:cs typeface="+mn-cs"/>
            </a:rPr>
            <a:t>Investment is purely in operational costs, with no tangible assets to recover losses if the project fails.</a:t>
          </a:r>
        </a:p>
        <a:p>
          <a:pPr lvl="2"/>
          <a:r>
            <a:rPr lang="en-US" sz="1050" b="0" i="0">
              <a:solidFill>
                <a:schemeClr val="dk1"/>
              </a:solidFill>
              <a:effectLst/>
              <a:latin typeface="+mn-lt"/>
              <a:ea typeface="+mn-ea"/>
              <a:cs typeface="+mn-cs"/>
            </a:rPr>
            <a:t>Higher inherent risk since stakeholder losses cannot be mitigated by asset sales.</a:t>
          </a:r>
          <a:endParaRPr lang="pl-PL" sz="1050" b="0" i="0">
            <a:solidFill>
              <a:schemeClr val="dk1"/>
            </a:solidFill>
            <a:effectLst/>
            <a:latin typeface="+mn-lt"/>
            <a:ea typeface="+mn-ea"/>
            <a:cs typeface="+mn-cs"/>
          </a:endParaRPr>
        </a:p>
        <a:p>
          <a:pPr lvl="2"/>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7.</a:t>
          </a:r>
          <a:r>
            <a:rPr lang="pl-PL" sz="1050" b="1" i="0" baseline="0">
              <a:solidFill>
                <a:schemeClr val="dk1"/>
              </a:solidFill>
              <a:effectLst/>
              <a:latin typeface="+mn-lt"/>
              <a:ea typeface="+mn-ea"/>
              <a:cs typeface="+mn-cs"/>
            </a:rPr>
            <a:t> </a:t>
          </a:r>
          <a:r>
            <a:rPr lang="en-US" sz="1050" b="1" i="0">
              <a:solidFill>
                <a:schemeClr val="dk1"/>
              </a:solidFill>
              <a:effectLst/>
              <a:latin typeface="+mn-lt"/>
              <a:ea typeface="+mn-ea"/>
              <a:cs typeface="+mn-cs"/>
            </a:rPr>
            <a:t>Stakeholders' Perspective</a:t>
          </a:r>
        </a:p>
        <a:p>
          <a:endParaRPr lang="pl-PL"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From the stakeholders' point of view, the following considerations are critical:</a:t>
          </a:r>
        </a:p>
        <a:p>
          <a:pPr lvl="1"/>
          <a:r>
            <a:rPr lang="en-US" sz="1050" b="1" i="0">
              <a:solidFill>
                <a:schemeClr val="dk1"/>
              </a:solidFill>
              <a:effectLst/>
              <a:latin typeface="+mn-lt"/>
              <a:ea typeface="+mn-ea"/>
              <a:cs typeface="+mn-cs"/>
            </a:rPr>
            <a:t>Investment Attractiveness</a:t>
          </a:r>
          <a:r>
            <a:rPr lang="en-US" sz="1050" b="0" i="0">
              <a:solidFill>
                <a:schemeClr val="dk1"/>
              </a:solidFill>
              <a:effectLst/>
              <a:latin typeface="+mn-lt"/>
              <a:ea typeface="+mn-ea"/>
              <a:cs typeface="+mn-cs"/>
            </a:rPr>
            <a:t>: Scenario 1 requires a lower equity investment (€2,718,273) compared to Scenario 2 (€8,000,000).</a:t>
          </a:r>
        </a:p>
        <a:p>
          <a:pPr lvl="1"/>
          <a:r>
            <a:rPr lang="en-US" sz="1050" b="1" i="0">
              <a:solidFill>
                <a:schemeClr val="dk1"/>
              </a:solidFill>
              <a:effectLst/>
              <a:latin typeface="+mn-lt"/>
              <a:ea typeface="+mn-ea"/>
              <a:cs typeface="+mn-cs"/>
            </a:rPr>
            <a:t>Return on Equity</a:t>
          </a:r>
          <a:r>
            <a:rPr lang="en-US" sz="1050" b="0" i="0">
              <a:solidFill>
                <a:schemeClr val="dk1"/>
              </a:solidFill>
              <a:effectLst/>
              <a:latin typeface="+mn-lt"/>
              <a:ea typeface="+mn-ea"/>
              <a:cs typeface="+mn-cs"/>
            </a:rPr>
            <a:t>: Scenario 1 provides a significantly higher return on invested equity (1082%) compared to Scenario 2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Profitability Index for Invested Equity</a:t>
          </a:r>
          <a:r>
            <a:rPr lang="en-US" sz="1050" b="0" i="0">
              <a:solidFill>
                <a:schemeClr val="dk1"/>
              </a:solidFill>
              <a:effectLst/>
              <a:latin typeface="+mn-lt"/>
              <a:ea typeface="+mn-ea"/>
              <a:cs typeface="+mn-cs"/>
            </a:rPr>
            <a:t>: Scenario 1 has a PI for invested equity of 5.78, higher than Scenario 2’s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 indicating better profitability for stakeholders.</a:t>
          </a:r>
          <a:endParaRPr lang="pl-PL" sz="1050" b="0" i="0">
            <a:solidFill>
              <a:schemeClr val="dk1"/>
            </a:solidFill>
            <a:effectLst/>
            <a:latin typeface="+mn-lt"/>
            <a:ea typeface="+mn-ea"/>
            <a:cs typeface="+mn-cs"/>
          </a:endParaRPr>
        </a:p>
        <a:p>
          <a:pPr lvl="1"/>
          <a:r>
            <a:rPr lang="pl-PL" sz="1050" b="1" i="0">
              <a:solidFill>
                <a:schemeClr val="dk1"/>
              </a:solidFill>
              <a:effectLst/>
              <a:latin typeface="+mn-lt"/>
              <a:ea typeface="+mn-ea"/>
              <a:cs typeface="+mn-cs"/>
            </a:rPr>
            <a:t>Leverage:</a:t>
          </a:r>
          <a:r>
            <a:rPr lang="pl-PL" sz="1050" b="0" i="0">
              <a:solidFill>
                <a:schemeClr val="dk1"/>
              </a:solidFill>
              <a:effectLst/>
              <a:latin typeface="+mn-lt"/>
              <a:ea typeface="+mn-ea"/>
              <a:cs typeface="+mn-cs"/>
            </a:rPr>
            <a:t> </a:t>
          </a:r>
          <a:r>
            <a:rPr lang="en-US" sz="1100" b="0" i="0">
              <a:solidFill>
                <a:schemeClr val="dk1"/>
              </a:solidFill>
              <a:effectLst/>
              <a:latin typeface="+mn-lt"/>
              <a:ea typeface="+mn-ea"/>
              <a:cs typeface="+mn-cs"/>
            </a:rPr>
            <a:t>the use of borrowed capital (debt) in addition to equity to finance an investment</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a:t>
          </a:r>
          <a:r>
            <a:rPr lang="pl-PL" sz="1100" b="0" i="0" baseline="0">
              <a:solidFill>
                <a:schemeClr val="dk1"/>
              </a:solidFill>
              <a:effectLst/>
              <a:latin typeface="+mn-lt"/>
              <a:ea typeface="+mn-ea"/>
              <a:cs typeface="+mn-cs"/>
            </a:rPr>
            <a:t>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endParaRPr lang="en-US" sz="1050" b="0" i="0">
            <a:solidFill>
              <a:schemeClr val="dk1"/>
            </a:solidFill>
            <a:effectLst/>
            <a:latin typeface="+mn-lt"/>
            <a:ea typeface="+mn-ea"/>
            <a:cs typeface="+mn-cs"/>
          </a:endParaRPr>
        </a:p>
        <a:p>
          <a:endParaRPr lang="pl-PL" sz="1100"/>
        </a:p>
        <a:p>
          <a:pPr marL="0" marR="0" lvl="0" indent="0" defTabSz="914400" eaLnBrk="1" fontAlgn="auto" latinLnBrk="0" hangingPunct="1">
            <a:lnSpc>
              <a:spcPct val="100000"/>
            </a:lnSpc>
            <a:spcBef>
              <a:spcPts val="0"/>
            </a:spcBef>
            <a:spcAft>
              <a:spcPts val="0"/>
            </a:spcAft>
            <a:buClrTx/>
            <a:buSzTx/>
            <a:buFontTx/>
            <a:buNone/>
            <a:tabLst/>
            <a:defRPr/>
          </a:pPr>
          <a:endParaRPr lang="pl-PL"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Conclusion</a:t>
          </a:r>
          <a:r>
            <a:rPr lang="pl-PL" sz="1100" b="1" i="0">
              <a:solidFill>
                <a:schemeClr val="dk1"/>
              </a:solidFill>
              <a:effectLst/>
              <a:latin typeface="+mn-lt"/>
              <a:ea typeface="+mn-ea"/>
              <a:cs typeface="+mn-cs"/>
            </a:rPr>
            <a:t>s:</a:t>
          </a:r>
        </a:p>
        <a:p>
          <a:pPr marL="0" marR="0" lvl="0" indent="0" defTabSz="914400" eaLnBrk="1" fontAlgn="auto" latinLnBrk="0" hangingPunct="1">
            <a:lnSpc>
              <a:spcPct val="100000"/>
            </a:lnSpc>
            <a:spcBef>
              <a:spcPts val="0"/>
            </a:spcBef>
            <a:spcAft>
              <a:spcPts val="0"/>
            </a:spcAft>
            <a:buClrTx/>
            <a:buSzTx/>
            <a:buFontTx/>
            <a:buNone/>
            <a:tabLst/>
            <a:defRPr/>
          </a:pPr>
          <a:endParaRPr lang="pl-PL" sz="1100" b="1"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From a financial standpoint</a:t>
          </a:r>
          <a:r>
            <a:rPr lang="pl-PL" sz="1100" b="0" i="0">
              <a:solidFill>
                <a:schemeClr val="dk1"/>
              </a:solidFill>
              <a:effectLst/>
              <a:latin typeface="+mn-lt"/>
              <a:ea typeface="+mn-ea"/>
              <a:cs typeface="+mn-cs"/>
            </a:rPr>
            <a:t> and </a:t>
          </a:r>
          <a:r>
            <a:rPr lang="pl-PL" sz="1100">
              <a:solidFill>
                <a:schemeClr val="dk1"/>
              </a:solidFill>
              <a:effectLst/>
              <a:latin typeface="+mn-lt"/>
              <a:ea typeface="+mn-ea"/>
              <a:cs typeface="+mn-cs"/>
            </a:rPr>
            <a:t>C</a:t>
          </a:r>
          <a:r>
            <a:rPr lang="pl-PL" sz="1100" b="0" i="0">
              <a:solidFill>
                <a:schemeClr val="dk1"/>
              </a:solidFill>
              <a:effectLst/>
              <a:latin typeface="+mn-lt"/>
              <a:ea typeface="+mn-ea"/>
              <a:cs typeface="+mn-cs"/>
            </a:rPr>
            <a:t>ompany perspective</a:t>
          </a:r>
          <a:r>
            <a:rPr lang="pl-PL" sz="1100">
              <a:solidFill>
                <a:schemeClr val="dk1"/>
              </a:solidFill>
              <a:effectLst/>
              <a:latin typeface="+mn-lt"/>
              <a:ea typeface="+mn-ea"/>
              <a:cs typeface="+mn-cs"/>
            </a:rPr>
            <a:t>:</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2 </a:t>
          </a:r>
          <a:r>
            <a:rPr lang="pl-PL" sz="1100" b="0" i="0">
              <a:solidFill>
                <a:schemeClr val="dk1"/>
              </a:solidFill>
              <a:effectLst/>
              <a:latin typeface="+mn-lt"/>
              <a:ea typeface="+mn-ea"/>
              <a:cs typeface="+mn-cs"/>
            </a:rPr>
            <a:t>predicts</a:t>
          </a:r>
          <a:r>
            <a:rPr lang="pl-PL" sz="1100" b="0" i="0" baseline="0">
              <a:solidFill>
                <a:schemeClr val="dk1"/>
              </a:solidFill>
              <a:effectLst/>
              <a:latin typeface="+mn-lt"/>
              <a:ea typeface="+mn-ea"/>
              <a:cs typeface="+mn-cs"/>
            </a:rPr>
            <a:t> higher</a:t>
          </a:r>
          <a:r>
            <a:rPr lang="en-US" sz="1100" b="0" i="0">
              <a:solidFill>
                <a:schemeClr val="dk1"/>
              </a:solidFill>
              <a:effectLst/>
              <a:latin typeface="+mn-lt"/>
              <a:ea typeface="+mn-ea"/>
              <a:cs typeface="+mn-cs"/>
            </a:rPr>
            <a:t> IRR, </a:t>
          </a:r>
          <a:r>
            <a:rPr lang="pl-PL" sz="1100" b="0" i="0">
              <a:solidFill>
                <a:schemeClr val="dk1"/>
              </a:solidFill>
              <a:effectLst/>
              <a:latin typeface="+mn-lt"/>
              <a:ea typeface="+mn-ea"/>
              <a:cs typeface="+mn-cs"/>
            </a:rPr>
            <a:t>PI and </a:t>
          </a:r>
          <a:r>
            <a:rPr lang="en-US" sz="1100" b="0" i="0">
              <a:solidFill>
                <a:schemeClr val="dk1"/>
              </a:solidFill>
              <a:effectLst/>
              <a:latin typeface="+mn-lt"/>
              <a:ea typeface="+mn-ea"/>
              <a:cs typeface="+mn-cs"/>
            </a:rPr>
            <a:t>ROI, </a:t>
          </a:r>
          <a:r>
            <a:rPr lang="pl-PL" sz="1100" b="0" i="0">
              <a:solidFill>
                <a:schemeClr val="dk1"/>
              </a:solidFill>
              <a:effectLst/>
              <a:latin typeface="+mn-lt"/>
              <a:ea typeface="+mn-ea"/>
              <a:cs typeface="+mn-cs"/>
            </a:rPr>
            <a:t>indicating higher profitability of the investment, additionally higher NPV </a:t>
          </a:r>
          <a:r>
            <a:rPr lang="en-US" sz="1100" b="0" i="0">
              <a:solidFill>
                <a:schemeClr val="dk1"/>
              </a:solidFill>
              <a:effectLst/>
              <a:latin typeface="+mn-lt"/>
              <a:ea typeface="+mn-ea"/>
              <a:cs typeface="+mn-cs"/>
            </a:rPr>
            <a:t>and a shorter payback period</a:t>
          </a:r>
          <a:r>
            <a:rPr lang="pl-PL" sz="1100" b="0" i="0">
              <a:solidFill>
                <a:schemeClr val="dk1"/>
              </a:solidFill>
              <a:effectLst/>
              <a:latin typeface="+mn-lt"/>
              <a:ea typeface="+mn-ea"/>
              <a:cs typeface="+mn-cs"/>
            </a:rPr>
            <a:t>, indicate more value added and quicker investment recovery</a:t>
          </a:r>
          <a:r>
            <a:rPr lang="pl-PL" sz="1100">
              <a:solidFill>
                <a:schemeClr val="dk1"/>
              </a:solidFill>
              <a:effectLst/>
              <a:latin typeface="+mn-lt"/>
              <a:ea typeface="+mn-ea"/>
              <a:cs typeface="+mn-cs"/>
            </a:rPr>
            <a:t>.</a:t>
          </a:r>
        </a:p>
        <a:p>
          <a:pPr lvl="1" rtl="0" eaLnBrk="1" latinLnBrk="0" hangingPunct="1"/>
          <a:r>
            <a:rPr lang="pl-PL" sz="1100" b="0" i="0" baseline="0">
              <a:solidFill>
                <a:schemeClr val="dk1"/>
              </a:solidFill>
              <a:effectLst/>
              <a:latin typeface="+mn-lt"/>
              <a:ea typeface="+mn-ea"/>
              <a:cs typeface="+mn-cs"/>
            </a:rPr>
            <a:t>- S</a:t>
          </a:r>
          <a:r>
            <a:rPr lang="en-US" sz="1100" b="0" i="0">
              <a:solidFill>
                <a:schemeClr val="dk1"/>
              </a:solidFill>
              <a:effectLst/>
              <a:latin typeface="+mn-lt"/>
              <a:ea typeface="+mn-ea"/>
              <a:cs typeface="+mn-cs"/>
            </a:rPr>
            <a:t>cenario</a:t>
          </a:r>
          <a:r>
            <a:rPr lang="pl-PL" sz="1100" b="0" i="0">
              <a:solidFill>
                <a:schemeClr val="dk1"/>
              </a:solidFill>
              <a:effectLst/>
              <a:latin typeface="+mn-lt"/>
              <a:ea typeface="+mn-ea"/>
              <a:cs typeface="+mn-cs"/>
            </a:rPr>
            <a:t> 2</a:t>
          </a:r>
          <a:r>
            <a:rPr lang="en-US" sz="1100" b="0" i="0">
              <a:solidFill>
                <a:schemeClr val="dk1"/>
              </a:solidFill>
              <a:effectLst/>
              <a:latin typeface="+mn-lt"/>
              <a:ea typeface="+mn-ea"/>
              <a:cs typeface="+mn-cs"/>
            </a:rPr>
            <a:t> is fully equity-funded, eliminating loan-related risks such as interest repayments and potential bankruptcy from loan defaults. However, it carries a higher risk due to the lack of tangible assets to recover in case of project failure</a:t>
          </a:r>
          <a:r>
            <a:rPr lang="pl-PL" sz="1100">
              <a:solidFill>
                <a:schemeClr val="dk1"/>
              </a:solidFill>
              <a:effectLst/>
              <a:latin typeface="+mn-lt"/>
              <a:ea typeface="+mn-ea"/>
              <a:cs typeface="+mn-cs"/>
            </a:rPr>
            <a:t>.</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1, although presenting lower financial metrics</a:t>
          </a:r>
          <a:r>
            <a:rPr lang="pl-PL" sz="1100" b="0" i="0">
              <a:solidFill>
                <a:schemeClr val="dk1"/>
              </a:solidFill>
              <a:effectLst/>
              <a:latin typeface="+mn-lt"/>
              <a:ea typeface="+mn-ea"/>
              <a:cs typeface="+mn-cs"/>
            </a:rPr>
            <a:t> in terms of the total investment</a:t>
          </a:r>
          <a:r>
            <a:rPr lang="en-US" sz="1100" b="0" i="0">
              <a:solidFill>
                <a:schemeClr val="dk1"/>
              </a:solidFill>
              <a:effectLst/>
              <a:latin typeface="+mn-lt"/>
              <a:ea typeface="+mn-ea"/>
              <a:cs typeface="+mn-cs"/>
            </a:rPr>
            <a:t>, offers the security of having tangible assets that can potentially be liquidated to mitigate losses. </a:t>
          </a:r>
          <a:endParaRPr lang="en-US">
            <a:effectLst/>
          </a:endParaRPr>
        </a:p>
        <a:p>
          <a:endParaRPr lang="pl-PL" sz="1100" b="0"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From the stakeholders' point of view</a:t>
          </a:r>
          <a:r>
            <a:rPr lang="pl-PL" sz="1100" b="0" i="0">
              <a:solidFill>
                <a:schemeClr val="dk1"/>
              </a:solidFill>
              <a:effectLst/>
              <a:latin typeface="+mn-lt"/>
              <a:ea typeface="+mn-ea"/>
              <a:cs typeface="+mn-cs"/>
            </a:rPr>
            <a:t>:</a:t>
          </a:r>
          <a:r>
            <a:rPr lang="en-US" sz="1100" b="0" i="0">
              <a:solidFill>
                <a:schemeClr val="dk1"/>
              </a:solidFill>
              <a:effectLst/>
              <a:latin typeface="+mn-lt"/>
              <a:ea typeface="+mn-ea"/>
              <a:cs typeface="+mn-cs"/>
            </a:rPr>
            <a:t> </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1 requires a </a:t>
          </a:r>
          <a:r>
            <a:rPr lang="pl-PL" sz="1100" b="0" i="0">
              <a:solidFill>
                <a:schemeClr val="dk1"/>
              </a:solidFill>
              <a:effectLst/>
              <a:latin typeface="+mn-lt"/>
              <a:ea typeface="+mn-ea"/>
              <a:cs typeface="+mn-cs"/>
            </a:rPr>
            <a:t>significantly </a:t>
          </a:r>
          <a:r>
            <a:rPr lang="en-US" sz="1100" b="0" i="0">
              <a:solidFill>
                <a:schemeClr val="dk1"/>
              </a:solidFill>
              <a:effectLst/>
              <a:latin typeface="+mn-lt"/>
              <a:ea typeface="+mn-ea"/>
              <a:cs typeface="+mn-cs"/>
            </a:rPr>
            <a:t>lower equity investment (€2,718,273) compared to Scenario 2 (€8,000,000)</a:t>
          </a:r>
          <a:r>
            <a:rPr lang="pl-PL" sz="1100" b="0" i="0">
              <a:solidFill>
                <a:schemeClr val="dk1"/>
              </a:solidFill>
              <a:effectLst/>
              <a:latin typeface="+mn-lt"/>
              <a:ea typeface="+mn-ea"/>
              <a:cs typeface="+mn-cs"/>
            </a:rPr>
            <a:t>, </a:t>
          </a:r>
          <a:endParaRPr lang="en-US">
            <a:effectLst/>
          </a:endParaRPr>
        </a:p>
        <a:p>
          <a:pPr lvl="1" rtl="0" eaLnBrk="1" latinLnBrk="0" hangingPunct="1"/>
          <a:r>
            <a:rPr lang="pl-PL" sz="1100" b="0" i="0">
              <a:solidFill>
                <a:schemeClr val="dk1"/>
              </a:solidFill>
              <a:effectLst/>
              <a:latin typeface="+mn-lt"/>
              <a:ea typeface="+mn-ea"/>
              <a:cs typeface="+mn-cs"/>
            </a:rPr>
            <a:t>- Scenario 1 </a:t>
          </a:r>
          <a:r>
            <a:rPr lang="en-US" sz="1100" b="0" i="0">
              <a:solidFill>
                <a:schemeClr val="dk1"/>
              </a:solidFill>
              <a:effectLst/>
              <a:latin typeface="+mn-lt"/>
              <a:ea typeface="+mn-ea"/>
              <a:cs typeface="+mn-cs"/>
            </a:rPr>
            <a:t>provides a significantly higher return on invested equity (1082%) compared to Scenario 2 (6</a:t>
          </a:r>
          <a:r>
            <a:rPr lang="pl-PL" sz="1100" b="0" i="0">
              <a:solidFill>
                <a:schemeClr val="dk1"/>
              </a:solidFill>
              <a:effectLst/>
              <a:latin typeface="+mn-lt"/>
              <a:ea typeface="+mn-ea"/>
              <a:cs typeface="+mn-cs"/>
            </a:rPr>
            <a:t>46</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 as well as profitability:</a:t>
          </a:r>
          <a:r>
            <a:rPr lang="en-US" sz="1100" b="0" i="0">
              <a:solidFill>
                <a:schemeClr val="dk1"/>
              </a:solidFill>
              <a:effectLst/>
              <a:latin typeface="+mn-lt"/>
              <a:ea typeface="+mn-ea"/>
              <a:cs typeface="+mn-cs"/>
            </a:rPr>
            <a:t> €5.78</a:t>
          </a:r>
          <a:r>
            <a:rPr lang="pl-PL" sz="1100" b="0" i="0">
              <a:solidFill>
                <a:schemeClr val="dk1"/>
              </a:solidFill>
              <a:effectLst/>
              <a:latin typeface="+mn-lt"/>
              <a:ea typeface="+mn-ea"/>
              <a:cs typeface="+mn-cs"/>
            </a:rPr>
            <a:t> for every euro of invested equity</a:t>
          </a:r>
          <a:r>
            <a:rPr lang="en-US" sz="1100" b="0" i="0">
              <a:solidFill>
                <a:schemeClr val="dk1"/>
              </a:solidFill>
              <a:effectLst/>
              <a:latin typeface="+mn-lt"/>
              <a:ea typeface="+mn-ea"/>
              <a:cs typeface="+mn-cs"/>
            </a:rPr>
            <a:t>, </a:t>
          </a:r>
          <a:r>
            <a:rPr lang="pl-PL" sz="1100" b="0" i="0">
              <a:solidFill>
                <a:schemeClr val="dk1"/>
              </a:solidFill>
              <a:effectLst/>
              <a:latin typeface="+mn-lt"/>
              <a:ea typeface="+mn-ea"/>
              <a:cs typeface="+mn-cs"/>
            </a:rPr>
            <a:t>comparing to </a:t>
          </a:r>
          <a:r>
            <a:rPr lang="en-US" sz="1100" b="0" i="0">
              <a:solidFill>
                <a:schemeClr val="dk1"/>
              </a:solidFill>
              <a:effectLst/>
              <a:latin typeface="+mn-lt"/>
              <a:ea typeface="+mn-ea"/>
              <a:cs typeface="+mn-cs"/>
            </a:rPr>
            <a:t>€ 3.9</a:t>
          </a:r>
          <a:r>
            <a:rPr lang="pl-PL" sz="1100" b="0" i="0">
              <a:solidFill>
                <a:schemeClr val="dk1"/>
              </a:solidFill>
              <a:effectLst/>
              <a:latin typeface="+mn-lt"/>
              <a:ea typeface="+mn-ea"/>
              <a:cs typeface="+mn-cs"/>
            </a:rPr>
            <a:t>2 from Scenario 2</a:t>
          </a:r>
          <a:r>
            <a:rPr lang="en-US" sz="1100" b="0" i="0">
              <a:solidFill>
                <a:schemeClr val="dk1"/>
              </a:solidFill>
              <a:effectLst/>
              <a:latin typeface="+mn-lt"/>
              <a:ea typeface="+mn-ea"/>
              <a:cs typeface="+mn-cs"/>
            </a:rPr>
            <a:t>, </a:t>
          </a:r>
          <a:endParaRPr lang="en-US">
            <a:effectLst/>
          </a:endParaRPr>
        </a:p>
        <a:p>
          <a:pPr lvl="1" rtl="0" eaLnBrk="1" latinLnBrk="0" hangingPunct="1"/>
          <a:r>
            <a:rPr lang="pl-PL" sz="1100">
              <a:solidFill>
                <a:schemeClr val="dk1"/>
              </a:solidFill>
              <a:effectLst/>
              <a:latin typeface="+mn-lt"/>
              <a:ea typeface="+mn-ea"/>
              <a:cs typeface="+mn-cs"/>
            </a:rPr>
            <a:t>- t</a:t>
          </a:r>
          <a:r>
            <a:rPr lang="en-US" sz="1100" b="0" i="0">
              <a:solidFill>
                <a:schemeClr val="dk1"/>
              </a:solidFill>
              <a:effectLst/>
              <a:latin typeface="+mn-lt"/>
              <a:ea typeface="+mn-ea"/>
              <a:cs typeface="+mn-cs"/>
            </a:rPr>
            <a:t>he use of borrowed capital (debt) in addition to equity to finance </a:t>
          </a:r>
          <a:r>
            <a:rPr lang="pl-PL" sz="1100" b="0" i="0">
              <a:solidFill>
                <a:schemeClr val="dk1"/>
              </a:solidFill>
              <a:effectLst/>
              <a:latin typeface="+mn-lt"/>
              <a:ea typeface="+mn-ea"/>
              <a:cs typeface="+mn-cs"/>
            </a:rPr>
            <a:t>the</a:t>
          </a:r>
          <a:r>
            <a:rPr lang="en-US" sz="1100" b="0" i="0">
              <a:solidFill>
                <a:schemeClr val="dk1"/>
              </a:solidFill>
              <a:effectLst/>
              <a:latin typeface="+mn-lt"/>
              <a:ea typeface="+mn-ea"/>
              <a:cs typeface="+mn-cs"/>
            </a:rPr>
            <a:t> investment</a:t>
          </a:r>
          <a:r>
            <a:rPr lang="pl-PL" sz="1100" b="0" i="0">
              <a:solidFill>
                <a:schemeClr val="dk1"/>
              </a:solidFill>
              <a:effectLst/>
              <a:latin typeface="+mn-lt"/>
              <a:ea typeface="+mn-ea"/>
              <a:cs typeface="+mn-cs"/>
            </a:rPr>
            <a:t> (leverage)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a:t>
          </a:r>
          <a:r>
            <a:rPr lang="pl-PL" sz="1100" b="0" i="0" baseline="0">
              <a:solidFill>
                <a:schemeClr val="dk1"/>
              </a:solidFill>
              <a:effectLst/>
              <a:latin typeface="+mn-lt"/>
              <a:ea typeface="+mn-ea"/>
              <a:cs typeface="+mn-cs"/>
            </a:rPr>
            <a:t>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r>
            <a:rPr lang="pl-PL" sz="1100" b="0" i="0">
              <a:solidFill>
                <a:schemeClr val="dk1"/>
              </a:solidFill>
              <a:effectLst/>
              <a:latin typeface="+mn-lt"/>
              <a:ea typeface="+mn-ea"/>
              <a:cs typeface="+mn-cs"/>
            </a:rPr>
            <a:t>.</a:t>
          </a:r>
          <a:endParaRPr lang="en-US">
            <a:effectLst/>
          </a:endParaRPr>
        </a:p>
        <a:p>
          <a:endParaRPr lang="pl-PL" sz="1100" b="0" i="0">
            <a:solidFill>
              <a:schemeClr val="dk1"/>
            </a:solidFill>
            <a:effectLst/>
            <a:latin typeface="+mn-lt"/>
            <a:ea typeface="+mn-ea"/>
            <a:cs typeface="+mn-cs"/>
          </a:endParaRPr>
        </a:p>
        <a:p>
          <a:endParaRPr lang="pl-PL"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Recommendation</a:t>
          </a:r>
          <a:r>
            <a:rPr lang="en-US" sz="1100" b="0" i="0">
              <a:solidFill>
                <a:schemeClr val="dk1"/>
              </a:solidFill>
              <a:effectLst/>
              <a:latin typeface="+mn-lt"/>
              <a:ea typeface="+mn-ea"/>
              <a:cs typeface="+mn-cs"/>
            </a:rPr>
            <a:t>: </a:t>
          </a:r>
          <a:endParaRPr lang="pl-PL" sz="1100" b="0" i="0">
            <a:solidFill>
              <a:schemeClr val="dk1"/>
            </a:solidFill>
            <a:effectLst/>
            <a:latin typeface="+mn-lt"/>
            <a:ea typeface="+mn-ea"/>
            <a:cs typeface="+mn-cs"/>
          </a:endParaRPr>
        </a:p>
        <a:p>
          <a:endParaRPr lang="pl-PL" sz="1100" b="0"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Considering</a:t>
          </a:r>
          <a:r>
            <a:rPr lang="pl-PL" sz="1100" b="0" i="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pl-PL" sz="1100" b="0" i="0">
              <a:solidFill>
                <a:schemeClr val="dk1"/>
              </a:solidFill>
              <a:effectLst/>
              <a:latin typeface="+mn-lt"/>
              <a:ea typeface="+mn-ea"/>
              <a:cs typeface="+mn-cs"/>
            </a:rPr>
            <a:t>that</a:t>
          </a:r>
          <a:r>
            <a:rPr lang="pl-PL" sz="1100" b="0" i="0" baseline="0">
              <a:solidFill>
                <a:schemeClr val="dk1"/>
              </a:solidFill>
              <a:effectLst/>
              <a:latin typeface="+mn-lt"/>
              <a:ea typeface="+mn-ea"/>
              <a:cs typeface="+mn-cs"/>
            </a:rPr>
            <a:t> the fundings for the initial investment would have to be supported by increasing stakeholder's equity, the stakeholders perspective will play significant role in assessment of both scenarios. </a:t>
          </a:r>
          <a:endParaRPr lang="en-US">
            <a:effectLst/>
          </a:endParaRPr>
        </a:p>
        <a:p>
          <a:pPr rtl="0" eaLnBrk="1" latinLnBrk="0" hangingPunct="1"/>
          <a:r>
            <a:rPr lang="en-US" sz="1100" b="0" i="0">
              <a:solidFill>
                <a:schemeClr val="dk1"/>
              </a:solidFill>
              <a:effectLst/>
              <a:latin typeface="+mn-lt"/>
              <a:ea typeface="+mn-ea"/>
              <a:cs typeface="+mn-cs"/>
            </a:rPr>
            <a:t>Stakeholders are primarily interested in the return on their equity investment. </a:t>
          </a:r>
          <a:r>
            <a:rPr lang="pl-PL" sz="1100" b="0" i="0" baseline="0">
              <a:solidFill>
                <a:schemeClr val="dk1"/>
              </a:solidFill>
              <a:effectLst/>
              <a:latin typeface="+mn-lt"/>
              <a:ea typeface="+mn-ea"/>
              <a:cs typeface="+mn-cs"/>
            </a:rPr>
            <a:t>From the</a:t>
          </a:r>
          <a:r>
            <a:rPr lang="en-US" sz="1100" b="0" i="0">
              <a:solidFill>
                <a:schemeClr val="dk1"/>
              </a:solidFill>
              <a:effectLst/>
              <a:latin typeface="+mn-lt"/>
              <a:ea typeface="+mn-ea"/>
              <a:cs typeface="+mn-cs"/>
            </a:rPr>
            <a:t> stakeholders’ perspectives, </a:t>
          </a:r>
          <a:r>
            <a:rPr lang="en-US" sz="1100" i="0">
              <a:solidFill>
                <a:schemeClr val="dk1"/>
              </a:solidFill>
              <a:effectLst/>
              <a:latin typeface="+mn-lt"/>
              <a:ea typeface="+mn-ea"/>
              <a:cs typeface="+mn-cs"/>
            </a:rPr>
            <a:t>Scenario 1 provides a more attractive return on </a:t>
          </a:r>
          <a:r>
            <a:rPr lang="pl-PL" sz="1100" i="0">
              <a:solidFill>
                <a:schemeClr val="dk1"/>
              </a:solidFill>
              <a:effectLst/>
              <a:latin typeface="+mn-lt"/>
              <a:ea typeface="+mn-ea"/>
              <a:cs typeface="+mn-cs"/>
            </a:rPr>
            <a:t>invested equity</a:t>
          </a:r>
          <a:r>
            <a:rPr lang="en-US" sz="1100" i="0">
              <a:solidFill>
                <a:schemeClr val="dk1"/>
              </a:solidFill>
              <a:effectLst/>
              <a:latin typeface="+mn-lt"/>
              <a:ea typeface="+mn-ea"/>
              <a:cs typeface="+mn-cs"/>
            </a:rPr>
            <a:t> </a:t>
          </a:r>
          <a:r>
            <a:rPr lang="pl-PL" sz="1100" i="0">
              <a:solidFill>
                <a:schemeClr val="dk1"/>
              </a:solidFill>
              <a:effectLst/>
              <a:latin typeface="+mn-lt"/>
              <a:ea typeface="+mn-ea"/>
              <a:cs typeface="+mn-cs"/>
            </a:rPr>
            <a:t>and higher</a:t>
          </a:r>
          <a:r>
            <a:rPr lang="pl-PL" sz="1100" i="0" baseline="0">
              <a:solidFill>
                <a:schemeClr val="dk1"/>
              </a:solidFill>
              <a:effectLst/>
              <a:latin typeface="+mn-lt"/>
              <a:ea typeface="+mn-ea"/>
              <a:cs typeface="+mn-cs"/>
            </a:rPr>
            <a:t> profitability</a:t>
          </a:r>
          <a:r>
            <a:rPr lang="pl-PL" sz="1100" b="0" i="0">
              <a:solidFill>
                <a:schemeClr val="dk1"/>
              </a:solidFill>
              <a:effectLst/>
              <a:latin typeface="+mn-lt"/>
              <a:ea typeface="+mn-ea"/>
              <a:cs typeface="+mn-cs"/>
            </a:rPr>
            <a:t>.  Additionally, Scenario 1 enables to</a:t>
          </a:r>
          <a:r>
            <a:rPr lang="en-US" sz="1100" b="0" i="0">
              <a:solidFill>
                <a:schemeClr val="dk1"/>
              </a:solidFill>
              <a:effectLst/>
              <a:latin typeface="+mn-lt"/>
              <a:ea typeface="+mn-ea"/>
              <a:cs typeface="+mn-cs"/>
            </a:rPr>
            <a:t> mitigate potential losses through asset liquidation in case of project failure</a:t>
          </a:r>
          <a:r>
            <a:rPr lang="pl-PL" sz="1100" b="0" i="0">
              <a:solidFill>
                <a:schemeClr val="dk1"/>
              </a:solidFill>
              <a:effectLst/>
              <a:latin typeface="+mn-lt"/>
              <a:ea typeface="+mn-ea"/>
              <a:cs typeface="+mn-cs"/>
            </a:rPr>
            <a:t>, since the investment focuses</a:t>
          </a:r>
          <a:r>
            <a:rPr lang="pl-PL" sz="1100" b="0" i="0" baseline="0">
              <a:solidFill>
                <a:schemeClr val="dk1"/>
              </a:solidFill>
              <a:effectLst/>
              <a:latin typeface="+mn-lt"/>
              <a:ea typeface="+mn-ea"/>
              <a:cs typeface="+mn-cs"/>
            </a:rPr>
            <a:t> on capital rather than operational expenditures. </a:t>
          </a:r>
        </a:p>
        <a:p>
          <a:pPr rtl="0" eaLnBrk="1" latinLnBrk="0" hangingPunct="1"/>
          <a:endParaRPr lang="en-US">
            <a:effectLst/>
          </a:endParaRPr>
        </a:p>
        <a:p>
          <a:pPr rtl="0" eaLnBrk="1" latinLnBrk="0" hangingPunct="1"/>
          <a:r>
            <a:rPr lang="pl-PL" sz="1100" b="0" i="0">
              <a:solidFill>
                <a:schemeClr val="dk1"/>
              </a:solidFill>
              <a:effectLst/>
              <a:latin typeface="+mn-lt"/>
              <a:ea typeface="+mn-ea"/>
              <a:cs typeface="+mn-cs"/>
            </a:rPr>
            <a:t>T</a:t>
          </a:r>
          <a:r>
            <a:rPr lang="en-US" sz="1100" b="0" i="0">
              <a:solidFill>
                <a:schemeClr val="dk1"/>
              </a:solidFill>
              <a:effectLst/>
              <a:latin typeface="+mn-lt"/>
              <a:ea typeface="+mn-ea"/>
              <a:cs typeface="+mn-cs"/>
            </a:rPr>
            <a:t>he use of borrowed capital in addition to equity to finance </a:t>
          </a:r>
          <a:r>
            <a:rPr lang="pl-PL" sz="1100" b="0" i="0">
              <a:solidFill>
                <a:schemeClr val="dk1"/>
              </a:solidFill>
              <a:effectLst/>
              <a:latin typeface="+mn-lt"/>
              <a:ea typeface="+mn-ea"/>
              <a:cs typeface="+mn-cs"/>
            </a:rPr>
            <a:t>the</a:t>
          </a:r>
          <a:r>
            <a:rPr lang="en-US" sz="1100" b="0" i="0">
              <a:solidFill>
                <a:schemeClr val="dk1"/>
              </a:solidFill>
              <a:effectLst/>
              <a:latin typeface="+mn-lt"/>
              <a:ea typeface="+mn-ea"/>
              <a:cs typeface="+mn-cs"/>
            </a:rPr>
            <a:t> investment</a:t>
          </a:r>
          <a:r>
            <a:rPr lang="pl-PL" sz="1100" b="0" i="0">
              <a:solidFill>
                <a:schemeClr val="dk1"/>
              </a:solidFill>
              <a:effectLst/>
              <a:latin typeface="+mn-lt"/>
              <a:ea typeface="+mn-ea"/>
              <a:cs typeface="+mn-cs"/>
            </a:rPr>
            <a:t> (leverage)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 in Scenario</a:t>
          </a:r>
          <a:r>
            <a:rPr lang="pl-PL" sz="1100" b="0" i="0" baseline="0">
              <a:solidFill>
                <a:schemeClr val="dk1"/>
              </a:solidFill>
              <a:effectLst/>
              <a:latin typeface="+mn-lt"/>
              <a:ea typeface="+mn-ea"/>
              <a:cs typeface="+mn-cs"/>
            </a:rPr>
            <a:t> 1.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r>
            <a:rPr lang="pl-PL" sz="1100" b="0" i="0">
              <a:solidFill>
                <a:schemeClr val="dk1"/>
              </a:solidFill>
              <a:effectLst/>
              <a:latin typeface="+mn-lt"/>
              <a:ea typeface="+mn-ea"/>
              <a:cs typeface="+mn-cs"/>
            </a:rPr>
            <a:t>. </a:t>
          </a:r>
        </a:p>
        <a:p>
          <a:pPr rtl="0" eaLnBrk="1" latinLnBrk="0" hangingPunct="1"/>
          <a:endParaRPr lang="en-US">
            <a:effectLst/>
          </a:endParaRPr>
        </a:p>
        <a:p>
          <a:pPr rtl="0" eaLnBrk="1" latinLnBrk="0" hangingPunct="1"/>
          <a:r>
            <a:rPr lang="pl-PL" sz="1100" b="0" i="0">
              <a:solidFill>
                <a:schemeClr val="dk1"/>
              </a:solidFill>
              <a:effectLst/>
              <a:latin typeface="+mn-lt"/>
              <a:ea typeface="+mn-ea"/>
              <a:cs typeface="+mn-cs"/>
            </a:rPr>
            <a:t>L</a:t>
          </a:r>
          <a:r>
            <a:rPr lang="en-US" sz="1100" b="0" i="0">
              <a:solidFill>
                <a:schemeClr val="dk1"/>
              </a:solidFill>
              <a:effectLst/>
              <a:latin typeface="+mn-lt"/>
              <a:ea typeface="+mn-ea"/>
              <a:cs typeface="+mn-cs"/>
            </a:rPr>
            <a:t>everage</a:t>
          </a:r>
          <a:r>
            <a:rPr lang="pl-PL" sz="1100" b="0" i="0">
              <a:solidFill>
                <a:schemeClr val="dk1"/>
              </a:solidFill>
              <a:effectLst/>
              <a:latin typeface="+mn-lt"/>
              <a:ea typeface="+mn-ea"/>
              <a:cs typeface="+mn-cs"/>
            </a:rPr>
            <a:t>, on the other hand,</a:t>
          </a:r>
          <a:r>
            <a:rPr lang="en-US" sz="1100" b="0" i="0">
              <a:solidFill>
                <a:schemeClr val="dk1"/>
              </a:solidFill>
              <a:effectLst/>
              <a:latin typeface="+mn-lt"/>
              <a:ea typeface="+mn-ea"/>
              <a:cs typeface="+mn-cs"/>
            </a:rPr>
            <a:t> increases financial risk</a:t>
          </a:r>
          <a:r>
            <a:rPr lang="pl-PL" sz="1100" b="0" i="0">
              <a:solidFill>
                <a:schemeClr val="dk1"/>
              </a:solidFill>
              <a:effectLst/>
              <a:latin typeface="+mn-lt"/>
              <a:ea typeface="+mn-ea"/>
              <a:cs typeface="+mn-cs"/>
            </a:rPr>
            <a:t> for the Company</a:t>
          </a:r>
          <a:r>
            <a:rPr lang="en-US" sz="1100" b="0" i="0">
              <a:solidFill>
                <a:schemeClr val="dk1"/>
              </a:solidFill>
              <a:effectLst/>
              <a:latin typeface="+mn-lt"/>
              <a:ea typeface="+mn-ea"/>
              <a:cs typeface="+mn-cs"/>
            </a:rPr>
            <a:t>, as </a:t>
          </a:r>
          <a:r>
            <a:rPr lang="pl-PL" sz="1100" b="0" i="0">
              <a:solidFill>
                <a:schemeClr val="dk1"/>
              </a:solidFill>
              <a:effectLst/>
              <a:latin typeface="+mn-lt"/>
              <a:ea typeface="+mn-ea"/>
              <a:cs typeface="+mn-cs"/>
            </a:rPr>
            <a:t>it</a:t>
          </a:r>
          <a:r>
            <a:rPr lang="en-US" sz="1100" b="0" i="0">
              <a:solidFill>
                <a:schemeClr val="dk1"/>
              </a:solidFill>
              <a:effectLst/>
              <a:latin typeface="+mn-lt"/>
              <a:ea typeface="+mn-ea"/>
              <a:cs typeface="+mn-cs"/>
            </a:rPr>
            <a:t> must meet debt repayments regardless of its financial performance. The company should ensure it can manage the loan repayments in the initial years to mitigate financial risks. </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ecuring more favourable loan terms may further reduce risks associated with Scenario 1.</a:t>
          </a:r>
          <a:endParaRPr lang="en-US">
            <a:effectLst/>
          </a:endParaRPr>
        </a:p>
        <a:p>
          <a:endParaRPr lang="pl-PL" sz="1100" b="0" i="0">
            <a:solidFill>
              <a:schemeClr val="dk1"/>
            </a:solidFill>
            <a:effectLst/>
            <a:latin typeface="+mn-lt"/>
            <a:ea typeface="+mn-ea"/>
            <a:cs typeface="+mn-cs"/>
          </a:endParaRPr>
        </a:p>
      </xdr:txBody>
    </xdr:sp>
    <xdr:clientData/>
  </xdr:twoCellAnchor>
  <xdr:twoCellAnchor>
    <xdr:from>
      <xdr:col>3</xdr:col>
      <xdr:colOff>839467</xdr:colOff>
      <xdr:row>130</xdr:row>
      <xdr:rowOff>10797</xdr:rowOff>
    </xdr:from>
    <xdr:to>
      <xdr:col>7</xdr:col>
      <xdr:colOff>985144</xdr:colOff>
      <xdr:row>146</xdr:row>
      <xdr:rowOff>184362</xdr:rowOff>
    </xdr:to>
    <xdr:graphicFrame macro="">
      <xdr:nvGraphicFramePr>
        <xdr:cNvPr id="50" name="Chart 49">
          <a:extLst>
            <a:ext uri="{FF2B5EF4-FFF2-40B4-BE49-F238E27FC236}">
              <a16:creationId xmlns:a16="http://schemas.microsoft.com/office/drawing/2014/main" id="{85528CB6-0017-4D83-BC72-C9D2A8627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31111</xdr:colOff>
      <xdr:row>130</xdr:row>
      <xdr:rowOff>4657</xdr:rowOff>
    </xdr:from>
    <xdr:to>
      <xdr:col>11</xdr:col>
      <xdr:colOff>1126067</xdr:colOff>
      <xdr:row>146</xdr:row>
      <xdr:rowOff>186267</xdr:rowOff>
    </xdr:to>
    <xdr:graphicFrame macro="">
      <xdr:nvGraphicFramePr>
        <xdr:cNvPr id="51" name="Chart 50">
          <a:extLst>
            <a:ext uri="{FF2B5EF4-FFF2-40B4-BE49-F238E27FC236}">
              <a16:creationId xmlns:a16="http://schemas.microsoft.com/office/drawing/2014/main" id="{C4878E67-E034-4105-80E4-EB6A64796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5715</xdr:colOff>
      <xdr:row>553</xdr:row>
      <xdr:rowOff>424</xdr:rowOff>
    </xdr:from>
    <xdr:to>
      <xdr:col>11</xdr:col>
      <xdr:colOff>706543</xdr:colOff>
      <xdr:row>572</xdr:row>
      <xdr:rowOff>22650</xdr:rowOff>
    </xdr:to>
    <xdr:graphicFrame macro="">
      <xdr:nvGraphicFramePr>
        <xdr:cNvPr id="52" name="Chart 51">
          <a:extLst>
            <a:ext uri="{FF2B5EF4-FFF2-40B4-BE49-F238E27FC236}">
              <a16:creationId xmlns:a16="http://schemas.microsoft.com/office/drawing/2014/main" id="{45EAC74E-2CBE-45E9-BC8E-85D49548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454452</xdr:colOff>
      <xdr:row>573</xdr:row>
      <xdr:rowOff>187324</xdr:rowOff>
    </xdr:from>
    <xdr:to>
      <xdr:col>5</xdr:col>
      <xdr:colOff>450639</xdr:colOff>
      <xdr:row>592</xdr:row>
      <xdr:rowOff>186267</xdr:rowOff>
    </xdr:to>
    <xdr:graphicFrame macro="">
      <xdr:nvGraphicFramePr>
        <xdr:cNvPr id="53" name="Chart 52">
          <a:extLst>
            <a:ext uri="{FF2B5EF4-FFF2-40B4-BE49-F238E27FC236}">
              <a16:creationId xmlns:a16="http://schemas.microsoft.com/office/drawing/2014/main" id="{F54B63D5-77C2-41D1-8D1B-080EE987D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425449</xdr:colOff>
      <xdr:row>355</xdr:row>
      <xdr:rowOff>190500</xdr:rowOff>
    </xdr:from>
    <xdr:to>
      <xdr:col>12</xdr:col>
      <xdr:colOff>20105</xdr:colOff>
      <xdr:row>372</xdr:row>
      <xdr:rowOff>8466</xdr:rowOff>
    </xdr:to>
    <xdr:graphicFrame macro="">
      <xdr:nvGraphicFramePr>
        <xdr:cNvPr id="54" name="Chart 53">
          <a:extLst>
            <a:ext uri="{FF2B5EF4-FFF2-40B4-BE49-F238E27FC236}">
              <a16:creationId xmlns:a16="http://schemas.microsoft.com/office/drawing/2014/main" id="{1FD04F76-9F5A-4CD9-909D-3075AC738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1124161</xdr:colOff>
      <xdr:row>658</xdr:row>
      <xdr:rowOff>12278</xdr:rowOff>
    </xdr:from>
    <xdr:to>
      <xdr:col>11</xdr:col>
      <xdr:colOff>702732</xdr:colOff>
      <xdr:row>677</xdr:row>
      <xdr:rowOff>0</xdr:rowOff>
    </xdr:to>
    <xdr:graphicFrame macro="">
      <xdr:nvGraphicFramePr>
        <xdr:cNvPr id="55" name="Chart 54">
          <a:extLst>
            <a:ext uri="{FF2B5EF4-FFF2-40B4-BE49-F238E27FC236}">
              <a16:creationId xmlns:a16="http://schemas.microsoft.com/office/drawing/2014/main" id="{62DECA2D-45BF-49BC-8050-C2704D03F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880532</xdr:colOff>
      <xdr:row>512</xdr:row>
      <xdr:rowOff>4655</xdr:rowOff>
    </xdr:from>
    <xdr:to>
      <xdr:col>10</xdr:col>
      <xdr:colOff>9525</xdr:colOff>
      <xdr:row>529</xdr:row>
      <xdr:rowOff>57150</xdr:rowOff>
    </xdr:to>
    <xdr:graphicFrame macro="">
      <xdr:nvGraphicFramePr>
        <xdr:cNvPr id="56" name="Chart 55">
          <a:extLst>
            <a:ext uri="{FF2B5EF4-FFF2-40B4-BE49-F238E27FC236}">
              <a16:creationId xmlns:a16="http://schemas.microsoft.com/office/drawing/2014/main" id="{F76F2373-A8BE-42E1-83EC-D8CB46B7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6561</xdr:colOff>
      <xdr:row>679</xdr:row>
      <xdr:rowOff>5715</xdr:rowOff>
    </xdr:from>
    <xdr:to>
      <xdr:col>11</xdr:col>
      <xdr:colOff>702733</xdr:colOff>
      <xdr:row>697</xdr:row>
      <xdr:rowOff>186267</xdr:rowOff>
    </xdr:to>
    <xdr:graphicFrame macro="">
      <xdr:nvGraphicFramePr>
        <xdr:cNvPr id="57" name="Chart 56">
          <a:extLst>
            <a:ext uri="{FF2B5EF4-FFF2-40B4-BE49-F238E27FC236}">
              <a16:creationId xmlns:a16="http://schemas.microsoft.com/office/drawing/2014/main" id="{6FEE1DB9-232A-4C26-B1CB-D83087E88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atrycja Danilczuk" id="{28FE677B-0305-4BA9-83BE-C70C5812CF1C}" userId="35c55d006493a61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079DB-5483-45A3-A103-DF40E933ACB9}" name="Table1" displayName="Table1" ref="A19:L115" totalsRowShown="0" headerRowDxfId="16" headerRowBorderDxfId="15" tableBorderDxfId="14" totalsRowBorderDxfId="13">
  <autoFilter ref="A19:L115" xr:uid="{76E570C6-E7C2-4912-BF0A-B57DA7F57C30}"/>
  <tableColumns count="12">
    <tableColumn id="1" xr3:uid="{28E18638-6991-4160-AC73-6EC07A2EEA83}" name="Industry Name" dataDxfId="12"/>
    <tableColumn id="2" xr3:uid="{F291E671-9AA2-4A97-9F49-4A22808AD59D}" name="Number of Firms" dataDxfId="11"/>
    <tableColumn id="3" xr3:uid="{A9F3A1FD-7D74-46A8-9F89-CC581180E37C}" name="Beta" dataDxfId="10"/>
    <tableColumn id="4" xr3:uid="{15BDE6ED-30CB-47E9-99BE-D1511878B257}" name="Cost of Equity" dataDxfId="9">
      <calculatedColumnFormula>$D$9+C20*$D$10</calculatedColumnFormula>
    </tableColumn>
    <tableColumn id="5" xr3:uid="{BA8F0F4B-9452-44D7-9E45-9D1523F1B33A}" name="E/(D+E)" dataDxfId="8"/>
    <tableColumn id="6" xr3:uid="{524701C8-85E1-4A0E-ABFC-7D0D6B77B98E}" name="Std Dev in Stock" dataDxfId="7"/>
    <tableColumn id="7" xr3:uid="{26982F1B-F87A-4A04-9A32-67A45D781D60}" name="Cost of Debt" dataDxfId="6">
      <calculatedColumnFormula>$D$9+VLOOKUP(F20,$G$10:$I$16,3)+$D$11</calculatedColumnFormula>
    </tableColumn>
    <tableColumn id="8" xr3:uid="{CFB19858-652C-46A3-B9E8-9832B1B6DA9A}" name="Tax Rate" dataDxfId="5"/>
    <tableColumn id="9" xr3:uid="{95B2E2C8-995A-418B-A017-12CF545DD7D2}" name="After-tax Cost of Debt" dataDxfId="4">
      <calculatedColumnFormula>IF($F$12="Yes",G20*(1-$F$13),G20*(1-H20))</calculatedColumnFormula>
    </tableColumn>
    <tableColumn id="10" xr3:uid="{9F958368-E254-471B-88C3-8CE62A079A41}" name="D/(D+E)" dataDxfId="3">
      <calculatedColumnFormula>1-E20</calculatedColumnFormula>
    </tableColumn>
    <tableColumn id="11" xr3:uid="{8B87F257-829B-45E7-9638-8D273009AD98}" name="Cost of Capital" dataDxfId="2">
      <calculatedColumnFormula>D20*(1-J20)+I20*J20</calculatedColumnFormula>
    </tableColumn>
    <tableColumn id="12" xr3:uid="{F1147295-3382-4A2B-BF3D-8E761A669219}" name="Cost of Capital (Euros)" dataDxfId="1">
      <calculatedColumnFormula>(1+K20)*((1+$C$16)/(1+$C$17))-1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181" dT="2024-05-17T12:16:57.37" personId="{28FE677B-0305-4BA9-83BE-C70C5812CF1C}" id="{BD6DCC19-D57F-4E0C-A539-E1D33688D998}">
    <text>Since the first year repayment is 500.000 EUR it is assumed that the company will take 500.000 EUR of the loan in the first year rather than 450.000.</text>
  </threadedComment>
  <threadedComment ref="I192" dT="2024-05-17T16:00:05.63" personId="{28FE677B-0305-4BA9-83BE-C70C5812CF1C}" id="{944A8862-5F61-4610-84BA-FEAEF0FAA963}">
    <text>Additional Employees after implementation of the project: 10 with average company salary</text>
  </threadedComment>
  <threadedComment ref="J192" dT="2024-05-17T16:00:48.54" personId="{28FE677B-0305-4BA9-83BE-C70C5812CF1C}" id="{C2719657-F081-407C-89BE-19397012CF85}">
    <text>Marketing budgets adjusted to maintain projected sales.</text>
  </threadedComment>
  <threadedComment ref="H206" dT="2024-05-20T07:19:41.53" personId="{28FE677B-0305-4BA9-83BE-C70C5812CF1C}" id="{B2364EC1-61D8-4A31-9493-F157EDAAFD1B}">
    <text>2x the average salary of the company; infaltion planned after implementation of the project.</text>
  </threadedComment>
  <threadedComment ref="I206" dT="2024-05-20T07:16:39.66" personId="{28FE677B-0305-4BA9-83BE-C70C5812CF1C}" id="{463B31F4-E3AB-4D24-9C9E-8C71D9620D54}">
    <text>the provision and development of services will require the hiring of 10 people with 2x the average salary of the company starting in the first year. 
After the implementation of the campaign, it is planned to receive 5 people each year in the following periods.</text>
  </threadedComment>
  <threadedComment ref="K206" dT="2024-05-17T15:57:12.53" personId="{28FE677B-0305-4BA9-83BE-C70C5812CF1C}" id="{30A604BC-A767-46B0-A81E-EBF45802AA23}">
    <text>After campaign end, advertising budgets are expected to fall to € 1 million per year. We do not adjust inflation as the budget is given.</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tatista.com/statistics/1440325/forecasts-inflation-hicp-rate-european-union/" TargetMode="External"/><Relationship Id="rId7" Type="http://schemas.microsoft.com/office/2017/10/relationships/threadedComment" Target="../threadedComments/threadedComment1.xml"/><Relationship Id="rId2" Type="http://schemas.openxmlformats.org/officeDocument/2006/relationships/hyperlink" Target="https://ec.europa.eu/eurostat/statistics-explained/index.php?title=Consumer_prices_-_inflation" TargetMode="External"/><Relationship Id="rId1" Type="http://schemas.openxmlformats.org/officeDocument/2006/relationships/hyperlink" Target="https://pages.stern.nyu.edu/~adamodar/New_Home_Page/datacurrent.html?fbclid=IwZXh0bgNhZW0CMTAAAR2ZA4UAfETj5rgNOCKWprAbfo1dRmYW7qBZwCw5wZFQT2_6pmLDSfjN1i4_aem_AftDyP-0CnSdMKtTUwItrb8A-5-G9-lQ2aIBHM2znQ7JYlQYT1LBx8wFCwhUs2oesI0jimWzRak2Zq3925c0CPhu"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hyperlink" Target="https://youtu.be/ypvQuufNUrY?si=SV7z5u6uctKF7Uj3" TargetMode="Externa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FE3E5-C08E-4637-BFF8-74F86F2ABD6A}">
  <sheetPr>
    <tabColor rgb="FFFFFFCC"/>
  </sheetPr>
  <dimension ref="B1:Y722"/>
  <sheetViews>
    <sheetView showGridLines="0" showRowColHeaders="0" tabSelected="1" topLeftCell="B305" zoomScale="90" zoomScaleNormal="90" workbookViewId="0">
      <selection activeCell="M262" sqref="M262"/>
    </sheetView>
  </sheetViews>
  <sheetFormatPr defaultColWidth="12.6640625" defaultRowHeight="15" customHeight="1"/>
  <cols>
    <col min="1" max="1" width="2.88671875" customWidth="1"/>
    <col min="2" max="2" width="45.109375" customWidth="1"/>
    <col min="3" max="12" width="17" customWidth="1"/>
    <col min="13" max="13" width="18" customWidth="1"/>
    <col min="14" max="14" width="20.44140625" style="149" customWidth="1"/>
    <col min="15" max="17" width="17" style="149" customWidth="1"/>
    <col min="18" max="18" width="15.88671875" style="149" customWidth="1"/>
    <col min="19" max="19" width="12.6640625" style="149"/>
  </cols>
  <sheetData>
    <row r="1" spans="2:25" ht="15" customHeight="1">
      <c r="B1" s="64" t="s">
        <v>168</v>
      </c>
    </row>
    <row r="2" spans="2:25" ht="21.75" customHeight="1">
      <c r="B2" s="241" t="s">
        <v>442</v>
      </c>
      <c r="C2" s="239"/>
      <c r="D2" s="239"/>
      <c r="E2" s="239"/>
      <c r="F2" s="239"/>
      <c r="G2" s="239"/>
      <c r="H2" s="239"/>
      <c r="I2" s="239"/>
      <c r="J2" s="239"/>
      <c r="K2" s="239"/>
      <c r="L2" s="239"/>
      <c r="M2" s="239"/>
      <c r="N2" s="239"/>
      <c r="O2" s="239"/>
      <c r="P2" s="239"/>
      <c r="Q2" s="239"/>
      <c r="R2" s="240"/>
      <c r="S2"/>
      <c r="T2" s="149"/>
      <c r="U2" s="149"/>
      <c r="V2" s="149"/>
      <c r="W2" s="149"/>
      <c r="X2" s="149"/>
      <c r="Y2" s="149"/>
    </row>
    <row r="8" spans="2:25" ht="15" customHeight="1">
      <c r="B8" s="83" t="s">
        <v>443</v>
      </c>
    </row>
    <row r="13" spans="2:25" s="65" customFormat="1" ht="15" customHeight="1">
      <c r="N13" s="151"/>
      <c r="O13" s="151"/>
      <c r="P13" s="151"/>
      <c r="Q13" s="151"/>
      <c r="R13" s="151"/>
      <c r="S13" s="151"/>
    </row>
    <row r="14" spans="2:25" ht="15" customHeight="1">
      <c r="B14" s="64"/>
    </row>
    <row r="15" spans="2:25" s="65" customFormat="1" ht="15" customHeight="1">
      <c r="N15" s="151"/>
      <c r="O15" s="151"/>
      <c r="P15" s="151"/>
      <c r="Q15" s="151"/>
      <c r="R15" s="151"/>
      <c r="S15" s="151"/>
    </row>
    <row r="17" spans="2:8" ht="15" customHeight="1">
      <c r="B17" s="2"/>
    </row>
    <row r="18" spans="2:8" ht="15" customHeight="1">
      <c r="B18" s="2"/>
    </row>
    <row r="19" spans="2:8" ht="15" customHeight="1">
      <c r="B19" s="2"/>
    </row>
    <row r="20" spans="2:8" ht="15" customHeight="1">
      <c r="B20" s="1"/>
    </row>
    <row r="21" spans="2:8" ht="15" customHeight="1">
      <c r="B21" s="2"/>
    </row>
    <row r="22" spans="2:8" ht="15" customHeight="1">
      <c r="B22" s="2"/>
    </row>
    <row r="23" spans="2:8" ht="15" customHeight="1">
      <c r="B23" s="87" t="s">
        <v>211</v>
      </c>
    </row>
    <row r="24" spans="2:8" ht="15" customHeight="1">
      <c r="B24" s="88"/>
    </row>
    <row r="25" spans="2:8" ht="15" customHeight="1">
      <c r="B25" s="82" t="s">
        <v>209</v>
      </c>
    </row>
    <row r="26" spans="2:8" ht="15" customHeight="1">
      <c r="B26" s="85" t="s">
        <v>212</v>
      </c>
    </row>
    <row r="27" spans="2:8" ht="15" customHeight="1">
      <c r="B27" s="85"/>
    </row>
    <row r="28" spans="2:8" ht="15" customHeight="1">
      <c r="B28" s="86"/>
      <c r="C28" s="170"/>
      <c r="D28" s="171" t="s">
        <v>32</v>
      </c>
      <c r="E28" s="172"/>
      <c r="F28" s="173"/>
      <c r="G28" s="174" t="s">
        <v>33</v>
      </c>
      <c r="H28" s="169"/>
    </row>
    <row r="29" spans="2:8" ht="15" customHeight="1">
      <c r="B29" s="154" t="s">
        <v>34</v>
      </c>
      <c r="C29" s="299" t="s">
        <v>35</v>
      </c>
      <c r="D29" s="300"/>
      <c r="E29" s="300"/>
      <c r="F29" s="297" t="s">
        <v>35</v>
      </c>
      <c r="G29" s="298"/>
      <c r="H29" s="298"/>
    </row>
    <row r="30" spans="2:8" ht="15" customHeight="1">
      <c r="B30" s="168"/>
      <c r="C30" s="168" t="s">
        <v>36</v>
      </c>
      <c r="D30" s="168">
        <v>2018</v>
      </c>
      <c r="E30" s="168">
        <v>2019</v>
      </c>
      <c r="F30" s="168" t="s">
        <v>36</v>
      </c>
      <c r="G30" s="168">
        <v>2018</v>
      </c>
      <c r="H30" s="168">
        <v>2019</v>
      </c>
    </row>
    <row r="31" spans="2:8" ht="15" customHeight="1">
      <c r="B31" s="165" t="s">
        <v>37</v>
      </c>
      <c r="C31" s="161">
        <v>1528273.2011121409</v>
      </c>
      <c r="D31" s="161">
        <f>C31*0.4</f>
        <v>611309.28044485638</v>
      </c>
      <c r="E31" s="161">
        <f>C31*0.6</f>
        <v>916963.92066728452</v>
      </c>
      <c r="F31" s="161">
        <v>0</v>
      </c>
      <c r="G31" s="161">
        <f>F31*0.4</f>
        <v>0</v>
      </c>
      <c r="H31" s="161">
        <f>F31*0.6</f>
        <v>0</v>
      </c>
    </row>
    <row r="32" spans="2:8" ht="15" customHeight="1">
      <c r="B32" s="165" t="s">
        <v>38</v>
      </c>
      <c r="C32" s="161">
        <v>3000000</v>
      </c>
      <c r="D32" s="161"/>
      <c r="E32" s="161">
        <f>C32</f>
        <v>3000000</v>
      </c>
      <c r="F32" s="161"/>
      <c r="G32" s="161"/>
      <c r="H32" s="161"/>
    </row>
    <row r="33" spans="2:19" ht="15" customHeight="1">
      <c r="B33" s="165" t="s">
        <v>39</v>
      </c>
      <c r="C33" s="161">
        <v>140000</v>
      </c>
      <c r="D33" s="161">
        <f>C33*0.4</f>
        <v>56000</v>
      </c>
      <c r="E33" s="161">
        <f>C33*0.6</f>
        <v>84000</v>
      </c>
      <c r="F33" s="161">
        <v>0</v>
      </c>
      <c r="G33" s="161">
        <f>F33*0.4</f>
        <v>0</v>
      </c>
      <c r="H33" s="161">
        <f>F33*0.6</f>
        <v>0</v>
      </c>
    </row>
    <row r="34" spans="2:19" ht="15" customHeight="1">
      <c r="B34" s="165" t="s">
        <v>40</v>
      </c>
      <c r="C34" s="161">
        <v>750000</v>
      </c>
      <c r="D34" s="161">
        <f>C34*0.5</f>
        <v>375000</v>
      </c>
      <c r="E34" s="161">
        <f>D34</f>
        <v>375000</v>
      </c>
      <c r="F34" s="161">
        <v>8000000</v>
      </c>
      <c r="G34" s="161">
        <f>F34*0.5</f>
        <v>4000000</v>
      </c>
      <c r="H34" s="161">
        <f>G34</f>
        <v>4000000</v>
      </c>
    </row>
    <row r="35" spans="2:19" ht="15" customHeight="1">
      <c r="B35" s="166" t="s">
        <v>41</v>
      </c>
      <c r="C35" s="162">
        <f t="shared" ref="C35:E35" si="0">SUM(C31:C34)</f>
        <v>5418273.2011121409</v>
      </c>
      <c r="D35" s="162">
        <f>SUM(D31:D34)</f>
        <v>1042309.2804448564</v>
      </c>
      <c r="E35" s="162">
        <f t="shared" si="0"/>
        <v>4375963.9206672851</v>
      </c>
      <c r="F35" s="162">
        <f t="shared" ref="F35:H35" si="1">SUM(F31:F34)</f>
        <v>8000000</v>
      </c>
      <c r="G35" s="162">
        <f t="shared" si="1"/>
        <v>4000000</v>
      </c>
      <c r="H35" s="162">
        <f t="shared" si="1"/>
        <v>4000000</v>
      </c>
    </row>
    <row r="36" spans="2:19" ht="15" customHeight="1">
      <c r="B36" s="167"/>
      <c r="C36" s="163"/>
      <c r="D36" s="163"/>
      <c r="E36" s="163"/>
      <c r="F36" s="163"/>
      <c r="G36" s="163"/>
      <c r="H36" s="163"/>
    </row>
    <row r="37" spans="2:19" ht="15" customHeight="1">
      <c r="B37" s="165" t="s">
        <v>42</v>
      </c>
      <c r="C37" s="161">
        <v>1200000</v>
      </c>
      <c r="D37" s="161">
        <f>C37-E37</f>
        <v>500000</v>
      </c>
      <c r="E37" s="161">
        <v>700000</v>
      </c>
      <c r="F37" s="161">
        <v>0</v>
      </c>
      <c r="G37" s="161">
        <v>0</v>
      </c>
      <c r="H37" s="161">
        <v>0</v>
      </c>
    </row>
    <row r="38" spans="2:19" ht="15" customHeight="1">
      <c r="B38" s="165" t="s">
        <v>43</v>
      </c>
      <c r="C38" s="164">
        <f t="shared" ref="C38:E38" si="2">C35-C37-C39</f>
        <v>2718273.2011121409</v>
      </c>
      <c r="D38" s="164">
        <f t="shared" si="2"/>
        <v>92309.280444856384</v>
      </c>
      <c r="E38" s="164">
        <f t="shared" si="2"/>
        <v>2625963.9206672851</v>
      </c>
      <c r="F38" s="164">
        <f t="shared" ref="F38:H38" si="3">F35-F37-F39</f>
        <v>8000000</v>
      </c>
      <c r="G38" s="164">
        <f t="shared" si="3"/>
        <v>4000000</v>
      </c>
      <c r="H38" s="164">
        <f t="shared" si="3"/>
        <v>4000000</v>
      </c>
      <c r="I38" s="64" t="s">
        <v>210</v>
      </c>
    </row>
    <row r="39" spans="2:19" ht="15" customHeight="1">
      <c r="B39" s="165" t="s">
        <v>44</v>
      </c>
      <c r="C39" s="161">
        <v>1500000</v>
      </c>
      <c r="D39" s="161">
        <f>C39*0.3</f>
        <v>450000</v>
      </c>
      <c r="E39" s="161">
        <f>C39-D39</f>
        <v>1050000</v>
      </c>
      <c r="F39" s="161">
        <v>0</v>
      </c>
      <c r="G39" s="161">
        <f>F39*0.4</f>
        <v>0</v>
      </c>
      <c r="H39" s="161">
        <f>F39*0.6</f>
        <v>0</v>
      </c>
    </row>
    <row r="40" spans="2:19" ht="15" customHeight="1">
      <c r="B40" s="166" t="s">
        <v>45</v>
      </c>
      <c r="C40" s="162">
        <f t="shared" ref="C40:E40" si="4">SUM(C37:C39)</f>
        <v>5418273.2011121409</v>
      </c>
      <c r="D40" s="162">
        <f t="shared" si="4"/>
        <v>1042309.2804448564</v>
      </c>
      <c r="E40" s="162">
        <f t="shared" si="4"/>
        <v>4375963.9206672851</v>
      </c>
      <c r="F40" s="162">
        <f t="shared" ref="F40:H40" si="5">SUM(F37:F39)</f>
        <v>8000000</v>
      </c>
      <c r="G40" s="162">
        <f t="shared" si="5"/>
        <v>4000000</v>
      </c>
      <c r="H40" s="162">
        <f t="shared" si="5"/>
        <v>4000000</v>
      </c>
    </row>
    <row r="41" spans="2:19" ht="15" customHeight="1">
      <c r="B41" s="89"/>
      <c r="C41" s="90"/>
      <c r="D41" s="90"/>
      <c r="E41" s="90"/>
      <c r="F41" s="90"/>
      <c r="G41" s="90"/>
      <c r="H41" s="90"/>
    </row>
    <row r="42" spans="2:19" ht="15" customHeight="1">
      <c r="B42" s="87" t="s">
        <v>166</v>
      </c>
    </row>
    <row r="43" spans="2:19" ht="15" customHeight="1">
      <c r="B43" s="2"/>
    </row>
    <row r="44" spans="2:19" s="82" customFormat="1" ht="15" customHeight="1">
      <c r="B44" s="181" t="s">
        <v>47</v>
      </c>
      <c r="N44" s="277"/>
      <c r="O44" s="277"/>
      <c r="P44" s="277"/>
      <c r="Q44" s="277"/>
      <c r="R44" s="277"/>
      <c r="S44" s="277"/>
    </row>
    <row r="45" spans="2:19" s="82" customFormat="1" ht="15" customHeight="1">
      <c r="B45" s="85" t="s">
        <v>48</v>
      </c>
      <c r="N45" s="277"/>
      <c r="O45" s="277"/>
      <c r="P45" s="277"/>
      <c r="Q45" s="277"/>
      <c r="R45" s="277"/>
      <c r="S45" s="277"/>
    </row>
    <row r="46" spans="2:19" s="82" customFormat="1" ht="15" customHeight="1">
      <c r="B46" s="85" t="s">
        <v>49</v>
      </c>
      <c r="N46" s="277"/>
      <c r="O46" s="277"/>
      <c r="P46" s="277"/>
      <c r="Q46" s="277"/>
      <c r="R46" s="277"/>
      <c r="S46" s="277"/>
    </row>
    <row r="47" spans="2:19" s="82" customFormat="1" ht="15" customHeight="1">
      <c r="N47" s="277"/>
      <c r="O47" s="277"/>
      <c r="P47" s="277"/>
      <c r="Q47" s="277"/>
      <c r="R47" s="277"/>
      <c r="S47" s="277"/>
    </row>
    <row r="48" spans="2:19" s="82" customFormat="1" ht="15" customHeight="1">
      <c r="B48" s="181" t="s">
        <v>50</v>
      </c>
      <c r="N48" s="277"/>
      <c r="O48" s="277"/>
      <c r="P48" s="277"/>
      <c r="Q48" s="277"/>
      <c r="R48" s="277"/>
      <c r="S48" s="277"/>
    </row>
    <row r="49" spans="2:25" s="82" customFormat="1" ht="15" customHeight="1">
      <c r="B49" s="85" t="s">
        <v>51</v>
      </c>
      <c r="N49" s="277"/>
      <c r="O49" s="277"/>
      <c r="P49" s="277"/>
      <c r="Q49" s="277"/>
      <c r="R49" s="277"/>
      <c r="S49" s="277"/>
    </row>
    <row r="50" spans="2:25" s="82" customFormat="1" ht="15" customHeight="1">
      <c r="B50" s="85" t="s">
        <v>52</v>
      </c>
      <c r="N50" s="277"/>
      <c r="O50" s="277"/>
      <c r="P50" s="277"/>
      <c r="Q50" s="277"/>
      <c r="R50" s="277"/>
      <c r="S50" s="277"/>
    </row>
    <row r="51" spans="2:25" s="82" customFormat="1" ht="15" customHeight="1">
      <c r="B51" s="85"/>
      <c r="N51" s="277"/>
      <c r="O51" s="277"/>
      <c r="P51" s="277"/>
      <c r="Q51" s="277"/>
      <c r="R51" s="277"/>
      <c r="S51" s="277"/>
    </row>
    <row r="52" spans="2:25" ht="15" customHeight="1">
      <c r="B52" s="1"/>
    </row>
    <row r="53" spans="2:25" ht="15" customHeight="1">
      <c r="B53" s="1"/>
    </row>
    <row r="54" spans="2:25" s="84" customFormat="1" ht="21.75" customHeight="1">
      <c r="B54" s="242" t="s">
        <v>203</v>
      </c>
      <c r="C54" s="243"/>
      <c r="D54" s="243"/>
      <c r="E54" s="243"/>
      <c r="F54" s="243"/>
      <c r="G54" s="243"/>
      <c r="H54" s="243"/>
      <c r="I54" s="243"/>
      <c r="J54" s="243"/>
      <c r="K54" s="243"/>
      <c r="L54" s="243"/>
      <c r="M54" s="243"/>
      <c r="N54" s="243"/>
      <c r="O54" s="243"/>
      <c r="P54" s="243"/>
      <c r="Q54" s="243"/>
      <c r="R54" s="244"/>
      <c r="T54" s="291"/>
      <c r="U54" s="291"/>
      <c r="V54" s="291"/>
      <c r="W54" s="291"/>
      <c r="X54" s="291"/>
      <c r="Y54" s="291"/>
    </row>
    <row r="55" spans="2:25" ht="15" customHeight="1">
      <c r="B55" s="2"/>
    </row>
    <row r="56" spans="2:25" s="82" customFormat="1" ht="15" customHeight="1">
      <c r="B56" s="85" t="s">
        <v>444</v>
      </c>
      <c r="N56" s="277"/>
      <c r="O56" s="277"/>
      <c r="P56" s="277"/>
      <c r="Q56" s="277"/>
      <c r="R56" s="277"/>
      <c r="S56" s="277"/>
    </row>
    <row r="57" spans="2:25" s="82" customFormat="1" ht="15" customHeight="1">
      <c r="B57" s="85" t="s">
        <v>445</v>
      </c>
      <c r="N57" s="277"/>
      <c r="O57" s="277"/>
      <c r="P57" s="277"/>
      <c r="Q57" s="277"/>
      <c r="R57" s="277"/>
      <c r="S57" s="277"/>
    </row>
    <row r="58" spans="2:25" ht="15" customHeight="1">
      <c r="B58" s="3"/>
    </row>
    <row r="59" spans="2:25" ht="15" customHeight="1">
      <c r="B59" s="2"/>
    </row>
    <row r="60" spans="2:25" ht="15" customHeight="1">
      <c r="B60" s="1"/>
    </row>
    <row r="61" spans="2:25" ht="15" customHeight="1">
      <c r="B61" s="1"/>
    </row>
    <row r="62" spans="2:25" ht="15" customHeight="1">
      <c r="B62" s="1"/>
    </row>
    <row r="63" spans="2:25" ht="15" customHeight="1">
      <c r="B63" s="67"/>
    </row>
    <row r="64" spans="2:25" ht="15" customHeight="1">
      <c r="B64" s="67"/>
    </row>
    <row r="65" spans="2:3" ht="15" customHeight="1">
      <c r="B65" s="1"/>
    </row>
    <row r="66" spans="2:3" ht="15" customHeight="1">
      <c r="B66" s="67"/>
    </row>
    <row r="67" spans="2:3" ht="15" customHeight="1">
      <c r="B67" s="67"/>
    </row>
    <row r="68" spans="2:3" ht="15" customHeight="1">
      <c r="B68" s="1"/>
    </row>
    <row r="69" spans="2:3" ht="15" customHeight="1">
      <c r="B69" s="1"/>
    </row>
    <row r="70" spans="2:3" ht="15" customHeight="1">
      <c r="B70" s="1"/>
    </row>
    <row r="71" spans="2:3" ht="15" customHeight="1">
      <c r="B71" s="67"/>
    </row>
    <row r="72" spans="2:3" ht="15" customHeight="1">
      <c r="B72" s="67"/>
    </row>
    <row r="73" spans="2:3" ht="15" customHeight="1">
      <c r="B73" s="68"/>
    </row>
    <row r="74" spans="2:3" ht="15" customHeight="1">
      <c r="B74" s="67"/>
    </row>
    <row r="75" spans="2:3" ht="15" customHeight="1">
      <c r="B75" s="1"/>
    </row>
    <row r="76" spans="2:3" ht="15" customHeight="1">
      <c r="B76" s="64"/>
    </row>
    <row r="77" spans="2:3" ht="15" customHeight="1">
      <c r="B77" s="69"/>
    </row>
    <row r="78" spans="2:3" ht="15" customHeight="1">
      <c r="B78" s="70"/>
      <c r="C78" s="66"/>
    </row>
    <row r="79" spans="2:3" ht="15" customHeight="1">
      <c r="B79" s="68"/>
      <c r="C79" s="66"/>
    </row>
    <row r="80" spans="2:3" ht="15" customHeight="1">
      <c r="B80" s="69"/>
    </row>
    <row r="81" spans="2:3" ht="15" customHeight="1">
      <c r="B81" s="69"/>
    </row>
    <row r="82" spans="2:3" ht="15" customHeight="1">
      <c r="B82" s="69"/>
    </row>
    <row r="83" spans="2:3" ht="15" customHeight="1">
      <c r="B83" s="69"/>
    </row>
    <row r="84" spans="2:3" ht="15" customHeight="1">
      <c r="B84" s="69"/>
    </row>
    <row r="85" spans="2:3" ht="15" customHeight="1">
      <c r="B85" s="69"/>
    </row>
    <row r="86" spans="2:3" ht="15" customHeight="1">
      <c r="B86" s="69"/>
    </row>
    <row r="87" spans="2:3" ht="15" customHeight="1">
      <c r="B87" s="69"/>
    </row>
    <row r="88" spans="2:3" ht="15" customHeight="1">
      <c r="B88" s="148" t="s">
        <v>446</v>
      </c>
    </row>
    <row r="89" spans="2:3" ht="15" customHeight="1">
      <c r="B89" s="69" t="s">
        <v>375</v>
      </c>
      <c r="C89" s="66" t="s">
        <v>167</v>
      </c>
    </row>
    <row r="90" spans="2:3" ht="15" customHeight="1">
      <c r="B90" s="69" t="s">
        <v>376</v>
      </c>
      <c r="C90" s="147" t="s">
        <v>377</v>
      </c>
    </row>
    <row r="91" spans="2:3" ht="15" customHeight="1">
      <c r="B91" s="69" t="s">
        <v>378</v>
      </c>
      <c r="C91" s="66" t="s">
        <v>379</v>
      </c>
    </row>
    <row r="92" spans="2:3" ht="15" customHeight="1">
      <c r="B92" s="69" t="s">
        <v>380</v>
      </c>
      <c r="C92" s="66" t="s">
        <v>381</v>
      </c>
    </row>
    <row r="93" spans="2:3" ht="15" customHeight="1">
      <c r="B93" s="69"/>
    </row>
    <row r="94" spans="2:3" ht="15" customHeight="1">
      <c r="B94" s="69"/>
    </row>
    <row r="95" spans="2:3" ht="15" customHeight="1">
      <c r="B95" s="68"/>
      <c r="C95" s="66"/>
    </row>
    <row r="96" spans="2:3" ht="15" customHeight="1">
      <c r="B96" s="70"/>
      <c r="C96" s="66"/>
    </row>
    <row r="97" spans="2:25" ht="15" customHeight="1">
      <c r="B97" s="70"/>
      <c r="C97" s="66"/>
    </row>
    <row r="98" spans="2:25" ht="15" customHeight="1">
      <c r="B98" s="64"/>
    </row>
    <row r="99" spans="2:25" ht="15" customHeight="1">
      <c r="B99" s="64"/>
    </row>
    <row r="100" spans="2:25" ht="15" customHeight="1">
      <c r="B100" s="64"/>
    </row>
    <row r="101" spans="2:25" ht="15" customHeight="1">
      <c r="B101" s="64"/>
    </row>
    <row r="102" spans="2:25" ht="15" customHeight="1">
      <c r="B102" s="64"/>
    </row>
    <row r="103" spans="2:25" ht="15" customHeight="1">
      <c r="B103" s="64"/>
    </row>
    <row r="104" spans="2:25" ht="15" customHeight="1">
      <c r="B104" s="64"/>
    </row>
    <row r="105" spans="2:25" ht="15" customHeight="1">
      <c r="B105" s="64"/>
    </row>
    <row r="106" spans="2:25" ht="15" customHeight="1">
      <c r="B106" s="64"/>
    </row>
    <row r="107" spans="2:25" ht="15" customHeight="1">
      <c r="B107" s="64"/>
    </row>
    <row r="108" spans="2:25" ht="15" customHeight="1">
      <c r="B108" s="64"/>
    </row>
    <row r="109" spans="2:25" ht="15" customHeight="1">
      <c r="B109" s="64"/>
    </row>
    <row r="110" spans="2:25" ht="22.5" customHeight="1">
      <c r="B110" s="241" t="s">
        <v>382</v>
      </c>
      <c r="C110" s="245"/>
      <c r="D110" s="245"/>
      <c r="E110" s="245"/>
      <c r="F110" s="245"/>
      <c r="G110" s="245"/>
      <c r="H110" s="245"/>
      <c r="I110" s="245"/>
      <c r="J110" s="245"/>
      <c r="K110" s="245"/>
      <c r="L110" s="245"/>
      <c r="M110" s="245"/>
      <c r="N110" s="245"/>
      <c r="O110" s="245"/>
      <c r="P110" s="245"/>
      <c r="Q110" s="245"/>
      <c r="R110" s="246"/>
      <c r="S110"/>
      <c r="T110" s="149"/>
      <c r="U110" s="149"/>
      <c r="V110" s="149"/>
      <c r="W110" s="149"/>
      <c r="X110" s="149"/>
      <c r="Y110" s="149"/>
    </row>
    <row r="111" spans="2:25" ht="15" customHeight="1">
      <c r="B111" s="64"/>
    </row>
    <row r="112" spans="2:25" ht="21" customHeight="1">
      <c r="B112" s="248" t="s">
        <v>447</v>
      </c>
      <c r="C112" s="249"/>
      <c r="D112" s="249"/>
      <c r="E112" s="249"/>
      <c r="F112" s="249"/>
      <c r="G112" s="249"/>
      <c r="H112" s="249"/>
      <c r="I112" s="249"/>
      <c r="J112" s="249"/>
      <c r="K112" s="249"/>
      <c r="L112" s="249"/>
      <c r="M112" s="249"/>
      <c r="N112" s="249"/>
      <c r="O112" s="249"/>
      <c r="P112" s="249"/>
      <c r="Q112" s="249"/>
      <c r="R112" s="250"/>
      <c r="S112"/>
      <c r="T112" s="149"/>
      <c r="U112" s="149"/>
      <c r="V112" s="149"/>
      <c r="W112" s="149"/>
      <c r="X112" s="149"/>
      <c r="Y112" s="149"/>
    </row>
    <row r="113" spans="2:6" ht="15" customHeight="1">
      <c r="B113" s="84"/>
    </row>
    <row r="114" spans="2:6" ht="15" customHeight="1">
      <c r="B114" s="64"/>
      <c r="C114" s="297" t="s">
        <v>35</v>
      </c>
      <c r="D114" s="298"/>
      <c r="E114" s="298"/>
    </row>
    <row r="115" spans="2:6" ht="15" customHeight="1">
      <c r="B115" s="158" t="s">
        <v>189</v>
      </c>
      <c r="C115" s="154">
        <v>2018</v>
      </c>
      <c r="D115" s="154">
        <v>2019</v>
      </c>
      <c r="E115" s="155" t="s">
        <v>36</v>
      </c>
    </row>
    <row r="116" spans="2:6" ht="15" customHeight="1">
      <c r="B116" s="159" t="s">
        <v>204</v>
      </c>
      <c r="C116" s="156">
        <f>D40</f>
        <v>1042309.2804448564</v>
      </c>
      <c r="D116" s="156">
        <f>E40</f>
        <v>4375963.9206672851</v>
      </c>
      <c r="E116" s="156">
        <f>SUM(C116:D116)</f>
        <v>5418273.2011121418</v>
      </c>
      <c r="F116" s="247">
        <f>E116/E117</f>
        <v>0.67728415013901777</v>
      </c>
    </row>
    <row r="117" spans="2:6" ht="15" customHeight="1">
      <c r="B117" s="160" t="s">
        <v>205</v>
      </c>
      <c r="C117" s="157">
        <v>4000000</v>
      </c>
      <c r="D117" s="157">
        <v>4000000</v>
      </c>
      <c r="E117" s="157">
        <f>SUM(C117:D117)</f>
        <v>8000000</v>
      </c>
    </row>
    <row r="118" spans="2:6" ht="15" customHeight="1">
      <c r="B118" s="64"/>
      <c r="C118" s="266"/>
      <c r="D118" s="266"/>
      <c r="E118" s="266"/>
    </row>
    <row r="119" spans="2:6" ht="15" customHeight="1">
      <c r="B119" s="64"/>
      <c r="C119" s="297" t="s">
        <v>35</v>
      </c>
      <c r="D119" s="298"/>
      <c r="E119" s="298"/>
    </row>
    <row r="120" spans="2:6" ht="15" customHeight="1">
      <c r="B120" s="158" t="s">
        <v>415</v>
      </c>
      <c r="C120" s="283" t="s">
        <v>413</v>
      </c>
      <c r="D120" s="283" t="s">
        <v>414</v>
      </c>
      <c r="E120" s="155" t="s">
        <v>36</v>
      </c>
    </row>
    <row r="121" spans="2:6" ht="15" customHeight="1">
      <c r="B121" s="159" t="s">
        <v>204</v>
      </c>
      <c r="C121" s="284">
        <f>C38</f>
        <v>2718273.2011121409</v>
      </c>
      <c r="D121" s="285">
        <f>C37+C39</f>
        <v>2700000</v>
      </c>
      <c r="E121" s="156">
        <f>SUM(C121:D121)</f>
        <v>5418273.2011121409</v>
      </c>
    </row>
    <row r="122" spans="2:6" ht="15" customHeight="1">
      <c r="B122" s="160" t="s">
        <v>205</v>
      </c>
      <c r="C122" s="284">
        <f>F40</f>
        <v>8000000</v>
      </c>
      <c r="D122" s="285">
        <v>0</v>
      </c>
      <c r="E122" s="157">
        <f>SUM(C122:D122)</f>
        <v>8000000</v>
      </c>
    </row>
    <row r="123" spans="2:6" ht="15" customHeight="1">
      <c r="B123" s="64"/>
    </row>
    <row r="124" spans="2:6" ht="15" customHeight="1">
      <c r="B124" s="64"/>
      <c r="C124" s="297" t="s">
        <v>35</v>
      </c>
      <c r="D124" s="298"/>
      <c r="E124" s="298"/>
    </row>
    <row r="125" spans="2:6" ht="15" customHeight="1">
      <c r="B125" s="158" t="s">
        <v>427</v>
      </c>
      <c r="C125" s="283" t="s">
        <v>454</v>
      </c>
      <c r="D125" s="283" t="s">
        <v>455</v>
      </c>
      <c r="E125" s="155" t="s">
        <v>36</v>
      </c>
    </row>
    <row r="126" spans="2:6" ht="15" customHeight="1">
      <c r="B126" s="159" t="s">
        <v>204</v>
      </c>
      <c r="C126" s="284">
        <f>C31+C32</f>
        <v>4528273.2011121409</v>
      </c>
      <c r="D126" s="285">
        <f>C33+C34</f>
        <v>890000</v>
      </c>
      <c r="E126" s="156">
        <f>SUM(C126:D126)</f>
        <v>5418273.2011121409</v>
      </c>
    </row>
    <row r="127" spans="2:6" ht="15" customHeight="1">
      <c r="B127" s="160" t="s">
        <v>205</v>
      </c>
      <c r="C127" s="284">
        <f>F45</f>
        <v>0</v>
      </c>
      <c r="D127" s="285">
        <f>F34</f>
        <v>8000000</v>
      </c>
      <c r="E127" s="157">
        <f>SUM(C127:D127)</f>
        <v>8000000</v>
      </c>
    </row>
    <row r="128" spans="2:6" ht="15" customHeight="1">
      <c r="B128" s="64"/>
      <c r="C128" s="266"/>
      <c r="D128" s="266"/>
      <c r="E128" s="266"/>
    </row>
    <row r="129" spans="2:5" ht="15" customHeight="1">
      <c r="B129" s="64"/>
      <c r="C129" s="266"/>
      <c r="D129" s="266"/>
      <c r="E129" s="266"/>
    </row>
    <row r="130" spans="2:5" ht="15" customHeight="1">
      <c r="B130" s="64"/>
      <c r="C130" s="266"/>
      <c r="D130" s="266"/>
      <c r="E130" s="266"/>
    </row>
    <row r="131" spans="2:5" ht="15" customHeight="1">
      <c r="B131" s="64"/>
      <c r="C131" s="266"/>
      <c r="D131" s="266"/>
      <c r="E131" s="266"/>
    </row>
    <row r="132" spans="2:5" ht="15" customHeight="1">
      <c r="B132" s="64"/>
      <c r="C132" s="266"/>
      <c r="D132" s="266"/>
      <c r="E132" s="266"/>
    </row>
    <row r="133" spans="2:5" ht="15" customHeight="1">
      <c r="B133" s="64"/>
      <c r="C133" s="266"/>
      <c r="D133" s="266"/>
      <c r="E133" s="266"/>
    </row>
    <row r="134" spans="2:5" ht="15" customHeight="1">
      <c r="B134" s="64"/>
      <c r="C134" s="266"/>
      <c r="D134" s="266"/>
      <c r="E134" s="266"/>
    </row>
    <row r="135" spans="2:5" ht="15" customHeight="1">
      <c r="B135" s="64"/>
      <c r="C135" s="266"/>
      <c r="D135" s="266"/>
      <c r="E135" s="266"/>
    </row>
    <row r="136" spans="2:5" ht="15" customHeight="1">
      <c r="B136" s="64"/>
      <c r="C136" s="266"/>
      <c r="D136" s="266"/>
      <c r="E136" s="266"/>
    </row>
    <row r="137" spans="2:5" ht="15" customHeight="1">
      <c r="B137" s="64"/>
      <c r="C137" s="266"/>
      <c r="D137" s="266"/>
      <c r="E137" s="266"/>
    </row>
    <row r="138" spans="2:5" ht="15" customHeight="1">
      <c r="B138" s="64"/>
      <c r="C138" s="266"/>
      <c r="D138" s="266"/>
      <c r="E138" s="266"/>
    </row>
    <row r="139" spans="2:5" ht="15" customHeight="1">
      <c r="B139" s="64"/>
      <c r="C139" s="266"/>
      <c r="D139" s="266"/>
      <c r="E139" s="266"/>
    </row>
    <row r="140" spans="2:5" ht="15" customHeight="1">
      <c r="B140" s="64"/>
      <c r="C140" s="266"/>
      <c r="D140" s="266"/>
      <c r="E140" s="266"/>
    </row>
    <row r="141" spans="2:5" ht="15" customHeight="1">
      <c r="B141" s="64"/>
      <c r="C141" s="266"/>
      <c r="D141" s="266"/>
      <c r="E141" s="266"/>
    </row>
    <row r="142" spans="2:5" ht="15" customHeight="1">
      <c r="B142" s="64"/>
      <c r="C142" s="266"/>
      <c r="D142" s="266"/>
      <c r="E142" s="266"/>
    </row>
    <row r="143" spans="2:5" ht="15" customHeight="1">
      <c r="B143" s="64"/>
      <c r="C143" s="266"/>
      <c r="D143" s="266"/>
      <c r="E143" s="266"/>
    </row>
    <row r="144" spans="2:5" ht="15" customHeight="1">
      <c r="B144" s="64"/>
      <c r="C144" s="266"/>
      <c r="D144" s="266"/>
      <c r="E144" s="266"/>
    </row>
    <row r="145" spans="2:25" ht="15" customHeight="1">
      <c r="B145" s="64"/>
      <c r="C145" s="266"/>
      <c r="D145" s="266"/>
      <c r="E145" s="266"/>
    </row>
    <row r="146" spans="2:25" ht="15" customHeight="1">
      <c r="B146" s="64"/>
      <c r="C146" s="266"/>
      <c r="D146" s="266"/>
      <c r="E146" s="266"/>
    </row>
    <row r="147" spans="2:25" ht="15" customHeight="1">
      <c r="B147" s="64"/>
      <c r="C147" s="266"/>
      <c r="D147" s="266"/>
      <c r="E147" s="266"/>
    </row>
    <row r="148" spans="2:25" ht="15" customHeight="1">
      <c r="B148" s="64"/>
      <c r="C148" s="266"/>
      <c r="D148" s="266"/>
      <c r="E148" s="266"/>
    </row>
    <row r="149" spans="2:25" ht="15" customHeight="1">
      <c r="B149" s="64"/>
      <c r="C149" s="266"/>
      <c r="D149" s="266"/>
      <c r="E149" s="266"/>
    </row>
    <row r="150" spans="2:25" ht="22.5" customHeight="1">
      <c r="B150" s="248" t="s">
        <v>400</v>
      </c>
      <c r="C150" s="249"/>
      <c r="D150" s="249"/>
      <c r="E150" s="249"/>
      <c r="F150" s="249"/>
      <c r="G150" s="249"/>
      <c r="H150" s="249"/>
      <c r="I150" s="249"/>
      <c r="J150" s="249"/>
      <c r="K150" s="249"/>
      <c r="L150" s="249"/>
      <c r="M150" s="249"/>
      <c r="N150" s="249"/>
      <c r="O150" s="249"/>
      <c r="P150" s="249"/>
      <c r="Q150" s="249"/>
      <c r="R150" s="250"/>
      <c r="S150"/>
      <c r="T150" s="149"/>
      <c r="U150" s="149"/>
      <c r="V150" s="149"/>
      <c r="W150" s="149"/>
      <c r="X150" s="149"/>
      <c r="Y150" s="149"/>
    </row>
    <row r="151" spans="2:25" ht="15" customHeight="1">
      <c r="B151" s="64"/>
    </row>
    <row r="152" spans="2:25" ht="15" customHeight="1">
      <c r="B152" s="64"/>
    </row>
    <row r="153" spans="2:25" ht="15" customHeight="1">
      <c r="B153" s="64"/>
    </row>
    <row r="154" spans="2:25" ht="15" customHeight="1">
      <c r="B154" s="64"/>
    </row>
    <row r="155" spans="2:25" ht="15" customHeight="1">
      <c r="B155" s="64"/>
    </row>
    <row r="156" spans="2:25" ht="15" customHeight="1">
      <c r="B156" s="64"/>
    </row>
    <row r="157" spans="2:25" s="82" customFormat="1" ht="15" customHeight="1">
      <c r="B157" s="83" t="s">
        <v>383</v>
      </c>
      <c r="N157" s="277"/>
      <c r="O157" s="277"/>
      <c r="P157" s="277"/>
      <c r="Q157" s="277"/>
      <c r="R157" s="277"/>
      <c r="S157" s="277"/>
    </row>
    <row r="158" spans="2:25" s="82" customFormat="1" ht="15" customHeight="1">
      <c r="B158" s="83"/>
      <c r="N158" s="277"/>
      <c r="O158" s="277"/>
      <c r="P158" s="277"/>
      <c r="Q158" s="277"/>
      <c r="R158" s="277"/>
      <c r="S158" s="277"/>
    </row>
    <row r="159" spans="2:25" s="82" customFormat="1" ht="15" customHeight="1">
      <c r="B159" s="82" t="s">
        <v>193</v>
      </c>
      <c r="C159" s="182">
        <v>1200000</v>
      </c>
      <c r="N159" s="277"/>
      <c r="O159" s="277"/>
      <c r="P159" s="277"/>
      <c r="Q159" s="277"/>
      <c r="R159" s="277"/>
      <c r="S159" s="277"/>
    </row>
    <row r="160" spans="2:25" s="82" customFormat="1" ht="15" customHeight="1">
      <c r="B160" s="82" t="s">
        <v>194</v>
      </c>
      <c r="C160" s="82">
        <v>0.05</v>
      </c>
      <c r="N160" s="277"/>
      <c r="O160" s="277"/>
      <c r="P160" s="277"/>
      <c r="Q160" s="277"/>
      <c r="R160" s="277"/>
      <c r="S160" s="277"/>
    </row>
    <row r="161" spans="2:19" s="82" customFormat="1" ht="15" customHeight="1">
      <c r="B161" s="82" t="s">
        <v>195</v>
      </c>
      <c r="C161" s="82">
        <v>5</v>
      </c>
      <c r="N161" s="277"/>
      <c r="O161" s="277"/>
      <c r="P161" s="277"/>
      <c r="Q161" s="277"/>
      <c r="R161" s="277"/>
      <c r="S161" s="277"/>
    </row>
    <row r="162" spans="2:19" s="82" customFormat="1" ht="15" customHeight="1">
      <c r="B162" s="82" t="s">
        <v>384</v>
      </c>
      <c r="C162" s="82" t="s">
        <v>385</v>
      </c>
      <c r="N162" s="277"/>
      <c r="O162" s="277"/>
      <c r="P162" s="277"/>
      <c r="Q162" s="277"/>
      <c r="R162" s="277"/>
      <c r="S162" s="277"/>
    </row>
    <row r="164" spans="2:19" ht="26.4">
      <c r="B164" s="203" t="s">
        <v>393</v>
      </c>
      <c r="C164" s="203" t="s">
        <v>180</v>
      </c>
      <c r="D164" s="203" t="s">
        <v>193</v>
      </c>
      <c r="E164" s="203" t="s">
        <v>199</v>
      </c>
      <c r="F164" s="203" t="s">
        <v>196</v>
      </c>
      <c r="G164" s="203" t="s">
        <v>384</v>
      </c>
      <c r="H164" s="203" t="s">
        <v>200</v>
      </c>
    </row>
    <row r="165" spans="2:19" ht="15" customHeight="1">
      <c r="B165" s="176" t="s">
        <v>170</v>
      </c>
      <c r="C165" s="177">
        <v>2018</v>
      </c>
      <c r="D165" s="178">
        <v>500000</v>
      </c>
      <c r="E165" s="178">
        <f>D165</f>
        <v>500000</v>
      </c>
      <c r="F165" s="178">
        <f>E165*$C$160</f>
        <v>25000</v>
      </c>
      <c r="G165" s="178"/>
      <c r="H165" s="178">
        <f>F165+G165</f>
        <v>25000</v>
      </c>
    </row>
    <row r="166" spans="2:19" ht="15" customHeight="1">
      <c r="B166" s="176" t="s">
        <v>171</v>
      </c>
      <c r="C166" s="177">
        <v>2019</v>
      </c>
      <c r="D166" s="178">
        <v>700000</v>
      </c>
      <c r="E166" s="178">
        <f>E165+D166</f>
        <v>1200000</v>
      </c>
      <c r="F166" s="178">
        <f>E166*$C$160</f>
        <v>60000</v>
      </c>
      <c r="G166" s="178"/>
      <c r="H166" s="178">
        <f t="shared" ref="H166:H169" si="6">F166+G166</f>
        <v>60000</v>
      </c>
    </row>
    <row r="167" spans="2:19" ht="15" customHeight="1">
      <c r="B167" s="176" t="s">
        <v>172</v>
      </c>
      <c r="C167" s="177">
        <v>2020</v>
      </c>
      <c r="D167" s="178"/>
      <c r="E167" s="178">
        <f>E166+D167</f>
        <v>1200000</v>
      </c>
      <c r="F167" s="178">
        <f>E167*$C$160</f>
        <v>60000</v>
      </c>
      <c r="G167" s="178"/>
      <c r="H167" s="178">
        <f t="shared" si="6"/>
        <v>60000</v>
      </c>
    </row>
    <row r="168" spans="2:19" ht="15" customHeight="1">
      <c r="B168" s="176" t="s">
        <v>173</v>
      </c>
      <c r="C168" s="177">
        <v>2021</v>
      </c>
      <c r="D168" s="178"/>
      <c r="E168" s="178">
        <f>E167+D168</f>
        <v>1200000</v>
      </c>
      <c r="F168" s="178">
        <f>E168*$C$160</f>
        <v>60000</v>
      </c>
      <c r="G168" s="178"/>
      <c r="H168" s="178">
        <f t="shared" si="6"/>
        <v>60000</v>
      </c>
    </row>
    <row r="169" spans="2:19" ht="15" customHeight="1">
      <c r="B169" s="176" t="s">
        <v>174</v>
      </c>
      <c r="C169" s="177">
        <v>2022</v>
      </c>
      <c r="D169" s="178"/>
      <c r="E169" s="178">
        <f>E168+D169</f>
        <v>1200000</v>
      </c>
      <c r="F169" s="178">
        <f>E169*$C$160</f>
        <v>60000</v>
      </c>
      <c r="G169" s="178">
        <f>E169</f>
        <v>1200000</v>
      </c>
      <c r="H169" s="178">
        <f t="shared" si="6"/>
        <v>1260000</v>
      </c>
    </row>
    <row r="170" spans="2:19" ht="15" customHeight="1">
      <c r="B170" s="179" t="s">
        <v>36</v>
      </c>
      <c r="C170" s="158"/>
      <c r="D170" s="180">
        <f>SUM(D165:D166)</f>
        <v>1200000</v>
      </c>
      <c r="E170" s="180"/>
      <c r="F170" s="180">
        <f>SUM(F165:F169)</f>
        <v>265000</v>
      </c>
      <c r="G170" s="180">
        <f>G169</f>
        <v>1200000</v>
      </c>
      <c r="H170" s="180">
        <f>SUM(H165:H169)</f>
        <v>1465000</v>
      </c>
    </row>
    <row r="171" spans="2:19" ht="15" customHeight="1">
      <c r="B171" s="71"/>
      <c r="D171" s="79"/>
      <c r="E171" s="72"/>
      <c r="F171" s="72"/>
      <c r="G171" s="72"/>
    </row>
    <row r="172" spans="2:19" ht="15" customHeight="1">
      <c r="B172" s="71"/>
      <c r="D172" s="79"/>
      <c r="E172" s="72"/>
      <c r="F172" s="72"/>
    </row>
    <row r="173" spans="2:19" s="82" customFormat="1" ht="15" customHeight="1">
      <c r="B173" s="83" t="s">
        <v>386</v>
      </c>
      <c r="N173" s="277"/>
      <c r="O173" s="277"/>
      <c r="P173" s="277"/>
      <c r="Q173" s="277"/>
      <c r="R173" s="277"/>
      <c r="S173" s="277"/>
    </row>
    <row r="174" spans="2:19" s="82" customFormat="1" ht="15" customHeight="1">
      <c r="N174" s="277"/>
      <c r="O174" s="277"/>
      <c r="P174" s="277"/>
      <c r="Q174" s="277"/>
      <c r="R174" s="277"/>
      <c r="S174" s="277"/>
    </row>
    <row r="175" spans="2:19" s="82" customFormat="1" ht="15" customHeight="1">
      <c r="B175" s="82" t="s">
        <v>193</v>
      </c>
      <c r="C175" s="183">
        <v>150000000</v>
      </c>
      <c r="N175" s="277"/>
      <c r="O175" s="277"/>
      <c r="P175" s="277"/>
      <c r="Q175" s="277"/>
      <c r="R175" s="277"/>
      <c r="S175" s="277"/>
    </row>
    <row r="176" spans="2:19" s="82" customFormat="1" ht="15" customHeight="1">
      <c r="B176" s="82" t="s">
        <v>194</v>
      </c>
      <c r="C176" s="82">
        <v>0.03</v>
      </c>
      <c r="N176" s="277"/>
      <c r="O176" s="277"/>
      <c r="P176" s="277"/>
      <c r="Q176" s="277"/>
      <c r="R176" s="277"/>
      <c r="S176" s="277"/>
    </row>
    <row r="177" spans="2:25" s="82" customFormat="1" ht="15" customHeight="1">
      <c r="B177" s="82" t="s">
        <v>195</v>
      </c>
      <c r="C177" s="82">
        <v>3</v>
      </c>
      <c r="N177" s="277"/>
      <c r="O177" s="277"/>
      <c r="P177" s="277"/>
      <c r="Q177" s="277"/>
      <c r="R177" s="277"/>
      <c r="S177" s="277"/>
    </row>
    <row r="178" spans="2:25" s="82" customFormat="1" ht="15" customHeight="1">
      <c r="B178" s="82" t="s">
        <v>201</v>
      </c>
      <c r="C178" s="82">
        <f>C177*12</f>
        <v>36</v>
      </c>
      <c r="N178" s="277"/>
      <c r="O178" s="277"/>
      <c r="P178" s="277"/>
      <c r="Q178" s="277"/>
      <c r="R178" s="277"/>
      <c r="S178" s="277"/>
    </row>
    <row r="179" spans="2:25" s="82" customFormat="1" ht="15" customHeight="1">
      <c r="B179" s="277" t="s">
        <v>384</v>
      </c>
      <c r="C179" s="184" t="s">
        <v>408</v>
      </c>
      <c r="N179" s="277"/>
      <c r="O179" s="277"/>
      <c r="P179" s="277"/>
      <c r="Q179" s="277"/>
      <c r="R179" s="277"/>
      <c r="S179" s="277"/>
    </row>
    <row r="180" spans="2:25" ht="15" customHeight="1">
      <c r="B180" s="74"/>
    </row>
    <row r="181" spans="2:25" ht="26.4">
      <c r="B181" s="203" t="s">
        <v>394</v>
      </c>
      <c r="C181" s="203" t="s">
        <v>180</v>
      </c>
      <c r="D181" s="276" t="s">
        <v>193</v>
      </c>
      <c r="E181" s="204" t="s">
        <v>387</v>
      </c>
      <c r="F181" s="203" t="s">
        <v>198</v>
      </c>
      <c r="G181" s="203" t="s">
        <v>388</v>
      </c>
      <c r="H181" s="203" t="s">
        <v>196</v>
      </c>
      <c r="I181" s="203" t="s">
        <v>197</v>
      </c>
      <c r="J181" s="64"/>
    </row>
    <row r="182" spans="2:25" ht="15" customHeight="1">
      <c r="B182" s="176" t="s">
        <v>170</v>
      </c>
      <c r="C182" s="177">
        <v>2018</v>
      </c>
      <c r="D182" s="190">
        <v>450000</v>
      </c>
      <c r="E182" s="185">
        <v>500000</v>
      </c>
      <c r="F182" s="178">
        <v>500000</v>
      </c>
      <c r="G182" s="178">
        <f>E182</f>
        <v>500000</v>
      </c>
      <c r="H182" s="178">
        <f>G182*$C$176</f>
        <v>15000</v>
      </c>
      <c r="I182" s="178">
        <f>F182+H182</f>
        <v>515000</v>
      </c>
    </row>
    <row r="183" spans="2:25" ht="15" customHeight="1">
      <c r="B183" s="176" t="s">
        <v>171</v>
      </c>
      <c r="C183" s="177">
        <v>2019</v>
      </c>
      <c r="D183" s="190">
        <v>1050000</v>
      </c>
      <c r="E183" s="185">
        <v>1000000</v>
      </c>
      <c r="F183" s="178">
        <v>500000</v>
      </c>
      <c r="G183" s="178">
        <f>E183</f>
        <v>1000000</v>
      </c>
      <c r="H183" s="178">
        <f>G183*$C$176</f>
        <v>30000</v>
      </c>
      <c r="I183" s="178">
        <f t="shared" ref="I183:I184" si="7">F183+H183</f>
        <v>530000</v>
      </c>
    </row>
    <row r="184" spans="2:25" ht="15" customHeight="1">
      <c r="B184" s="176" t="s">
        <v>172</v>
      </c>
      <c r="C184" s="177">
        <v>2020</v>
      </c>
      <c r="D184" s="178"/>
      <c r="E184" s="178"/>
      <c r="F184" s="178">
        <v>500000</v>
      </c>
      <c r="G184" s="178">
        <f>G183-F183</f>
        <v>500000</v>
      </c>
      <c r="H184" s="178">
        <f>G184*$C$176</f>
        <v>15000</v>
      </c>
      <c r="I184" s="178">
        <f t="shared" si="7"/>
        <v>515000</v>
      </c>
    </row>
    <row r="185" spans="2:25" ht="15" customHeight="1">
      <c r="B185" s="179" t="s">
        <v>36</v>
      </c>
      <c r="C185" s="158"/>
      <c r="D185" s="180">
        <f>SUM(D182:D183)</f>
        <v>1500000</v>
      </c>
      <c r="E185" s="180"/>
      <c r="F185" s="180">
        <f>SUM(F182:F184)</f>
        <v>1500000</v>
      </c>
      <c r="G185" s="180"/>
      <c r="H185" s="180">
        <f>SUM(H182:H184)</f>
        <v>60000</v>
      </c>
      <c r="I185" s="180">
        <f>SUM(I182:I184)</f>
        <v>1560000</v>
      </c>
      <c r="J185" s="75"/>
      <c r="K185" s="75"/>
      <c r="L185" s="75"/>
    </row>
    <row r="187" spans="2:25" ht="15" customHeight="1">
      <c r="B187" s="64" t="s">
        <v>168</v>
      </c>
    </row>
    <row r="188" spans="2:25" ht="22.5" customHeight="1">
      <c r="B188" s="248" t="s">
        <v>169</v>
      </c>
      <c r="C188" s="249"/>
      <c r="D188" s="249"/>
      <c r="E188" s="253"/>
      <c r="F188" s="249"/>
      <c r="G188" s="249"/>
      <c r="H188" s="249"/>
      <c r="I188" s="249"/>
      <c r="J188" s="249"/>
      <c r="K188" s="249"/>
      <c r="L188" s="249"/>
      <c r="M188" s="249"/>
      <c r="N188" s="249"/>
      <c r="O188" s="249"/>
      <c r="P188" s="249"/>
      <c r="Q188" s="249"/>
      <c r="R188" s="250"/>
      <c r="S188"/>
      <c r="T188" s="149"/>
      <c r="U188" s="149"/>
      <c r="V188" s="149"/>
      <c r="W188" s="149"/>
      <c r="X188" s="149"/>
      <c r="Y188" s="149"/>
    </row>
    <row r="189" spans="2:25" ht="15" customHeight="1">
      <c r="B189" s="84"/>
      <c r="E189" s="74"/>
    </row>
    <row r="190" spans="2:25" s="82" customFormat="1" ht="15" customHeight="1">
      <c r="B190" s="82" t="s">
        <v>206</v>
      </c>
      <c r="C190" s="186">
        <f>'Income Statement'!E5</f>
        <v>4414253.6492122337</v>
      </c>
      <c r="E190" s="184"/>
      <c r="N190" s="277"/>
      <c r="O190" s="277"/>
      <c r="P190" s="277"/>
      <c r="Q190" s="277"/>
      <c r="R190" s="277"/>
      <c r="S190" s="277"/>
    </row>
    <row r="192" spans="2:25" ht="52.8">
      <c r="B192" s="205" t="s">
        <v>204</v>
      </c>
      <c r="C192" s="203" t="s">
        <v>180</v>
      </c>
      <c r="D192" s="225" t="s">
        <v>185</v>
      </c>
      <c r="E192" s="225" t="s">
        <v>389</v>
      </c>
      <c r="F192" s="207" t="s">
        <v>416</v>
      </c>
      <c r="G192" s="187" t="s">
        <v>448</v>
      </c>
      <c r="H192" s="286" t="s">
        <v>417</v>
      </c>
      <c r="I192" s="225" t="s">
        <v>418</v>
      </c>
      <c r="J192" s="225" t="s">
        <v>419</v>
      </c>
      <c r="K192" s="207" t="s">
        <v>449</v>
      </c>
      <c r="L192" s="225" t="s">
        <v>450</v>
      </c>
      <c r="M192" s="225" t="s">
        <v>451</v>
      </c>
      <c r="N192" s="224" t="s">
        <v>452</v>
      </c>
      <c r="O192" s="224" t="s">
        <v>420</v>
      </c>
      <c r="P192" s="286" t="s">
        <v>424</v>
      </c>
      <c r="Q192" s="207" t="s">
        <v>421</v>
      </c>
      <c r="R192" s="207" t="s">
        <v>412</v>
      </c>
    </row>
    <row r="193" spans="2:20" ht="15" customHeight="1">
      <c r="B193" s="176" t="s">
        <v>170</v>
      </c>
      <c r="C193" s="177">
        <v>2018</v>
      </c>
      <c r="D193" s="178">
        <f>'Income Statement'!$E$5</f>
        <v>4414253.6492122337</v>
      </c>
      <c r="E193" s="188">
        <f>(D193-C190)/C190</f>
        <v>0</v>
      </c>
      <c r="F193" s="189">
        <v>0</v>
      </c>
      <c r="G193" s="189">
        <f>-D35</f>
        <v>-1042309.2804448564</v>
      </c>
      <c r="H193" s="189">
        <f>D165+E182</f>
        <v>1000000</v>
      </c>
      <c r="I193" s="185"/>
      <c r="J193" s="185"/>
      <c r="K193" s="190"/>
      <c r="L193" s="178">
        <v>-25000</v>
      </c>
      <c r="M193" s="178"/>
      <c r="N193" s="190">
        <v>-15000</v>
      </c>
      <c r="O193" s="190">
        <v>-500000</v>
      </c>
      <c r="P193" s="190">
        <f>SUM(L193:O193)</f>
        <v>-540000</v>
      </c>
      <c r="Q193" s="189">
        <f>SUM(K193,P193)</f>
        <v>-540000</v>
      </c>
      <c r="R193" s="189">
        <f t="shared" ref="R193:R202" si="8">SUM(F193,G193,H193,Q193)</f>
        <v>-582309.28044485638</v>
      </c>
    </row>
    <row r="194" spans="2:20" ht="15" customHeight="1">
      <c r="B194" s="176" t="s">
        <v>171</v>
      </c>
      <c r="C194" s="177">
        <v>2019</v>
      </c>
      <c r="D194" s="178">
        <f>'Income Statement'!$E$5</f>
        <v>4414253.6492122337</v>
      </c>
      <c r="E194" s="188">
        <f t="shared" ref="E194:E202" si="9">(D194-D193)/D193</f>
        <v>0</v>
      </c>
      <c r="F194" s="189">
        <f>D194-D193</f>
        <v>0</v>
      </c>
      <c r="G194" s="189">
        <f>-E35</f>
        <v>-4375963.9206672851</v>
      </c>
      <c r="H194" s="189">
        <f>D166+E183</f>
        <v>1700000</v>
      </c>
      <c r="I194" s="185"/>
      <c r="J194" s="185"/>
      <c r="K194" s="190"/>
      <c r="L194" s="178">
        <v>-60000</v>
      </c>
      <c r="M194" s="178"/>
      <c r="N194" s="190">
        <v>-30000</v>
      </c>
      <c r="O194" s="190">
        <v>-500000</v>
      </c>
      <c r="P194" s="190">
        <f t="shared" ref="P194:P197" si="10">SUM(L194:O194)</f>
        <v>-590000</v>
      </c>
      <c r="Q194" s="189">
        <f t="shared" ref="Q194:Q202" si="11">SUM(K194,P194)</f>
        <v>-590000</v>
      </c>
      <c r="R194" s="189">
        <f>SUM(F194,G194,H194,Q194)</f>
        <v>-3265963.9206672851</v>
      </c>
    </row>
    <row r="195" spans="2:20" ht="15" customHeight="1">
      <c r="B195" s="176" t="s">
        <v>172</v>
      </c>
      <c r="C195" s="177">
        <v>2020</v>
      </c>
      <c r="D195" s="178">
        <f>D194+(D194*0.5)</f>
        <v>6621380.4738183506</v>
      </c>
      <c r="E195" s="188">
        <f t="shared" si="9"/>
        <v>0.5</v>
      </c>
      <c r="F195" s="189">
        <f>D195-$C$190</f>
        <v>2207126.8246061169</v>
      </c>
      <c r="G195" s="189"/>
      <c r="H195" s="189"/>
      <c r="I195" s="178">
        <v>-300000</v>
      </c>
      <c r="J195" s="178">
        <v>-300000</v>
      </c>
      <c r="K195" s="190">
        <f>(I195+J195)+(I195+J195)*0.02</f>
        <v>-612000</v>
      </c>
      <c r="L195" s="178">
        <v>-60000</v>
      </c>
      <c r="M195" s="178"/>
      <c r="N195" s="190">
        <v>-15000</v>
      </c>
      <c r="O195" s="190">
        <v>-500000</v>
      </c>
      <c r="P195" s="190">
        <f t="shared" si="10"/>
        <v>-575000</v>
      </c>
      <c r="Q195" s="189">
        <f t="shared" si="11"/>
        <v>-1187000</v>
      </c>
      <c r="R195" s="189">
        <f t="shared" si="8"/>
        <v>1020126.8246061169</v>
      </c>
    </row>
    <row r="196" spans="2:20" ht="15" customHeight="1">
      <c r="B196" s="176" t="s">
        <v>173</v>
      </c>
      <c r="C196" s="177">
        <v>2021</v>
      </c>
      <c r="D196" s="178">
        <f>D195+(D195*0.1)</f>
        <v>7283518.5212001856</v>
      </c>
      <c r="E196" s="188">
        <f t="shared" si="9"/>
        <v>0.1</v>
      </c>
      <c r="F196" s="189">
        <f t="shared" ref="F195:F202" si="12">D196-$C$190</f>
        <v>2869264.8719879519</v>
      </c>
      <c r="G196" s="189"/>
      <c r="H196" s="189"/>
      <c r="I196" s="178">
        <v>-300000</v>
      </c>
      <c r="J196" s="178">
        <v>-300000</v>
      </c>
      <c r="K196" s="190">
        <f>K195+(K195*0.02)</f>
        <v>-624240</v>
      </c>
      <c r="L196" s="178">
        <v>-60000</v>
      </c>
      <c r="M196" s="178"/>
      <c r="N196" s="190"/>
      <c r="O196" s="190"/>
      <c r="P196" s="190">
        <f t="shared" si="10"/>
        <v>-60000</v>
      </c>
      <c r="Q196" s="189">
        <f t="shared" si="11"/>
        <v>-684240</v>
      </c>
      <c r="R196" s="189">
        <f t="shared" si="8"/>
        <v>2185024.8719879519</v>
      </c>
    </row>
    <row r="197" spans="2:20" ht="15" customHeight="1">
      <c r="B197" s="176" t="s">
        <v>174</v>
      </c>
      <c r="C197" s="177">
        <v>2022</v>
      </c>
      <c r="D197" s="178">
        <f t="shared" ref="D197:D202" si="13">D196+(D196*0.1)</f>
        <v>8011870.3733202042</v>
      </c>
      <c r="E197" s="188">
        <f t="shared" si="9"/>
        <v>0.1</v>
      </c>
      <c r="F197" s="189">
        <f t="shared" si="12"/>
        <v>3597616.7241079705</v>
      </c>
      <c r="G197" s="189"/>
      <c r="H197" s="189"/>
      <c r="I197" s="178">
        <v>-300000</v>
      </c>
      <c r="J197" s="178">
        <v>-300000</v>
      </c>
      <c r="K197" s="190">
        <f>K196+(K196*0.02)</f>
        <v>-636724.80000000005</v>
      </c>
      <c r="L197" s="178">
        <v>-60000</v>
      </c>
      <c r="M197" s="178">
        <v>-1200000</v>
      </c>
      <c r="N197" s="190"/>
      <c r="O197" s="190"/>
      <c r="P197" s="190">
        <f t="shared" si="10"/>
        <v>-1260000</v>
      </c>
      <c r="Q197" s="189">
        <f t="shared" si="11"/>
        <v>-1896724.8</v>
      </c>
      <c r="R197" s="189">
        <f t="shared" si="8"/>
        <v>1700891.9241079704</v>
      </c>
    </row>
    <row r="198" spans="2:20" ht="15" customHeight="1">
      <c r="B198" s="176" t="s">
        <v>175</v>
      </c>
      <c r="C198" s="177">
        <v>2023</v>
      </c>
      <c r="D198" s="178">
        <f t="shared" si="13"/>
        <v>8813057.410652224</v>
      </c>
      <c r="E198" s="188">
        <f t="shared" si="9"/>
        <v>9.9999999999999922E-2</v>
      </c>
      <c r="F198" s="189">
        <f t="shared" si="12"/>
        <v>4398803.7614399903</v>
      </c>
      <c r="G198" s="189"/>
      <c r="H198" s="189"/>
      <c r="I198" s="178">
        <v>-300000</v>
      </c>
      <c r="J198" s="178">
        <v>-300000</v>
      </c>
      <c r="K198" s="190">
        <f>K197+(K197*0.02)</f>
        <v>-649459.29600000009</v>
      </c>
      <c r="L198" s="178"/>
      <c r="M198" s="178"/>
      <c r="N198" s="190"/>
      <c r="O198" s="190"/>
      <c r="P198" s="190"/>
      <c r="Q198" s="189">
        <f t="shared" si="11"/>
        <v>-649459.29600000009</v>
      </c>
      <c r="R198" s="189">
        <f t="shared" si="8"/>
        <v>3749344.4654399902</v>
      </c>
    </row>
    <row r="199" spans="2:20" ht="15" customHeight="1">
      <c r="B199" s="176" t="s">
        <v>176</v>
      </c>
      <c r="C199" s="177">
        <v>2024</v>
      </c>
      <c r="D199" s="178">
        <f t="shared" si="13"/>
        <v>9694363.1517174467</v>
      </c>
      <c r="E199" s="188">
        <f t="shared" si="9"/>
        <v>0.10000000000000005</v>
      </c>
      <c r="F199" s="189">
        <f t="shared" si="12"/>
        <v>5280109.502505213</v>
      </c>
      <c r="G199" s="189"/>
      <c r="H199" s="189"/>
      <c r="I199" s="178">
        <v>-300000</v>
      </c>
      <c r="J199" s="178">
        <v>-300000</v>
      </c>
      <c r="K199" s="190">
        <f t="shared" ref="K198:K202" si="14">K198+(K198*0.02)</f>
        <v>-662448.48192000005</v>
      </c>
      <c r="L199" s="178"/>
      <c r="M199" s="178"/>
      <c r="N199" s="190"/>
      <c r="O199" s="190"/>
      <c r="P199" s="190"/>
      <c r="Q199" s="189">
        <f t="shared" si="11"/>
        <v>-662448.48192000005</v>
      </c>
      <c r="R199" s="189">
        <f t="shared" si="8"/>
        <v>4617661.0205852129</v>
      </c>
    </row>
    <row r="200" spans="2:20" ht="15" customHeight="1">
      <c r="B200" s="176" t="s">
        <v>177</v>
      </c>
      <c r="C200" s="177">
        <v>2025</v>
      </c>
      <c r="D200" s="178">
        <f t="shared" si="13"/>
        <v>10663799.466889191</v>
      </c>
      <c r="E200" s="188">
        <f t="shared" si="9"/>
        <v>0.1</v>
      </c>
      <c r="F200" s="189">
        <f t="shared" si="12"/>
        <v>6249545.8176769577</v>
      </c>
      <c r="G200" s="189"/>
      <c r="H200" s="189"/>
      <c r="I200" s="178">
        <v>-300000</v>
      </c>
      <c r="J200" s="178">
        <v>-300000</v>
      </c>
      <c r="K200" s="190">
        <f t="shared" si="14"/>
        <v>-675697.45155840006</v>
      </c>
      <c r="L200" s="178"/>
      <c r="M200" s="178"/>
      <c r="N200" s="190"/>
      <c r="O200" s="190"/>
      <c r="P200" s="190"/>
      <c r="Q200" s="189">
        <f t="shared" si="11"/>
        <v>-675697.45155840006</v>
      </c>
      <c r="R200" s="189">
        <f t="shared" si="8"/>
        <v>5573848.3661185578</v>
      </c>
    </row>
    <row r="201" spans="2:20" ht="15" customHeight="1">
      <c r="B201" s="176" t="s">
        <v>178</v>
      </c>
      <c r="C201" s="177">
        <v>2026</v>
      </c>
      <c r="D201" s="178">
        <f t="shared" si="13"/>
        <v>11730179.41357811</v>
      </c>
      <c r="E201" s="188">
        <f t="shared" si="9"/>
        <v>9.9999999999999936E-2</v>
      </c>
      <c r="F201" s="189">
        <f t="shared" si="12"/>
        <v>7315925.7643658761</v>
      </c>
      <c r="G201" s="189"/>
      <c r="H201" s="189"/>
      <c r="I201" s="178">
        <v>-300000</v>
      </c>
      <c r="J201" s="178">
        <v>-300000</v>
      </c>
      <c r="K201" s="190">
        <f t="shared" si="14"/>
        <v>-689211.40058956807</v>
      </c>
      <c r="L201" s="178"/>
      <c r="M201" s="178"/>
      <c r="N201" s="190"/>
      <c r="O201" s="190"/>
      <c r="P201" s="190"/>
      <c r="Q201" s="189">
        <f t="shared" si="11"/>
        <v>-689211.40058956807</v>
      </c>
      <c r="R201" s="189">
        <f t="shared" si="8"/>
        <v>6626714.3637763076</v>
      </c>
      <c r="T201" s="73"/>
    </row>
    <row r="202" spans="2:20" ht="15" customHeight="1">
      <c r="B202" s="176" t="s">
        <v>179</v>
      </c>
      <c r="C202" s="177">
        <v>2027</v>
      </c>
      <c r="D202" s="178">
        <f t="shared" si="13"/>
        <v>12903197.354935922</v>
      </c>
      <c r="E202" s="188">
        <f t="shared" si="9"/>
        <v>0.10000000000000007</v>
      </c>
      <c r="F202" s="189">
        <f t="shared" si="12"/>
        <v>8488943.705723688</v>
      </c>
      <c r="G202" s="189"/>
      <c r="H202" s="189"/>
      <c r="I202" s="178">
        <v>-300000</v>
      </c>
      <c r="J202" s="178">
        <v>-300000</v>
      </c>
      <c r="K202" s="190">
        <f t="shared" si="14"/>
        <v>-702995.62860135944</v>
      </c>
      <c r="L202" s="178"/>
      <c r="M202" s="178"/>
      <c r="N202" s="190"/>
      <c r="O202" s="190"/>
      <c r="P202" s="190"/>
      <c r="Q202" s="189">
        <f t="shared" si="11"/>
        <v>-702995.62860135944</v>
      </c>
      <c r="R202" s="189">
        <f t="shared" si="8"/>
        <v>7785948.0771223288</v>
      </c>
    </row>
    <row r="203" spans="2:20" ht="15" customHeight="1">
      <c r="B203" s="80" t="s">
        <v>36</v>
      </c>
      <c r="D203" s="77">
        <f>SUM(D193:D202)</f>
        <v>84549873.464536101</v>
      </c>
      <c r="E203" s="75"/>
      <c r="F203" s="75">
        <f>SUM(F193:F202)</f>
        <v>40407336.972413763</v>
      </c>
      <c r="G203" s="75">
        <f>SUM(G193:G202)</f>
        <v>-5418273.2011121418</v>
      </c>
      <c r="H203" s="75">
        <f>SUM(H193:H202)</f>
        <v>2700000</v>
      </c>
      <c r="I203" s="75">
        <f t="shared" ref="I203:O203" si="15">SUM(I193:I202)</f>
        <v>-2400000</v>
      </c>
      <c r="J203" s="75">
        <f t="shared" si="15"/>
        <v>-2400000</v>
      </c>
      <c r="K203" s="152">
        <f t="shared" si="15"/>
        <v>-5252777.0586693268</v>
      </c>
      <c r="L203" s="75">
        <f t="shared" si="15"/>
        <v>-265000</v>
      </c>
      <c r="M203" s="75">
        <f t="shared" si="15"/>
        <v>-1200000</v>
      </c>
      <c r="N203" s="152">
        <f t="shared" si="15"/>
        <v>-60000</v>
      </c>
      <c r="O203" s="152">
        <f t="shared" si="15"/>
        <v>-1500000</v>
      </c>
      <c r="P203" s="152">
        <f>SUM(P193:P202)</f>
        <v>-3025000</v>
      </c>
      <c r="Q203" s="152">
        <f>SUM(Q193:Q202)</f>
        <v>-8277777.0586693268</v>
      </c>
      <c r="R203" s="152">
        <f>SUM(R193:R202)</f>
        <v>29411286.712632298</v>
      </c>
    </row>
    <row r="204" spans="2:20" ht="15" customHeight="1">
      <c r="B204" s="80"/>
      <c r="D204" s="75"/>
      <c r="E204" s="75"/>
      <c r="F204" s="75"/>
      <c r="G204" s="75"/>
      <c r="H204" s="75"/>
      <c r="I204" s="75"/>
      <c r="J204" s="75"/>
      <c r="K204" s="75"/>
      <c r="L204" s="192"/>
      <c r="M204" s="75"/>
      <c r="N204" s="152"/>
      <c r="O204" s="152"/>
      <c r="P204" s="152"/>
      <c r="Q204" s="152"/>
      <c r="R204" s="152"/>
    </row>
    <row r="205" spans="2:20" ht="15" customHeight="1">
      <c r="I205" s="75"/>
    </row>
    <row r="206" spans="2:20" ht="52.8">
      <c r="B206" s="208" t="s">
        <v>205</v>
      </c>
      <c r="C206" s="209" t="s">
        <v>180</v>
      </c>
      <c r="D206" s="210" t="s">
        <v>185</v>
      </c>
      <c r="E206" s="210" t="s">
        <v>389</v>
      </c>
      <c r="F206" s="211" t="s">
        <v>416</v>
      </c>
      <c r="G206" s="187" t="s">
        <v>448</v>
      </c>
      <c r="H206" s="287" t="s">
        <v>425</v>
      </c>
      <c r="I206" s="287" t="s">
        <v>426</v>
      </c>
      <c r="J206" s="210" t="s">
        <v>418</v>
      </c>
      <c r="K206" s="210" t="s">
        <v>419</v>
      </c>
      <c r="L206" s="210" t="s">
        <v>421</v>
      </c>
      <c r="M206" s="209" t="s">
        <v>412</v>
      </c>
    </row>
    <row r="207" spans="2:20" ht="15" customHeight="1">
      <c r="B207" s="176" t="s">
        <v>170</v>
      </c>
      <c r="C207" s="177">
        <v>2018</v>
      </c>
      <c r="D207" s="178">
        <f>C190+(C190*0.3)</f>
        <v>5738529.7439759038</v>
      </c>
      <c r="E207" s="188">
        <f>(D207-C190)/C190</f>
        <v>0.3</v>
      </c>
      <c r="F207" s="189">
        <f t="shared" ref="F207:F216" si="16">D207-$C$190</f>
        <v>1324276.0947636701</v>
      </c>
      <c r="G207" s="189">
        <f>-G40</f>
        <v>-4000000</v>
      </c>
      <c r="H207" s="190">
        <v>-60000</v>
      </c>
      <c r="I207" s="190">
        <v>10</v>
      </c>
      <c r="J207" s="190">
        <f>H207*I207</f>
        <v>-600000</v>
      </c>
      <c r="K207" s="178"/>
      <c r="L207" s="180">
        <f>J207+K207</f>
        <v>-600000</v>
      </c>
      <c r="M207" s="180">
        <f t="shared" ref="M207:M216" si="17">SUM(F207,G207,L207)</f>
        <v>-3275723.9052363299</v>
      </c>
    </row>
    <row r="208" spans="2:20" ht="15" customHeight="1">
      <c r="B208" s="176" t="s">
        <v>171</v>
      </c>
      <c r="C208" s="177">
        <v>2019</v>
      </c>
      <c r="D208" s="178">
        <f>D207+(D207*0.3)</f>
        <v>7460088.667168675</v>
      </c>
      <c r="E208" s="188">
        <f t="shared" ref="E208:E216" si="18">(D208-D207)/D207</f>
        <v>0.3</v>
      </c>
      <c r="F208" s="189">
        <f t="shared" si="16"/>
        <v>3045835.0179564413</v>
      </c>
      <c r="G208" s="189">
        <f>-H40</f>
        <v>-4000000</v>
      </c>
      <c r="H208" s="190">
        <v>-60000</v>
      </c>
      <c r="I208" s="190">
        <v>10</v>
      </c>
      <c r="J208" s="190">
        <f t="shared" ref="J208:J216" si="19">H208*I208</f>
        <v>-600000</v>
      </c>
      <c r="K208" s="178"/>
      <c r="L208" s="180">
        <f t="shared" ref="L208:L216" si="20">J208+K208</f>
        <v>-600000</v>
      </c>
      <c r="M208" s="180">
        <f t="shared" si="17"/>
        <v>-1554164.9820435587</v>
      </c>
      <c r="N208" s="150"/>
    </row>
    <row r="209" spans="2:15" ht="15" customHeight="1">
      <c r="B209" s="176" t="s">
        <v>172</v>
      </c>
      <c r="C209" s="177">
        <v>2020</v>
      </c>
      <c r="D209" s="178">
        <f>D208+(D208*0.15)</f>
        <v>8579101.9672439769</v>
      </c>
      <c r="E209" s="188">
        <f t="shared" si="18"/>
        <v>0.15000000000000008</v>
      </c>
      <c r="F209" s="189">
        <f t="shared" si="16"/>
        <v>4164848.3180317432</v>
      </c>
      <c r="G209" s="189"/>
      <c r="H209" s="190">
        <f>H208+(H208*0.02)</f>
        <v>-61200</v>
      </c>
      <c r="I209" s="190">
        <f>I208+5</f>
        <v>15</v>
      </c>
      <c r="J209" s="190">
        <f t="shared" si="19"/>
        <v>-918000</v>
      </c>
      <c r="K209" s="178">
        <v>-1000000</v>
      </c>
      <c r="L209" s="180">
        <f t="shared" si="20"/>
        <v>-1918000</v>
      </c>
      <c r="M209" s="180">
        <f t="shared" si="17"/>
        <v>2246848.3180317432</v>
      </c>
      <c r="N209" s="150"/>
    </row>
    <row r="210" spans="2:15" ht="15" customHeight="1">
      <c r="B210" s="176" t="s">
        <v>173</v>
      </c>
      <c r="C210" s="177">
        <v>2021</v>
      </c>
      <c r="D210" s="178">
        <f t="shared" ref="D210:D216" si="21">D209+(D209*0.15)</f>
        <v>9865967.2623305731</v>
      </c>
      <c r="E210" s="188">
        <f t="shared" si="18"/>
        <v>0.14999999999999997</v>
      </c>
      <c r="F210" s="189">
        <f t="shared" si="16"/>
        <v>5451713.6131183393</v>
      </c>
      <c r="G210" s="189"/>
      <c r="H210" s="190">
        <f t="shared" ref="H210:H216" si="22">H209+(H209*0.02)</f>
        <v>-62424</v>
      </c>
      <c r="I210" s="190">
        <f t="shared" ref="I210:I216" si="23">I209+5</f>
        <v>20</v>
      </c>
      <c r="J210" s="190">
        <f t="shared" si="19"/>
        <v>-1248480</v>
      </c>
      <c r="K210" s="178">
        <f>K209+K209*0.02</f>
        <v>-1020000</v>
      </c>
      <c r="L210" s="180">
        <f t="shared" si="20"/>
        <v>-2268480</v>
      </c>
      <c r="M210" s="180">
        <f t="shared" si="17"/>
        <v>3183233.6131183393</v>
      </c>
      <c r="N210" s="150"/>
    </row>
    <row r="211" spans="2:15" ht="15" customHeight="1">
      <c r="B211" s="176" t="s">
        <v>174</v>
      </c>
      <c r="C211" s="177">
        <v>2022</v>
      </c>
      <c r="D211" s="178">
        <f t="shared" si="21"/>
        <v>11345862.35168016</v>
      </c>
      <c r="E211" s="188">
        <f t="shared" si="18"/>
        <v>0.15000000000000005</v>
      </c>
      <c r="F211" s="189">
        <f t="shared" si="16"/>
        <v>6931608.7024679258</v>
      </c>
      <c r="G211" s="189"/>
      <c r="H211" s="190">
        <f t="shared" si="22"/>
        <v>-63672.480000000003</v>
      </c>
      <c r="I211" s="190">
        <f t="shared" si="23"/>
        <v>25</v>
      </c>
      <c r="J211" s="190">
        <f t="shared" si="19"/>
        <v>-1591812</v>
      </c>
      <c r="K211" s="178">
        <f t="shared" ref="K211:K216" si="24">K210+K210*0.02</f>
        <v>-1040400</v>
      </c>
      <c r="L211" s="180">
        <f t="shared" si="20"/>
        <v>-2632212</v>
      </c>
      <c r="M211" s="180">
        <f t="shared" si="17"/>
        <v>4299396.7024679258</v>
      </c>
      <c r="N211" s="150"/>
    </row>
    <row r="212" spans="2:15" ht="15" customHeight="1">
      <c r="B212" s="176" t="s">
        <v>175</v>
      </c>
      <c r="C212" s="177">
        <v>2023</v>
      </c>
      <c r="D212" s="178">
        <f t="shared" si="21"/>
        <v>13047741.704432184</v>
      </c>
      <c r="E212" s="188">
        <f t="shared" si="18"/>
        <v>0.15000000000000002</v>
      </c>
      <c r="F212" s="189">
        <f t="shared" si="16"/>
        <v>8633488.0552199502</v>
      </c>
      <c r="G212" s="189"/>
      <c r="H212" s="190">
        <f t="shared" si="22"/>
        <v>-64945.929600000003</v>
      </c>
      <c r="I212" s="190">
        <f t="shared" si="23"/>
        <v>30</v>
      </c>
      <c r="J212" s="190">
        <f t="shared" si="19"/>
        <v>-1948377.888</v>
      </c>
      <c r="K212" s="178">
        <f t="shared" si="24"/>
        <v>-1061208</v>
      </c>
      <c r="L212" s="180">
        <f t="shared" si="20"/>
        <v>-3009585.8880000003</v>
      </c>
      <c r="M212" s="180">
        <f t="shared" si="17"/>
        <v>5623902.1672199499</v>
      </c>
      <c r="N212" s="150"/>
    </row>
    <row r="213" spans="2:15" ht="15" customHeight="1">
      <c r="B213" s="176" t="s">
        <v>176</v>
      </c>
      <c r="C213" s="177">
        <v>2024</v>
      </c>
      <c r="D213" s="178">
        <f t="shared" si="21"/>
        <v>15004902.960097011</v>
      </c>
      <c r="E213" s="188">
        <f t="shared" si="18"/>
        <v>0.14999999999999997</v>
      </c>
      <c r="F213" s="189">
        <f t="shared" si="16"/>
        <v>10590649.310884777</v>
      </c>
      <c r="G213" s="189"/>
      <c r="H213" s="190">
        <f t="shared" si="22"/>
        <v>-66244.848192000005</v>
      </c>
      <c r="I213" s="190">
        <f t="shared" si="23"/>
        <v>35</v>
      </c>
      <c r="J213" s="190">
        <f t="shared" si="19"/>
        <v>-2318569.6867200001</v>
      </c>
      <c r="K213" s="178">
        <f t="shared" si="24"/>
        <v>-1082432.1599999999</v>
      </c>
      <c r="L213" s="180">
        <f t="shared" si="20"/>
        <v>-3401001.8467199998</v>
      </c>
      <c r="M213" s="180">
        <f t="shared" si="17"/>
        <v>7189647.4641647777</v>
      </c>
      <c r="N213" s="150"/>
    </row>
    <row r="214" spans="2:15" ht="15" customHeight="1">
      <c r="B214" s="176" t="s">
        <v>177</v>
      </c>
      <c r="C214" s="177">
        <v>2025</v>
      </c>
      <c r="D214" s="178">
        <f t="shared" si="21"/>
        <v>17255638.404111564</v>
      </c>
      <c r="E214" s="188">
        <f t="shared" si="18"/>
        <v>0.15000000000000008</v>
      </c>
      <c r="F214" s="189">
        <f t="shared" si="16"/>
        <v>12841384.75489933</v>
      </c>
      <c r="G214" s="189"/>
      <c r="H214" s="190">
        <f t="shared" si="22"/>
        <v>-67569.745155840006</v>
      </c>
      <c r="I214" s="190">
        <f t="shared" si="23"/>
        <v>40</v>
      </c>
      <c r="J214" s="190">
        <f t="shared" si="19"/>
        <v>-2702789.8062336002</v>
      </c>
      <c r="K214" s="178">
        <f t="shared" si="24"/>
        <v>-1104080.8032</v>
      </c>
      <c r="L214" s="180">
        <f t="shared" si="20"/>
        <v>-3806870.6094336002</v>
      </c>
      <c r="M214" s="180">
        <f t="shared" si="17"/>
        <v>9034514.1454657298</v>
      </c>
      <c r="N214" s="150"/>
    </row>
    <row r="215" spans="2:15" ht="15" customHeight="1">
      <c r="B215" s="176" t="s">
        <v>178</v>
      </c>
      <c r="C215" s="177">
        <v>2026</v>
      </c>
      <c r="D215" s="178">
        <f t="shared" si="21"/>
        <v>19843984.164728299</v>
      </c>
      <c r="E215" s="188">
        <f t="shared" si="18"/>
        <v>0.15</v>
      </c>
      <c r="F215" s="189">
        <f t="shared" si="16"/>
        <v>15429730.515516065</v>
      </c>
      <c r="G215" s="189"/>
      <c r="H215" s="190">
        <f t="shared" si="22"/>
        <v>-68921.140058956807</v>
      </c>
      <c r="I215" s="190">
        <f t="shared" si="23"/>
        <v>45</v>
      </c>
      <c r="J215" s="190">
        <f t="shared" si="19"/>
        <v>-3101451.3026530566</v>
      </c>
      <c r="K215" s="178">
        <f t="shared" si="24"/>
        <v>-1126162.4192639999</v>
      </c>
      <c r="L215" s="180">
        <f t="shared" si="20"/>
        <v>-4227613.7219170565</v>
      </c>
      <c r="M215" s="180">
        <f t="shared" si="17"/>
        <v>11202116.79359901</v>
      </c>
      <c r="N215" s="150"/>
    </row>
    <row r="216" spans="2:15" ht="15" customHeight="1">
      <c r="B216" s="176" t="s">
        <v>179</v>
      </c>
      <c r="C216" s="177">
        <v>2027</v>
      </c>
      <c r="D216" s="178">
        <f t="shared" si="21"/>
        <v>22820581.789437544</v>
      </c>
      <c r="E216" s="188">
        <f t="shared" si="18"/>
        <v>0.15</v>
      </c>
      <c r="F216" s="189">
        <f t="shared" si="16"/>
        <v>18406328.14022531</v>
      </c>
      <c r="G216" s="189"/>
      <c r="H216" s="190">
        <f t="shared" si="22"/>
        <v>-70299.562860135949</v>
      </c>
      <c r="I216" s="190">
        <f t="shared" si="23"/>
        <v>50</v>
      </c>
      <c r="J216" s="190">
        <f t="shared" si="19"/>
        <v>-3514978.1430067974</v>
      </c>
      <c r="K216" s="178">
        <f t="shared" si="24"/>
        <v>-1148685.6676492798</v>
      </c>
      <c r="L216" s="180">
        <f t="shared" si="20"/>
        <v>-4663663.8106560772</v>
      </c>
      <c r="M216" s="180">
        <f t="shared" si="17"/>
        <v>13742664.329569232</v>
      </c>
      <c r="N216" s="150"/>
    </row>
    <row r="217" spans="2:15" ht="15" customHeight="1">
      <c r="B217" s="80" t="s">
        <v>36</v>
      </c>
      <c r="C217" s="65"/>
      <c r="D217" s="77">
        <f>SUM(D207:D216)</f>
        <v>130962399.01520589</v>
      </c>
      <c r="E217" s="65"/>
      <c r="F217" s="75">
        <f>SUM(F207:F216)</f>
        <v>86819862.523083553</v>
      </c>
      <c r="G217" s="75"/>
      <c r="H217" s="75"/>
      <c r="I217" s="75"/>
      <c r="J217" s="77">
        <f>SUM(J207:J216)</f>
        <v>-18544458.826613456</v>
      </c>
      <c r="K217" s="77">
        <f>SUM(K207:K216)</f>
        <v>-8582969.0501132794</v>
      </c>
      <c r="L217" s="75">
        <f>SUM(L207:L216)</f>
        <v>-27127427.876726732</v>
      </c>
      <c r="M217" s="75">
        <f>SUM(M207:M216)</f>
        <v>51692434.646356821</v>
      </c>
      <c r="N217" s="150"/>
    </row>
    <row r="218" spans="2:15" ht="15" customHeight="1">
      <c r="H218" s="75"/>
      <c r="I218" s="72"/>
      <c r="J218" s="72"/>
      <c r="K218" s="72"/>
      <c r="L218" s="72"/>
      <c r="M218" s="72"/>
      <c r="N218" s="150"/>
      <c r="O218" s="150"/>
    </row>
    <row r="219" spans="2:15" ht="15" customHeight="1">
      <c r="H219" s="75"/>
      <c r="I219" s="72"/>
      <c r="J219" s="72"/>
      <c r="K219" s="72"/>
      <c r="L219" s="72"/>
      <c r="M219" s="72"/>
      <c r="N219" s="150"/>
      <c r="O219" s="150"/>
    </row>
    <row r="220" spans="2:15" ht="30.75" customHeight="1">
      <c r="B220" s="175" t="s">
        <v>390</v>
      </c>
      <c r="C220" s="175" t="s">
        <v>180</v>
      </c>
      <c r="D220" s="231" t="s">
        <v>204</v>
      </c>
      <c r="E220" s="232" t="s">
        <v>205</v>
      </c>
      <c r="F220" s="153"/>
      <c r="H220" s="75"/>
      <c r="I220" s="72"/>
      <c r="J220" s="72"/>
      <c r="K220" s="72"/>
      <c r="L220" s="72"/>
      <c r="M220" s="72"/>
      <c r="N220" s="150"/>
      <c r="O220" s="150"/>
    </row>
    <row r="221" spans="2:15" ht="15" customHeight="1">
      <c r="B221" s="176" t="s">
        <v>170</v>
      </c>
      <c r="C221" s="177">
        <v>2018</v>
      </c>
      <c r="D221" s="178">
        <f t="shared" ref="D221:D230" si="25">R193</f>
        <v>-582309.28044485638</v>
      </c>
      <c r="E221" s="178">
        <f t="shared" ref="E221:E230" si="26">M207</f>
        <v>-3275723.9052363299</v>
      </c>
      <c r="F221" s="153">
        <v>0</v>
      </c>
      <c r="H221" s="75"/>
      <c r="I221" s="72"/>
      <c r="J221" s="72"/>
      <c r="K221" s="72"/>
      <c r="L221" s="72"/>
      <c r="M221" s="72"/>
      <c r="N221" s="150"/>
      <c r="O221" s="150"/>
    </row>
    <row r="222" spans="2:15" ht="15" customHeight="1">
      <c r="B222" s="176" t="s">
        <v>171</v>
      </c>
      <c r="C222" s="177">
        <v>2019</v>
      </c>
      <c r="D222" s="178">
        <f t="shared" si="25"/>
        <v>-3265963.9206672851</v>
      </c>
      <c r="E222" s="178">
        <f t="shared" si="26"/>
        <v>-1554164.9820435587</v>
      </c>
      <c r="F222" s="153">
        <v>0</v>
      </c>
      <c r="H222" s="75"/>
      <c r="I222" s="72"/>
      <c r="J222" s="72"/>
      <c r="K222" s="72"/>
      <c r="L222" s="72"/>
      <c r="M222" s="72"/>
      <c r="N222" s="150"/>
      <c r="O222" s="150"/>
    </row>
    <row r="223" spans="2:15" ht="15" customHeight="1">
      <c r="B223" s="176" t="s">
        <v>172</v>
      </c>
      <c r="C223" s="177">
        <v>2020</v>
      </c>
      <c r="D223" s="178">
        <f t="shared" si="25"/>
        <v>1020126.8246061169</v>
      </c>
      <c r="E223" s="178">
        <f t="shared" si="26"/>
        <v>2246848.3180317432</v>
      </c>
      <c r="F223" s="153">
        <v>0</v>
      </c>
      <c r="H223" s="75"/>
      <c r="I223" s="72"/>
      <c r="J223" s="72"/>
      <c r="K223" s="72"/>
      <c r="L223" s="72"/>
      <c r="M223" s="72"/>
      <c r="N223" s="150"/>
      <c r="O223" s="150"/>
    </row>
    <row r="224" spans="2:15" ht="15" customHeight="1">
      <c r="B224" s="176" t="s">
        <v>173</v>
      </c>
      <c r="C224" s="177">
        <v>2021</v>
      </c>
      <c r="D224" s="178">
        <f t="shared" si="25"/>
        <v>2185024.8719879519</v>
      </c>
      <c r="E224" s="178">
        <f t="shared" si="26"/>
        <v>3183233.6131183393</v>
      </c>
      <c r="F224" s="153">
        <v>0</v>
      </c>
      <c r="H224" s="75"/>
      <c r="I224" s="72"/>
      <c r="J224" s="72"/>
      <c r="K224" s="72"/>
      <c r="L224" s="72"/>
      <c r="M224" s="72"/>
      <c r="N224" s="150"/>
      <c r="O224" s="150"/>
    </row>
    <row r="225" spans="2:15" ht="15" customHeight="1">
      <c r="B225" s="176" t="s">
        <v>174</v>
      </c>
      <c r="C225" s="177">
        <v>2022</v>
      </c>
      <c r="D225" s="178">
        <f t="shared" si="25"/>
        <v>1700891.9241079704</v>
      </c>
      <c r="E225" s="178">
        <f t="shared" si="26"/>
        <v>4299396.7024679258</v>
      </c>
      <c r="F225" s="153">
        <v>0</v>
      </c>
      <c r="H225" s="75"/>
      <c r="I225" s="72"/>
      <c r="J225" s="72"/>
      <c r="K225" s="72"/>
      <c r="L225" s="72"/>
      <c r="M225" s="72"/>
      <c r="N225" s="150"/>
      <c r="O225" s="150"/>
    </row>
    <row r="226" spans="2:15" ht="15" customHeight="1">
      <c r="B226" s="176" t="s">
        <v>175</v>
      </c>
      <c r="C226" s="177">
        <v>2023</v>
      </c>
      <c r="D226" s="178">
        <f t="shared" si="25"/>
        <v>3749344.4654399902</v>
      </c>
      <c r="E226" s="178">
        <f t="shared" si="26"/>
        <v>5623902.1672199499</v>
      </c>
      <c r="F226" s="153">
        <v>0</v>
      </c>
      <c r="H226" s="75"/>
      <c r="I226" s="72"/>
      <c r="J226" s="72"/>
      <c r="K226" s="72"/>
      <c r="L226" s="72"/>
      <c r="M226" s="72"/>
      <c r="N226" s="150"/>
      <c r="O226" s="150"/>
    </row>
    <row r="227" spans="2:15" ht="15" customHeight="1">
      <c r="B227" s="176" t="s">
        <v>176</v>
      </c>
      <c r="C227" s="177">
        <v>2024</v>
      </c>
      <c r="D227" s="178">
        <f t="shared" si="25"/>
        <v>4617661.0205852129</v>
      </c>
      <c r="E227" s="178">
        <f t="shared" si="26"/>
        <v>7189647.4641647777</v>
      </c>
      <c r="F227" s="153">
        <v>0</v>
      </c>
      <c r="H227" s="75"/>
      <c r="I227" s="72"/>
      <c r="J227" s="72"/>
      <c r="K227" s="72"/>
      <c r="L227" s="72"/>
      <c r="M227" s="72"/>
      <c r="N227" s="150"/>
      <c r="O227" s="150"/>
    </row>
    <row r="228" spans="2:15" ht="15" customHeight="1">
      <c r="B228" s="176" t="s">
        <v>177</v>
      </c>
      <c r="C228" s="177">
        <v>2025</v>
      </c>
      <c r="D228" s="178">
        <f t="shared" si="25"/>
        <v>5573848.3661185578</v>
      </c>
      <c r="E228" s="178">
        <f t="shared" si="26"/>
        <v>9034514.1454657298</v>
      </c>
      <c r="F228" s="153">
        <v>0</v>
      </c>
      <c r="H228" s="75"/>
      <c r="I228" s="72"/>
      <c r="J228" s="72"/>
      <c r="K228" s="72"/>
      <c r="L228" s="72"/>
      <c r="M228" s="72"/>
      <c r="N228" s="150"/>
      <c r="O228" s="150"/>
    </row>
    <row r="229" spans="2:15" ht="15" customHeight="1">
      <c r="B229" s="176" t="s">
        <v>178</v>
      </c>
      <c r="C229" s="177">
        <v>2026</v>
      </c>
      <c r="D229" s="178">
        <f t="shared" si="25"/>
        <v>6626714.3637763076</v>
      </c>
      <c r="E229" s="178">
        <f t="shared" si="26"/>
        <v>11202116.79359901</v>
      </c>
      <c r="F229" s="153">
        <v>0</v>
      </c>
      <c r="H229" s="75"/>
      <c r="I229" s="72"/>
      <c r="J229" s="72"/>
      <c r="K229" s="72"/>
      <c r="L229" s="72"/>
      <c r="M229" s="72"/>
      <c r="N229" s="150"/>
      <c r="O229" s="150"/>
    </row>
    <row r="230" spans="2:15" ht="15" customHeight="1">
      <c r="B230" s="176" t="s">
        <v>179</v>
      </c>
      <c r="C230" s="177">
        <v>2027</v>
      </c>
      <c r="D230" s="178">
        <f t="shared" si="25"/>
        <v>7785948.0771223288</v>
      </c>
      <c r="E230" s="178">
        <f t="shared" si="26"/>
        <v>13742664.329569232</v>
      </c>
      <c r="F230" s="153">
        <v>0</v>
      </c>
      <c r="H230" s="75"/>
      <c r="I230" s="72"/>
      <c r="J230" s="72"/>
      <c r="K230" s="72"/>
      <c r="L230" s="72"/>
      <c r="M230" s="72"/>
      <c r="N230" s="150"/>
      <c r="O230" s="150"/>
    </row>
    <row r="231" spans="2:15" ht="15" customHeight="1">
      <c r="B231" s="80" t="s">
        <v>36</v>
      </c>
      <c r="D231" s="191">
        <f>SUM(D221:D230)</f>
        <v>29411286.712632298</v>
      </c>
      <c r="E231" s="191">
        <f>SUM(E221:E230)</f>
        <v>51692434.646356821</v>
      </c>
      <c r="H231" s="75"/>
      <c r="I231" s="72"/>
      <c r="J231" s="72"/>
      <c r="K231" s="72"/>
      <c r="L231" s="72"/>
      <c r="M231" s="72"/>
      <c r="N231" s="150"/>
      <c r="O231" s="150"/>
    </row>
    <row r="232" spans="2:15" ht="15" customHeight="1">
      <c r="H232" s="75"/>
      <c r="I232" s="72"/>
      <c r="J232" s="72"/>
      <c r="K232" s="72"/>
      <c r="L232" s="72"/>
      <c r="M232" s="72"/>
      <c r="N232" s="150"/>
      <c r="O232" s="150"/>
    </row>
    <row r="233" spans="2:15" ht="15" customHeight="1">
      <c r="H233" s="75"/>
      <c r="I233" s="72"/>
      <c r="J233" s="72"/>
      <c r="K233" s="72"/>
      <c r="L233" s="72"/>
      <c r="M233" s="72"/>
      <c r="N233" s="150"/>
      <c r="O233" s="150"/>
    </row>
    <row r="234" spans="2:15" ht="15" customHeight="1">
      <c r="H234" s="75"/>
      <c r="I234" s="72"/>
      <c r="J234" s="72"/>
      <c r="K234" s="72"/>
      <c r="L234" s="72"/>
      <c r="M234" s="72"/>
      <c r="N234" s="150"/>
      <c r="O234" s="150"/>
    </row>
    <row r="235" spans="2:15" ht="15" customHeight="1">
      <c r="H235" s="75"/>
      <c r="I235" s="72"/>
      <c r="J235" s="72"/>
      <c r="K235" s="72"/>
      <c r="L235" s="72"/>
      <c r="M235" s="72"/>
      <c r="N235" s="150"/>
      <c r="O235" s="150"/>
    </row>
    <row r="236" spans="2:15" ht="15" customHeight="1">
      <c r="H236" s="75"/>
      <c r="I236" s="72"/>
      <c r="J236" s="72"/>
      <c r="K236" s="72"/>
      <c r="L236" s="72"/>
      <c r="M236" s="72"/>
      <c r="N236" s="150"/>
      <c r="O236" s="150"/>
    </row>
    <row r="237" spans="2:15" ht="15" customHeight="1">
      <c r="H237" s="75"/>
      <c r="I237" s="72"/>
      <c r="J237" s="72"/>
      <c r="K237" s="72"/>
      <c r="L237" s="72"/>
      <c r="M237" s="72"/>
      <c r="N237" s="150"/>
      <c r="O237" s="150"/>
    </row>
    <row r="238" spans="2:15" ht="15" customHeight="1">
      <c r="H238" s="75"/>
      <c r="I238" s="72"/>
      <c r="J238" s="72"/>
      <c r="K238" s="72"/>
      <c r="L238" s="72"/>
      <c r="M238" s="72"/>
      <c r="N238" s="150"/>
      <c r="O238" s="150"/>
    </row>
    <row r="239" spans="2:15" ht="15" customHeight="1">
      <c r="H239" s="75"/>
      <c r="I239" s="72"/>
      <c r="J239" s="72"/>
      <c r="K239" s="72"/>
      <c r="L239" s="72"/>
      <c r="M239" s="72"/>
      <c r="N239" s="150"/>
      <c r="O239" s="150"/>
    </row>
    <row r="240" spans="2:15" ht="15" customHeight="1">
      <c r="H240" s="75"/>
      <c r="I240" s="72"/>
      <c r="J240" s="72"/>
      <c r="K240" s="72"/>
      <c r="L240" s="72"/>
      <c r="M240" s="72"/>
      <c r="N240" s="150"/>
      <c r="O240" s="150"/>
    </row>
    <row r="241" spans="2:25" ht="15" customHeight="1">
      <c r="H241" s="75"/>
      <c r="I241" s="72"/>
      <c r="J241" s="72"/>
      <c r="K241" s="72"/>
      <c r="L241" s="72"/>
      <c r="M241" s="72"/>
      <c r="N241" s="150"/>
      <c r="O241" s="150"/>
    </row>
    <row r="242" spans="2:25" ht="15" customHeight="1">
      <c r="H242" s="75"/>
      <c r="I242" s="72"/>
      <c r="J242" s="72"/>
      <c r="K242" s="72"/>
      <c r="L242" s="72"/>
      <c r="M242" s="72"/>
      <c r="N242" s="150"/>
      <c r="O242" s="150"/>
    </row>
    <row r="243" spans="2:25" ht="15" customHeight="1">
      <c r="H243" s="75"/>
      <c r="I243" s="72"/>
      <c r="J243" s="72"/>
      <c r="K243" s="72"/>
      <c r="L243" s="72"/>
      <c r="M243" s="72"/>
      <c r="N243" s="150"/>
      <c r="O243" s="150"/>
    </row>
    <row r="244" spans="2:25" ht="15" customHeight="1">
      <c r="H244" s="75"/>
      <c r="I244" s="72"/>
      <c r="J244" s="72"/>
      <c r="K244" s="72"/>
      <c r="L244" s="72"/>
      <c r="M244" s="72"/>
      <c r="N244" s="150"/>
      <c r="O244" s="150"/>
    </row>
    <row r="245" spans="2:25" ht="15" customHeight="1">
      <c r="H245" s="75"/>
      <c r="I245" s="72"/>
      <c r="J245" s="72"/>
      <c r="K245" s="72"/>
      <c r="L245" s="72"/>
      <c r="M245" s="72"/>
      <c r="N245" s="150"/>
      <c r="O245" s="150"/>
    </row>
    <row r="246" spans="2:25" ht="15" customHeight="1">
      <c r="H246" s="75"/>
      <c r="I246" s="72"/>
      <c r="J246" s="72"/>
      <c r="K246" s="72"/>
      <c r="L246" s="72"/>
      <c r="M246" s="72"/>
      <c r="N246" s="150"/>
      <c r="O246" s="150"/>
    </row>
    <row r="248" spans="2:25" ht="22.5" customHeight="1">
      <c r="B248" s="254" t="s">
        <v>187</v>
      </c>
      <c r="C248" s="255"/>
      <c r="D248" s="255"/>
      <c r="E248" s="255"/>
      <c r="F248" s="255"/>
      <c r="G248" s="255"/>
      <c r="H248" s="256" t="s">
        <v>191</v>
      </c>
      <c r="I248" s="255"/>
      <c r="J248" s="255"/>
      <c r="K248" s="255"/>
      <c r="L248" s="255"/>
      <c r="M248" s="255"/>
      <c r="N248" s="255"/>
      <c r="O248" s="255"/>
      <c r="P248" s="255"/>
      <c r="Q248" s="255"/>
      <c r="R248" s="257"/>
      <c r="S248"/>
      <c r="T248" s="149"/>
      <c r="U248" s="149"/>
      <c r="V248" s="149"/>
      <c r="W248" s="149"/>
      <c r="X248" s="149"/>
      <c r="Y248" s="149"/>
    </row>
    <row r="249" spans="2:25" ht="15" customHeight="1">
      <c r="B249" s="84"/>
      <c r="H249" s="64"/>
      <c r="J249" s="74"/>
    </row>
    <row r="250" spans="2:25" ht="52.8">
      <c r="B250" s="205" t="s">
        <v>204</v>
      </c>
      <c r="C250" s="203" t="s">
        <v>180</v>
      </c>
      <c r="D250" s="207" t="s">
        <v>416</v>
      </c>
      <c r="E250" s="207" t="s">
        <v>429</v>
      </c>
      <c r="F250" s="207" t="s">
        <v>422</v>
      </c>
      <c r="G250" s="206" t="s">
        <v>406</v>
      </c>
      <c r="H250" s="203" t="s">
        <v>428</v>
      </c>
      <c r="I250" s="203" t="s">
        <v>189</v>
      </c>
      <c r="J250" s="276" t="s">
        <v>409</v>
      </c>
      <c r="K250" s="203" t="s">
        <v>407</v>
      </c>
      <c r="L250" s="203" t="s">
        <v>405</v>
      </c>
      <c r="N250" s="268" t="s">
        <v>180</v>
      </c>
      <c r="O250" s="153" t="s">
        <v>204</v>
      </c>
      <c r="P250" s="153" t="s">
        <v>205</v>
      </c>
      <c r="Q250" s="153" t="s">
        <v>180</v>
      </c>
      <c r="R250" s="153"/>
      <c r="S250" s="153"/>
      <c r="T250" s="153"/>
      <c r="U250" s="153"/>
    </row>
    <row r="251" spans="2:25" ht="15" customHeight="1">
      <c r="B251" s="176" t="s">
        <v>170</v>
      </c>
      <c r="C251" s="193">
        <v>2018</v>
      </c>
      <c r="D251" s="190">
        <f>F193</f>
        <v>0</v>
      </c>
      <c r="E251" s="190">
        <f>H193</f>
        <v>1000000</v>
      </c>
      <c r="F251" s="190">
        <f>Q193</f>
        <v>-540000</v>
      </c>
      <c r="G251" s="194">
        <f>SUM(D251:F251)</f>
        <v>460000</v>
      </c>
      <c r="H251" s="190">
        <f>G251/(POWER(1.1,1))</f>
        <v>418181.81818181818</v>
      </c>
      <c r="I251" s="194">
        <f>G193</f>
        <v>-1042309.2804448564</v>
      </c>
      <c r="J251" s="190">
        <f>I251/(POWER(1.1,1))</f>
        <v>-947553.89131350571</v>
      </c>
      <c r="K251" s="190">
        <f>SUM(H251,J251)</f>
        <v>-529372.07313168747</v>
      </c>
      <c r="L251" s="178">
        <f>K251</f>
        <v>-529372.07313168747</v>
      </c>
      <c r="M251" s="72"/>
      <c r="N251" s="153">
        <v>2018</v>
      </c>
      <c r="O251" s="259">
        <f>L251</f>
        <v>-529372.07313168747</v>
      </c>
      <c r="P251" s="259">
        <f>K264</f>
        <v>-2977930.8229421182</v>
      </c>
      <c r="Q251" s="259">
        <v>-5000000</v>
      </c>
      <c r="R251" s="153">
        <v>0</v>
      </c>
      <c r="S251" s="153"/>
      <c r="T251" s="153" t="s">
        <v>204</v>
      </c>
      <c r="U251" s="259">
        <f>M261</f>
        <v>12984874.681416709</v>
      </c>
    </row>
    <row r="252" spans="2:25" ht="15" customHeight="1">
      <c r="B252" s="176" t="s">
        <v>171</v>
      </c>
      <c r="C252" s="193">
        <v>2019</v>
      </c>
      <c r="D252" s="190">
        <f t="shared" ref="D252:D260" si="27">F194</f>
        <v>0</v>
      </c>
      <c r="E252" s="190">
        <f>H194</f>
        <v>1700000</v>
      </c>
      <c r="F252" s="190">
        <f t="shared" ref="F252:F260" si="28">Q194</f>
        <v>-590000</v>
      </c>
      <c r="G252" s="194">
        <f t="shared" ref="G252:G260" si="29">SUM(D252:F252)</f>
        <v>1110000</v>
      </c>
      <c r="H252" s="190">
        <f>G252/(POWER(1.1,2))</f>
        <v>917355.37190082634</v>
      </c>
      <c r="I252" s="194">
        <f>G194</f>
        <v>-4375963.9206672851</v>
      </c>
      <c r="J252" s="190">
        <f>I252/(POWER(1.1,2))</f>
        <v>-3616499.1079894914</v>
      </c>
      <c r="K252" s="190">
        <f t="shared" ref="K252:K260" si="30">SUM(H252,J252)</f>
        <v>-2699143.7360886652</v>
      </c>
      <c r="L252" s="178">
        <f>K252+L251</f>
        <v>-3228515.8092203527</v>
      </c>
      <c r="M252" s="72"/>
      <c r="N252" s="153">
        <v>2019</v>
      </c>
      <c r="O252" s="259">
        <f t="shared" ref="O252:O260" si="31">L252</f>
        <v>-3228515.8092203527</v>
      </c>
      <c r="P252" s="259">
        <f t="shared" ref="P252:P260" si="32">K265</f>
        <v>-4262364.6923996042</v>
      </c>
      <c r="Q252" s="259">
        <v>-5000000</v>
      </c>
      <c r="R252" s="153">
        <v>0</v>
      </c>
      <c r="S252" s="153"/>
      <c r="T252" s="153" t="s">
        <v>205</v>
      </c>
      <c r="U252" s="259">
        <f>L274</f>
        <v>23397326.894035533</v>
      </c>
    </row>
    <row r="253" spans="2:25" ht="15" customHeight="1">
      <c r="B253" s="176" t="s">
        <v>172</v>
      </c>
      <c r="C253" s="193">
        <v>2020</v>
      </c>
      <c r="D253" s="190">
        <f t="shared" si="27"/>
        <v>2207126.8246061169</v>
      </c>
      <c r="E253" s="190"/>
      <c r="F253" s="190">
        <f t="shared" si="28"/>
        <v>-1187000</v>
      </c>
      <c r="G253" s="194">
        <f t="shared" si="29"/>
        <v>1020126.8246061169</v>
      </c>
      <c r="H253" s="190">
        <f>G253/(POWER(1.1,3))</f>
        <v>766436.38212330325</v>
      </c>
      <c r="I253" s="194"/>
      <c r="J253" s="190"/>
      <c r="K253" s="190">
        <f t="shared" si="30"/>
        <v>766436.38212330325</v>
      </c>
      <c r="L253" s="178">
        <f t="shared" ref="L253:L260" si="33">K253+L252</f>
        <v>-2462079.4270970495</v>
      </c>
      <c r="M253" s="72"/>
      <c r="N253" s="153">
        <v>2020</v>
      </c>
      <c r="O253" s="259">
        <f t="shared" si="31"/>
        <v>-2462079.4270970495</v>
      </c>
      <c r="P253" s="259">
        <f t="shared" si="32"/>
        <v>-2574274.2956815409</v>
      </c>
      <c r="Q253" s="259">
        <v>-5000000</v>
      </c>
      <c r="R253" s="153">
        <v>0</v>
      </c>
      <c r="S253" s="153"/>
      <c r="T253" s="153"/>
      <c r="U253" s="153"/>
    </row>
    <row r="254" spans="2:25" ht="15" customHeight="1">
      <c r="B254" s="176" t="s">
        <v>173</v>
      </c>
      <c r="C254" s="193">
        <v>2021</v>
      </c>
      <c r="D254" s="190">
        <f t="shared" si="27"/>
        <v>2869264.8719879519</v>
      </c>
      <c r="E254" s="190"/>
      <c r="F254" s="190">
        <f t="shared" si="28"/>
        <v>-684240</v>
      </c>
      <c r="G254" s="194">
        <f t="shared" si="29"/>
        <v>2185024.8719879519</v>
      </c>
      <c r="H254" s="194">
        <f>G254/(POWER(1.1,4))</f>
        <v>1492401.387875112</v>
      </c>
      <c r="I254" s="194"/>
      <c r="J254" s="190"/>
      <c r="K254" s="190">
        <f t="shared" si="30"/>
        <v>1492401.387875112</v>
      </c>
      <c r="L254" s="178">
        <f t="shared" si="33"/>
        <v>-969678.03922193754</v>
      </c>
      <c r="M254" s="72"/>
      <c r="N254" s="153">
        <v>2021</v>
      </c>
      <c r="O254" s="259">
        <f t="shared" si="31"/>
        <v>-969678.03922193754</v>
      </c>
      <c r="P254" s="259">
        <f t="shared" si="32"/>
        <v>-400082.90635134606</v>
      </c>
      <c r="Q254" s="259">
        <v>-5000000</v>
      </c>
      <c r="R254" s="153">
        <v>0</v>
      </c>
      <c r="S254" s="153"/>
      <c r="T254" s="153"/>
      <c r="U254" s="153"/>
    </row>
    <row r="255" spans="2:25" ht="15" customHeight="1">
      <c r="B255" s="176" t="s">
        <v>174</v>
      </c>
      <c r="C255" s="193">
        <v>2022</v>
      </c>
      <c r="D255" s="190">
        <f t="shared" si="27"/>
        <v>3597616.7241079705</v>
      </c>
      <c r="E255" s="190"/>
      <c r="F255" s="190">
        <f t="shared" si="28"/>
        <v>-1896724.8</v>
      </c>
      <c r="G255" s="194">
        <f t="shared" si="29"/>
        <v>1700891.9241079704</v>
      </c>
      <c r="H255" s="194">
        <f>G255/(POWER(1.1,5))</f>
        <v>1056120.0638977529</v>
      </c>
      <c r="I255" s="194"/>
      <c r="J255" s="190"/>
      <c r="K255" s="190">
        <f t="shared" si="30"/>
        <v>1056120.0638977529</v>
      </c>
      <c r="L255" s="178">
        <f t="shared" si="33"/>
        <v>86442.024675815366</v>
      </c>
      <c r="M255" s="72"/>
      <c r="N255" s="153">
        <v>2022</v>
      </c>
      <c r="O255" s="259">
        <f t="shared" si="31"/>
        <v>86442.024675815366</v>
      </c>
      <c r="P255" s="259">
        <f t="shared" si="32"/>
        <v>2269504.1825012066</v>
      </c>
      <c r="Q255" s="259">
        <v>-5000000</v>
      </c>
      <c r="R255" s="153">
        <v>0</v>
      </c>
      <c r="S255" s="153"/>
      <c r="T255" s="153"/>
      <c r="U255" s="153"/>
    </row>
    <row r="256" spans="2:25" ht="15" customHeight="1">
      <c r="B256" s="176" t="s">
        <v>175</v>
      </c>
      <c r="C256" s="193">
        <v>2023</v>
      </c>
      <c r="D256" s="190">
        <f t="shared" si="27"/>
        <v>4398803.7614399903</v>
      </c>
      <c r="E256" s="190"/>
      <c r="F256" s="190">
        <f t="shared" si="28"/>
        <v>-649459.29600000009</v>
      </c>
      <c r="G256" s="194">
        <f t="shared" si="29"/>
        <v>3749344.4654399902</v>
      </c>
      <c r="H256" s="194">
        <f>G256/(POWER(1.1,6))</f>
        <v>2116407.2055322896</v>
      </c>
      <c r="I256" s="194"/>
      <c r="J256" s="190"/>
      <c r="K256" s="190">
        <f t="shared" si="30"/>
        <v>2116407.2055322896</v>
      </c>
      <c r="L256" s="178">
        <f t="shared" si="33"/>
        <v>2202849.2302081049</v>
      </c>
      <c r="M256" s="72"/>
      <c r="N256" s="153">
        <v>2023</v>
      </c>
      <c r="O256" s="259">
        <f t="shared" si="31"/>
        <v>2202849.2302081049</v>
      </c>
      <c r="P256" s="259">
        <f t="shared" si="32"/>
        <v>5444050.3410698064</v>
      </c>
      <c r="Q256" s="259">
        <v>-5000000</v>
      </c>
      <c r="R256" s="153">
        <v>0</v>
      </c>
      <c r="S256" s="153"/>
      <c r="T256" s="153"/>
      <c r="U256" s="153"/>
    </row>
    <row r="257" spans="2:21" ht="15" customHeight="1">
      <c r="B257" s="176" t="s">
        <v>176</v>
      </c>
      <c r="C257" s="193">
        <v>2024</v>
      </c>
      <c r="D257" s="190">
        <f t="shared" si="27"/>
        <v>5280109.502505213</v>
      </c>
      <c r="E257" s="190"/>
      <c r="F257" s="190">
        <f t="shared" si="28"/>
        <v>-662448.48192000005</v>
      </c>
      <c r="G257" s="194">
        <f t="shared" si="29"/>
        <v>4617661.0205852129</v>
      </c>
      <c r="H257" s="194">
        <f>G257/(POWER(1.1,7))</f>
        <v>2369590.239950791</v>
      </c>
      <c r="I257" s="194"/>
      <c r="J257" s="190"/>
      <c r="K257" s="190">
        <f t="shared" si="30"/>
        <v>2369590.239950791</v>
      </c>
      <c r="L257" s="178">
        <f t="shared" si="33"/>
        <v>4572439.4701588955</v>
      </c>
      <c r="M257" s="72"/>
      <c r="N257" s="153">
        <v>2024</v>
      </c>
      <c r="O257" s="259">
        <f t="shared" si="31"/>
        <v>4572439.4701588955</v>
      </c>
      <c r="P257" s="259">
        <f t="shared" si="32"/>
        <v>9133476.3045227751</v>
      </c>
      <c r="Q257" s="259">
        <v>-5000000</v>
      </c>
      <c r="R257" s="153">
        <v>0</v>
      </c>
      <c r="S257" s="153"/>
      <c r="T257" s="153"/>
      <c r="U257" s="153"/>
    </row>
    <row r="258" spans="2:21" ht="15" customHeight="1">
      <c r="B258" s="176" t="s">
        <v>177</v>
      </c>
      <c r="C258" s="193">
        <v>2025</v>
      </c>
      <c r="D258" s="190">
        <f t="shared" si="27"/>
        <v>6249545.8176769577</v>
      </c>
      <c r="E258" s="190"/>
      <c r="F258" s="190">
        <f t="shared" si="28"/>
        <v>-675697.45155840006</v>
      </c>
      <c r="G258" s="194">
        <f t="shared" si="29"/>
        <v>5573848.3661185578</v>
      </c>
      <c r="H258" s="194">
        <f>G258/(POWER(1.1,8))</f>
        <v>2600241.39896427</v>
      </c>
      <c r="I258" s="194"/>
      <c r="J258" s="190"/>
      <c r="K258" s="190">
        <f t="shared" si="30"/>
        <v>2600241.39896427</v>
      </c>
      <c r="L258" s="178">
        <f t="shared" si="33"/>
        <v>7172680.8691231655</v>
      </c>
      <c r="M258" s="72"/>
      <c r="N258" s="153">
        <v>2025</v>
      </c>
      <c r="O258" s="259">
        <f t="shared" si="31"/>
        <v>7172680.8691231655</v>
      </c>
      <c r="P258" s="259">
        <f t="shared" si="32"/>
        <v>13348143.829991769</v>
      </c>
      <c r="Q258" s="259">
        <v>-5000000</v>
      </c>
      <c r="R258" s="153">
        <v>0</v>
      </c>
      <c r="S258" s="153"/>
      <c r="T258" s="153"/>
      <c r="U258" s="153"/>
    </row>
    <row r="259" spans="2:21" ht="15" customHeight="1">
      <c r="B259" s="176" t="s">
        <v>178</v>
      </c>
      <c r="C259" s="193">
        <v>2026</v>
      </c>
      <c r="D259" s="190">
        <f t="shared" si="27"/>
        <v>7315925.7643658761</v>
      </c>
      <c r="E259" s="190"/>
      <c r="F259" s="190">
        <f t="shared" si="28"/>
        <v>-689211.40058956807</v>
      </c>
      <c r="G259" s="194">
        <f t="shared" si="29"/>
        <v>6626714.3637763076</v>
      </c>
      <c r="H259" s="194">
        <f>G259/(POWER(1.1,9))</f>
        <v>2810373.779312267</v>
      </c>
      <c r="I259" s="194"/>
      <c r="J259" s="190"/>
      <c r="K259" s="190">
        <f t="shared" si="30"/>
        <v>2810373.779312267</v>
      </c>
      <c r="L259" s="178">
        <f t="shared" si="33"/>
        <v>9983054.6484354325</v>
      </c>
      <c r="M259" s="72"/>
      <c r="N259" s="153">
        <v>2026</v>
      </c>
      <c r="O259" s="259">
        <f t="shared" si="31"/>
        <v>9983054.6484354325</v>
      </c>
      <c r="P259" s="259">
        <f t="shared" si="32"/>
        <v>18098934.882887524</v>
      </c>
      <c r="Q259" s="259">
        <v>-5000000</v>
      </c>
      <c r="R259" s="153">
        <v>0</v>
      </c>
      <c r="S259" s="153"/>
      <c r="T259" s="153"/>
      <c r="U259" s="153"/>
    </row>
    <row r="260" spans="2:21" ht="15" customHeight="1">
      <c r="B260" s="176" t="s">
        <v>179</v>
      </c>
      <c r="C260" s="193">
        <v>2027</v>
      </c>
      <c r="D260" s="190">
        <f t="shared" si="27"/>
        <v>8488943.705723688</v>
      </c>
      <c r="E260" s="190"/>
      <c r="F260" s="190">
        <f t="shared" si="28"/>
        <v>-702995.62860135944</v>
      </c>
      <c r="G260" s="194">
        <f t="shared" si="29"/>
        <v>7785948.0771223288</v>
      </c>
      <c r="H260" s="194">
        <f>G260/(POWER(1.1,10))</f>
        <v>3001820.0329812779</v>
      </c>
      <c r="I260" s="194"/>
      <c r="J260" s="190"/>
      <c r="K260" s="190">
        <f t="shared" si="30"/>
        <v>3001820.0329812779</v>
      </c>
      <c r="L260" s="178">
        <f t="shared" si="33"/>
        <v>12984874.681416711</v>
      </c>
      <c r="M260" s="80" t="s">
        <v>188</v>
      </c>
      <c r="N260" s="153">
        <v>2027</v>
      </c>
      <c r="O260" s="259">
        <f t="shared" si="31"/>
        <v>12984874.681416711</v>
      </c>
      <c r="P260" s="259">
        <f t="shared" si="32"/>
        <v>23397326.894035533</v>
      </c>
      <c r="Q260" s="259">
        <v>-5000000</v>
      </c>
      <c r="R260" s="153">
        <v>0</v>
      </c>
      <c r="S260" s="153"/>
      <c r="T260" s="153"/>
      <c r="U260" s="153"/>
    </row>
    <row r="261" spans="2:21" ht="15" customHeight="1">
      <c r="B261" s="80" t="s">
        <v>36</v>
      </c>
      <c r="C261" s="64"/>
      <c r="D261" s="64"/>
      <c r="E261" s="64"/>
      <c r="F261" s="64"/>
      <c r="G261" s="77">
        <f>SUM(G251:G260)</f>
        <v>34829559.913744435</v>
      </c>
      <c r="H261" s="75">
        <f>SUM(H251:H260)</f>
        <v>17548927.680719707</v>
      </c>
      <c r="I261" s="77">
        <f>SUM(I251:I260)</f>
        <v>-5418273.2011121418</v>
      </c>
      <c r="J261" s="152">
        <f t="shared" ref="J261" si="34">SUM(J251:J260)</f>
        <v>-4564052.9993029973</v>
      </c>
      <c r="K261" s="75">
        <f>SUM(K251:K260)</f>
        <v>12984874.681416711</v>
      </c>
      <c r="L261" s="72"/>
      <c r="M261" s="275">
        <f>SUM(H261,J261)</f>
        <v>12984874.681416709</v>
      </c>
    </row>
    <row r="262" spans="2:21" ht="15" customHeight="1">
      <c r="B262" s="84"/>
      <c r="C262" s="64"/>
      <c r="D262" s="64"/>
      <c r="E262" s="64"/>
      <c r="F262" s="64"/>
      <c r="G262" s="75"/>
      <c r="H262" s="77" t="s">
        <v>168</v>
      </c>
      <c r="I262" s="152"/>
    </row>
    <row r="263" spans="2:21" ht="52.8">
      <c r="B263" s="208" t="s">
        <v>205</v>
      </c>
      <c r="C263" s="209" t="s">
        <v>180</v>
      </c>
      <c r="D263" s="211" t="s">
        <v>416</v>
      </c>
      <c r="E263" s="210" t="s">
        <v>422</v>
      </c>
      <c r="F263" s="209" t="s">
        <v>423</v>
      </c>
      <c r="G263" s="209" t="s">
        <v>428</v>
      </c>
      <c r="H263" s="211" t="s">
        <v>189</v>
      </c>
      <c r="I263" s="280" t="s">
        <v>409</v>
      </c>
      <c r="J263" s="209" t="s">
        <v>407</v>
      </c>
      <c r="K263" s="209" t="s">
        <v>405</v>
      </c>
    </row>
    <row r="264" spans="2:21" ht="15" customHeight="1">
      <c r="B264" s="176" t="s">
        <v>170</v>
      </c>
      <c r="C264" s="177">
        <v>2018</v>
      </c>
      <c r="D264" s="190">
        <f>F207</f>
        <v>1324276.0947636701</v>
      </c>
      <c r="E264" s="194">
        <f>L207</f>
        <v>-600000</v>
      </c>
      <c r="F264" s="194">
        <f>SUM(D264:E264)</f>
        <v>724276.09476367012</v>
      </c>
      <c r="G264" s="190">
        <f>F264/(POWER(1.1,1))</f>
        <v>658432.81342151819</v>
      </c>
      <c r="H264" s="190">
        <v>-4000000</v>
      </c>
      <c r="I264" s="190">
        <f>H264/(POWER(1.1,1))</f>
        <v>-3636363.6363636362</v>
      </c>
      <c r="J264" s="190">
        <f>SUM(G264,I264)</f>
        <v>-2977930.8229421182</v>
      </c>
      <c r="K264" s="178">
        <f>J264</f>
        <v>-2977930.8229421182</v>
      </c>
    </row>
    <row r="265" spans="2:21" ht="15" customHeight="1">
      <c r="B265" s="176" t="s">
        <v>171</v>
      </c>
      <c r="C265" s="177">
        <v>2019</v>
      </c>
      <c r="D265" s="190">
        <f t="shared" ref="D265:D273" si="35">F208</f>
        <v>3045835.0179564413</v>
      </c>
      <c r="E265" s="194">
        <f t="shared" ref="E265:E273" si="36">L208</f>
        <v>-600000</v>
      </c>
      <c r="F265" s="194">
        <f t="shared" ref="F265:F273" si="37">SUM(D265:E265)</f>
        <v>2445835.0179564413</v>
      </c>
      <c r="G265" s="190">
        <f>F265/(POWER(1.1,2))</f>
        <v>2021351.2545094553</v>
      </c>
      <c r="H265" s="190">
        <v>-4000000</v>
      </c>
      <c r="I265" s="190">
        <f>H265/(POWER(1.1,2))</f>
        <v>-3305785.1239669416</v>
      </c>
      <c r="J265" s="190">
        <f t="shared" ref="J265:J273" si="38">SUM(G265,I265)</f>
        <v>-1284433.8694574863</v>
      </c>
      <c r="K265" s="178">
        <f>J265+K264</f>
        <v>-4262364.6923996042</v>
      </c>
    </row>
    <row r="266" spans="2:21" ht="15" customHeight="1">
      <c r="B266" s="176" t="s">
        <v>172</v>
      </c>
      <c r="C266" s="177">
        <v>2020</v>
      </c>
      <c r="D266" s="190">
        <f t="shared" si="35"/>
        <v>4164848.3180317432</v>
      </c>
      <c r="E266" s="194">
        <f t="shared" si="36"/>
        <v>-1918000</v>
      </c>
      <c r="F266" s="194">
        <f t="shared" si="37"/>
        <v>2246848.3180317432</v>
      </c>
      <c r="G266" s="194">
        <f>F266/(POWER(1.1,3))</f>
        <v>1688090.3967180634</v>
      </c>
      <c r="H266" s="190"/>
      <c r="I266" s="190"/>
      <c r="J266" s="190">
        <f t="shared" si="38"/>
        <v>1688090.3967180634</v>
      </c>
      <c r="K266" s="178">
        <f t="shared" ref="K266:K273" si="39">J266+K265</f>
        <v>-2574274.2956815409</v>
      </c>
    </row>
    <row r="267" spans="2:21" ht="15" customHeight="1">
      <c r="B267" s="176" t="s">
        <v>173</v>
      </c>
      <c r="C267" s="177">
        <v>2021</v>
      </c>
      <c r="D267" s="190">
        <f t="shared" si="35"/>
        <v>5451713.6131183393</v>
      </c>
      <c r="E267" s="194">
        <f t="shared" si="36"/>
        <v>-2268480</v>
      </c>
      <c r="F267" s="194">
        <f t="shared" si="37"/>
        <v>3183233.6131183393</v>
      </c>
      <c r="G267" s="194">
        <f>F267/(POWER(1.1,4))</f>
        <v>2174191.3893301948</v>
      </c>
      <c r="H267" s="190"/>
      <c r="I267" s="190"/>
      <c r="J267" s="190">
        <f t="shared" si="38"/>
        <v>2174191.3893301948</v>
      </c>
      <c r="K267" s="178">
        <f>J267+K266</f>
        <v>-400082.90635134606</v>
      </c>
    </row>
    <row r="268" spans="2:21" ht="15" customHeight="1">
      <c r="B268" s="176" t="s">
        <v>174</v>
      </c>
      <c r="C268" s="177">
        <v>2022</v>
      </c>
      <c r="D268" s="190">
        <f t="shared" si="35"/>
        <v>6931608.7024679258</v>
      </c>
      <c r="E268" s="194">
        <f t="shared" si="36"/>
        <v>-2632212</v>
      </c>
      <c r="F268" s="194">
        <f t="shared" si="37"/>
        <v>4299396.7024679258</v>
      </c>
      <c r="G268" s="194">
        <f>F268/(POWER(1.1,5))</f>
        <v>2669587.0888525527</v>
      </c>
      <c r="H268" s="190"/>
      <c r="I268" s="190"/>
      <c r="J268" s="190">
        <f t="shared" si="38"/>
        <v>2669587.0888525527</v>
      </c>
      <c r="K268" s="178">
        <f t="shared" si="39"/>
        <v>2269504.1825012066</v>
      </c>
    </row>
    <row r="269" spans="2:21" ht="15" customHeight="1">
      <c r="B269" s="176" t="s">
        <v>175</v>
      </c>
      <c r="C269" s="177">
        <v>2023</v>
      </c>
      <c r="D269" s="190">
        <f t="shared" si="35"/>
        <v>8633488.0552199502</v>
      </c>
      <c r="E269" s="194">
        <f t="shared" si="36"/>
        <v>-3009585.8880000003</v>
      </c>
      <c r="F269" s="194">
        <f t="shared" si="37"/>
        <v>5623902.1672199499</v>
      </c>
      <c r="G269" s="194">
        <f>F269/(POWER(1.1,6))</f>
        <v>3174546.1585685997</v>
      </c>
      <c r="H269" s="190"/>
      <c r="I269" s="190"/>
      <c r="J269" s="190">
        <f t="shared" si="38"/>
        <v>3174546.1585685997</v>
      </c>
      <c r="K269" s="178">
        <f t="shared" si="39"/>
        <v>5444050.3410698064</v>
      </c>
    </row>
    <row r="270" spans="2:21" ht="15" customHeight="1">
      <c r="B270" s="176" t="s">
        <v>176</v>
      </c>
      <c r="C270" s="177">
        <v>2024</v>
      </c>
      <c r="D270" s="190">
        <f t="shared" si="35"/>
        <v>10590649.310884777</v>
      </c>
      <c r="E270" s="194">
        <f t="shared" si="36"/>
        <v>-3401001.8467199998</v>
      </c>
      <c r="F270" s="194">
        <f t="shared" si="37"/>
        <v>7189647.4641647777</v>
      </c>
      <c r="G270" s="194">
        <f>F270/(POWER(1.1,7))</f>
        <v>3689425.9634529678</v>
      </c>
      <c r="H270" s="190"/>
      <c r="I270" s="190"/>
      <c r="J270" s="190">
        <f t="shared" si="38"/>
        <v>3689425.9634529678</v>
      </c>
      <c r="K270" s="178">
        <f t="shared" si="39"/>
        <v>9133476.3045227751</v>
      </c>
    </row>
    <row r="271" spans="2:21" ht="15" customHeight="1">
      <c r="B271" s="176" t="s">
        <v>177</v>
      </c>
      <c r="C271" s="177">
        <v>2025</v>
      </c>
      <c r="D271" s="190">
        <f t="shared" si="35"/>
        <v>12841384.75489933</v>
      </c>
      <c r="E271" s="194">
        <f t="shared" si="36"/>
        <v>-3806870.6094336002</v>
      </c>
      <c r="F271" s="194">
        <f t="shared" si="37"/>
        <v>9034514.1454657298</v>
      </c>
      <c r="G271" s="194">
        <f>F271/(POWER(1.1,8))</f>
        <v>4214667.5254689939</v>
      </c>
      <c r="H271" s="190"/>
      <c r="I271" s="190"/>
      <c r="J271" s="190">
        <f t="shared" si="38"/>
        <v>4214667.5254689939</v>
      </c>
      <c r="K271" s="178">
        <f t="shared" si="39"/>
        <v>13348143.829991769</v>
      </c>
    </row>
    <row r="272" spans="2:21" ht="15" customHeight="1">
      <c r="B272" s="176" t="s">
        <v>178</v>
      </c>
      <c r="C272" s="177">
        <v>2026</v>
      </c>
      <c r="D272" s="190">
        <f t="shared" si="35"/>
        <v>15429730.515516065</v>
      </c>
      <c r="E272" s="194">
        <f t="shared" si="36"/>
        <v>-4227613.7219170565</v>
      </c>
      <c r="F272" s="194">
        <f t="shared" si="37"/>
        <v>11202116.79359901</v>
      </c>
      <c r="G272" s="194">
        <f>F272/(POWER(1.1,9))</f>
        <v>4750791.0528957546</v>
      </c>
      <c r="H272" s="190"/>
      <c r="I272" s="190"/>
      <c r="J272" s="190">
        <f t="shared" si="38"/>
        <v>4750791.0528957546</v>
      </c>
      <c r="K272" s="178">
        <f t="shared" si="39"/>
        <v>18098934.882887524</v>
      </c>
    </row>
    <row r="273" spans="2:19" ht="15" customHeight="1">
      <c r="B273" s="176" t="s">
        <v>179</v>
      </c>
      <c r="C273" s="177">
        <v>2027</v>
      </c>
      <c r="D273" s="190">
        <f t="shared" si="35"/>
        <v>18406328.14022531</v>
      </c>
      <c r="E273" s="194">
        <f t="shared" si="36"/>
        <v>-4663663.8106560772</v>
      </c>
      <c r="F273" s="194">
        <f t="shared" si="37"/>
        <v>13742664.329569232</v>
      </c>
      <c r="G273" s="194">
        <f>F273/(POWER(1.1,10))</f>
        <v>5298392.0111480085</v>
      </c>
      <c r="H273" s="190"/>
      <c r="I273" s="190"/>
      <c r="J273" s="190">
        <f t="shared" si="38"/>
        <v>5298392.0111480085</v>
      </c>
      <c r="K273" s="178">
        <f t="shared" si="39"/>
        <v>23397326.894035533</v>
      </c>
      <c r="L273" s="80" t="s">
        <v>188</v>
      </c>
    </row>
    <row r="274" spans="2:19" ht="15" customHeight="1">
      <c r="B274" s="80" t="s">
        <v>36</v>
      </c>
      <c r="F274" s="77">
        <f>SUM(G264:G273)</f>
        <v>30339475.65436611</v>
      </c>
      <c r="G274" s="75">
        <f>SUM(G264:G273)</f>
        <v>30339475.65436611</v>
      </c>
      <c r="H274" s="75">
        <f>SUM(H264:H265)</f>
        <v>-8000000</v>
      </c>
      <c r="I274" s="152">
        <f>SUM(I264:I265)</f>
        <v>-6942148.7603305783</v>
      </c>
      <c r="J274" s="75">
        <f>SUM(J264:J273)</f>
        <v>23397326.894035533</v>
      </c>
      <c r="K274" s="72"/>
      <c r="L274" s="275">
        <f>SUM(G274,I274)</f>
        <v>23397326.894035533</v>
      </c>
    </row>
    <row r="275" spans="2:19" ht="15" customHeight="1">
      <c r="B275" s="80"/>
      <c r="F275" s="77"/>
      <c r="G275" s="75"/>
      <c r="H275" s="75"/>
      <c r="I275" s="152"/>
      <c r="J275" s="75"/>
      <c r="K275" s="72"/>
      <c r="L275" s="275"/>
    </row>
    <row r="276" spans="2:19" s="215" customFormat="1" ht="15" customHeight="1">
      <c r="B276" s="218"/>
      <c r="G276" s="217"/>
      <c r="H276" s="216"/>
      <c r="I276" s="217"/>
      <c r="J276" s="217"/>
      <c r="K276" s="217"/>
      <c r="N276" s="149"/>
      <c r="O276" s="149"/>
      <c r="P276" s="149"/>
      <c r="Q276" s="149"/>
      <c r="R276" s="149"/>
      <c r="S276" s="149"/>
    </row>
    <row r="277" spans="2:19" s="215" customFormat="1" ht="15" customHeight="1">
      <c r="B277" s="218"/>
      <c r="G277" s="217"/>
      <c r="H277" s="216"/>
      <c r="I277" s="217"/>
      <c r="J277" s="217"/>
      <c r="N277" s="149"/>
      <c r="O277" s="149"/>
      <c r="P277" s="149"/>
      <c r="Q277" s="149"/>
      <c r="R277" s="149"/>
      <c r="S277" s="149"/>
    </row>
    <row r="278" spans="2:19" s="200" customFormat="1" ht="15" customHeight="1">
      <c r="B278" s="199" t="s">
        <v>392</v>
      </c>
      <c r="G278" s="201"/>
      <c r="I278" s="201"/>
      <c r="J278" s="201"/>
      <c r="N278" s="277"/>
      <c r="O278" s="277"/>
      <c r="P278" s="277"/>
      <c r="Q278" s="277"/>
      <c r="R278" s="277"/>
      <c r="S278" s="277"/>
    </row>
    <row r="279" spans="2:19" s="200" customFormat="1" ht="15" customHeight="1">
      <c r="B279" s="200" t="s">
        <v>204</v>
      </c>
      <c r="C279" s="202">
        <f>H261-J261</f>
        <v>22112980.680022705</v>
      </c>
      <c r="N279" s="277"/>
      <c r="O279" s="277"/>
      <c r="P279" s="277"/>
      <c r="Q279" s="277"/>
      <c r="R279" s="277"/>
      <c r="S279" s="277"/>
    </row>
    <row r="280" spans="2:19" s="200" customFormat="1" ht="15" customHeight="1">
      <c r="B280" s="200" t="s">
        <v>205</v>
      </c>
      <c r="C280" s="202">
        <f>F274-I274</f>
        <v>37281624.414696686</v>
      </c>
      <c r="N280" s="277"/>
      <c r="O280" s="277"/>
      <c r="P280" s="277"/>
      <c r="Q280" s="277"/>
      <c r="R280" s="277"/>
      <c r="S280" s="277"/>
    </row>
    <row r="281" spans="2:19" s="215" customFormat="1" ht="15" customHeight="1">
      <c r="B281" s="219"/>
      <c r="N281" s="149"/>
      <c r="O281" s="149"/>
      <c r="P281" s="149"/>
      <c r="Q281" s="149"/>
      <c r="R281" s="149"/>
      <c r="S281" s="149"/>
    </row>
    <row r="282" spans="2:19" s="215" customFormat="1" ht="15" customHeight="1">
      <c r="B282" s="219"/>
      <c r="N282" s="149"/>
      <c r="O282" s="149"/>
      <c r="P282" s="149"/>
      <c r="Q282" s="149"/>
      <c r="R282" s="149"/>
      <c r="S282" s="149"/>
    </row>
    <row r="283" spans="2:19" s="215" customFormat="1" ht="15" customHeight="1">
      <c r="B283" s="219"/>
      <c r="N283" s="149"/>
      <c r="O283" s="149"/>
      <c r="P283" s="149"/>
      <c r="Q283" s="149"/>
      <c r="R283" s="149"/>
      <c r="S283" s="149"/>
    </row>
    <row r="284" spans="2:19" ht="15" customHeight="1">
      <c r="B284" s="84"/>
      <c r="H284" s="64"/>
    </row>
    <row r="285" spans="2:19" ht="15" customHeight="1">
      <c r="B285" s="84"/>
      <c r="H285" s="64"/>
    </row>
    <row r="286" spans="2:19" ht="15" customHeight="1">
      <c r="B286" s="84"/>
      <c r="H286" s="64"/>
    </row>
    <row r="287" spans="2:19" ht="15" customHeight="1">
      <c r="B287" s="84"/>
      <c r="H287" s="64"/>
    </row>
    <row r="288" spans="2:19" ht="15" customHeight="1">
      <c r="B288" s="84"/>
      <c r="H288" s="64"/>
    </row>
    <row r="289" spans="2:25" ht="15" customHeight="1">
      <c r="B289" s="84"/>
      <c r="H289" s="64"/>
    </row>
    <row r="290" spans="2:25" ht="15" customHeight="1">
      <c r="B290" s="84"/>
      <c r="H290" s="64"/>
    </row>
    <row r="291" spans="2:25" ht="15" customHeight="1">
      <c r="B291" s="84"/>
      <c r="H291" s="64"/>
    </row>
    <row r="292" spans="2:25" ht="15" customHeight="1">
      <c r="B292" s="84"/>
      <c r="H292" s="64"/>
    </row>
    <row r="293" spans="2:25" ht="15" customHeight="1">
      <c r="B293" s="84"/>
      <c r="H293" s="64"/>
    </row>
    <row r="294" spans="2:25" ht="15" customHeight="1">
      <c r="B294" s="84"/>
      <c r="H294" s="64"/>
    </row>
    <row r="295" spans="2:25" ht="15" customHeight="1">
      <c r="B295" s="84"/>
      <c r="H295" s="64"/>
    </row>
    <row r="296" spans="2:25" ht="15" customHeight="1">
      <c r="B296" s="84"/>
      <c r="H296" s="64"/>
    </row>
    <row r="297" spans="2:25" ht="15" customHeight="1">
      <c r="B297" s="84"/>
      <c r="H297" s="64"/>
    </row>
    <row r="298" spans="2:25" ht="15" customHeight="1">
      <c r="B298" s="84"/>
      <c r="H298" s="64"/>
    </row>
    <row r="299" spans="2:25" ht="15" customHeight="1">
      <c r="B299" s="84"/>
      <c r="H299" s="64"/>
    </row>
    <row r="300" spans="2:25" ht="15" customHeight="1">
      <c r="B300" s="84"/>
      <c r="H300" s="64"/>
    </row>
    <row r="301" spans="2:25" ht="15" customHeight="1">
      <c r="B301" s="84"/>
      <c r="H301" s="64"/>
    </row>
    <row r="302" spans="2:25" ht="15" customHeight="1">
      <c r="B302" s="84"/>
      <c r="H302" s="64"/>
    </row>
    <row r="303" spans="2:25" ht="21.75" customHeight="1">
      <c r="B303" s="248" t="s">
        <v>190</v>
      </c>
      <c r="C303" s="249"/>
      <c r="D303" s="249"/>
      <c r="E303" s="249"/>
      <c r="F303" s="249"/>
      <c r="G303" s="249"/>
      <c r="H303" s="249"/>
      <c r="I303" s="249"/>
      <c r="J303" s="249"/>
      <c r="K303" s="249"/>
      <c r="L303" s="249"/>
      <c r="M303" s="249"/>
      <c r="N303" s="249"/>
      <c r="O303" s="249"/>
      <c r="P303" s="249"/>
      <c r="Q303" s="249"/>
      <c r="R303" s="250"/>
      <c r="S303"/>
      <c r="T303" s="149"/>
      <c r="U303" s="149"/>
      <c r="V303" s="149"/>
      <c r="W303" s="149"/>
      <c r="X303" s="149"/>
      <c r="Y303" s="149"/>
    </row>
    <row r="304" spans="2:25" ht="15" customHeight="1">
      <c r="B304" s="84"/>
    </row>
    <row r="305" spans="2:13" ht="30" customHeight="1">
      <c r="B305" s="205" t="s">
        <v>204</v>
      </c>
      <c r="C305" s="203" t="s">
        <v>180</v>
      </c>
      <c r="D305" s="203" t="s">
        <v>412</v>
      </c>
      <c r="E305" s="64"/>
    </row>
    <row r="306" spans="2:13" ht="15" customHeight="1">
      <c r="B306" s="195" t="s">
        <v>410</v>
      </c>
      <c r="C306" s="196"/>
      <c r="D306" s="197">
        <v>0</v>
      </c>
      <c r="E306" s="64"/>
    </row>
    <row r="307" spans="2:13" ht="15" customHeight="1">
      <c r="B307" s="176" t="s">
        <v>170</v>
      </c>
      <c r="C307" s="177">
        <v>2018</v>
      </c>
      <c r="D307" s="198">
        <f>R193</f>
        <v>-582309.28044485638</v>
      </c>
      <c r="E307" s="72"/>
    </row>
    <row r="308" spans="2:13" ht="15" customHeight="1">
      <c r="B308" s="176" t="s">
        <v>171</v>
      </c>
      <c r="C308" s="177">
        <v>2019</v>
      </c>
      <c r="D308" s="198">
        <f t="shared" ref="D308:D316" si="40">R194</f>
        <v>-3265963.9206672851</v>
      </c>
      <c r="E308" s="72"/>
    </row>
    <row r="309" spans="2:13" ht="15" customHeight="1">
      <c r="B309" s="176" t="s">
        <v>172</v>
      </c>
      <c r="C309" s="177">
        <v>2020</v>
      </c>
      <c r="D309" s="198">
        <f t="shared" si="40"/>
        <v>1020126.8246061169</v>
      </c>
      <c r="E309" s="72"/>
    </row>
    <row r="310" spans="2:13" ht="15" customHeight="1">
      <c r="B310" s="176" t="s">
        <v>173</v>
      </c>
      <c r="C310" s="177">
        <v>2021</v>
      </c>
      <c r="D310" s="198">
        <f t="shared" si="40"/>
        <v>2185024.8719879519</v>
      </c>
      <c r="E310" s="72"/>
    </row>
    <row r="311" spans="2:13" ht="15" customHeight="1">
      <c r="B311" s="176" t="s">
        <v>174</v>
      </c>
      <c r="C311" s="177">
        <v>2022</v>
      </c>
      <c r="D311" s="198">
        <f t="shared" si="40"/>
        <v>1700891.9241079704</v>
      </c>
      <c r="E311" s="72"/>
    </row>
    <row r="312" spans="2:13" ht="15" customHeight="1">
      <c r="B312" s="176" t="s">
        <v>175</v>
      </c>
      <c r="C312" s="177">
        <v>2023</v>
      </c>
      <c r="D312" s="198">
        <f t="shared" si="40"/>
        <v>3749344.4654399902</v>
      </c>
      <c r="E312" s="72"/>
    </row>
    <row r="313" spans="2:13" ht="15" customHeight="1">
      <c r="B313" s="176" t="s">
        <v>176</v>
      </c>
      <c r="C313" s="177">
        <v>2024</v>
      </c>
      <c r="D313" s="198">
        <f t="shared" si="40"/>
        <v>4617661.0205852129</v>
      </c>
      <c r="E313" s="72"/>
    </row>
    <row r="314" spans="2:13" ht="15" customHeight="1">
      <c r="B314" s="176" t="s">
        <v>177</v>
      </c>
      <c r="C314" s="177">
        <v>2025</v>
      </c>
      <c r="D314" s="198">
        <f t="shared" si="40"/>
        <v>5573848.3661185578</v>
      </c>
      <c r="E314" s="72"/>
    </row>
    <row r="315" spans="2:13" ht="15" customHeight="1">
      <c r="B315" s="176" t="s">
        <v>178</v>
      </c>
      <c r="C315" s="177">
        <v>2026</v>
      </c>
      <c r="D315" s="198">
        <f t="shared" si="40"/>
        <v>6626714.3637763076</v>
      </c>
      <c r="E315" s="72"/>
    </row>
    <row r="316" spans="2:13" ht="15" customHeight="1">
      <c r="B316" s="176" t="s">
        <v>179</v>
      </c>
      <c r="C316" s="177">
        <v>2027</v>
      </c>
      <c r="D316" s="198">
        <f t="shared" si="40"/>
        <v>7785948.0771223288</v>
      </c>
      <c r="E316" s="72"/>
    </row>
    <row r="317" spans="2:13" ht="15" customHeight="1">
      <c r="C317" s="65" t="s">
        <v>184</v>
      </c>
      <c r="D317" s="221">
        <f>IRR(D306:D316)</f>
        <v>0.5467512533748411</v>
      </c>
      <c r="E317" s="78"/>
    </row>
    <row r="318" spans="2:13" ht="15" customHeight="1">
      <c r="D318" s="64"/>
      <c r="E318" s="72"/>
    </row>
    <row r="319" spans="2:13" ht="30.75" customHeight="1">
      <c r="B319" s="208" t="s">
        <v>205</v>
      </c>
      <c r="C319" s="209" t="s">
        <v>180</v>
      </c>
      <c r="D319" s="209" t="s">
        <v>412</v>
      </c>
    </row>
    <row r="320" spans="2:13" ht="15" customHeight="1">
      <c r="B320" s="195" t="s">
        <v>189</v>
      </c>
      <c r="C320" s="196"/>
      <c r="D320" s="197">
        <v>0</v>
      </c>
      <c r="J320" s="72"/>
      <c r="K320" s="72"/>
      <c r="L320" s="72"/>
      <c r="M320" s="72"/>
    </row>
    <row r="321" spans="2:25" ht="15" customHeight="1">
      <c r="B321" s="176" t="s">
        <v>170</v>
      </c>
      <c r="C321" s="177">
        <v>2018</v>
      </c>
      <c r="D321" s="198">
        <f>M207</f>
        <v>-3275723.9052363299</v>
      </c>
      <c r="I321" s="71"/>
      <c r="J321" s="72"/>
      <c r="K321" s="72"/>
      <c r="L321" s="72"/>
      <c r="M321" s="72"/>
      <c r="N321" s="150"/>
    </row>
    <row r="322" spans="2:25" ht="15" customHeight="1">
      <c r="B322" s="176" t="s">
        <v>171</v>
      </c>
      <c r="C322" s="177">
        <v>2019</v>
      </c>
      <c r="D322" s="198">
        <f t="shared" ref="D322:D330" si="41">M208</f>
        <v>-1554164.9820435587</v>
      </c>
      <c r="I322" s="71"/>
      <c r="J322" s="72"/>
      <c r="K322" s="72"/>
      <c r="L322" s="72"/>
      <c r="M322" s="72"/>
      <c r="N322" s="150"/>
    </row>
    <row r="323" spans="2:25" ht="15" customHeight="1">
      <c r="B323" s="176" t="s">
        <v>172</v>
      </c>
      <c r="C323" s="177">
        <v>2020</v>
      </c>
      <c r="D323" s="198">
        <f t="shared" si="41"/>
        <v>2246848.3180317432</v>
      </c>
      <c r="I323" s="71"/>
      <c r="J323" s="72"/>
      <c r="K323" s="72"/>
      <c r="L323" s="72"/>
      <c r="M323" s="72"/>
      <c r="N323" s="150"/>
    </row>
    <row r="324" spans="2:25" ht="15" customHeight="1">
      <c r="B324" s="176" t="s">
        <v>173</v>
      </c>
      <c r="C324" s="177">
        <v>2021</v>
      </c>
      <c r="D324" s="198">
        <f t="shared" si="41"/>
        <v>3183233.6131183393</v>
      </c>
      <c r="I324" s="71"/>
      <c r="J324" s="72"/>
      <c r="K324" s="72"/>
      <c r="L324" s="72"/>
      <c r="M324" s="72"/>
      <c r="N324" s="150"/>
    </row>
    <row r="325" spans="2:25" ht="15" customHeight="1">
      <c r="B325" s="176" t="s">
        <v>174</v>
      </c>
      <c r="C325" s="177">
        <v>2022</v>
      </c>
      <c r="D325" s="198">
        <f t="shared" si="41"/>
        <v>4299396.7024679258</v>
      </c>
      <c r="I325" s="71"/>
      <c r="J325" s="72"/>
      <c r="K325" s="72"/>
      <c r="L325" s="72"/>
      <c r="M325" s="72"/>
      <c r="N325" s="150"/>
    </row>
    <row r="326" spans="2:25" ht="15" customHeight="1">
      <c r="B326" s="176" t="s">
        <v>175</v>
      </c>
      <c r="C326" s="177">
        <v>2023</v>
      </c>
      <c r="D326" s="198">
        <f t="shared" si="41"/>
        <v>5623902.1672199499</v>
      </c>
      <c r="I326" s="71"/>
      <c r="J326" s="72"/>
      <c r="K326" s="72"/>
      <c r="L326" s="72"/>
      <c r="M326" s="72"/>
      <c r="N326" s="150"/>
    </row>
    <row r="327" spans="2:25" ht="15" customHeight="1">
      <c r="B327" s="176" t="s">
        <v>176</v>
      </c>
      <c r="C327" s="177">
        <v>2024</v>
      </c>
      <c r="D327" s="198">
        <f t="shared" si="41"/>
        <v>7189647.4641647777</v>
      </c>
      <c r="I327" s="71"/>
      <c r="J327" s="72"/>
      <c r="K327" s="72"/>
      <c r="L327" s="72"/>
      <c r="M327" s="72"/>
      <c r="N327" s="150"/>
    </row>
    <row r="328" spans="2:25" ht="15" customHeight="1">
      <c r="B328" s="176" t="s">
        <v>177</v>
      </c>
      <c r="C328" s="177">
        <v>2025</v>
      </c>
      <c r="D328" s="198">
        <f t="shared" si="41"/>
        <v>9034514.1454657298</v>
      </c>
      <c r="I328" s="71"/>
      <c r="J328" s="72"/>
      <c r="K328" s="72"/>
      <c r="L328" s="72"/>
      <c r="M328" s="72"/>
      <c r="N328" s="150"/>
    </row>
    <row r="329" spans="2:25" ht="15" customHeight="1">
      <c r="B329" s="176" t="s">
        <v>178</v>
      </c>
      <c r="C329" s="177">
        <v>2026</v>
      </c>
      <c r="D329" s="198">
        <f t="shared" si="41"/>
        <v>11202116.79359901</v>
      </c>
      <c r="E329" s="72"/>
      <c r="I329" s="71"/>
      <c r="J329" s="72"/>
      <c r="K329" s="72"/>
      <c r="L329" s="72"/>
      <c r="M329" s="72"/>
      <c r="N329" s="150"/>
    </row>
    <row r="330" spans="2:25" ht="15" customHeight="1">
      <c r="B330" s="176" t="s">
        <v>179</v>
      </c>
      <c r="C330" s="177">
        <v>2027</v>
      </c>
      <c r="D330" s="198">
        <f t="shared" si="41"/>
        <v>13742664.329569232</v>
      </c>
      <c r="E330" s="72"/>
      <c r="I330" s="71"/>
      <c r="J330" s="72"/>
      <c r="K330" s="72"/>
      <c r="L330" s="72"/>
      <c r="M330" s="72"/>
      <c r="N330" s="150"/>
    </row>
    <row r="331" spans="2:25" ht="15" customHeight="1">
      <c r="C331" s="65" t="s">
        <v>184</v>
      </c>
      <c r="D331" s="221">
        <f>IRR(D320:D330)</f>
        <v>0.58437455017102691</v>
      </c>
      <c r="E331" s="281"/>
      <c r="J331" s="72"/>
      <c r="K331" s="72"/>
      <c r="L331" s="72"/>
      <c r="M331" s="72"/>
      <c r="N331" s="150"/>
    </row>
    <row r="332" spans="2:25" s="153" customFormat="1" ht="15" customHeight="1">
      <c r="B332" s="153" t="s">
        <v>204</v>
      </c>
      <c r="C332" s="282">
        <f>D317</f>
        <v>0.5467512533748411</v>
      </c>
      <c r="D332" s="213"/>
      <c r="N332" s="149"/>
      <c r="O332" s="149"/>
      <c r="P332" s="149"/>
      <c r="Q332" s="149"/>
      <c r="R332" s="149"/>
      <c r="S332" s="149"/>
    </row>
    <row r="333" spans="2:25" s="153" customFormat="1" ht="15" customHeight="1">
      <c r="C333" s="282"/>
      <c r="D333" s="213"/>
      <c r="N333" s="149"/>
      <c r="O333" s="149"/>
      <c r="P333" s="149"/>
      <c r="Q333" s="149"/>
      <c r="R333" s="149"/>
      <c r="S333" s="149"/>
    </row>
    <row r="334" spans="2:25" s="153" customFormat="1" ht="15" customHeight="1">
      <c r="B334" s="153" t="s">
        <v>205</v>
      </c>
      <c r="C334" s="282">
        <f>D331</f>
        <v>0.58437455017102691</v>
      </c>
      <c r="D334" s="213"/>
      <c r="E334" s="214"/>
      <c r="N334" s="149"/>
      <c r="O334" s="149"/>
      <c r="P334" s="149"/>
      <c r="Q334" s="149"/>
      <c r="R334" s="149"/>
      <c r="S334" s="149"/>
    </row>
    <row r="335" spans="2:25" ht="20.25" customHeight="1">
      <c r="B335" s="248" t="s">
        <v>431</v>
      </c>
      <c r="C335" s="249"/>
      <c r="D335" s="249"/>
      <c r="E335" s="249"/>
      <c r="F335" s="249"/>
      <c r="G335" s="249"/>
      <c r="H335" s="249"/>
      <c r="I335" s="249"/>
      <c r="J335" s="249"/>
      <c r="K335" s="249"/>
      <c r="L335" s="249"/>
      <c r="M335" s="249"/>
      <c r="N335" s="249"/>
      <c r="O335" s="249"/>
      <c r="P335" s="249"/>
      <c r="Q335" s="249"/>
      <c r="R335" s="250"/>
      <c r="S335"/>
      <c r="T335" s="149"/>
      <c r="U335" s="149"/>
      <c r="V335" s="149"/>
      <c r="W335" s="149"/>
      <c r="X335" s="149"/>
      <c r="Y335" s="149"/>
    </row>
    <row r="336" spans="2:25" ht="15" customHeight="1">
      <c r="B336" s="65"/>
    </row>
    <row r="337" spans="2:4" ht="30.75" customHeight="1">
      <c r="B337" s="205" t="s">
        <v>204</v>
      </c>
      <c r="C337" s="203" t="s">
        <v>180</v>
      </c>
      <c r="D337" s="203" t="s">
        <v>412</v>
      </c>
    </row>
    <row r="338" spans="2:4" ht="15" customHeight="1">
      <c r="B338" s="176" t="s">
        <v>170</v>
      </c>
      <c r="C338" s="177">
        <v>2018</v>
      </c>
      <c r="D338" s="198">
        <f>R193</f>
        <v>-582309.28044485638</v>
      </c>
    </row>
    <row r="339" spans="2:4" ht="15" customHeight="1">
      <c r="B339" s="176" t="s">
        <v>171</v>
      </c>
      <c r="C339" s="177">
        <v>2019</v>
      </c>
      <c r="D339" s="198">
        <f t="shared" ref="D339:D347" si="42">R194</f>
        <v>-3265963.9206672851</v>
      </c>
    </row>
    <row r="340" spans="2:4" ht="15" customHeight="1">
      <c r="B340" s="176" t="s">
        <v>172</v>
      </c>
      <c r="C340" s="177">
        <v>2020</v>
      </c>
      <c r="D340" s="198">
        <f t="shared" si="42"/>
        <v>1020126.8246061169</v>
      </c>
    </row>
    <row r="341" spans="2:4" ht="15" customHeight="1">
      <c r="B341" s="176" t="s">
        <v>173</v>
      </c>
      <c r="C341" s="177">
        <v>2021</v>
      </c>
      <c r="D341" s="198">
        <f t="shared" si="42"/>
        <v>2185024.8719879519</v>
      </c>
    </row>
    <row r="342" spans="2:4" ht="15" customHeight="1">
      <c r="B342" s="176" t="s">
        <v>174</v>
      </c>
      <c r="C342" s="177">
        <v>2022</v>
      </c>
      <c r="D342" s="198">
        <f t="shared" si="42"/>
        <v>1700891.9241079704</v>
      </c>
    </row>
    <row r="343" spans="2:4" ht="15" customHeight="1">
      <c r="B343" s="176" t="s">
        <v>175</v>
      </c>
      <c r="C343" s="177">
        <v>2023</v>
      </c>
      <c r="D343" s="198">
        <f t="shared" si="42"/>
        <v>3749344.4654399902</v>
      </c>
    </row>
    <row r="344" spans="2:4" ht="15" customHeight="1">
      <c r="B344" s="176" t="s">
        <v>176</v>
      </c>
      <c r="C344" s="177">
        <v>2024</v>
      </c>
      <c r="D344" s="198">
        <f t="shared" si="42"/>
        <v>4617661.0205852129</v>
      </c>
    </row>
    <row r="345" spans="2:4" ht="15" customHeight="1">
      <c r="B345" s="176" t="s">
        <v>177</v>
      </c>
      <c r="C345" s="177">
        <v>2025</v>
      </c>
      <c r="D345" s="198">
        <f t="shared" si="42"/>
        <v>5573848.3661185578</v>
      </c>
    </row>
    <row r="346" spans="2:4" ht="15" customHeight="1">
      <c r="B346" s="176" t="s">
        <v>178</v>
      </c>
      <c r="C346" s="177">
        <v>2026</v>
      </c>
      <c r="D346" s="198">
        <f t="shared" si="42"/>
        <v>6626714.3637763076</v>
      </c>
    </row>
    <row r="347" spans="2:4" ht="15" customHeight="1">
      <c r="B347" s="176" t="s">
        <v>179</v>
      </c>
      <c r="C347" s="177">
        <v>2027</v>
      </c>
      <c r="D347" s="198">
        <f t="shared" si="42"/>
        <v>7785948.0771223288</v>
      </c>
    </row>
    <row r="348" spans="2:4" ht="15" customHeight="1">
      <c r="B348" s="71" t="s">
        <v>391</v>
      </c>
      <c r="D348" s="220">
        <f>SUM(D338:D347)</f>
        <v>29411286.712632298</v>
      </c>
    </row>
    <row r="349" spans="2:4" ht="15" customHeight="1">
      <c r="B349" s="71" t="s">
        <v>432</v>
      </c>
      <c r="D349" s="223">
        <f>C35</f>
        <v>5418273.2011121409</v>
      </c>
    </row>
    <row r="350" spans="2:4" ht="15" customHeight="1">
      <c r="B350" s="80" t="s">
        <v>183</v>
      </c>
      <c r="C350" s="65"/>
      <c r="D350" s="222">
        <f>D348/D349</f>
        <v>5.4281660634231974</v>
      </c>
    </row>
    <row r="351" spans="2:4" ht="15" customHeight="1">
      <c r="B351" s="71" t="s">
        <v>433</v>
      </c>
      <c r="C351" s="65"/>
      <c r="D351" s="220">
        <f>C38</f>
        <v>2718273.2011121409</v>
      </c>
    </row>
    <row r="352" spans="2:4" ht="15" customHeight="1">
      <c r="B352" s="80" t="s">
        <v>430</v>
      </c>
      <c r="D352" s="76">
        <f>D348/D351</f>
        <v>10.819842060245861</v>
      </c>
    </row>
    <row r="353" spans="2:4" ht="15" customHeight="1">
      <c r="B353" s="80"/>
      <c r="D353" s="76"/>
    </row>
    <row r="354" spans="2:4" ht="15" customHeight="1">
      <c r="B354" s="80"/>
      <c r="D354" s="76"/>
    </row>
    <row r="355" spans="2:4" ht="15" customHeight="1">
      <c r="C355" s="65"/>
      <c r="D355" s="76"/>
    </row>
    <row r="356" spans="2:4" ht="33" customHeight="1">
      <c r="B356" s="208" t="s">
        <v>205</v>
      </c>
      <c r="C356" s="209" t="s">
        <v>180</v>
      </c>
      <c r="D356" s="209" t="s">
        <v>412</v>
      </c>
    </row>
    <row r="357" spans="2:4" ht="15" customHeight="1">
      <c r="B357" s="176" t="s">
        <v>170</v>
      </c>
      <c r="C357" s="177">
        <v>2018</v>
      </c>
      <c r="D357" s="198">
        <f>M207</f>
        <v>-3275723.9052363299</v>
      </c>
    </row>
    <row r="358" spans="2:4" ht="15" customHeight="1">
      <c r="B358" s="176" t="s">
        <v>171</v>
      </c>
      <c r="C358" s="177">
        <v>2019</v>
      </c>
      <c r="D358" s="198">
        <f t="shared" ref="D358:D366" si="43">M208</f>
        <v>-1554164.9820435587</v>
      </c>
    </row>
    <row r="359" spans="2:4" ht="15" customHeight="1">
      <c r="B359" s="176" t="s">
        <v>172</v>
      </c>
      <c r="C359" s="177">
        <v>2020</v>
      </c>
      <c r="D359" s="198">
        <f t="shared" si="43"/>
        <v>2246848.3180317432</v>
      </c>
    </row>
    <row r="360" spans="2:4" ht="15" customHeight="1">
      <c r="B360" s="176" t="s">
        <v>173</v>
      </c>
      <c r="C360" s="177">
        <v>2021</v>
      </c>
      <c r="D360" s="198">
        <f t="shared" si="43"/>
        <v>3183233.6131183393</v>
      </c>
    </row>
    <row r="361" spans="2:4" ht="15" customHeight="1">
      <c r="B361" s="176" t="s">
        <v>174</v>
      </c>
      <c r="C361" s="177">
        <v>2022</v>
      </c>
      <c r="D361" s="198">
        <f t="shared" si="43"/>
        <v>4299396.7024679258</v>
      </c>
    </row>
    <row r="362" spans="2:4" ht="15" customHeight="1">
      <c r="B362" s="176" t="s">
        <v>175</v>
      </c>
      <c r="C362" s="177">
        <v>2023</v>
      </c>
      <c r="D362" s="198">
        <f t="shared" si="43"/>
        <v>5623902.1672199499</v>
      </c>
    </row>
    <row r="363" spans="2:4" ht="15" customHeight="1">
      <c r="B363" s="176" t="s">
        <v>176</v>
      </c>
      <c r="C363" s="177">
        <v>2024</v>
      </c>
      <c r="D363" s="198">
        <f t="shared" si="43"/>
        <v>7189647.4641647777</v>
      </c>
    </row>
    <row r="364" spans="2:4" ht="15" customHeight="1">
      <c r="B364" s="176" t="s">
        <v>177</v>
      </c>
      <c r="C364" s="177">
        <v>2025</v>
      </c>
      <c r="D364" s="198">
        <f t="shared" si="43"/>
        <v>9034514.1454657298</v>
      </c>
    </row>
    <row r="365" spans="2:4" ht="15" customHeight="1">
      <c r="B365" s="176" t="s">
        <v>178</v>
      </c>
      <c r="C365" s="177">
        <v>2026</v>
      </c>
      <c r="D365" s="198">
        <f t="shared" si="43"/>
        <v>11202116.79359901</v>
      </c>
    </row>
    <row r="366" spans="2:4" ht="15" customHeight="1">
      <c r="B366" s="176" t="s">
        <v>179</v>
      </c>
      <c r="C366" s="177">
        <v>2027</v>
      </c>
      <c r="D366" s="198">
        <f t="shared" si="43"/>
        <v>13742664.329569232</v>
      </c>
    </row>
    <row r="367" spans="2:4" ht="15" customHeight="1">
      <c r="B367" s="71" t="s">
        <v>391</v>
      </c>
      <c r="C367" s="65"/>
      <c r="D367" s="77">
        <f>SUM(D357:D366)</f>
        <v>51692434.646356821</v>
      </c>
    </row>
    <row r="368" spans="2:4" ht="15" customHeight="1">
      <c r="B368" s="71" t="s">
        <v>189</v>
      </c>
      <c r="D368" s="77">
        <v>8000000</v>
      </c>
    </row>
    <row r="369" spans="2:25" ht="15" customHeight="1">
      <c r="B369" s="80" t="s">
        <v>183</v>
      </c>
      <c r="C369" s="65"/>
      <c r="D369" s="76">
        <f>D367/D368</f>
        <v>6.4615543307946028</v>
      </c>
    </row>
    <row r="370" spans="2:25" ht="15" customHeight="1">
      <c r="B370" s="71" t="s">
        <v>433</v>
      </c>
      <c r="C370" s="65"/>
      <c r="D370" s="220">
        <v>8000000</v>
      </c>
    </row>
    <row r="371" spans="2:25" ht="15" customHeight="1">
      <c r="B371" s="80" t="s">
        <v>430</v>
      </c>
      <c r="C371" s="65"/>
      <c r="D371" s="76">
        <f>D367/D370</f>
        <v>6.4615543307946028</v>
      </c>
    </row>
    <row r="372" spans="2:25" s="153" customFormat="1" ht="15" customHeight="1">
      <c r="B372" s="288"/>
      <c r="C372" s="213" t="s">
        <v>183</v>
      </c>
      <c r="D372" s="289" t="s">
        <v>430</v>
      </c>
      <c r="N372" s="149"/>
      <c r="O372" s="149"/>
      <c r="P372" s="149"/>
      <c r="Q372" s="149"/>
      <c r="R372" s="149"/>
      <c r="S372" s="149"/>
    </row>
    <row r="373" spans="2:25" s="153" customFormat="1" ht="15" customHeight="1">
      <c r="B373" s="153" t="s">
        <v>204</v>
      </c>
      <c r="C373" s="212">
        <f>D350</f>
        <v>5.4281660634231974</v>
      </c>
      <c r="D373" s="212">
        <f>D352</f>
        <v>10.819842060245861</v>
      </c>
      <c r="N373" s="149"/>
      <c r="O373" s="149"/>
      <c r="P373" s="149"/>
      <c r="Q373" s="149"/>
      <c r="R373" s="149"/>
      <c r="S373" s="149"/>
    </row>
    <row r="374" spans="2:25" s="153" customFormat="1" ht="15" customHeight="1">
      <c r="B374" s="153" t="s">
        <v>205</v>
      </c>
      <c r="C374" s="212">
        <f>D369</f>
        <v>6.4615543307946028</v>
      </c>
      <c r="D374" s="212">
        <f>D371</f>
        <v>6.4615543307946028</v>
      </c>
      <c r="N374" s="149"/>
      <c r="O374" s="149"/>
      <c r="P374" s="149"/>
      <c r="Q374" s="149"/>
      <c r="R374" s="149"/>
      <c r="S374" s="149"/>
    </row>
    <row r="375" spans="2:25" ht="20.25" customHeight="1">
      <c r="B375" s="258" t="s">
        <v>192</v>
      </c>
      <c r="C375" s="249"/>
      <c r="D375" s="249"/>
      <c r="E375" s="249"/>
      <c r="F375" s="249"/>
      <c r="G375" s="249"/>
      <c r="H375" s="249"/>
      <c r="I375" s="249"/>
      <c r="J375" s="249"/>
      <c r="K375" s="249"/>
      <c r="L375" s="249"/>
      <c r="M375" s="249"/>
      <c r="N375" s="249"/>
      <c r="O375" s="249"/>
      <c r="P375" s="249"/>
      <c r="Q375" s="249"/>
      <c r="R375" s="250"/>
      <c r="S375"/>
      <c r="T375" s="149"/>
      <c r="U375" s="149"/>
      <c r="V375" s="149"/>
      <c r="W375" s="149"/>
      <c r="X375" s="149"/>
      <c r="Y375" s="149"/>
    </row>
    <row r="376" spans="2:25" ht="15" customHeight="1">
      <c r="B376" s="84"/>
    </row>
    <row r="377" spans="2:25" ht="39.6">
      <c r="B377" s="205" t="s">
        <v>204</v>
      </c>
      <c r="C377" s="203" t="s">
        <v>180</v>
      </c>
      <c r="D377" s="207" t="s">
        <v>186</v>
      </c>
      <c r="E377" s="207" t="s">
        <v>403</v>
      </c>
      <c r="F377" s="207" t="s">
        <v>189</v>
      </c>
      <c r="G377" s="206" t="s">
        <v>434</v>
      </c>
      <c r="H377" s="207" t="s">
        <v>395</v>
      </c>
    </row>
    <row r="378" spans="2:25" ht="15" customHeight="1">
      <c r="B378" s="176" t="s">
        <v>170</v>
      </c>
      <c r="C378" s="177">
        <v>2018</v>
      </c>
      <c r="D378" s="190">
        <v>0</v>
      </c>
      <c r="E378" s="190">
        <f>D378</f>
        <v>0</v>
      </c>
      <c r="F378" s="190">
        <f>G193</f>
        <v>-1042309.2804448564</v>
      </c>
      <c r="G378" s="194">
        <f>R193</f>
        <v>-582309.28044485638</v>
      </c>
      <c r="H378" s="190">
        <f>G378</f>
        <v>-582309.28044485638</v>
      </c>
    </row>
    <row r="379" spans="2:25" ht="15" customHeight="1">
      <c r="B379" s="176" t="s">
        <v>171</v>
      </c>
      <c r="C379" s="177">
        <v>2019</v>
      </c>
      <c r="D379" s="190">
        <v>0</v>
      </c>
      <c r="E379" s="190">
        <f>E378+D379</f>
        <v>0</v>
      </c>
      <c r="F379" s="190">
        <f>G194</f>
        <v>-4375963.9206672851</v>
      </c>
      <c r="G379" s="194">
        <f t="shared" ref="G379:G387" si="44">R194</f>
        <v>-3265963.9206672851</v>
      </c>
      <c r="H379" s="190">
        <f>H378+G379</f>
        <v>-3848273.2011121414</v>
      </c>
    </row>
    <row r="380" spans="2:25" ht="15" customHeight="1">
      <c r="B380" s="176" t="s">
        <v>172</v>
      </c>
      <c r="C380" s="177">
        <v>2020</v>
      </c>
      <c r="D380" s="190">
        <v>2207126.8246061169</v>
      </c>
      <c r="E380" s="190">
        <f t="shared" ref="E380:E387" si="45">E379+D380</f>
        <v>2207126.8246061169</v>
      </c>
      <c r="F380" s="190"/>
      <c r="G380" s="194">
        <f t="shared" si="44"/>
        <v>1020126.8246061169</v>
      </c>
      <c r="H380" s="190">
        <f>H379+G380</f>
        <v>-2828146.3765060245</v>
      </c>
    </row>
    <row r="381" spans="2:25" ht="15" customHeight="1">
      <c r="B381" s="176" t="s">
        <v>173</v>
      </c>
      <c r="C381" s="177">
        <v>2021</v>
      </c>
      <c r="D381" s="190">
        <v>2869264.8719879519</v>
      </c>
      <c r="E381" s="190">
        <f t="shared" si="45"/>
        <v>5076391.6965940688</v>
      </c>
      <c r="F381" s="190"/>
      <c r="G381" s="194">
        <f t="shared" si="44"/>
        <v>2185024.8719879519</v>
      </c>
      <c r="H381" s="190">
        <f>H380+G381</f>
        <v>-643121.50451807259</v>
      </c>
    </row>
    <row r="382" spans="2:25" ht="15" customHeight="1">
      <c r="B382" s="176" t="s">
        <v>174</v>
      </c>
      <c r="C382" s="177">
        <v>2022</v>
      </c>
      <c r="D382" s="190">
        <v>3597616.7241079705</v>
      </c>
      <c r="E382" s="190">
        <f t="shared" si="45"/>
        <v>8674008.4207020402</v>
      </c>
      <c r="F382" s="190"/>
      <c r="G382" s="194">
        <f t="shared" si="44"/>
        <v>1700891.9241079704</v>
      </c>
      <c r="H382" s="228">
        <f t="shared" ref="H382:H387" si="46">H381+G382</f>
        <v>1057770.4195898979</v>
      </c>
    </row>
    <row r="383" spans="2:25" ht="15" customHeight="1">
      <c r="B383" s="176" t="s">
        <v>175</v>
      </c>
      <c r="C383" s="177">
        <v>2023</v>
      </c>
      <c r="D383" s="190">
        <v>4398803.7614399903</v>
      </c>
      <c r="E383" s="190">
        <f t="shared" si="45"/>
        <v>13072812.18214203</v>
      </c>
      <c r="F383" s="190"/>
      <c r="G383" s="194">
        <f t="shared" si="44"/>
        <v>3749344.4654399902</v>
      </c>
      <c r="H383" s="190">
        <f t="shared" si="46"/>
        <v>4807114.8850298878</v>
      </c>
    </row>
    <row r="384" spans="2:25" ht="15" customHeight="1">
      <c r="B384" s="176" t="s">
        <v>176</v>
      </c>
      <c r="C384" s="177">
        <v>2024</v>
      </c>
      <c r="D384" s="190">
        <v>5280109.502505213</v>
      </c>
      <c r="E384" s="190">
        <f t="shared" si="45"/>
        <v>18352921.684647243</v>
      </c>
      <c r="F384" s="190"/>
      <c r="G384" s="194">
        <f t="shared" si="44"/>
        <v>4617661.0205852129</v>
      </c>
      <c r="H384" s="190">
        <f t="shared" si="46"/>
        <v>9424775.9056151006</v>
      </c>
    </row>
    <row r="385" spans="2:9" ht="15" customHeight="1">
      <c r="B385" s="176" t="s">
        <v>177</v>
      </c>
      <c r="C385" s="177">
        <v>2025</v>
      </c>
      <c r="D385" s="190">
        <v>6249545.8176769577</v>
      </c>
      <c r="E385" s="190">
        <f t="shared" si="45"/>
        <v>24602467.502324201</v>
      </c>
      <c r="F385" s="190"/>
      <c r="G385" s="194">
        <f t="shared" si="44"/>
        <v>5573848.3661185578</v>
      </c>
      <c r="H385" s="190">
        <f t="shared" si="46"/>
        <v>14998624.271733658</v>
      </c>
    </row>
    <row r="386" spans="2:9" ht="15" customHeight="1">
      <c r="B386" s="176" t="s">
        <v>178</v>
      </c>
      <c r="C386" s="177">
        <v>2026</v>
      </c>
      <c r="D386" s="190">
        <v>7315925.7643658761</v>
      </c>
      <c r="E386" s="190">
        <f t="shared" si="45"/>
        <v>31918393.266690075</v>
      </c>
      <c r="F386" s="190"/>
      <c r="G386" s="194">
        <f t="shared" si="44"/>
        <v>6626714.3637763076</v>
      </c>
      <c r="H386" s="190">
        <f t="shared" si="46"/>
        <v>21625338.635509968</v>
      </c>
      <c r="I386" s="73"/>
    </row>
    <row r="387" spans="2:9" ht="15" customHeight="1">
      <c r="B387" s="176" t="s">
        <v>179</v>
      </c>
      <c r="C387" s="177">
        <v>2027</v>
      </c>
      <c r="D387" s="190">
        <v>8488943.705723688</v>
      </c>
      <c r="E387" s="190">
        <f t="shared" si="45"/>
        <v>40407336.972413763</v>
      </c>
      <c r="F387" s="190"/>
      <c r="G387" s="194">
        <f t="shared" si="44"/>
        <v>7785948.0771223288</v>
      </c>
      <c r="H387" s="190">
        <f t="shared" si="46"/>
        <v>29411286.712632298</v>
      </c>
    </row>
    <row r="388" spans="2:9" ht="15" customHeight="1">
      <c r="G388" s="75"/>
    </row>
    <row r="389" spans="2:9" ht="39.6">
      <c r="B389" s="208" t="s">
        <v>205</v>
      </c>
      <c r="C389" s="209" t="s">
        <v>180</v>
      </c>
      <c r="D389" s="211" t="s">
        <v>186</v>
      </c>
      <c r="E389" s="211" t="s">
        <v>404</v>
      </c>
      <c r="F389" s="211" t="s">
        <v>189</v>
      </c>
      <c r="G389" s="209" t="s">
        <v>411</v>
      </c>
      <c r="H389" s="209" t="s">
        <v>395</v>
      </c>
    </row>
    <row r="390" spans="2:9" ht="15" customHeight="1">
      <c r="B390" s="176" t="s">
        <v>170</v>
      </c>
      <c r="C390" s="193">
        <v>2018</v>
      </c>
      <c r="D390" s="190">
        <v>1324276.0947636701</v>
      </c>
      <c r="E390" s="190">
        <f>D390</f>
        <v>1324276.0947636701</v>
      </c>
      <c r="F390" s="190">
        <v>-4000000</v>
      </c>
      <c r="G390" s="194">
        <f>M207</f>
        <v>-3275723.9052363299</v>
      </c>
      <c r="H390" s="194">
        <f>G390</f>
        <v>-3275723.9052363299</v>
      </c>
    </row>
    <row r="391" spans="2:9" ht="15" customHeight="1">
      <c r="B391" s="176" t="s">
        <v>171</v>
      </c>
      <c r="C391" s="193">
        <v>2019</v>
      </c>
      <c r="D391" s="190">
        <v>3045835.0179564413</v>
      </c>
      <c r="E391" s="190">
        <f>E390+D391</f>
        <v>4370111.1127201114</v>
      </c>
      <c r="F391" s="190">
        <v>-4000000</v>
      </c>
      <c r="G391" s="194">
        <f t="shared" ref="G391:G399" si="47">M208</f>
        <v>-1554164.9820435587</v>
      </c>
      <c r="H391" s="194">
        <f>H390+G391</f>
        <v>-4829888.8872798886</v>
      </c>
    </row>
    <row r="392" spans="2:9" ht="15" customHeight="1">
      <c r="B392" s="176" t="s">
        <v>172</v>
      </c>
      <c r="C392" s="193">
        <v>2020</v>
      </c>
      <c r="D392" s="190">
        <v>4164848.3180317432</v>
      </c>
      <c r="E392" s="190">
        <f t="shared" ref="E392:E399" si="48">E391+D392</f>
        <v>8534959.4307518546</v>
      </c>
      <c r="F392" s="190"/>
      <c r="G392" s="194">
        <f t="shared" si="47"/>
        <v>2246848.3180317432</v>
      </c>
      <c r="H392" s="194">
        <f t="shared" ref="H392:H399" si="49">H391+G392</f>
        <v>-2583040.5692481454</v>
      </c>
    </row>
    <row r="393" spans="2:9" ht="15" customHeight="1">
      <c r="B393" s="176" t="s">
        <v>173</v>
      </c>
      <c r="C393" s="193">
        <v>2021</v>
      </c>
      <c r="D393" s="190">
        <v>5451713.6131183393</v>
      </c>
      <c r="E393" s="190">
        <f t="shared" si="48"/>
        <v>13986673.043870194</v>
      </c>
      <c r="F393" s="190"/>
      <c r="G393" s="194">
        <f t="shared" si="47"/>
        <v>3183233.6131183393</v>
      </c>
      <c r="H393" s="229">
        <f t="shared" si="49"/>
        <v>600193.04387019388</v>
      </c>
    </row>
    <row r="394" spans="2:9" ht="15" customHeight="1">
      <c r="B394" s="176" t="s">
        <v>174</v>
      </c>
      <c r="C394" s="193">
        <v>2022</v>
      </c>
      <c r="D394" s="190">
        <v>6931608.7024679258</v>
      </c>
      <c r="E394" s="190">
        <f t="shared" si="48"/>
        <v>20918281.746338122</v>
      </c>
      <c r="F394" s="190"/>
      <c r="G394" s="194">
        <f t="shared" si="47"/>
        <v>4299396.7024679258</v>
      </c>
      <c r="H394" s="194">
        <f t="shared" si="49"/>
        <v>4899589.7463381197</v>
      </c>
    </row>
    <row r="395" spans="2:9" ht="15" customHeight="1">
      <c r="B395" s="176" t="s">
        <v>175</v>
      </c>
      <c r="C395" s="193">
        <v>2023</v>
      </c>
      <c r="D395" s="190">
        <v>8633488.0552199502</v>
      </c>
      <c r="E395" s="190">
        <f t="shared" si="48"/>
        <v>29551769.80155807</v>
      </c>
      <c r="F395" s="190"/>
      <c r="G395" s="194">
        <f t="shared" si="47"/>
        <v>5623902.1672199499</v>
      </c>
      <c r="H395" s="194">
        <f t="shared" si="49"/>
        <v>10523491.91355807</v>
      </c>
    </row>
    <row r="396" spans="2:9" ht="15" customHeight="1">
      <c r="B396" s="176" t="s">
        <v>176</v>
      </c>
      <c r="C396" s="193">
        <v>2024</v>
      </c>
      <c r="D396" s="190">
        <v>10590649.310884777</v>
      </c>
      <c r="E396" s="190">
        <f t="shared" si="48"/>
        <v>40142419.112442851</v>
      </c>
      <c r="F396" s="190"/>
      <c r="G396" s="194">
        <f t="shared" si="47"/>
        <v>7189647.4641647777</v>
      </c>
      <c r="H396" s="194">
        <f t="shared" si="49"/>
        <v>17713139.377722848</v>
      </c>
    </row>
    <row r="397" spans="2:9" ht="15" customHeight="1">
      <c r="B397" s="176" t="s">
        <v>177</v>
      </c>
      <c r="C397" s="193">
        <v>2025</v>
      </c>
      <c r="D397" s="190">
        <v>12841384.75489933</v>
      </c>
      <c r="E397" s="190">
        <f t="shared" si="48"/>
        <v>52983803.867342182</v>
      </c>
      <c r="F397" s="190"/>
      <c r="G397" s="194">
        <f t="shared" si="47"/>
        <v>9034514.1454657298</v>
      </c>
      <c r="H397" s="194">
        <f t="shared" si="49"/>
        <v>26747653.523188576</v>
      </c>
    </row>
    <row r="398" spans="2:9" ht="15" customHeight="1">
      <c r="B398" s="176" t="s">
        <v>178</v>
      </c>
      <c r="C398" s="193">
        <v>2026</v>
      </c>
      <c r="D398" s="190">
        <v>15429730.515516065</v>
      </c>
      <c r="E398" s="190">
        <f t="shared" si="48"/>
        <v>68413534.382858247</v>
      </c>
      <c r="F398" s="190"/>
      <c r="G398" s="194">
        <f t="shared" si="47"/>
        <v>11202116.79359901</v>
      </c>
      <c r="H398" s="194">
        <f t="shared" si="49"/>
        <v>37949770.316787586</v>
      </c>
    </row>
    <row r="399" spans="2:9" ht="15" customHeight="1">
      <c r="B399" s="176" t="s">
        <v>179</v>
      </c>
      <c r="C399" s="193">
        <v>2027</v>
      </c>
      <c r="D399" s="190">
        <v>18406328.14022531</v>
      </c>
      <c r="E399" s="190">
        <f t="shared" si="48"/>
        <v>86819862.523083553</v>
      </c>
      <c r="F399" s="190"/>
      <c r="G399" s="194">
        <f t="shared" si="47"/>
        <v>13742664.329569232</v>
      </c>
      <c r="H399" s="194">
        <f t="shared" si="49"/>
        <v>51692434.646356821</v>
      </c>
    </row>
    <row r="401" spans="2:5" ht="31.5" customHeight="1">
      <c r="B401" s="175" t="s">
        <v>192</v>
      </c>
      <c r="C401" s="175" t="s">
        <v>180</v>
      </c>
      <c r="D401" s="231" t="s">
        <v>204</v>
      </c>
      <c r="E401" s="232" t="s">
        <v>205</v>
      </c>
    </row>
    <row r="402" spans="2:5" ht="15" customHeight="1">
      <c r="B402" s="176" t="s">
        <v>170</v>
      </c>
      <c r="C402" s="177">
        <v>2018</v>
      </c>
      <c r="D402" s="178">
        <f t="shared" ref="D402:D411" si="50">H378</f>
        <v>-582309.28044485638</v>
      </c>
      <c r="E402" s="178">
        <f t="shared" ref="E402:E411" si="51">H390</f>
        <v>-3275723.9052363299</v>
      </c>
    </row>
    <row r="403" spans="2:5" ht="15" customHeight="1">
      <c r="B403" s="176" t="s">
        <v>171</v>
      </c>
      <c r="C403" s="177">
        <v>2019</v>
      </c>
      <c r="D403" s="178">
        <f t="shared" si="50"/>
        <v>-3848273.2011121414</v>
      </c>
      <c r="E403" s="178">
        <f t="shared" si="51"/>
        <v>-4829888.8872798886</v>
      </c>
    </row>
    <row r="404" spans="2:5" ht="15" customHeight="1">
      <c r="B404" s="176" t="s">
        <v>172</v>
      </c>
      <c r="C404" s="177">
        <v>2020</v>
      </c>
      <c r="D404" s="178">
        <f t="shared" si="50"/>
        <v>-2828146.3765060245</v>
      </c>
      <c r="E404" s="178">
        <f t="shared" si="51"/>
        <v>-2583040.5692481454</v>
      </c>
    </row>
    <row r="405" spans="2:5" ht="15" customHeight="1">
      <c r="B405" s="176" t="s">
        <v>173</v>
      </c>
      <c r="C405" s="177">
        <v>2021</v>
      </c>
      <c r="D405" s="178">
        <f t="shared" si="50"/>
        <v>-643121.50451807259</v>
      </c>
      <c r="E405" s="233">
        <f t="shared" si="51"/>
        <v>600193.04387019388</v>
      </c>
    </row>
    <row r="406" spans="2:5" ht="15" customHeight="1">
      <c r="B406" s="176" t="s">
        <v>174</v>
      </c>
      <c r="C406" s="177">
        <v>2022</v>
      </c>
      <c r="D406" s="233">
        <f t="shared" si="50"/>
        <v>1057770.4195898979</v>
      </c>
      <c r="E406" s="178">
        <f t="shared" si="51"/>
        <v>4899589.7463381197</v>
      </c>
    </row>
    <row r="407" spans="2:5" ht="15" customHeight="1">
      <c r="B407" s="176" t="s">
        <v>175</v>
      </c>
      <c r="C407" s="177">
        <v>2023</v>
      </c>
      <c r="D407" s="178">
        <f t="shared" si="50"/>
        <v>4807114.8850298878</v>
      </c>
      <c r="E407" s="178">
        <f t="shared" si="51"/>
        <v>10523491.91355807</v>
      </c>
    </row>
    <row r="408" spans="2:5" ht="15" customHeight="1">
      <c r="B408" s="176" t="s">
        <v>176</v>
      </c>
      <c r="C408" s="177">
        <v>2024</v>
      </c>
      <c r="D408" s="178">
        <f t="shared" si="50"/>
        <v>9424775.9056151006</v>
      </c>
      <c r="E408" s="178">
        <f t="shared" si="51"/>
        <v>17713139.377722848</v>
      </c>
    </row>
    <row r="409" spans="2:5" ht="15" customHeight="1">
      <c r="B409" s="176" t="s">
        <v>177</v>
      </c>
      <c r="C409" s="177">
        <v>2025</v>
      </c>
      <c r="D409" s="178">
        <f t="shared" si="50"/>
        <v>14998624.271733658</v>
      </c>
      <c r="E409" s="178">
        <f t="shared" si="51"/>
        <v>26747653.523188576</v>
      </c>
    </row>
    <row r="410" spans="2:5" ht="15" customHeight="1">
      <c r="B410" s="176" t="s">
        <v>178</v>
      </c>
      <c r="C410" s="177">
        <v>2026</v>
      </c>
      <c r="D410" s="178">
        <f t="shared" si="50"/>
        <v>21625338.635509968</v>
      </c>
      <c r="E410" s="178">
        <f t="shared" si="51"/>
        <v>37949770.316787586</v>
      </c>
    </row>
    <row r="411" spans="2:5" ht="15" customHeight="1">
      <c r="B411" s="176" t="s">
        <v>179</v>
      </c>
      <c r="C411" s="177">
        <v>2027</v>
      </c>
      <c r="D411" s="178">
        <f t="shared" si="50"/>
        <v>29411286.712632298</v>
      </c>
      <c r="E411" s="178">
        <f t="shared" si="51"/>
        <v>51692434.646356821</v>
      </c>
    </row>
    <row r="422" spans="2:25" s="84" customFormat="1" ht="21.75" customHeight="1">
      <c r="B422" s="248" t="s">
        <v>397</v>
      </c>
      <c r="C422" s="262"/>
      <c r="D422" s="262"/>
      <c r="E422" s="262"/>
      <c r="F422" s="262"/>
      <c r="G422" s="262"/>
      <c r="H422" s="262"/>
      <c r="I422" s="262"/>
      <c r="J422" s="262"/>
      <c r="K422" s="262"/>
      <c r="L422" s="262"/>
      <c r="M422" s="262"/>
      <c r="N422" s="262"/>
      <c r="O422" s="262"/>
      <c r="P422" s="262"/>
      <c r="Q422" s="262"/>
      <c r="R422" s="263"/>
      <c r="T422" s="291"/>
      <c r="U422" s="291"/>
      <c r="V422" s="291"/>
      <c r="W422" s="291"/>
      <c r="X422" s="291"/>
      <c r="Y422" s="291"/>
    </row>
    <row r="424" spans="2:25" ht="39.6">
      <c r="B424" s="205" t="s">
        <v>204</v>
      </c>
      <c r="C424" s="203" t="s">
        <v>180</v>
      </c>
      <c r="D424" s="207" t="s">
        <v>186</v>
      </c>
      <c r="E424" s="207" t="s">
        <v>435</v>
      </c>
      <c r="F424" s="207" t="s">
        <v>437</v>
      </c>
      <c r="G424" s="207" t="s">
        <v>438</v>
      </c>
      <c r="H424" s="203" t="s">
        <v>398</v>
      </c>
      <c r="I424" s="203" t="s">
        <v>181</v>
      </c>
      <c r="K424" s="267" t="s">
        <v>168</v>
      </c>
      <c r="L424" s="268" t="s">
        <v>180</v>
      </c>
      <c r="M424" s="268" t="s">
        <v>204</v>
      </c>
      <c r="N424" s="153" t="s">
        <v>205</v>
      </c>
      <c r="O424" s="153" t="s">
        <v>402</v>
      </c>
      <c r="P424" s="153" t="s">
        <v>401</v>
      </c>
    </row>
    <row r="425" spans="2:25" ht="15" customHeight="1">
      <c r="B425" s="176" t="s">
        <v>170</v>
      </c>
      <c r="C425" s="177">
        <v>2018</v>
      </c>
      <c r="D425" s="190">
        <v>0</v>
      </c>
      <c r="E425" s="190">
        <f>D425</f>
        <v>0</v>
      </c>
      <c r="F425" s="190">
        <v>92309.280444856398</v>
      </c>
      <c r="G425" s="190">
        <f t="shared" ref="G425:G434" si="52">-Q193</f>
        <v>540000</v>
      </c>
      <c r="H425" s="178">
        <f t="shared" ref="H425:H434" si="53">SUM(F425:G425)</f>
        <v>632309.28044485638</v>
      </c>
      <c r="I425" s="178">
        <f>H425</f>
        <v>632309.28044485638</v>
      </c>
      <c r="K425" s="269" t="s">
        <v>170</v>
      </c>
      <c r="L425" s="153">
        <v>2018</v>
      </c>
      <c r="M425" s="259">
        <f>I425</f>
        <v>632309.28044485638</v>
      </c>
      <c r="N425" s="259">
        <f>I438</f>
        <v>4600000</v>
      </c>
      <c r="O425" s="259">
        <f>$M$429</f>
        <v>7616238.0011121463</v>
      </c>
      <c r="P425" s="259">
        <f>$N$428</f>
        <v>13386480</v>
      </c>
    </row>
    <row r="426" spans="2:25" ht="15" customHeight="1">
      <c r="B426" s="176" t="s">
        <v>171</v>
      </c>
      <c r="C426" s="177">
        <v>2019</v>
      </c>
      <c r="D426" s="190">
        <v>0</v>
      </c>
      <c r="E426" s="190">
        <f>E425+D426</f>
        <v>0</v>
      </c>
      <c r="F426" s="190">
        <v>2625963.9206672902</v>
      </c>
      <c r="G426" s="190">
        <f t="shared" si="52"/>
        <v>590000</v>
      </c>
      <c r="H426" s="178">
        <f t="shared" si="53"/>
        <v>3215963.9206672902</v>
      </c>
      <c r="I426" s="178">
        <f>I425+H426</f>
        <v>3848273.2011121465</v>
      </c>
      <c r="K426" s="269" t="s">
        <v>171</v>
      </c>
      <c r="L426" s="153">
        <v>2019</v>
      </c>
      <c r="M426" s="259">
        <f t="shared" ref="M426:M434" si="54">I426</f>
        <v>3848273.2011121465</v>
      </c>
      <c r="N426" s="259">
        <f t="shared" ref="N426:N434" si="55">I439</f>
        <v>9200000</v>
      </c>
      <c r="O426" s="259">
        <f t="shared" ref="O426:O434" si="56">$M$429</f>
        <v>7616238.0011121463</v>
      </c>
      <c r="P426" s="259">
        <f t="shared" ref="P426:P434" si="57">$N$428</f>
        <v>13386480</v>
      </c>
    </row>
    <row r="427" spans="2:25" ht="15" customHeight="1">
      <c r="B427" s="176" t="s">
        <v>172</v>
      </c>
      <c r="C427" s="177">
        <v>2020</v>
      </c>
      <c r="D427" s="190">
        <v>2207126.8246061169</v>
      </c>
      <c r="E427" s="190">
        <f t="shared" ref="E427:E434" si="58">E426+D427</f>
        <v>2207126.8246061169</v>
      </c>
      <c r="F427" s="190"/>
      <c r="G427" s="190">
        <f t="shared" si="52"/>
        <v>1187000</v>
      </c>
      <c r="H427" s="178">
        <f t="shared" si="53"/>
        <v>1187000</v>
      </c>
      <c r="I427" s="178">
        <f t="shared" ref="I427:I434" si="59">I426+H427</f>
        <v>5035273.2011121465</v>
      </c>
      <c r="K427" s="269" t="s">
        <v>172</v>
      </c>
      <c r="L427" s="153">
        <v>2020</v>
      </c>
      <c r="M427" s="259">
        <f t="shared" si="54"/>
        <v>5035273.2011121465</v>
      </c>
      <c r="N427" s="259">
        <f t="shared" si="55"/>
        <v>11118000</v>
      </c>
      <c r="O427" s="259">
        <f t="shared" si="56"/>
        <v>7616238.0011121463</v>
      </c>
      <c r="P427" s="259">
        <f t="shared" si="57"/>
        <v>13386480</v>
      </c>
    </row>
    <row r="428" spans="2:25" ht="15" customHeight="1">
      <c r="B428" s="176" t="s">
        <v>173</v>
      </c>
      <c r="C428" s="177">
        <v>2021</v>
      </c>
      <c r="D428" s="190">
        <v>2869264.8719879519</v>
      </c>
      <c r="E428" s="190">
        <f t="shared" si="58"/>
        <v>5076391.6965940688</v>
      </c>
      <c r="F428" s="190"/>
      <c r="G428" s="190">
        <f t="shared" si="52"/>
        <v>684240</v>
      </c>
      <c r="H428" s="178">
        <f t="shared" si="53"/>
        <v>684240</v>
      </c>
      <c r="I428" s="178">
        <f t="shared" si="59"/>
        <v>5719513.2011121465</v>
      </c>
      <c r="K428" s="269" t="s">
        <v>173</v>
      </c>
      <c r="L428" s="153">
        <v>2021</v>
      </c>
      <c r="M428" s="259">
        <f t="shared" si="54"/>
        <v>5719513.2011121465</v>
      </c>
      <c r="N428" s="259">
        <f t="shared" si="55"/>
        <v>13386480</v>
      </c>
      <c r="O428" s="259">
        <f t="shared" si="56"/>
        <v>7616238.0011121463</v>
      </c>
      <c r="P428" s="259">
        <f t="shared" si="57"/>
        <v>13386480</v>
      </c>
    </row>
    <row r="429" spans="2:25" ht="15" customHeight="1">
      <c r="B429" s="226" t="s">
        <v>174</v>
      </c>
      <c r="C429" s="227">
        <v>2022</v>
      </c>
      <c r="D429" s="228">
        <v>3597616.7241079705</v>
      </c>
      <c r="E429" s="228">
        <f t="shared" si="58"/>
        <v>8674008.4207020402</v>
      </c>
      <c r="F429" s="228"/>
      <c r="G429" s="228">
        <f t="shared" si="52"/>
        <v>1896724.8</v>
      </c>
      <c r="H429" s="233">
        <f t="shared" si="53"/>
        <v>1896724.8</v>
      </c>
      <c r="I429" s="265">
        <f t="shared" si="59"/>
        <v>7616238.0011121463</v>
      </c>
      <c r="J429" s="64"/>
      <c r="K429" s="269" t="s">
        <v>174</v>
      </c>
      <c r="L429" s="153">
        <v>2022</v>
      </c>
      <c r="M429" s="259">
        <f t="shared" si="54"/>
        <v>7616238.0011121463</v>
      </c>
      <c r="N429" s="259">
        <f t="shared" si="55"/>
        <v>16018692</v>
      </c>
      <c r="O429" s="259">
        <f t="shared" si="56"/>
        <v>7616238.0011121463</v>
      </c>
      <c r="P429" s="259">
        <f t="shared" si="57"/>
        <v>13386480</v>
      </c>
    </row>
    <row r="430" spans="2:25" ht="15" customHeight="1">
      <c r="B430" s="176" t="s">
        <v>175</v>
      </c>
      <c r="C430" s="177">
        <v>2023</v>
      </c>
      <c r="D430" s="190">
        <v>4398803.7614399903</v>
      </c>
      <c r="E430" s="190">
        <f t="shared" si="58"/>
        <v>13072812.18214203</v>
      </c>
      <c r="F430" s="190"/>
      <c r="G430" s="190">
        <f t="shared" si="52"/>
        <v>649459.29600000009</v>
      </c>
      <c r="H430" s="178">
        <f t="shared" si="53"/>
        <v>649459.29600000009</v>
      </c>
      <c r="I430" s="178">
        <f t="shared" si="59"/>
        <v>8265697.2971121464</v>
      </c>
      <c r="K430" s="269" t="s">
        <v>175</v>
      </c>
      <c r="L430" s="153">
        <v>2023</v>
      </c>
      <c r="M430" s="259">
        <f t="shared" si="54"/>
        <v>8265697.2971121464</v>
      </c>
      <c r="N430" s="259">
        <f t="shared" si="55"/>
        <v>19028277.888</v>
      </c>
      <c r="O430" s="259">
        <f t="shared" si="56"/>
        <v>7616238.0011121463</v>
      </c>
      <c r="P430" s="259">
        <f t="shared" si="57"/>
        <v>13386480</v>
      </c>
    </row>
    <row r="431" spans="2:25" ht="15" customHeight="1">
      <c r="B431" s="176" t="s">
        <v>176</v>
      </c>
      <c r="C431" s="177">
        <v>2024</v>
      </c>
      <c r="D431" s="190">
        <v>5280109.502505213</v>
      </c>
      <c r="E431" s="190">
        <f t="shared" si="58"/>
        <v>18352921.684647243</v>
      </c>
      <c r="F431" s="190"/>
      <c r="G431" s="190">
        <f t="shared" si="52"/>
        <v>662448.48192000005</v>
      </c>
      <c r="H431" s="178">
        <f t="shared" si="53"/>
        <v>662448.48192000005</v>
      </c>
      <c r="I431" s="178">
        <f t="shared" si="59"/>
        <v>8928145.7790321466</v>
      </c>
      <c r="K431" s="269" t="s">
        <v>176</v>
      </c>
      <c r="L431" s="153">
        <v>2024</v>
      </c>
      <c r="M431" s="259">
        <f t="shared" si="54"/>
        <v>8928145.7790321466</v>
      </c>
      <c r="N431" s="259">
        <f t="shared" si="55"/>
        <v>22429279.734719999</v>
      </c>
      <c r="O431" s="259">
        <f t="shared" si="56"/>
        <v>7616238.0011121463</v>
      </c>
      <c r="P431" s="259">
        <f t="shared" si="57"/>
        <v>13386480</v>
      </c>
    </row>
    <row r="432" spans="2:25" ht="15" customHeight="1">
      <c r="B432" s="176" t="s">
        <v>177</v>
      </c>
      <c r="C432" s="177">
        <v>2025</v>
      </c>
      <c r="D432" s="190">
        <v>6249545.8176769577</v>
      </c>
      <c r="E432" s="190">
        <f t="shared" si="58"/>
        <v>24602467.502324201</v>
      </c>
      <c r="F432" s="190"/>
      <c r="G432" s="190">
        <f t="shared" si="52"/>
        <v>675697.45155840006</v>
      </c>
      <c r="H432" s="178">
        <f t="shared" si="53"/>
        <v>675697.45155840006</v>
      </c>
      <c r="I432" s="178">
        <f t="shared" si="59"/>
        <v>9603843.2305905465</v>
      </c>
      <c r="K432" s="269" t="s">
        <v>177</v>
      </c>
      <c r="L432" s="153">
        <v>2025</v>
      </c>
      <c r="M432" s="259">
        <f t="shared" si="54"/>
        <v>9603843.2305905465</v>
      </c>
      <c r="N432" s="259">
        <f t="shared" si="55"/>
        <v>26236150.344153598</v>
      </c>
      <c r="O432" s="259">
        <f t="shared" si="56"/>
        <v>7616238.0011121463</v>
      </c>
      <c r="P432" s="259">
        <f t="shared" si="57"/>
        <v>13386480</v>
      </c>
    </row>
    <row r="433" spans="2:16" ht="15" customHeight="1">
      <c r="B433" s="176" t="s">
        <v>178</v>
      </c>
      <c r="C433" s="177">
        <v>2026</v>
      </c>
      <c r="D433" s="190">
        <v>7315925.7643658761</v>
      </c>
      <c r="E433" s="190">
        <f t="shared" si="58"/>
        <v>31918393.266690075</v>
      </c>
      <c r="F433" s="190"/>
      <c r="G433" s="190">
        <f t="shared" si="52"/>
        <v>689211.40058956807</v>
      </c>
      <c r="H433" s="178">
        <f t="shared" si="53"/>
        <v>689211.40058956807</v>
      </c>
      <c r="I433" s="178">
        <f t="shared" si="59"/>
        <v>10293054.631180115</v>
      </c>
      <c r="K433" s="269" t="s">
        <v>178</v>
      </c>
      <c r="L433" s="153">
        <v>2026</v>
      </c>
      <c r="M433" s="259">
        <f t="shared" si="54"/>
        <v>10293054.631180115</v>
      </c>
      <c r="N433" s="259">
        <f t="shared" si="55"/>
        <v>30463764.066070653</v>
      </c>
      <c r="O433" s="259">
        <f t="shared" si="56"/>
        <v>7616238.0011121463</v>
      </c>
      <c r="P433" s="259">
        <f t="shared" si="57"/>
        <v>13386480</v>
      </c>
    </row>
    <row r="434" spans="2:16" ht="15" customHeight="1">
      <c r="B434" s="270" t="s">
        <v>179</v>
      </c>
      <c r="C434" s="271">
        <v>2027</v>
      </c>
      <c r="D434" s="272">
        <v>8488943.705723688</v>
      </c>
      <c r="E434" s="272">
        <f t="shared" si="58"/>
        <v>40407336.972413763</v>
      </c>
      <c r="F434" s="272"/>
      <c r="G434" s="272">
        <f t="shared" si="52"/>
        <v>702995.62860135944</v>
      </c>
      <c r="H434" s="238">
        <f t="shared" si="53"/>
        <v>702995.62860135944</v>
      </c>
      <c r="I434" s="238">
        <f t="shared" si="59"/>
        <v>10996050.259781474</v>
      </c>
      <c r="J434" s="64"/>
      <c r="K434" s="269" t="s">
        <v>179</v>
      </c>
      <c r="L434" s="153">
        <v>2027</v>
      </c>
      <c r="M434" s="259">
        <f t="shared" si="54"/>
        <v>10996050.259781474</v>
      </c>
      <c r="N434" s="259">
        <f t="shared" si="55"/>
        <v>35127427.876726732</v>
      </c>
      <c r="O434" s="259">
        <f t="shared" si="56"/>
        <v>7616238.0011121463</v>
      </c>
      <c r="P434" s="259">
        <f t="shared" si="57"/>
        <v>13386480</v>
      </c>
    </row>
    <row r="435" spans="2:16" ht="15" customHeight="1">
      <c r="B435" s="71"/>
      <c r="D435" s="150"/>
      <c r="E435" s="150"/>
      <c r="F435" s="150"/>
      <c r="G435" s="78"/>
      <c r="H435" s="72"/>
      <c r="I435" s="72"/>
    </row>
    <row r="436" spans="2:16" ht="15" customHeight="1">
      <c r="H436" s="72"/>
      <c r="I436" s="72"/>
    </row>
    <row r="437" spans="2:16" ht="39.6">
      <c r="B437" s="208" t="s">
        <v>205</v>
      </c>
      <c r="C437" s="209" t="s">
        <v>180</v>
      </c>
      <c r="D437" s="211" t="s">
        <v>186</v>
      </c>
      <c r="E437" s="211" t="s">
        <v>436</v>
      </c>
      <c r="F437" s="211" t="s">
        <v>189</v>
      </c>
      <c r="G437" s="210" t="s">
        <v>438</v>
      </c>
      <c r="H437" s="209" t="s">
        <v>398</v>
      </c>
      <c r="I437" s="209" t="s">
        <v>181</v>
      </c>
    </row>
    <row r="438" spans="2:16" ht="15" customHeight="1">
      <c r="B438" s="176" t="s">
        <v>170</v>
      </c>
      <c r="C438" s="193">
        <v>2018</v>
      </c>
      <c r="D438" s="190">
        <v>1324276.0947636701</v>
      </c>
      <c r="E438" s="190">
        <f>D438</f>
        <v>1324276.0947636701</v>
      </c>
      <c r="F438" s="190">
        <v>4000000</v>
      </c>
      <c r="G438" s="194">
        <f t="shared" ref="G438:G447" si="60">-L207</f>
        <v>600000</v>
      </c>
      <c r="H438" s="178">
        <f t="shared" ref="H438:H447" si="61">SUM(F438:G438)</f>
        <v>4600000</v>
      </c>
      <c r="I438" s="178">
        <f>H438</f>
        <v>4600000</v>
      </c>
    </row>
    <row r="439" spans="2:16" ht="15" customHeight="1">
      <c r="B439" s="176" t="s">
        <v>171</v>
      </c>
      <c r="C439" s="193">
        <v>2019</v>
      </c>
      <c r="D439" s="190">
        <v>3045835.0179564413</v>
      </c>
      <c r="E439" s="190">
        <f>E438+D439</f>
        <v>4370111.1127201114</v>
      </c>
      <c r="F439" s="190">
        <v>4000000</v>
      </c>
      <c r="G439" s="194">
        <f t="shared" si="60"/>
        <v>600000</v>
      </c>
      <c r="H439" s="178">
        <f t="shared" si="61"/>
        <v>4600000</v>
      </c>
      <c r="I439" s="178">
        <f>I438+H439</f>
        <v>9200000</v>
      </c>
    </row>
    <row r="440" spans="2:16" ht="15" customHeight="1">
      <c r="B440" s="176" t="s">
        <v>172</v>
      </c>
      <c r="C440" s="193">
        <v>2020</v>
      </c>
      <c r="D440" s="190">
        <v>4164848.3180317432</v>
      </c>
      <c r="E440" s="190">
        <f t="shared" ref="E440:E447" si="62">E439+D440</f>
        <v>8534959.4307518546</v>
      </c>
      <c r="F440" s="190"/>
      <c r="G440" s="194">
        <f t="shared" si="60"/>
        <v>1918000</v>
      </c>
      <c r="H440" s="178">
        <f t="shared" si="61"/>
        <v>1918000</v>
      </c>
      <c r="I440" s="178">
        <f t="shared" ref="I440:I446" si="63">I439+H440</f>
        <v>11118000</v>
      </c>
    </row>
    <row r="441" spans="2:16" ht="15" customHeight="1">
      <c r="B441" s="226" t="s">
        <v>173</v>
      </c>
      <c r="C441" s="230">
        <v>2021</v>
      </c>
      <c r="D441" s="228">
        <v>5451713.6131183393</v>
      </c>
      <c r="E441" s="228">
        <f t="shared" si="62"/>
        <v>13986673.043870194</v>
      </c>
      <c r="F441" s="228"/>
      <c r="G441" s="229">
        <f t="shared" si="60"/>
        <v>2268480</v>
      </c>
      <c r="H441" s="233">
        <f t="shared" si="61"/>
        <v>2268480</v>
      </c>
      <c r="I441" s="265">
        <f t="shared" si="63"/>
        <v>13386480</v>
      </c>
      <c r="J441" s="64"/>
    </row>
    <row r="442" spans="2:16" ht="15" customHeight="1">
      <c r="B442" s="176" t="s">
        <v>174</v>
      </c>
      <c r="C442" s="193">
        <v>2022</v>
      </c>
      <c r="D442" s="190">
        <v>6931608.7024679258</v>
      </c>
      <c r="E442" s="190">
        <f t="shared" si="62"/>
        <v>20918281.746338122</v>
      </c>
      <c r="F442" s="190"/>
      <c r="G442" s="194">
        <f t="shared" si="60"/>
        <v>2632212</v>
      </c>
      <c r="H442" s="178">
        <f t="shared" si="61"/>
        <v>2632212</v>
      </c>
      <c r="I442" s="178">
        <f t="shared" si="63"/>
        <v>16018692</v>
      </c>
    </row>
    <row r="443" spans="2:16" ht="15" customHeight="1">
      <c r="B443" s="176" t="s">
        <v>175</v>
      </c>
      <c r="C443" s="193">
        <v>2023</v>
      </c>
      <c r="D443" s="190">
        <v>8633488.0552199502</v>
      </c>
      <c r="E443" s="190">
        <f t="shared" si="62"/>
        <v>29551769.80155807</v>
      </c>
      <c r="F443" s="190"/>
      <c r="G443" s="194">
        <f t="shared" si="60"/>
        <v>3009585.8880000003</v>
      </c>
      <c r="H443" s="178">
        <f t="shared" si="61"/>
        <v>3009585.8880000003</v>
      </c>
      <c r="I443" s="178">
        <f t="shared" si="63"/>
        <v>19028277.888</v>
      </c>
    </row>
    <row r="444" spans="2:16" ht="15" customHeight="1">
      <c r="B444" s="176" t="s">
        <v>176</v>
      </c>
      <c r="C444" s="193">
        <v>2024</v>
      </c>
      <c r="D444" s="190">
        <v>10590649.310884777</v>
      </c>
      <c r="E444" s="190">
        <f t="shared" si="62"/>
        <v>40142419.112442851</v>
      </c>
      <c r="F444" s="190"/>
      <c r="G444" s="194">
        <f t="shared" si="60"/>
        <v>3401001.8467199998</v>
      </c>
      <c r="H444" s="178">
        <f t="shared" si="61"/>
        <v>3401001.8467199998</v>
      </c>
      <c r="I444" s="178">
        <f t="shared" si="63"/>
        <v>22429279.734719999</v>
      </c>
    </row>
    <row r="445" spans="2:16" ht="15" customHeight="1">
      <c r="B445" s="176" t="s">
        <v>177</v>
      </c>
      <c r="C445" s="193">
        <v>2025</v>
      </c>
      <c r="D445" s="190">
        <v>12841384.75489933</v>
      </c>
      <c r="E445" s="190">
        <f t="shared" si="62"/>
        <v>52983803.867342182</v>
      </c>
      <c r="F445" s="190"/>
      <c r="G445" s="194">
        <f t="shared" si="60"/>
        <v>3806870.6094336002</v>
      </c>
      <c r="H445" s="178">
        <f t="shared" si="61"/>
        <v>3806870.6094336002</v>
      </c>
      <c r="I445" s="178">
        <f t="shared" si="63"/>
        <v>26236150.344153598</v>
      </c>
    </row>
    <row r="446" spans="2:16" ht="15" customHeight="1">
      <c r="B446" s="176" t="s">
        <v>178</v>
      </c>
      <c r="C446" s="193">
        <v>2026</v>
      </c>
      <c r="D446" s="190">
        <v>15429730.515516065</v>
      </c>
      <c r="E446" s="190">
        <f t="shared" si="62"/>
        <v>68413534.382858247</v>
      </c>
      <c r="F446" s="190"/>
      <c r="G446" s="194">
        <f t="shared" si="60"/>
        <v>4227613.7219170565</v>
      </c>
      <c r="H446" s="178">
        <f t="shared" si="61"/>
        <v>4227613.7219170565</v>
      </c>
      <c r="I446" s="178">
        <f t="shared" si="63"/>
        <v>30463764.066070653</v>
      </c>
    </row>
    <row r="447" spans="2:16" ht="15" customHeight="1">
      <c r="B447" s="270" t="s">
        <v>179</v>
      </c>
      <c r="C447" s="274">
        <v>2027</v>
      </c>
      <c r="D447" s="272">
        <v>18406328.14022531</v>
      </c>
      <c r="E447" s="272">
        <f t="shared" si="62"/>
        <v>86819862.523083553</v>
      </c>
      <c r="F447" s="272"/>
      <c r="G447" s="273">
        <f t="shared" si="60"/>
        <v>4663663.8106560772</v>
      </c>
      <c r="H447" s="238">
        <f t="shared" si="61"/>
        <v>4663663.8106560772</v>
      </c>
      <c r="I447" s="238">
        <f>I446+H447</f>
        <v>35127427.876726732</v>
      </c>
      <c r="J447" s="64"/>
    </row>
    <row r="448" spans="2:16" ht="15" customHeight="1">
      <c r="D448" s="72"/>
      <c r="J448" s="72"/>
      <c r="K448" s="72"/>
    </row>
    <row r="449" spans="2:19" s="153" customFormat="1" ht="15" customHeight="1">
      <c r="B449" s="200" t="s">
        <v>204</v>
      </c>
      <c r="C449" s="259">
        <f>I434</f>
        <v>10996050.259781474</v>
      </c>
      <c r="N449" s="149"/>
      <c r="O449" s="149"/>
      <c r="P449" s="149"/>
      <c r="Q449" s="149"/>
      <c r="R449" s="149"/>
      <c r="S449" s="149"/>
    </row>
    <row r="450" spans="2:19" s="153" customFormat="1" ht="15" customHeight="1">
      <c r="B450" s="200" t="s">
        <v>205</v>
      </c>
      <c r="C450" s="259">
        <f>I447</f>
        <v>35127427.876726732</v>
      </c>
      <c r="J450" s="153" t="s">
        <v>168</v>
      </c>
      <c r="N450" s="149"/>
      <c r="O450" s="149"/>
      <c r="P450" s="149"/>
      <c r="Q450" s="149"/>
      <c r="R450" s="149"/>
      <c r="S450" s="149"/>
    </row>
    <row r="473" spans="2:25" ht="20.25" customHeight="1">
      <c r="B473" s="248" t="s">
        <v>202</v>
      </c>
      <c r="C473" s="249"/>
      <c r="D473" s="249"/>
      <c r="E473" s="249"/>
      <c r="F473" s="249"/>
      <c r="G473" s="249"/>
      <c r="H473" s="249"/>
      <c r="I473" s="249"/>
      <c r="J473" s="249"/>
      <c r="K473" s="249"/>
      <c r="L473" s="249"/>
      <c r="M473" s="249"/>
      <c r="N473" s="249"/>
      <c r="O473" s="249"/>
      <c r="P473" s="249"/>
      <c r="Q473" s="249"/>
      <c r="R473" s="250"/>
      <c r="S473"/>
      <c r="T473" s="149"/>
      <c r="U473" s="149"/>
      <c r="V473" s="149"/>
      <c r="W473" s="149"/>
      <c r="X473" s="149"/>
      <c r="Y473" s="149"/>
    </row>
    <row r="481" spans="2:25" ht="15" customHeight="1">
      <c r="B481" s="64"/>
    </row>
    <row r="482" spans="2:25" ht="15" customHeight="1">
      <c r="B482" s="64"/>
    </row>
    <row r="491" spans="2:25" ht="23.25" customHeight="1">
      <c r="C491" s="234" t="s">
        <v>204</v>
      </c>
      <c r="D491" s="235" t="s">
        <v>205</v>
      </c>
    </row>
    <row r="492" spans="2:25" ht="23.25" customHeight="1">
      <c r="B492" s="264" t="s">
        <v>396</v>
      </c>
      <c r="C492" s="236">
        <f>L274</f>
        <v>23397326.894035533</v>
      </c>
      <c r="D492" s="236">
        <f>M261</f>
        <v>12984874.681416709</v>
      </c>
    </row>
    <row r="493" spans="2:25" s="153" customFormat="1" ht="15" customHeight="1">
      <c r="B493" s="200" t="s">
        <v>204</v>
      </c>
      <c r="C493" s="202">
        <f>C492</f>
        <v>23397326.894035533</v>
      </c>
      <c r="N493" s="149"/>
      <c r="O493" s="149"/>
      <c r="P493" s="149"/>
      <c r="Q493" s="149"/>
      <c r="R493" s="149"/>
      <c r="S493" s="149"/>
    </row>
    <row r="494" spans="2:25" s="153" customFormat="1" ht="15" customHeight="1">
      <c r="B494" s="200" t="s">
        <v>205</v>
      </c>
      <c r="C494" s="202">
        <f>D492</f>
        <v>12984874.681416709</v>
      </c>
      <c r="N494" s="149"/>
      <c r="O494" s="149"/>
      <c r="P494" s="149"/>
      <c r="Q494" s="149"/>
      <c r="R494" s="149"/>
      <c r="S494" s="149"/>
    </row>
    <row r="495" spans="2:25" ht="20.25" customHeight="1">
      <c r="B495" s="260" t="s">
        <v>207</v>
      </c>
      <c r="C495" s="251"/>
      <c r="D495" s="251"/>
      <c r="E495" s="251"/>
      <c r="F495" s="251"/>
      <c r="G495" s="251"/>
      <c r="H495" s="251"/>
      <c r="I495" s="251"/>
      <c r="J495" s="251"/>
      <c r="K495" s="251"/>
      <c r="L495" s="251"/>
      <c r="M495" s="251"/>
      <c r="N495" s="251"/>
      <c r="O495" s="251"/>
      <c r="P495" s="251"/>
      <c r="Q495" s="251"/>
      <c r="R495" s="252"/>
      <c r="S495"/>
      <c r="T495" s="149"/>
      <c r="U495" s="149"/>
      <c r="V495" s="149"/>
      <c r="W495" s="149"/>
      <c r="X495" s="149"/>
      <c r="Y495" s="149"/>
    </row>
    <row r="497" spans="2:7" ht="15" customHeight="1">
      <c r="B497" s="290" t="s">
        <v>439</v>
      </c>
      <c r="C497" s="234" t="s">
        <v>204</v>
      </c>
      <c r="D497" s="235" t="s">
        <v>205</v>
      </c>
      <c r="F497" s="200" t="s">
        <v>204</v>
      </c>
      <c r="G497" s="261">
        <f>C500</f>
        <v>3.396496854154837</v>
      </c>
    </row>
    <row r="498" spans="2:7" ht="15" customHeight="1">
      <c r="B498" s="193" t="s">
        <v>432</v>
      </c>
      <c r="C498" s="278">
        <f>-I261</f>
        <v>5418273.2011121418</v>
      </c>
      <c r="D498" s="278">
        <f>-H274</f>
        <v>8000000</v>
      </c>
      <c r="F498" s="200" t="s">
        <v>205</v>
      </c>
      <c r="G498" s="261">
        <f>D500</f>
        <v>3.9246658617544417</v>
      </c>
    </row>
    <row r="499" spans="2:7" ht="15" customHeight="1">
      <c r="B499" s="177" t="s">
        <v>188</v>
      </c>
      <c r="C499" s="279">
        <f>M261</f>
        <v>12984874.681416709</v>
      </c>
      <c r="D499" s="279">
        <f>L274</f>
        <v>23397326.894035533</v>
      </c>
    </row>
    <row r="500" spans="2:7" ht="15" customHeight="1">
      <c r="B500" s="158" t="s">
        <v>208</v>
      </c>
      <c r="C500" s="237">
        <f>(C498+C499)/C498</f>
        <v>3.396496854154837</v>
      </c>
      <c r="D500" s="237">
        <f>(D498+D499)/D498</f>
        <v>3.9246658617544417</v>
      </c>
    </row>
    <row r="501" spans="2:7" s="149" customFormat="1" ht="15" customHeight="1"/>
    <row r="502" spans="2:7" s="149" customFormat="1" ht="15" customHeight="1">
      <c r="B502" s="290" t="s">
        <v>440</v>
      </c>
      <c r="C502" s="234" t="s">
        <v>204</v>
      </c>
      <c r="D502" s="235" t="s">
        <v>205</v>
      </c>
      <c r="E502" s="153" t="s">
        <v>204</v>
      </c>
      <c r="F502" s="261">
        <f>C505</f>
        <v>5.7768836024664996</v>
      </c>
    </row>
    <row r="503" spans="2:7" s="149" customFormat="1" ht="15" customHeight="1">
      <c r="B503" s="193" t="s">
        <v>441</v>
      </c>
      <c r="C503" s="278">
        <f>C38</f>
        <v>2718273.2011121409</v>
      </c>
      <c r="D503" s="278">
        <f>D498</f>
        <v>8000000</v>
      </c>
      <c r="E503" s="153" t="s">
        <v>205</v>
      </c>
      <c r="F503" s="261">
        <f>D505</f>
        <v>3.9246658617544417</v>
      </c>
    </row>
    <row r="504" spans="2:7" s="149" customFormat="1" ht="15" customHeight="1">
      <c r="B504" s="177" t="s">
        <v>188</v>
      </c>
      <c r="C504" s="279">
        <f>C499</f>
        <v>12984874.681416709</v>
      </c>
      <c r="D504" s="279">
        <f>D499</f>
        <v>23397326.894035533</v>
      </c>
    </row>
    <row r="505" spans="2:7" s="149" customFormat="1" ht="15" customHeight="1">
      <c r="B505" s="158" t="s">
        <v>208</v>
      </c>
      <c r="C505" s="237">
        <f>(C503+C504)/C503</f>
        <v>5.7768836024664996</v>
      </c>
      <c r="D505" s="237">
        <f>(D503+D504)/D503</f>
        <v>3.9246658617544417</v>
      </c>
    </row>
    <row r="506" spans="2:7" s="149" customFormat="1" ht="15" customHeight="1">
      <c r="C506" s="150"/>
    </row>
    <row r="507" spans="2:7" s="149" customFormat="1" ht="15" customHeight="1">
      <c r="C507" s="150"/>
    </row>
    <row r="508" spans="2:7" s="149" customFormat="1" ht="15" customHeight="1">
      <c r="C508" s="150"/>
    </row>
    <row r="509" spans="2:7" s="149" customFormat="1" ht="15" customHeight="1">
      <c r="C509" s="150"/>
    </row>
    <row r="510" spans="2:7" s="149" customFormat="1" ht="15" customHeight="1">
      <c r="C510" s="150"/>
    </row>
    <row r="511" spans="2:7" s="149" customFormat="1" ht="15" customHeight="1">
      <c r="C511" s="150"/>
    </row>
    <row r="512" spans="2:7" s="149" customFormat="1" ht="15" customHeight="1">
      <c r="C512" s="150"/>
    </row>
    <row r="513" spans="2:3" s="149" customFormat="1" ht="15" customHeight="1">
      <c r="C513" s="150"/>
    </row>
    <row r="514" spans="2:3" s="149" customFormat="1" ht="15" customHeight="1">
      <c r="C514" s="150"/>
    </row>
    <row r="515" spans="2:3" s="149" customFormat="1" ht="15" customHeight="1">
      <c r="C515" s="150"/>
    </row>
    <row r="516" spans="2:3" s="149" customFormat="1" ht="15" customHeight="1">
      <c r="C516" s="150"/>
    </row>
    <row r="517" spans="2:3" s="149" customFormat="1" ht="15" customHeight="1">
      <c r="C517" s="150"/>
    </row>
    <row r="518" spans="2:3" s="149" customFormat="1" ht="15" customHeight="1">
      <c r="C518" s="150"/>
    </row>
    <row r="519" spans="2:3" s="149" customFormat="1" ht="15" customHeight="1"/>
    <row r="520" spans="2:3" ht="15" customHeight="1">
      <c r="B520" s="65"/>
      <c r="C520" s="81"/>
    </row>
    <row r="522" spans="2:3" ht="15" customHeight="1">
      <c r="B522" s="64"/>
    </row>
    <row r="524" spans="2:3" ht="15" customHeight="1">
      <c r="C524" s="72"/>
    </row>
    <row r="525" spans="2:3" ht="15" customHeight="1">
      <c r="C525" s="72"/>
    </row>
    <row r="526" spans="2:3" ht="15" customHeight="1">
      <c r="C526" s="72"/>
    </row>
    <row r="527" spans="2:3" ht="15" customHeight="1">
      <c r="C527" s="72"/>
    </row>
    <row r="528" spans="2:3" ht="15" customHeight="1">
      <c r="C528" s="72"/>
    </row>
    <row r="529" spans="2:25" ht="15" customHeight="1">
      <c r="C529" s="72"/>
    </row>
    <row r="530" spans="2:25" ht="15" customHeight="1">
      <c r="C530" s="72"/>
    </row>
    <row r="531" spans="2:25" ht="15" customHeight="1">
      <c r="C531" s="72"/>
    </row>
    <row r="532" spans="2:25" ht="21" customHeight="1">
      <c r="B532" s="248" t="s">
        <v>399</v>
      </c>
      <c r="C532" s="249"/>
      <c r="D532" s="249"/>
      <c r="E532" s="249"/>
      <c r="F532" s="249"/>
      <c r="G532" s="249"/>
      <c r="H532" s="249"/>
      <c r="I532" s="249"/>
      <c r="J532" s="249"/>
      <c r="K532" s="249"/>
      <c r="L532" s="249"/>
      <c r="M532" s="249"/>
      <c r="N532" s="249"/>
      <c r="O532" s="249"/>
      <c r="P532" s="249"/>
      <c r="Q532" s="249"/>
      <c r="R532" s="250"/>
      <c r="S532"/>
      <c r="T532" s="149"/>
      <c r="U532" s="149"/>
      <c r="V532" s="149"/>
      <c r="W532" s="149"/>
      <c r="X532" s="149"/>
      <c r="Y532" s="149"/>
    </row>
    <row r="552" spans="2:25" ht="20.25" customHeight="1">
      <c r="B552" s="241" t="s">
        <v>453</v>
      </c>
      <c r="C552" s="245"/>
      <c r="D552" s="245"/>
      <c r="E552" s="245"/>
      <c r="F552" s="245"/>
      <c r="G552" s="245"/>
      <c r="H552" s="245"/>
      <c r="I552" s="245"/>
      <c r="J552" s="245"/>
      <c r="K552" s="245"/>
      <c r="L552" s="245"/>
      <c r="M552" s="245"/>
      <c r="N552" s="245"/>
      <c r="O552" s="245"/>
      <c r="P552" s="245"/>
      <c r="Q552" s="245"/>
      <c r="R552" s="246"/>
      <c r="S552"/>
      <c r="T552" s="149"/>
      <c r="U552" s="149"/>
      <c r="V552" s="149"/>
      <c r="W552" s="149"/>
      <c r="X552" s="149"/>
      <c r="Y552" s="149"/>
    </row>
    <row r="578" spans="13:13" ht="15" customHeight="1">
      <c r="M578" s="64" t="s">
        <v>168</v>
      </c>
    </row>
    <row r="700" spans="13:16" ht="15" customHeight="1">
      <c r="M700" s="215"/>
      <c r="N700" s="215"/>
      <c r="O700" s="215"/>
      <c r="P700" s="215"/>
    </row>
    <row r="701" spans="13:16" ht="15" customHeight="1">
      <c r="M701" s="215"/>
      <c r="N701" s="215"/>
      <c r="O701" s="215"/>
      <c r="P701" s="215"/>
    </row>
    <row r="702" spans="13:16" ht="15" customHeight="1">
      <c r="M702" s="215"/>
      <c r="N702" s="215"/>
      <c r="O702" s="215"/>
      <c r="P702" s="215"/>
    </row>
    <row r="703" spans="13:16" ht="15" customHeight="1">
      <c r="M703" s="293" t="s">
        <v>456</v>
      </c>
      <c r="N703" s="293" t="s">
        <v>204</v>
      </c>
      <c r="O703" s="293" t="s">
        <v>204</v>
      </c>
      <c r="P703" s="215"/>
    </row>
    <row r="704" spans="13:16" ht="15" customHeight="1">
      <c r="M704" s="153" t="s">
        <v>189</v>
      </c>
      <c r="N704" s="259">
        <f>E116</f>
        <v>5418273.2011121418</v>
      </c>
      <c r="O704" s="259">
        <f>E117</f>
        <v>8000000</v>
      </c>
      <c r="P704" s="215"/>
    </row>
    <row r="705" spans="13:16" ht="15" customHeight="1">
      <c r="M705" s="153" t="s">
        <v>470</v>
      </c>
      <c r="N705" s="153"/>
      <c r="O705" s="153"/>
      <c r="P705" s="215"/>
    </row>
    <row r="706" spans="13:16" ht="15" customHeight="1">
      <c r="M706" s="294" t="s">
        <v>413</v>
      </c>
      <c r="N706" s="259">
        <f>C121</f>
        <v>2718273.2011121409</v>
      </c>
      <c r="O706" s="259">
        <f>C122</f>
        <v>8000000</v>
      </c>
      <c r="P706" s="215"/>
    </row>
    <row r="707" spans="13:16" ht="15" customHeight="1">
      <c r="M707" s="294" t="s">
        <v>414</v>
      </c>
      <c r="N707" s="259">
        <f>D121</f>
        <v>2700000</v>
      </c>
      <c r="O707" s="259">
        <f>D122</f>
        <v>0</v>
      </c>
      <c r="P707" s="215"/>
    </row>
    <row r="708" spans="13:16" ht="15" customHeight="1">
      <c r="M708" s="153" t="s">
        <v>457</v>
      </c>
      <c r="N708" s="153"/>
      <c r="O708" s="153"/>
      <c r="P708" s="215"/>
    </row>
    <row r="709" spans="13:16" ht="15" customHeight="1">
      <c r="M709" s="294" t="s">
        <v>463</v>
      </c>
      <c r="N709" s="259">
        <f>C126</f>
        <v>4528273.2011121409</v>
      </c>
      <c r="O709" s="259">
        <f>C127</f>
        <v>0</v>
      </c>
      <c r="P709" s="215"/>
    </row>
    <row r="710" spans="13:16" ht="15" customHeight="1">
      <c r="M710" s="294" t="s">
        <v>464</v>
      </c>
      <c r="N710" s="259">
        <f>D126</f>
        <v>890000</v>
      </c>
      <c r="O710" s="259">
        <f>D127</f>
        <v>8000000</v>
      </c>
      <c r="P710" s="215"/>
    </row>
    <row r="711" spans="13:16" ht="15" customHeight="1">
      <c r="M711" s="153" t="s">
        <v>465</v>
      </c>
      <c r="N711" s="153">
        <v>10</v>
      </c>
      <c r="O711" s="153">
        <v>10</v>
      </c>
      <c r="P711" s="215"/>
    </row>
    <row r="712" spans="13:16" ht="15" customHeight="1">
      <c r="M712" s="153" t="s">
        <v>458</v>
      </c>
      <c r="N712" s="295">
        <f>R203</f>
        <v>29411286.712632298</v>
      </c>
      <c r="O712" s="295">
        <f>M217</f>
        <v>51692434.646356821</v>
      </c>
      <c r="P712" s="215"/>
    </row>
    <row r="713" spans="13:16" ht="15" customHeight="1">
      <c r="M713" s="153" t="s">
        <v>182</v>
      </c>
      <c r="N713" s="295">
        <f>M261</f>
        <v>12984874.681416709</v>
      </c>
      <c r="O713" s="295">
        <f>L274</f>
        <v>23397326.894035533</v>
      </c>
      <c r="P713" s="215"/>
    </row>
    <row r="714" spans="13:16" ht="15" customHeight="1">
      <c r="M714" s="153" t="s">
        <v>184</v>
      </c>
      <c r="N714" s="282">
        <f>D317</f>
        <v>0.5467512533748411</v>
      </c>
      <c r="O714" s="282">
        <f>D331</f>
        <v>0.58437455017102691</v>
      </c>
      <c r="P714" s="215"/>
    </row>
    <row r="715" spans="13:16" ht="15" customHeight="1">
      <c r="M715" s="153" t="s">
        <v>183</v>
      </c>
      <c r="N715" s="212">
        <f>D350</f>
        <v>5.4281660634231974</v>
      </c>
      <c r="O715" s="212">
        <f>D369</f>
        <v>6.4615543307946028</v>
      </c>
      <c r="P715" s="215"/>
    </row>
    <row r="716" spans="13:16" ht="15" customHeight="1">
      <c r="M716" s="153" t="s">
        <v>466</v>
      </c>
      <c r="N716" s="212">
        <f>D352</f>
        <v>10.819842060245861</v>
      </c>
      <c r="O716" s="212">
        <f>D371</f>
        <v>6.4615543307946028</v>
      </c>
      <c r="P716" s="215"/>
    </row>
    <row r="717" spans="13:16" ht="15" customHeight="1">
      <c r="M717" s="153" t="s">
        <v>460</v>
      </c>
      <c r="N717" s="261">
        <f>C500</f>
        <v>3.396496854154837</v>
      </c>
      <c r="O717" s="261">
        <f>D500</f>
        <v>3.9246658617544417</v>
      </c>
      <c r="P717" s="215"/>
    </row>
    <row r="718" spans="13:16" ht="15" customHeight="1">
      <c r="M718" s="153" t="s">
        <v>461</v>
      </c>
      <c r="N718" s="261">
        <f>C505</f>
        <v>5.7768836024664996</v>
      </c>
      <c r="O718" s="261">
        <f>D505</f>
        <v>3.9246658617544417</v>
      </c>
      <c r="P718" s="215"/>
    </row>
    <row r="719" spans="13:16" ht="13.2">
      <c r="M719" s="153" t="s">
        <v>467</v>
      </c>
      <c r="N719" s="153">
        <v>5</v>
      </c>
      <c r="O719" s="153">
        <v>4</v>
      </c>
      <c r="P719" s="215"/>
    </row>
    <row r="720" spans="13:16" ht="15" customHeight="1">
      <c r="M720" s="153" t="s">
        <v>459</v>
      </c>
      <c r="N720" s="295">
        <f>I429</f>
        <v>7616238.0011121463</v>
      </c>
      <c r="O720" s="295">
        <f>I441</f>
        <v>13386480</v>
      </c>
      <c r="P720" s="215"/>
    </row>
    <row r="721" spans="13:16" ht="15" customHeight="1">
      <c r="M721" s="153" t="s">
        <v>202</v>
      </c>
      <c r="N721" s="295">
        <f>C492</f>
        <v>23397326.894035533</v>
      </c>
      <c r="O721" s="295">
        <f>D492</f>
        <v>12984874.681416709</v>
      </c>
      <c r="P721" s="215"/>
    </row>
    <row r="722" spans="13:16" ht="409.6">
      <c r="M722" s="153" t="s">
        <v>462</v>
      </c>
      <c r="N722" s="296" t="s">
        <v>468</v>
      </c>
      <c r="O722" s="296" t="s">
        <v>469</v>
      </c>
      <c r="P722" s="215"/>
    </row>
  </sheetData>
  <mergeCells count="5">
    <mergeCell ref="C119:E119"/>
    <mergeCell ref="C124:E124"/>
    <mergeCell ref="C29:E29"/>
    <mergeCell ref="F29:H29"/>
    <mergeCell ref="C114:E114"/>
  </mergeCells>
  <phoneticPr fontId="20" type="noConversion"/>
  <hyperlinks>
    <hyperlink ref="C89" r:id="rId1" xr:uid="{FB3F0F33-5E6F-4708-BEDD-E1361E3B3583}"/>
    <hyperlink ref="C90" location="'Damodarn Industry Averages'!A1" display="'Damodarn Industry Averages'!A1" xr:uid="{7BA6A3DC-DE8A-4345-AAA3-97FECAC21C93}"/>
    <hyperlink ref="C91" r:id="rId2" location=":~:text=Inflation%3A%20price%20changes%20over%20time%20in%20the%20European%20Union,-Over%20the%20last&amp;text=The%20average%20annual%20inflation%20rate,high%20of%209.2%20%25%20in%202022." display="https://ec.europa.eu/eurostat/statistics-explained/index.php?title=Consumer_prices_-_inflation#:~:text=Inflation%3A%20price%20changes%20over%20time%20in%20the%20European%20Union,-Over%20the%20last&amp;text=The%20average%20annual%20inflation%20rate,high%20of%209.2%20%25%20in%202022. " xr:uid="{98C51998-3FFD-45EF-8C76-3ACA112AE7D4}"/>
    <hyperlink ref="C92" r:id="rId3" location=":~:text=Inflation%20in%20the%20Euro%20currency,3.3%20percent%20over%20the%20year." xr:uid="{FA8808BA-D486-42E7-B086-121B37F25662}"/>
  </hyperlinks>
  <pageMargins left="0.7" right="0.7" top="0.75" bottom="0.75" header="0" footer="0"/>
  <pageSetup paperSize="9" orientation="portrait"/>
  <ignoredErrors>
    <ignoredError sqref="E32"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925A-1361-4CA3-B1F8-DE1AF4463707}">
  <sheetPr>
    <tabColor theme="0" tint="-0.249977111117893"/>
  </sheetPr>
  <dimension ref="A1:L115"/>
  <sheetViews>
    <sheetView topLeftCell="D15" workbookViewId="0">
      <selection activeCell="A48" sqref="A48:XFD48"/>
    </sheetView>
  </sheetViews>
  <sheetFormatPr defaultRowHeight="15"/>
  <cols>
    <col min="1" max="1" width="37.88671875" style="139" bestFit="1" customWidth="1"/>
    <col min="2" max="2" width="17.5546875" style="92" customWidth="1"/>
    <col min="3" max="3" width="21.5546875" style="92" bestFit="1" customWidth="1"/>
    <col min="4" max="4" width="39.5546875" style="92" bestFit="1" customWidth="1"/>
    <col min="5" max="5" width="28.109375" style="140" bestFit="1" customWidth="1"/>
    <col min="6" max="6" width="16.6640625" style="92" customWidth="1"/>
    <col min="7" max="7" width="13.88671875" style="92" customWidth="1"/>
    <col min="8" max="8" width="12.5546875" style="92" customWidth="1"/>
    <col min="9" max="9" width="21.33203125" style="92" customWidth="1"/>
    <col min="10" max="10" width="12.5546875" style="92" customWidth="1"/>
    <col min="11" max="11" width="23.33203125" style="92" bestFit="1" customWidth="1"/>
    <col min="12" max="12" width="31" style="92" customWidth="1"/>
    <col min="13" max="256" width="12.5546875" style="92" customWidth="1"/>
    <col min="257" max="257" width="37.88671875" style="92" bestFit="1" customWidth="1"/>
    <col min="258" max="258" width="17.5546875" style="92" customWidth="1"/>
    <col min="259" max="259" width="21.5546875" style="92" bestFit="1" customWidth="1"/>
    <col min="260" max="260" width="39.5546875" style="92" bestFit="1" customWidth="1"/>
    <col min="261" max="261" width="28.109375" style="92" bestFit="1" customWidth="1"/>
    <col min="262" max="262" width="16.6640625" style="92" customWidth="1"/>
    <col min="263" max="263" width="13.88671875" style="92" customWidth="1"/>
    <col min="264" max="264" width="12.5546875" style="92" customWidth="1"/>
    <col min="265" max="265" width="21.33203125" style="92" customWidth="1"/>
    <col min="266" max="266" width="12.5546875" style="92" customWidth="1"/>
    <col min="267" max="267" width="23.33203125" style="92" bestFit="1" customWidth="1"/>
    <col min="268" max="268" width="31" style="92" customWidth="1"/>
    <col min="269" max="512" width="12.5546875" style="92" customWidth="1"/>
    <col min="513" max="513" width="37.88671875" style="92" bestFit="1" customWidth="1"/>
    <col min="514" max="514" width="17.5546875" style="92" customWidth="1"/>
    <col min="515" max="515" width="21.5546875" style="92" bestFit="1" customWidth="1"/>
    <col min="516" max="516" width="39.5546875" style="92" bestFit="1" customWidth="1"/>
    <col min="517" max="517" width="28.109375" style="92" bestFit="1" customWidth="1"/>
    <col min="518" max="518" width="16.6640625" style="92" customWidth="1"/>
    <col min="519" max="519" width="13.88671875" style="92" customWidth="1"/>
    <col min="520" max="520" width="12.5546875" style="92" customWidth="1"/>
    <col min="521" max="521" width="21.33203125" style="92" customWidth="1"/>
    <col min="522" max="522" width="12.5546875" style="92" customWidth="1"/>
    <col min="523" max="523" width="23.33203125" style="92" bestFit="1" customWidth="1"/>
    <col min="524" max="524" width="31" style="92" customWidth="1"/>
    <col min="525" max="768" width="12.5546875" style="92" customWidth="1"/>
    <col min="769" max="769" width="37.88671875" style="92" bestFit="1" customWidth="1"/>
    <col min="770" max="770" width="17.5546875" style="92" customWidth="1"/>
    <col min="771" max="771" width="21.5546875" style="92" bestFit="1" customWidth="1"/>
    <col min="772" max="772" width="39.5546875" style="92" bestFit="1" customWidth="1"/>
    <col min="773" max="773" width="28.109375" style="92" bestFit="1" customWidth="1"/>
    <col min="774" max="774" width="16.6640625" style="92" customWidth="1"/>
    <col min="775" max="775" width="13.88671875" style="92" customWidth="1"/>
    <col min="776" max="776" width="12.5546875" style="92" customWidth="1"/>
    <col min="777" max="777" width="21.33203125" style="92" customWidth="1"/>
    <col min="778" max="778" width="12.5546875" style="92" customWidth="1"/>
    <col min="779" max="779" width="23.33203125" style="92" bestFit="1" customWidth="1"/>
    <col min="780" max="780" width="31" style="92" customWidth="1"/>
    <col min="781" max="1024" width="12.5546875" style="92" customWidth="1"/>
    <col min="1025" max="1025" width="37.88671875" style="92" bestFit="1" customWidth="1"/>
    <col min="1026" max="1026" width="17.5546875" style="92" customWidth="1"/>
    <col min="1027" max="1027" width="21.5546875" style="92" bestFit="1" customWidth="1"/>
    <col min="1028" max="1028" width="39.5546875" style="92" bestFit="1" customWidth="1"/>
    <col min="1029" max="1029" width="28.109375" style="92" bestFit="1" customWidth="1"/>
    <col min="1030" max="1030" width="16.6640625" style="92" customWidth="1"/>
    <col min="1031" max="1031" width="13.88671875" style="92" customWidth="1"/>
    <col min="1032" max="1032" width="12.5546875" style="92" customWidth="1"/>
    <col min="1033" max="1033" width="21.33203125" style="92" customWidth="1"/>
    <col min="1034" max="1034" width="12.5546875" style="92" customWidth="1"/>
    <col min="1035" max="1035" width="23.33203125" style="92" bestFit="1" customWidth="1"/>
    <col min="1036" max="1036" width="31" style="92" customWidth="1"/>
    <col min="1037" max="1280" width="12.5546875" style="92" customWidth="1"/>
    <col min="1281" max="1281" width="37.88671875" style="92" bestFit="1" customWidth="1"/>
    <col min="1282" max="1282" width="17.5546875" style="92" customWidth="1"/>
    <col min="1283" max="1283" width="21.5546875" style="92" bestFit="1" customWidth="1"/>
    <col min="1284" max="1284" width="39.5546875" style="92" bestFit="1" customWidth="1"/>
    <col min="1285" max="1285" width="28.109375" style="92" bestFit="1" customWidth="1"/>
    <col min="1286" max="1286" width="16.6640625" style="92" customWidth="1"/>
    <col min="1287" max="1287" width="13.88671875" style="92" customWidth="1"/>
    <col min="1288" max="1288" width="12.5546875" style="92" customWidth="1"/>
    <col min="1289" max="1289" width="21.33203125" style="92" customWidth="1"/>
    <col min="1290" max="1290" width="12.5546875" style="92" customWidth="1"/>
    <col min="1291" max="1291" width="23.33203125" style="92" bestFit="1" customWidth="1"/>
    <col min="1292" max="1292" width="31" style="92" customWidth="1"/>
    <col min="1293" max="1536" width="12.5546875" style="92" customWidth="1"/>
    <col min="1537" max="1537" width="37.88671875" style="92" bestFit="1" customWidth="1"/>
    <col min="1538" max="1538" width="17.5546875" style="92" customWidth="1"/>
    <col min="1539" max="1539" width="21.5546875" style="92" bestFit="1" customWidth="1"/>
    <col min="1540" max="1540" width="39.5546875" style="92" bestFit="1" customWidth="1"/>
    <col min="1541" max="1541" width="28.109375" style="92" bestFit="1" customWidth="1"/>
    <col min="1542" max="1542" width="16.6640625" style="92" customWidth="1"/>
    <col min="1543" max="1543" width="13.88671875" style="92" customWidth="1"/>
    <col min="1544" max="1544" width="12.5546875" style="92" customWidth="1"/>
    <col min="1545" max="1545" width="21.33203125" style="92" customWidth="1"/>
    <col min="1546" max="1546" width="12.5546875" style="92" customWidth="1"/>
    <col min="1547" max="1547" width="23.33203125" style="92" bestFit="1" customWidth="1"/>
    <col min="1548" max="1548" width="31" style="92" customWidth="1"/>
    <col min="1549" max="1792" width="12.5546875" style="92" customWidth="1"/>
    <col min="1793" max="1793" width="37.88671875" style="92" bestFit="1" customWidth="1"/>
    <col min="1794" max="1794" width="17.5546875" style="92" customWidth="1"/>
    <col min="1795" max="1795" width="21.5546875" style="92" bestFit="1" customWidth="1"/>
    <col min="1796" max="1796" width="39.5546875" style="92" bestFit="1" customWidth="1"/>
    <col min="1797" max="1797" width="28.109375" style="92" bestFit="1" customWidth="1"/>
    <col min="1798" max="1798" width="16.6640625" style="92" customWidth="1"/>
    <col min="1799" max="1799" width="13.88671875" style="92" customWidth="1"/>
    <col min="1800" max="1800" width="12.5546875" style="92" customWidth="1"/>
    <col min="1801" max="1801" width="21.33203125" style="92" customWidth="1"/>
    <col min="1802" max="1802" width="12.5546875" style="92" customWidth="1"/>
    <col min="1803" max="1803" width="23.33203125" style="92" bestFit="1" customWidth="1"/>
    <col min="1804" max="1804" width="31" style="92" customWidth="1"/>
    <col min="1805" max="2048" width="12.5546875" style="92" customWidth="1"/>
    <col min="2049" max="2049" width="37.88671875" style="92" bestFit="1" customWidth="1"/>
    <col min="2050" max="2050" width="17.5546875" style="92" customWidth="1"/>
    <col min="2051" max="2051" width="21.5546875" style="92" bestFit="1" customWidth="1"/>
    <col min="2052" max="2052" width="39.5546875" style="92" bestFit="1" customWidth="1"/>
    <col min="2053" max="2053" width="28.109375" style="92" bestFit="1" customWidth="1"/>
    <col min="2054" max="2054" width="16.6640625" style="92" customWidth="1"/>
    <col min="2055" max="2055" width="13.88671875" style="92" customWidth="1"/>
    <col min="2056" max="2056" width="12.5546875" style="92" customWidth="1"/>
    <col min="2057" max="2057" width="21.33203125" style="92" customWidth="1"/>
    <col min="2058" max="2058" width="12.5546875" style="92" customWidth="1"/>
    <col min="2059" max="2059" width="23.33203125" style="92" bestFit="1" customWidth="1"/>
    <col min="2060" max="2060" width="31" style="92" customWidth="1"/>
    <col min="2061" max="2304" width="12.5546875" style="92" customWidth="1"/>
    <col min="2305" max="2305" width="37.88671875" style="92" bestFit="1" customWidth="1"/>
    <col min="2306" max="2306" width="17.5546875" style="92" customWidth="1"/>
    <col min="2307" max="2307" width="21.5546875" style="92" bestFit="1" customWidth="1"/>
    <col min="2308" max="2308" width="39.5546875" style="92" bestFit="1" customWidth="1"/>
    <col min="2309" max="2309" width="28.109375" style="92" bestFit="1" customWidth="1"/>
    <col min="2310" max="2310" width="16.6640625" style="92" customWidth="1"/>
    <col min="2311" max="2311" width="13.88671875" style="92" customWidth="1"/>
    <col min="2312" max="2312" width="12.5546875" style="92" customWidth="1"/>
    <col min="2313" max="2313" width="21.33203125" style="92" customWidth="1"/>
    <col min="2314" max="2314" width="12.5546875" style="92" customWidth="1"/>
    <col min="2315" max="2315" width="23.33203125" style="92" bestFit="1" customWidth="1"/>
    <col min="2316" max="2316" width="31" style="92" customWidth="1"/>
    <col min="2317" max="2560" width="12.5546875" style="92" customWidth="1"/>
    <col min="2561" max="2561" width="37.88671875" style="92" bestFit="1" customWidth="1"/>
    <col min="2562" max="2562" width="17.5546875" style="92" customWidth="1"/>
    <col min="2563" max="2563" width="21.5546875" style="92" bestFit="1" customWidth="1"/>
    <col min="2564" max="2564" width="39.5546875" style="92" bestFit="1" customWidth="1"/>
    <col min="2565" max="2565" width="28.109375" style="92" bestFit="1" customWidth="1"/>
    <col min="2566" max="2566" width="16.6640625" style="92" customWidth="1"/>
    <col min="2567" max="2567" width="13.88671875" style="92" customWidth="1"/>
    <col min="2568" max="2568" width="12.5546875" style="92" customWidth="1"/>
    <col min="2569" max="2569" width="21.33203125" style="92" customWidth="1"/>
    <col min="2570" max="2570" width="12.5546875" style="92" customWidth="1"/>
    <col min="2571" max="2571" width="23.33203125" style="92" bestFit="1" customWidth="1"/>
    <col min="2572" max="2572" width="31" style="92" customWidth="1"/>
    <col min="2573" max="2816" width="12.5546875" style="92" customWidth="1"/>
    <col min="2817" max="2817" width="37.88671875" style="92" bestFit="1" customWidth="1"/>
    <col min="2818" max="2818" width="17.5546875" style="92" customWidth="1"/>
    <col min="2819" max="2819" width="21.5546875" style="92" bestFit="1" customWidth="1"/>
    <col min="2820" max="2820" width="39.5546875" style="92" bestFit="1" customWidth="1"/>
    <col min="2821" max="2821" width="28.109375" style="92" bestFit="1" customWidth="1"/>
    <col min="2822" max="2822" width="16.6640625" style="92" customWidth="1"/>
    <col min="2823" max="2823" width="13.88671875" style="92" customWidth="1"/>
    <col min="2824" max="2824" width="12.5546875" style="92" customWidth="1"/>
    <col min="2825" max="2825" width="21.33203125" style="92" customWidth="1"/>
    <col min="2826" max="2826" width="12.5546875" style="92" customWidth="1"/>
    <col min="2827" max="2827" width="23.33203125" style="92" bestFit="1" customWidth="1"/>
    <col min="2828" max="2828" width="31" style="92" customWidth="1"/>
    <col min="2829" max="3072" width="12.5546875" style="92" customWidth="1"/>
    <col min="3073" max="3073" width="37.88671875" style="92" bestFit="1" customWidth="1"/>
    <col min="3074" max="3074" width="17.5546875" style="92" customWidth="1"/>
    <col min="3075" max="3075" width="21.5546875" style="92" bestFit="1" customWidth="1"/>
    <col min="3076" max="3076" width="39.5546875" style="92" bestFit="1" customWidth="1"/>
    <col min="3077" max="3077" width="28.109375" style="92" bestFit="1" customWidth="1"/>
    <col min="3078" max="3078" width="16.6640625" style="92" customWidth="1"/>
    <col min="3079" max="3079" width="13.88671875" style="92" customWidth="1"/>
    <col min="3080" max="3080" width="12.5546875" style="92" customWidth="1"/>
    <col min="3081" max="3081" width="21.33203125" style="92" customWidth="1"/>
    <col min="3082" max="3082" width="12.5546875" style="92" customWidth="1"/>
    <col min="3083" max="3083" width="23.33203125" style="92" bestFit="1" customWidth="1"/>
    <col min="3084" max="3084" width="31" style="92" customWidth="1"/>
    <col min="3085" max="3328" width="12.5546875" style="92" customWidth="1"/>
    <col min="3329" max="3329" width="37.88671875" style="92" bestFit="1" customWidth="1"/>
    <col min="3330" max="3330" width="17.5546875" style="92" customWidth="1"/>
    <col min="3331" max="3331" width="21.5546875" style="92" bestFit="1" customWidth="1"/>
    <col min="3332" max="3332" width="39.5546875" style="92" bestFit="1" customWidth="1"/>
    <col min="3333" max="3333" width="28.109375" style="92" bestFit="1" customWidth="1"/>
    <col min="3334" max="3334" width="16.6640625" style="92" customWidth="1"/>
    <col min="3335" max="3335" width="13.88671875" style="92" customWidth="1"/>
    <col min="3336" max="3336" width="12.5546875" style="92" customWidth="1"/>
    <col min="3337" max="3337" width="21.33203125" style="92" customWidth="1"/>
    <col min="3338" max="3338" width="12.5546875" style="92" customWidth="1"/>
    <col min="3339" max="3339" width="23.33203125" style="92" bestFit="1" customWidth="1"/>
    <col min="3340" max="3340" width="31" style="92" customWidth="1"/>
    <col min="3341" max="3584" width="12.5546875" style="92" customWidth="1"/>
    <col min="3585" max="3585" width="37.88671875" style="92" bestFit="1" customWidth="1"/>
    <col min="3586" max="3586" width="17.5546875" style="92" customWidth="1"/>
    <col min="3587" max="3587" width="21.5546875" style="92" bestFit="1" customWidth="1"/>
    <col min="3588" max="3588" width="39.5546875" style="92" bestFit="1" customWidth="1"/>
    <col min="3589" max="3589" width="28.109375" style="92" bestFit="1" customWidth="1"/>
    <col min="3590" max="3590" width="16.6640625" style="92" customWidth="1"/>
    <col min="3591" max="3591" width="13.88671875" style="92" customWidth="1"/>
    <col min="3592" max="3592" width="12.5546875" style="92" customWidth="1"/>
    <col min="3593" max="3593" width="21.33203125" style="92" customWidth="1"/>
    <col min="3594" max="3594" width="12.5546875" style="92" customWidth="1"/>
    <col min="3595" max="3595" width="23.33203125" style="92" bestFit="1" customWidth="1"/>
    <col min="3596" max="3596" width="31" style="92" customWidth="1"/>
    <col min="3597" max="3840" width="12.5546875" style="92" customWidth="1"/>
    <col min="3841" max="3841" width="37.88671875" style="92" bestFit="1" customWidth="1"/>
    <col min="3842" max="3842" width="17.5546875" style="92" customWidth="1"/>
    <col min="3843" max="3843" width="21.5546875" style="92" bestFit="1" customWidth="1"/>
    <col min="3844" max="3844" width="39.5546875" style="92" bestFit="1" customWidth="1"/>
    <col min="3845" max="3845" width="28.109375" style="92" bestFit="1" customWidth="1"/>
    <col min="3846" max="3846" width="16.6640625" style="92" customWidth="1"/>
    <col min="3847" max="3847" width="13.88671875" style="92" customWidth="1"/>
    <col min="3848" max="3848" width="12.5546875" style="92" customWidth="1"/>
    <col min="3849" max="3849" width="21.33203125" style="92" customWidth="1"/>
    <col min="3850" max="3850" width="12.5546875" style="92" customWidth="1"/>
    <col min="3851" max="3851" width="23.33203125" style="92" bestFit="1" customWidth="1"/>
    <col min="3852" max="3852" width="31" style="92" customWidth="1"/>
    <col min="3853" max="4096" width="12.5546875" style="92" customWidth="1"/>
    <col min="4097" max="4097" width="37.88671875" style="92" bestFit="1" customWidth="1"/>
    <col min="4098" max="4098" width="17.5546875" style="92" customWidth="1"/>
    <col min="4099" max="4099" width="21.5546875" style="92" bestFit="1" customWidth="1"/>
    <col min="4100" max="4100" width="39.5546875" style="92" bestFit="1" customWidth="1"/>
    <col min="4101" max="4101" width="28.109375" style="92" bestFit="1" customWidth="1"/>
    <col min="4102" max="4102" width="16.6640625" style="92" customWidth="1"/>
    <col min="4103" max="4103" width="13.88671875" style="92" customWidth="1"/>
    <col min="4104" max="4104" width="12.5546875" style="92" customWidth="1"/>
    <col min="4105" max="4105" width="21.33203125" style="92" customWidth="1"/>
    <col min="4106" max="4106" width="12.5546875" style="92" customWidth="1"/>
    <col min="4107" max="4107" width="23.33203125" style="92" bestFit="1" customWidth="1"/>
    <col min="4108" max="4108" width="31" style="92" customWidth="1"/>
    <col min="4109" max="4352" width="12.5546875" style="92" customWidth="1"/>
    <col min="4353" max="4353" width="37.88671875" style="92" bestFit="1" customWidth="1"/>
    <col min="4354" max="4354" width="17.5546875" style="92" customWidth="1"/>
    <col min="4355" max="4355" width="21.5546875" style="92" bestFit="1" customWidth="1"/>
    <col min="4356" max="4356" width="39.5546875" style="92" bestFit="1" customWidth="1"/>
    <col min="4357" max="4357" width="28.109375" style="92" bestFit="1" customWidth="1"/>
    <col min="4358" max="4358" width="16.6640625" style="92" customWidth="1"/>
    <col min="4359" max="4359" width="13.88671875" style="92" customWidth="1"/>
    <col min="4360" max="4360" width="12.5546875" style="92" customWidth="1"/>
    <col min="4361" max="4361" width="21.33203125" style="92" customWidth="1"/>
    <col min="4362" max="4362" width="12.5546875" style="92" customWidth="1"/>
    <col min="4363" max="4363" width="23.33203125" style="92" bestFit="1" customWidth="1"/>
    <col min="4364" max="4364" width="31" style="92" customWidth="1"/>
    <col min="4365" max="4608" width="12.5546875" style="92" customWidth="1"/>
    <col min="4609" max="4609" width="37.88671875" style="92" bestFit="1" customWidth="1"/>
    <col min="4610" max="4610" width="17.5546875" style="92" customWidth="1"/>
    <col min="4611" max="4611" width="21.5546875" style="92" bestFit="1" customWidth="1"/>
    <col min="4612" max="4612" width="39.5546875" style="92" bestFit="1" customWidth="1"/>
    <col min="4613" max="4613" width="28.109375" style="92" bestFit="1" customWidth="1"/>
    <col min="4614" max="4614" width="16.6640625" style="92" customWidth="1"/>
    <col min="4615" max="4615" width="13.88671875" style="92" customWidth="1"/>
    <col min="4616" max="4616" width="12.5546875" style="92" customWidth="1"/>
    <col min="4617" max="4617" width="21.33203125" style="92" customWidth="1"/>
    <col min="4618" max="4618" width="12.5546875" style="92" customWidth="1"/>
    <col min="4619" max="4619" width="23.33203125" style="92" bestFit="1" customWidth="1"/>
    <col min="4620" max="4620" width="31" style="92" customWidth="1"/>
    <col min="4621" max="4864" width="12.5546875" style="92" customWidth="1"/>
    <col min="4865" max="4865" width="37.88671875" style="92" bestFit="1" customWidth="1"/>
    <col min="4866" max="4866" width="17.5546875" style="92" customWidth="1"/>
    <col min="4867" max="4867" width="21.5546875" style="92" bestFit="1" customWidth="1"/>
    <col min="4868" max="4868" width="39.5546875" style="92" bestFit="1" customWidth="1"/>
    <col min="4869" max="4869" width="28.109375" style="92" bestFit="1" customWidth="1"/>
    <col min="4870" max="4870" width="16.6640625" style="92" customWidth="1"/>
    <col min="4871" max="4871" width="13.88671875" style="92" customWidth="1"/>
    <col min="4872" max="4872" width="12.5546875" style="92" customWidth="1"/>
    <col min="4873" max="4873" width="21.33203125" style="92" customWidth="1"/>
    <col min="4874" max="4874" width="12.5546875" style="92" customWidth="1"/>
    <col min="4875" max="4875" width="23.33203125" style="92" bestFit="1" customWidth="1"/>
    <col min="4876" max="4876" width="31" style="92" customWidth="1"/>
    <col min="4877" max="5120" width="12.5546875" style="92" customWidth="1"/>
    <col min="5121" max="5121" width="37.88671875" style="92" bestFit="1" customWidth="1"/>
    <col min="5122" max="5122" width="17.5546875" style="92" customWidth="1"/>
    <col min="5123" max="5123" width="21.5546875" style="92" bestFit="1" customWidth="1"/>
    <col min="5124" max="5124" width="39.5546875" style="92" bestFit="1" customWidth="1"/>
    <col min="5125" max="5125" width="28.109375" style="92" bestFit="1" customWidth="1"/>
    <col min="5126" max="5126" width="16.6640625" style="92" customWidth="1"/>
    <col min="5127" max="5127" width="13.88671875" style="92" customWidth="1"/>
    <col min="5128" max="5128" width="12.5546875" style="92" customWidth="1"/>
    <col min="5129" max="5129" width="21.33203125" style="92" customWidth="1"/>
    <col min="5130" max="5130" width="12.5546875" style="92" customWidth="1"/>
    <col min="5131" max="5131" width="23.33203125" style="92" bestFit="1" customWidth="1"/>
    <col min="5132" max="5132" width="31" style="92" customWidth="1"/>
    <col min="5133" max="5376" width="12.5546875" style="92" customWidth="1"/>
    <col min="5377" max="5377" width="37.88671875" style="92" bestFit="1" customWidth="1"/>
    <col min="5378" max="5378" width="17.5546875" style="92" customWidth="1"/>
    <col min="5379" max="5379" width="21.5546875" style="92" bestFit="1" customWidth="1"/>
    <col min="5380" max="5380" width="39.5546875" style="92" bestFit="1" customWidth="1"/>
    <col min="5381" max="5381" width="28.109375" style="92" bestFit="1" customWidth="1"/>
    <col min="5382" max="5382" width="16.6640625" style="92" customWidth="1"/>
    <col min="5383" max="5383" width="13.88671875" style="92" customWidth="1"/>
    <col min="5384" max="5384" width="12.5546875" style="92" customWidth="1"/>
    <col min="5385" max="5385" width="21.33203125" style="92" customWidth="1"/>
    <col min="5386" max="5386" width="12.5546875" style="92" customWidth="1"/>
    <col min="5387" max="5387" width="23.33203125" style="92" bestFit="1" customWidth="1"/>
    <col min="5388" max="5388" width="31" style="92" customWidth="1"/>
    <col min="5389" max="5632" width="12.5546875" style="92" customWidth="1"/>
    <col min="5633" max="5633" width="37.88671875" style="92" bestFit="1" customWidth="1"/>
    <col min="5634" max="5634" width="17.5546875" style="92" customWidth="1"/>
    <col min="5635" max="5635" width="21.5546875" style="92" bestFit="1" customWidth="1"/>
    <col min="5636" max="5636" width="39.5546875" style="92" bestFit="1" customWidth="1"/>
    <col min="5637" max="5637" width="28.109375" style="92" bestFit="1" customWidth="1"/>
    <col min="5638" max="5638" width="16.6640625" style="92" customWidth="1"/>
    <col min="5639" max="5639" width="13.88671875" style="92" customWidth="1"/>
    <col min="5640" max="5640" width="12.5546875" style="92" customWidth="1"/>
    <col min="5641" max="5641" width="21.33203125" style="92" customWidth="1"/>
    <col min="5642" max="5642" width="12.5546875" style="92" customWidth="1"/>
    <col min="5643" max="5643" width="23.33203125" style="92" bestFit="1" customWidth="1"/>
    <col min="5644" max="5644" width="31" style="92" customWidth="1"/>
    <col min="5645" max="5888" width="12.5546875" style="92" customWidth="1"/>
    <col min="5889" max="5889" width="37.88671875" style="92" bestFit="1" customWidth="1"/>
    <col min="5890" max="5890" width="17.5546875" style="92" customWidth="1"/>
    <col min="5891" max="5891" width="21.5546875" style="92" bestFit="1" customWidth="1"/>
    <col min="5892" max="5892" width="39.5546875" style="92" bestFit="1" customWidth="1"/>
    <col min="5893" max="5893" width="28.109375" style="92" bestFit="1" customWidth="1"/>
    <col min="5894" max="5894" width="16.6640625" style="92" customWidth="1"/>
    <col min="5895" max="5895" width="13.88671875" style="92" customWidth="1"/>
    <col min="5896" max="5896" width="12.5546875" style="92" customWidth="1"/>
    <col min="5897" max="5897" width="21.33203125" style="92" customWidth="1"/>
    <col min="5898" max="5898" width="12.5546875" style="92" customWidth="1"/>
    <col min="5899" max="5899" width="23.33203125" style="92" bestFit="1" customWidth="1"/>
    <col min="5900" max="5900" width="31" style="92" customWidth="1"/>
    <col min="5901" max="6144" width="12.5546875" style="92" customWidth="1"/>
    <col min="6145" max="6145" width="37.88671875" style="92" bestFit="1" customWidth="1"/>
    <col min="6146" max="6146" width="17.5546875" style="92" customWidth="1"/>
    <col min="6147" max="6147" width="21.5546875" style="92" bestFit="1" customWidth="1"/>
    <col min="6148" max="6148" width="39.5546875" style="92" bestFit="1" customWidth="1"/>
    <col min="6149" max="6149" width="28.109375" style="92" bestFit="1" customWidth="1"/>
    <col min="6150" max="6150" width="16.6640625" style="92" customWidth="1"/>
    <col min="6151" max="6151" width="13.88671875" style="92" customWidth="1"/>
    <col min="6152" max="6152" width="12.5546875" style="92" customWidth="1"/>
    <col min="6153" max="6153" width="21.33203125" style="92" customWidth="1"/>
    <col min="6154" max="6154" width="12.5546875" style="92" customWidth="1"/>
    <col min="6155" max="6155" width="23.33203125" style="92" bestFit="1" customWidth="1"/>
    <col min="6156" max="6156" width="31" style="92" customWidth="1"/>
    <col min="6157" max="6400" width="12.5546875" style="92" customWidth="1"/>
    <col min="6401" max="6401" width="37.88671875" style="92" bestFit="1" customWidth="1"/>
    <col min="6402" max="6402" width="17.5546875" style="92" customWidth="1"/>
    <col min="6403" max="6403" width="21.5546875" style="92" bestFit="1" customWidth="1"/>
    <col min="6404" max="6404" width="39.5546875" style="92" bestFit="1" customWidth="1"/>
    <col min="6405" max="6405" width="28.109375" style="92" bestFit="1" customWidth="1"/>
    <col min="6406" max="6406" width="16.6640625" style="92" customWidth="1"/>
    <col min="6407" max="6407" width="13.88671875" style="92" customWidth="1"/>
    <col min="6408" max="6408" width="12.5546875" style="92" customWidth="1"/>
    <col min="6409" max="6409" width="21.33203125" style="92" customWidth="1"/>
    <col min="6410" max="6410" width="12.5546875" style="92" customWidth="1"/>
    <col min="6411" max="6411" width="23.33203125" style="92" bestFit="1" customWidth="1"/>
    <col min="6412" max="6412" width="31" style="92" customWidth="1"/>
    <col min="6413" max="6656" width="12.5546875" style="92" customWidth="1"/>
    <col min="6657" max="6657" width="37.88671875" style="92" bestFit="1" customWidth="1"/>
    <col min="6658" max="6658" width="17.5546875" style="92" customWidth="1"/>
    <col min="6659" max="6659" width="21.5546875" style="92" bestFit="1" customWidth="1"/>
    <col min="6660" max="6660" width="39.5546875" style="92" bestFit="1" customWidth="1"/>
    <col min="6661" max="6661" width="28.109375" style="92" bestFit="1" customWidth="1"/>
    <col min="6662" max="6662" width="16.6640625" style="92" customWidth="1"/>
    <col min="6663" max="6663" width="13.88671875" style="92" customWidth="1"/>
    <col min="6664" max="6664" width="12.5546875" style="92" customWidth="1"/>
    <col min="6665" max="6665" width="21.33203125" style="92" customWidth="1"/>
    <col min="6666" max="6666" width="12.5546875" style="92" customWidth="1"/>
    <col min="6667" max="6667" width="23.33203125" style="92" bestFit="1" customWidth="1"/>
    <col min="6668" max="6668" width="31" style="92" customWidth="1"/>
    <col min="6669" max="6912" width="12.5546875" style="92" customWidth="1"/>
    <col min="6913" max="6913" width="37.88671875" style="92" bestFit="1" customWidth="1"/>
    <col min="6914" max="6914" width="17.5546875" style="92" customWidth="1"/>
    <col min="6915" max="6915" width="21.5546875" style="92" bestFit="1" customWidth="1"/>
    <col min="6916" max="6916" width="39.5546875" style="92" bestFit="1" customWidth="1"/>
    <col min="6917" max="6917" width="28.109375" style="92" bestFit="1" customWidth="1"/>
    <col min="6918" max="6918" width="16.6640625" style="92" customWidth="1"/>
    <col min="6919" max="6919" width="13.88671875" style="92" customWidth="1"/>
    <col min="6920" max="6920" width="12.5546875" style="92" customWidth="1"/>
    <col min="6921" max="6921" width="21.33203125" style="92" customWidth="1"/>
    <col min="6922" max="6922" width="12.5546875" style="92" customWidth="1"/>
    <col min="6923" max="6923" width="23.33203125" style="92" bestFit="1" customWidth="1"/>
    <col min="6924" max="6924" width="31" style="92" customWidth="1"/>
    <col min="6925" max="7168" width="12.5546875" style="92" customWidth="1"/>
    <col min="7169" max="7169" width="37.88671875" style="92" bestFit="1" customWidth="1"/>
    <col min="7170" max="7170" width="17.5546875" style="92" customWidth="1"/>
    <col min="7171" max="7171" width="21.5546875" style="92" bestFit="1" customWidth="1"/>
    <col min="7172" max="7172" width="39.5546875" style="92" bestFit="1" customWidth="1"/>
    <col min="7173" max="7173" width="28.109375" style="92" bestFit="1" customWidth="1"/>
    <col min="7174" max="7174" width="16.6640625" style="92" customWidth="1"/>
    <col min="7175" max="7175" width="13.88671875" style="92" customWidth="1"/>
    <col min="7176" max="7176" width="12.5546875" style="92" customWidth="1"/>
    <col min="7177" max="7177" width="21.33203125" style="92" customWidth="1"/>
    <col min="7178" max="7178" width="12.5546875" style="92" customWidth="1"/>
    <col min="7179" max="7179" width="23.33203125" style="92" bestFit="1" customWidth="1"/>
    <col min="7180" max="7180" width="31" style="92" customWidth="1"/>
    <col min="7181" max="7424" width="12.5546875" style="92" customWidth="1"/>
    <col min="7425" max="7425" width="37.88671875" style="92" bestFit="1" customWidth="1"/>
    <col min="7426" max="7426" width="17.5546875" style="92" customWidth="1"/>
    <col min="7427" max="7427" width="21.5546875" style="92" bestFit="1" customWidth="1"/>
    <col min="7428" max="7428" width="39.5546875" style="92" bestFit="1" customWidth="1"/>
    <col min="7429" max="7429" width="28.109375" style="92" bestFit="1" customWidth="1"/>
    <col min="7430" max="7430" width="16.6640625" style="92" customWidth="1"/>
    <col min="7431" max="7431" width="13.88671875" style="92" customWidth="1"/>
    <col min="7432" max="7432" width="12.5546875" style="92" customWidth="1"/>
    <col min="7433" max="7433" width="21.33203125" style="92" customWidth="1"/>
    <col min="7434" max="7434" width="12.5546875" style="92" customWidth="1"/>
    <col min="7435" max="7435" width="23.33203125" style="92" bestFit="1" customWidth="1"/>
    <col min="7436" max="7436" width="31" style="92" customWidth="1"/>
    <col min="7437" max="7680" width="12.5546875" style="92" customWidth="1"/>
    <col min="7681" max="7681" width="37.88671875" style="92" bestFit="1" customWidth="1"/>
    <col min="7682" max="7682" width="17.5546875" style="92" customWidth="1"/>
    <col min="7683" max="7683" width="21.5546875" style="92" bestFit="1" customWidth="1"/>
    <col min="7684" max="7684" width="39.5546875" style="92" bestFit="1" customWidth="1"/>
    <col min="7685" max="7685" width="28.109375" style="92" bestFit="1" customWidth="1"/>
    <col min="7686" max="7686" width="16.6640625" style="92" customWidth="1"/>
    <col min="7687" max="7687" width="13.88671875" style="92" customWidth="1"/>
    <col min="7688" max="7688" width="12.5546875" style="92" customWidth="1"/>
    <col min="7689" max="7689" width="21.33203125" style="92" customWidth="1"/>
    <col min="7690" max="7690" width="12.5546875" style="92" customWidth="1"/>
    <col min="7691" max="7691" width="23.33203125" style="92" bestFit="1" customWidth="1"/>
    <col min="7692" max="7692" width="31" style="92" customWidth="1"/>
    <col min="7693" max="7936" width="12.5546875" style="92" customWidth="1"/>
    <col min="7937" max="7937" width="37.88671875" style="92" bestFit="1" customWidth="1"/>
    <col min="7938" max="7938" width="17.5546875" style="92" customWidth="1"/>
    <col min="7939" max="7939" width="21.5546875" style="92" bestFit="1" customWidth="1"/>
    <col min="7940" max="7940" width="39.5546875" style="92" bestFit="1" customWidth="1"/>
    <col min="7941" max="7941" width="28.109375" style="92" bestFit="1" customWidth="1"/>
    <col min="7942" max="7942" width="16.6640625" style="92" customWidth="1"/>
    <col min="7943" max="7943" width="13.88671875" style="92" customWidth="1"/>
    <col min="7944" max="7944" width="12.5546875" style="92" customWidth="1"/>
    <col min="7945" max="7945" width="21.33203125" style="92" customWidth="1"/>
    <col min="7946" max="7946" width="12.5546875" style="92" customWidth="1"/>
    <col min="7947" max="7947" width="23.33203125" style="92" bestFit="1" customWidth="1"/>
    <col min="7948" max="7948" width="31" style="92" customWidth="1"/>
    <col min="7949" max="8192" width="12.5546875" style="92" customWidth="1"/>
    <col min="8193" max="8193" width="37.88671875" style="92" bestFit="1" customWidth="1"/>
    <col min="8194" max="8194" width="17.5546875" style="92" customWidth="1"/>
    <col min="8195" max="8195" width="21.5546875" style="92" bestFit="1" customWidth="1"/>
    <col min="8196" max="8196" width="39.5546875" style="92" bestFit="1" customWidth="1"/>
    <col min="8197" max="8197" width="28.109375" style="92" bestFit="1" customWidth="1"/>
    <col min="8198" max="8198" width="16.6640625" style="92" customWidth="1"/>
    <col min="8199" max="8199" width="13.88671875" style="92" customWidth="1"/>
    <col min="8200" max="8200" width="12.5546875" style="92" customWidth="1"/>
    <col min="8201" max="8201" width="21.33203125" style="92" customWidth="1"/>
    <col min="8202" max="8202" width="12.5546875" style="92" customWidth="1"/>
    <col min="8203" max="8203" width="23.33203125" style="92" bestFit="1" customWidth="1"/>
    <col min="8204" max="8204" width="31" style="92" customWidth="1"/>
    <col min="8205" max="8448" width="12.5546875" style="92" customWidth="1"/>
    <col min="8449" max="8449" width="37.88671875" style="92" bestFit="1" customWidth="1"/>
    <col min="8450" max="8450" width="17.5546875" style="92" customWidth="1"/>
    <col min="8451" max="8451" width="21.5546875" style="92" bestFit="1" customWidth="1"/>
    <col min="8452" max="8452" width="39.5546875" style="92" bestFit="1" customWidth="1"/>
    <col min="8453" max="8453" width="28.109375" style="92" bestFit="1" customWidth="1"/>
    <col min="8454" max="8454" width="16.6640625" style="92" customWidth="1"/>
    <col min="8455" max="8455" width="13.88671875" style="92" customWidth="1"/>
    <col min="8456" max="8456" width="12.5546875" style="92" customWidth="1"/>
    <col min="8457" max="8457" width="21.33203125" style="92" customWidth="1"/>
    <col min="8458" max="8458" width="12.5546875" style="92" customWidth="1"/>
    <col min="8459" max="8459" width="23.33203125" style="92" bestFit="1" customWidth="1"/>
    <col min="8460" max="8460" width="31" style="92" customWidth="1"/>
    <col min="8461" max="8704" width="12.5546875" style="92" customWidth="1"/>
    <col min="8705" max="8705" width="37.88671875" style="92" bestFit="1" customWidth="1"/>
    <col min="8706" max="8706" width="17.5546875" style="92" customWidth="1"/>
    <col min="8707" max="8707" width="21.5546875" style="92" bestFit="1" customWidth="1"/>
    <col min="8708" max="8708" width="39.5546875" style="92" bestFit="1" customWidth="1"/>
    <col min="8709" max="8709" width="28.109375" style="92" bestFit="1" customWidth="1"/>
    <col min="8710" max="8710" width="16.6640625" style="92" customWidth="1"/>
    <col min="8711" max="8711" width="13.88671875" style="92" customWidth="1"/>
    <col min="8712" max="8712" width="12.5546875" style="92" customWidth="1"/>
    <col min="8713" max="8713" width="21.33203125" style="92" customWidth="1"/>
    <col min="8714" max="8714" width="12.5546875" style="92" customWidth="1"/>
    <col min="8715" max="8715" width="23.33203125" style="92" bestFit="1" customWidth="1"/>
    <col min="8716" max="8716" width="31" style="92" customWidth="1"/>
    <col min="8717" max="8960" width="12.5546875" style="92" customWidth="1"/>
    <col min="8961" max="8961" width="37.88671875" style="92" bestFit="1" customWidth="1"/>
    <col min="8962" max="8962" width="17.5546875" style="92" customWidth="1"/>
    <col min="8963" max="8963" width="21.5546875" style="92" bestFit="1" customWidth="1"/>
    <col min="8964" max="8964" width="39.5546875" style="92" bestFit="1" customWidth="1"/>
    <col min="8965" max="8965" width="28.109375" style="92" bestFit="1" customWidth="1"/>
    <col min="8966" max="8966" width="16.6640625" style="92" customWidth="1"/>
    <col min="8967" max="8967" width="13.88671875" style="92" customWidth="1"/>
    <col min="8968" max="8968" width="12.5546875" style="92" customWidth="1"/>
    <col min="8969" max="8969" width="21.33203125" style="92" customWidth="1"/>
    <col min="8970" max="8970" width="12.5546875" style="92" customWidth="1"/>
    <col min="8971" max="8971" width="23.33203125" style="92" bestFit="1" customWidth="1"/>
    <col min="8972" max="8972" width="31" style="92" customWidth="1"/>
    <col min="8973" max="9216" width="12.5546875" style="92" customWidth="1"/>
    <col min="9217" max="9217" width="37.88671875" style="92" bestFit="1" customWidth="1"/>
    <col min="9218" max="9218" width="17.5546875" style="92" customWidth="1"/>
    <col min="9219" max="9219" width="21.5546875" style="92" bestFit="1" customWidth="1"/>
    <col min="9220" max="9220" width="39.5546875" style="92" bestFit="1" customWidth="1"/>
    <col min="9221" max="9221" width="28.109375" style="92" bestFit="1" customWidth="1"/>
    <col min="9222" max="9222" width="16.6640625" style="92" customWidth="1"/>
    <col min="9223" max="9223" width="13.88671875" style="92" customWidth="1"/>
    <col min="9224" max="9224" width="12.5546875" style="92" customWidth="1"/>
    <col min="9225" max="9225" width="21.33203125" style="92" customWidth="1"/>
    <col min="9226" max="9226" width="12.5546875" style="92" customWidth="1"/>
    <col min="9227" max="9227" width="23.33203125" style="92" bestFit="1" customWidth="1"/>
    <col min="9228" max="9228" width="31" style="92" customWidth="1"/>
    <col min="9229" max="9472" width="12.5546875" style="92" customWidth="1"/>
    <col min="9473" max="9473" width="37.88671875" style="92" bestFit="1" customWidth="1"/>
    <col min="9474" max="9474" width="17.5546875" style="92" customWidth="1"/>
    <col min="9475" max="9475" width="21.5546875" style="92" bestFit="1" customWidth="1"/>
    <col min="9476" max="9476" width="39.5546875" style="92" bestFit="1" customWidth="1"/>
    <col min="9477" max="9477" width="28.109375" style="92" bestFit="1" customWidth="1"/>
    <col min="9478" max="9478" width="16.6640625" style="92" customWidth="1"/>
    <col min="9479" max="9479" width="13.88671875" style="92" customWidth="1"/>
    <col min="9480" max="9480" width="12.5546875" style="92" customWidth="1"/>
    <col min="9481" max="9481" width="21.33203125" style="92" customWidth="1"/>
    <col min="9482" max="9482" width="12.5546875" style="92" customWidth="1"/>
    <col min="9483" max="9483" width="23.33203125" style="92" bestFit="1" customWidth="1"/>
    <col min="9484" max="9484" width="31" style="92" customWidth="1"/>
    <col min="9485" max="9728" width="12.5546875" style="92" customWidth="1"/>
    <col min="9729" max="9729" width="37.88671875" style="92" bestFit="1" customWidth="1"/>
    <col min="9730" max="9730" width="17.5546875" style="92" customWidth="1"/>
    <col min="9731" max="9731" width="21.5546875" style="92" bestFit="1" customWidth="1"/>
    <col min="9732" max="9732" width="39.5546875" style="92" bestFit="1" customWidth="1"/>
    <col min="9733" max="9733" width="28.109375" style="92" bestFit="1" customWidth="1"/>
    <col min="9734" max="9734" width="16.6640625" style="92" customWidth="1"/>
    <col min="9735" max="9735" width="13.88671875" style="92" customWidth="1"/>
    <col min="9736" max="9736" width="12.5546875" style="92" customWidth="1"/>
    <col min="9737" max="9737" width="21.33203125" style="92" customWidth="1"/>
    <col min="9738" max="9738" width="12.5546875" style="92" customWidth="1"/>
    <col min="9739" max="9739" width="23.33203125" style="92" bestFit="1" customWidth="1"/>
    <col min="9740" max="9740" width="31" style="92" customWidth="1"/>
    <col min="9741" max="9984" width="12.5546875" style="92" customWidth="1"/>
    <col min="9985" max="9985" width="37.88671875" style="92" bestFit="1" customWidth="1"/>
    <col min="9986" max="9986" width="17.5546875" style="92" customWidth="1"/>
    <col min="9987" max="9987" width="21.5546875" style="92" bestFit="1" customWidth="1"/>
    <col min="9988" max="9988" width="39.5546875" style="92" bestFit="1" customWidth="1"/>
    <col min="9989" max="9989" width="28.109375" style="92" bestFit="1" customWidth="1"/>
    <col min="9990" max="9990" width="16.6640625" style="92" customWidth="1"/>
    <col min="9991" max="9991" width="13.88671875" style="92" customWidth="1"/>
    <col min="9992" max="9992" width="12.5546875" style="92" customWidth="1"/>
    <col min="9993" max="9993" width="21.33203125" style="92" customWidth="1"/>
    <col min="9994" max="9994" width="12.5546875" style="92" customWidth="1"/>
    <col min="9995" max="9995" width="23.33203125" style="92" bestFit="1" customWidth="1"/>
    <col min="9996" max="9996" width="31" style="92" customWidth="1"/>
    <col min="9997" max="10240" width="12.5546875" style="92" customWidth="1"/>
    <col min="10241" max="10241" width="37.88671875" style="92" bestFit="1" customWidth="1"/>
    <col min="10242" max="10242" width="17.5546875" style="92" customWidth="1"/>
    <col min="10243" max="10243" width="21.5546875" style="92" bestFit="1" customWidth="1"/>
    <col min="10244" max="10244" width="39.5546875" style="92" bestFit="1" customWidth="1"/>
    <col min="10245" max="10245" width="28.109375" style="92" bestFit="1" customWidth="1"/>
    <col min="10246" max="10246" width="16.6640625" style="92" customWidth="1"/>
    <col min="10247" max="10247" width="13.88671875" style="92" customWidth="1"/>
    <col min="10248" max="10248" width="12.5546875" style="92" customWidth="1"/>
    <col min="10249" max="10249" width="21.33203125" style="92" customWidth="1"/>
    <col min="10250" max="10250" width="12.5546875" style="92" customWidth="1"/>
    <col min="10251" max="10251" width="23.33203125" style="92" bestFit="1" customWidth="1"/>
    <col min="10252" max="10252" width="31" style="92" customWidth="1"/>
    <col min="10253" max="10496" width="12.5546875" style="92" customWidth="1"/>
    <col min="10497" max="10497" width="37.88671875" style="92" bestFit="1" customWidth="1"/>
    <col min="10498" max="10498" width="17.5546875" style="92" customWidth="1"/>
    <col min="10499" max="10499" width="21.5546875" style="92" bestFit="1" customWidth="1"/>
    <col min="10500" max="10500" width="39.5546875" style="92" bestFit="1" customWidth="1"/>
    <col min="10501" max="10501" width="28.109375" style="92" bestFit="1" customWidth="1"/>
    <col min="10502" max="10502" width="16.6640625" style="92" customWidth="1"/>
    <col min="10503" max="10503" width="13.88671875" style="92" customWidth="1"/>
    <col min="10504" max="10504" width="12.5546875" style="92" customWidth="1"/>
    <col min="10505" max="10505" width="21.33203125" style="92" customWidth="1"/>
    <col min="10506" max="10506" width="12.5546875" style="92" customWidth="1"/>
    <col min="10507" max="10507" width="23.33203125" style="92" bestFit="1" customWidth="1"/>
    <col min="10508" max="10508" width="31" style="92" customWidth="1"/>
    <col min="10509" max="10752" width="12.5546875" style="92" customWidth="1"/>
    <col min="10753" max="10753" width="37.88671875" style="92" bestFit="1" customWidth="1"/>
    <col min="10754" max="10754" width="17.5546875" style="92" customWidth="1"/>
    <col min="10755" max="10755" width="21.5546875" style="92" bestFit="1" customWidth="1"/>
    <col min="10756" max="10756" width="39.5546875" style="92" bestFit="1" customWidth="1"/>
    <col min="10757" max="10757" width="28.109375" style="92" bestFit="1" customWidth="1"/>
    <col min="10758" max="10758" width="16.6640625" style="92" customWidth="1"/>
    <col min="10759" max="10759" width="13.88671875" style="92" customWidth="1"/>
    <col min="10760" max="10760" width="12.5546875" style="92" customWidth="1"/>
    <col min="10761" max="10761" width="21.33203125" style="92" customWidth="1"/>
    <col min="10762" max="10762" width="12.5546875" style="92" customWidth="1"/>
    <col min="10763" max="10763" width="23.33203125" style="92" bestFit="1" customWidth="1"/>
    <col min="10764" max="10764" width="31" style="92" customWidth="1"/>
    <col min="10765" max="11008" width="12.5546875" style="92" customWidth="1"/>
    <col min="11009" max="11009" width="37.88671875" style="92" bestFit="1" customWidth="1"/>
    <col min="11010" max="11010" width="17.5546875" style="92" customWidth="1"/>
    <col min="11011" max="11011" width="21.5546875" style="92" bestFit="1" customWidth="1"/>
    <col min="11012" max="11012" width="39.5546875" style="92" bestFit="1" customWidth="1"/>
    <col min="11013" max="11013" width="28.109375" style="92" bestFit="1" customWidth="1"/>
    <col min="11014" max="11014" width="16.6640625" style="92" customWidth="1"/>
    <col min="11015" max="11015" width="13.88671875" style="92" customWidth="1"/>
    <col min="11016" max="11016" width="12.5546875" style="92" customWidth="1"/>
    <col min="11017" max="11017" width="21.33203125" style="92" customWidth="1"/>
    <col min="11018" max="11018" width="12.5546875" style="92" customWidth="1"/>
    <col min="11019" max="11019" width="23.33203125" style="92" bestFit="1" customWidth="1"/>
    <col min="11020" max="11020" width="31" style="92" customWidth="1"/>
    <col min="11021" max="11264" width="12.5546875" style="92" customWidth="1"/>
    <col min="11265" max="11265" width="37.88671875" style="92" bestFit="1" customWidth="1"/>
    <col min="11266" max="11266" width="17.5546875" style="92" customWidth="1"/>
    <col min="11267" max="11267" width="21.5546875" style="92" bestFit="1" customWidth="1"/>
    <col min="11268" max="11268" width="39.5546875" style="92" bestFit="1" customWidth="1"/>
    <col min="11269" max="11269" width="28.109375" style="92" bestFit="1" customWidth="1"/>
    <col min="11270" max="11270" width="16.6640625" style="92" customWidth="1"/>
    <col min="11271" max="11271" width="13.88671875" style="92" customWidth="1"/>
    <col min="11272" max="11272" width="12.5546875" style="92" customWidth="1"/>
    <col min="11273" max="11273" width="21.33203125" style="92" customWidth="1"/>
    <col min="11274" max="11274" width="12.5546875" style="92" customWidth="1"/>
    <col min="11275" max="11275" width="23.33203125" style="92" bestFit="1" customWidth="1"/>
    <col min="11276" max="11276" width="31" style="92" customWidth="1"/>
    <col min="11277" max="11520" width="12.5546875" style="92" customWidth="1"/>
    <col min="11521" max="11521" width="37.88671875" style="92" bestFit="1" customWidth="1"/>
    <col min="11522" max="11522" width="17.5546875" style="92" customWidth="1"/>
    <col min="11523" max="11523" width="21.5546875" style="92" bestFit="1" customWidth="1"/>
    <col min="11524" max="11524" width="39.5546875" style="92" bestFit="1" customWidth="1"/>
    <col min="11525" max="11525" width="28.109375" style="92" bestFit="1" customWidth="1"/>
    <col min="11526" max="11526" width="16.6640625" style="92" customWidth="1"/>
    <col min="11527" max="11527" width="13.88671875" style="92" customWidth="1"/>
    <col min="11528" max="11528" width="12.5546875" style="92" customWidth="1"/>
    <col min="11529" max="11529" width="21.33203125" style="92" customWidth="1"/>
    <col min="11530" max="11530" width="12.5546875" style="92" customWidth="1"/>
    <col min="11531" max="11531" width="23.33203125" style="92" bestFit="1" customWidth="1"/>
    <col min="11532" max="11532" width="31" style="92" customWidth="1"/>
    <col min="11533" max="11776" width="12.5546875" style="92" customWidth="1"/>
    <col min="11777" max="11777" width="37.88671875" style="92" bestFit="1" customWidth="1"/>
    <col min="11778" max="11778" width="17.5546875" style="92" customWidth="1"/>
    <col min="11779" max="11779" width="21.5546875" style="92" bestFit="1" customWidth="1"/>
    <col min="11780" max="11780" width="39.5546875" style="92" bestFit="1" customWidth="1"/>
    <col min="11781" max="11781" width="28.109375" style="92" bestFit="1" customWidth="1"/>
    <col min="11782" max="11782" width="16.6640625" style="92" customWidth="1"/>
    <col min="11783" max="11783" width="13.88671875" style="92" customWidth="1"/>
    <col min="11784" max="11784" width="12.5546875" style="92" customWidth="1"/>
    <col min="11785" max="11785" width="21.33203125" style="92" customWidth="1"/>
    <col min="11786" max="11786" width="12.5546875" style="92" customWidth="1"/>
    <col min="11787" max="11787" width="23.33203125" style="92" bestFit="1" customWidth="1"/>
    <col min="11788" max="11788" width="31" style="92" customWidth="1"/>
    <col min="11789" max="12032" width="12.5546875" style="92" customWidth="1"/>
    <col min="12033" max="12033" width="37.88671875" style="92" bestFit="1" customWidth="1"/>
    <col min="12034" max="12034" width="17.5546875" style="92" customWidth="1"/>
    <col min="12035" max="12035" width="21.5546875" style="92" bestFit="1" customWidth="1"/>
    <col min="12036" max="12036" width="39.5546875" style="92" bestFit="1" customWidth="1"/>
    <col min="12037" max="12037" width="28.109375" style="92" bestFit="1" customWidth="1"/>
    <col min="12038" max="12038" width="16.6640625" style="92" customWidth="1"/>
    <col min="12039" max="12039" width="13.88671875" style="92" customWidth="1"/>
    <col min="12040" max="12040" width="12.5546875" style="92" customWidth="1"/>
    <col min="12041" max="12041" width="21.33203125" style="92" customWidth="1"/>
    <col min="12042" max="12042" width="12.5546875" style="92" customWidth="1"/>
    <col min="12043" max="12043" width="23.33203125" style="92" bestFit="1" customWidth="1"/>
    <col min="12044" max="12044" width="31" style="92" customWidth="1"/>
    <col min="12045" max="12288" width="12.5546875" style="92" customWidth="1"/>
    <col min="12289" max="12289" width="37.88671875" style="92" bestFit="1" customWidth="1"/>
    <col min="12290" max="12290" width="17.5546875" style="92" customWidth="1"/>
    <col min="12291" max="12291" width="21.5546875" style="92" bestFit="1" customWidth="1"/>
    <col min="12292" max="12292" width="39.5546875" style="92" bestFit="1" customWidth="1"/>
    <col min="12293" max="12293" width="28.109375" style="92" bestFit="1" customWidth="1"/>
    <col min="12294" max="12294" width="16.6640625" style="92" customWidth="1"/>
    <col min="12295" max="12295" width="13.88671875" style="92" customWidth="1"/>
    <col min="12296" max="12296" width="12.5546875" style="92" customWidth="1"/>
    <col min="12297" max="12297" width="21.33203125" style="92" customWidth="1"/>
    <col min="12298" max="12298" width="12.5546875" style="92" customWidth="1"/>
    <col min="12299" max="12299" width="23.33203125" style="92" bestFit="1" customWidth="1"/>
    <col min="12300" max="12300" width="31" style="92" customWidth="1"/>
    <col min="12301" max="12544" width="12.5546875" style="92" customWidth="1"/>
    <col min="12545" max="12545" width="37.88671875" style="92" bestFit="1" customWidth="1"/>
    <col min="12546" max="12546" width="17.5546875" style="92" customWidth="1"/>
    <col min="12547" max="12547" width="21.5546875" style="92" bestFit="1" customWidth="1"/>
    <col min="12548" max="12548" width="39.5546875" style="92" bestFit="1" customWidth="1"/>
    <col min="12549" max="12549" width="28.109375" style="92" bestFit="1" customWidth="1"/>
    <col min="12550" max="12550" width="16.6640625" style="92" customWidth="1"/>
    <col min="12551" max="12551" width="13.88671875" style="92" customWidth="1"/>
    <col min="12552" max="12552" width="12.5546875" style="92" customWidth="1"/>
    <col min="12553" max="12553" width="21.33203125" style="92" customWidth="1"/>
    <col min="12554" max="12554" width="12.5546875" style="92" customWidth="1"/>
    <col min="12555" max="12555" width="23.33203125" style="92" bestFit="1" customWidth="1"/>
    <col min="12556" max="12556" width="31" style="92" customWidth="1"/>
    <col min="12557" max="12800" width="12.5546875" style="92" customWidth="1"/>
    <col min="12801" max="12801" width="37.88671875" style="92" bestFit="1" customWidth="1"/>
    <col min="12802" max="12802" width="17.5546875" style="92" customWidth="1"/>
    <col min="12803" max="12803" width="21.5546875" style="92" bestFit="1" customWidth="1"/>
    <col min="12804" max="12804" width="39.5546875" style="92" bestFit="1" customWidth="1"/>
    <col min="12805" max="12805" width="28.109375" style="92" bestFit="1" customWidth="1"/>
    <col min="12806" max="12806" width="16.6640625" style="92" customWidth="1"/>
    <col min="12807" max="12807" width="13.88671875" style="92" customWidth="1"/>
    <col min="12808" max="12808" width="12.5546875" style="92" customWidth="1"/>
    <col min="12809" max="12809" width="21.33203125" style="92" customWidth="1"/>
    <col min="12810" max="12810" width="12.5546875" style="92" customWidth="1"/>
    <col min="12811" max="12811" width="23.33203125" style="92" bestFit="1" customWidth="1"/>
    <col min="12812" max="12812" width="31" style="92" customWidth="1"/>
    <col min="12813" max="13056" width="12.5546875" style="92" customWidth="1"/>
    <col min="13057" max="13057" width="37.88671875" style="92" bestFit="1" customWidth="1"/>
    <col min="13058" max="13058" width="17.5546875" style="92" customWidth="1"/>
    <col min="13059" max="13059" width="21.5546875" style="92" bestFit="1" customWidth="1"/>
    <col min="13060" max="13060" width="39.5546875" style="92" bestFit="1" customWidth="1"/>
    <col min="13061" max="13061" width="28.109375" style="92" bestFit="1" customWidth="1"/>
    <col min="13062" max="13062" width="16.6640625" style="92" customWidth="1"/>
    <col min="13063" max="13063" width="13.88671875" style="92" customWidth="1"/>
    <col min="13064" max="13064" width="12.5546875" style="92" customWidth="1"/>
    <col min="13065" max="13065" width="21.33203125" style="92" customWidth="1"/>
    <col min="13066" max="13066" width="12.5546875" style="92" customWidth="1"/>
    <col min="13067" max="13067" width="23.33203125" style="92" bestFit="1" customWidth="1"/>
    <col min="13068" max="13068" width="31" style="92" customWidth="1"/>
    <col min="13069" max="13312" width="12.5546875" style="92" customWidth="1"/>
    <col min="13313" max="13313" width="37.88671875" style="92" bestFit="1" customWidth="1"/>
    <col min="13314" max="13314" width="17.5546875" style="92" customWidth="1"/>
    <col min="13315" max="13315" width="21.5546875" style="92" bestFit="1" customWidth="1"/>
    <col min="13316" max="13316" width="39.5546875" style="92" bestFit="1" customWidth="1"/>
    <col min="13317" max="13317" width="28.109375" style="92" bestFit="1" customWidth="1"/>
    <col min="13318" max="13318" width="16.6640625" style="92" customWidth="1"/>
    <col min="13319" max="13319" width="13.88671875" style="92" customWidth="1"/>
    <col min="13320" max="13320" width="12.5546875" style="92" customWidth="1"/>
    <col min="13321" max="13321" width="21.33203125" style="92" customWidth="1"/>
    <col min="13322" max="13322" width="12.5546875" style="92" customWidth="1"/>
    <col min="13323" max="13323" width="23.33203125" style="92" bestFit="1" customWidth="1"/>
    <col min="13324" max="13324" width="31" style="92" customWidth="1"/>
    <col min="13325" max="13568" width="12.5546875" style="92" customWidth="1"/>
    <col min="13569" max="13569" width="37.88671875" style="92" bestFit="1" customWidth="1"/>
    <col min="13570" max="13570" width="17.5546875" style="92" customWidth="1"/>
    <col min="13571" max="13571" width="21.5546875" style="92" bestFit="1" customWidth="1"/>
    <col min="13572" max="13572" width="39.5546875" style="92" bestFit="1" customWidth="1"/>
    <col min="13573" max="13573" width="28.109375" style="92" bestFit="1" customWidth="1"/>
    <col min="13574" max="13574" width="16.6640625" style="92" customWidth="1"/>
    <col min="13575" max="13575" width="13.88671875" style="92" customWidth="1"/>
    <col min="13576" max="13576" width="12.5546875" style="92" customWidth="1"/>
    <col min="13577" max="13577" width="21.33203125" style="92" customWidth="1"/>
    <col min="13578" max="13578" width="12.5546875" style="92" customWidth="1"/>
    <col min="13579" max="13579" width="23.33203125" style="92" bestFit="1" customWidth="1"/>
    <col min="13580" max="13580" width="31" style="92" customWidth="1"/>
    <col min="13581" max="13824" width="12.5546875" style="92" customWidth="1"/>
    <col min="13825" max="13825" width="37.88671875" style="92" bestFit="1" customWidth="1"/>
    <col min="13826" max="13826" width="17.5546875" style="92" customWidth="1"/>
    <col min="13827" max="13827" width="21.5546875" style="92" bestFit="1" customWidth="1"/>
    <col min="13828" max="13828" width="39.5546875" style="92" bestFit="1" customWidth="1"/>
    <col min="13829" max="13829" width="28.109375" style="92" bestFit="1" customWidth="1"/>
    <col min="13830" max="13830" width="16.6640625" style="92" customWidth="1"/>
    <col min="13831" max="13831" width="13.88671875" style="92" customWidth="1"/>
    <col min="13832" max="13832" width="12.5546875" style="92" customWidth="1"/>
    <col min="13833" max="13833" width="21.33203125" style="92" customWidth="1"/>
    <col min="13834" max="13834" width="12.5546875" style="92" customWidth="1"/>
    <col min="13835" max="13835" width="23.33203125" style="92" bestFit="1" customWidth="1"/>
    <col min="13836" max="13836" width="31" style="92" customWidth="1"/>
    <col min="13837" max="14080" width="12.5546875" style="92" customWidth="1"/>
    <col min="14081" max="14081" width="37.88671875" style="92" bestFit="1" customWidth="1"/>
    <col min="14082" max="14082" width="17.5546875" style="92" customWidth="1"/>
    <col min="14083" max="14083" width="21.5546875" style="92" bestFit="1" customWidth="1"/>
    <col min="14084" max="14084" width="39.5546875" style="92" bestFit="1" customWidth="1"/>
    <col min="14085" max="14085" width="28.109375" style="92" bestFit="1" customWidth="1"/>
    <col min="14086" max="14086" width="16.6640625" style="92" customWidth="1"/>
    <col min="14087" max="14087" width="13.88671875" style="92" customWidth="1"/>
    <col min="14088" max="14088" width="12.5546875" style="92" customWidth="1"/>
    <col min="14089" max="14089" width="21.33203125" style="92" customWidth="1"/>
    <col min="14090" max="14090" width="12.5546875" style="92" customWidth="1"/>
    <col min="14091" max="14091" width="23.33203125" style="92" bestFit="1" customWidth="1"/>
    <col min="14092" max="14092" width="31" style="92" customWidth="1"/>
    <col min="14093" max="14336" width="12.5546875" style="92" customWidth="1"/>
    <col min="14337" max="14337" width="37.88671875" style="92" bestFit="1" customWidth="1"/>
    <col min="14338" max="14338" width="17.5546875" style="92" customWidth="1"/>
    <col min="14339" max="14339" width="21.5546875" style="92" bestFit="1" customWidth="1"/>
    <col min="14340" max="14340" width="39.5546875" style="92" bestFit="1" customWidth="1"/>
    <col min="14341" max="14341" width="28.109375" style="92" bestFit="1" customWidth="1"/>
    <col min="14342" max="14342" width="16.6640625" style="92" customWidth="1"/>
    <col min="14343" max="14343" width="13.88671875" style="92" customWidth="1"/>
    <col min="14344" max="14344" width="12.5546875" style="92" customWidth="1"/>
    <col min="14345" max="14345" width="21.33203125" style="92" customWidth="1"/>
    <col min="14346" max="14346" width="12.5546875" style="92" customWidth="1"/>
    <col min="14347" max="14347" width="23.33203125" style="92" bestFit="1" customWidth="1"/>
    <col min="14348" max="14348" width="31" style="92" customWidth="1"/>
    <col min="14349" max="14592" width="12.5546875" style="92" customWidth="1"/>
    <col min="14593" max="14593" width="37.88671875" style="92" bestFit="1" customWidth="1"/>
    <col min="14594" max="14594" width="17.5546875" style="92" customWidth="1"/>
    <col min="14595" max="14595" width="21.5546875" style="92" bestFit="1" customWidth="1"/>
    <col min="14596" max="14596" width="39.5546875" style="92" bestFit="1" customWidth="1"/>
    <col min="14597" max="14597" width="28.109375" style="92" bestFit="1" customWidth="1"/>
    <col min="14598" max="14598" width="16.6640625" style="92" customWidth="1"/>
    <col min="14599" max="14599" width="13.88671875" style="92" customWidth="1"/>
    <col min="14600" max="14600" width="12.5546875" style="92" customWidth="1"/>
    <col min="14601" max="14601" width="21.33203125" style="92" customWidth="1"/>
    <col min="14602" max="14602" width="12.5546875" style="92" customWidth="1"/>
    <col min="14603" max="14603" width="23.33203125" style="92" bestFit="1" customWidth="1"/>
    <col min="14604" max="14604" width="31" style="92" customWidth="1"/>
    <col min="14605" max="14848" width="12.5546875" style="92" customWidth="1"/>
    <col min="14849" max="14849" width="37.88671875" style="92" bestFit="1" customWidth="1"/>
    <col min="14850" max="14850" width="17.5546875" style="92" customWidth="1"/>
    <col min="14851" max="14851" width="21.5546875" style="92" bestFit="1" customWidth="1"/>
    <col min="14852" max="14852" width="39.5546875" style="92" bestFit="1" customWidth="1"/>
    <col min="14853" max="14853" width="28.109375" style="92" bestFit="1" customWidth="1"/>
    <col min="14854" max="14854" width="16.6640625" style="92" customWidth="1"/>
    <col min="14855" max="14855" width="13.88671875" style="92" customWidth="1"/>
    <col min="14856" max="14856" width="12.5546875" style="92" customWidth="1"/>
    <col min="14857" max="14857" width="21.33203125" style="92" customWidth="1"/>
    <col min="14858" max="14858" width="12.5546875" style="92" customWidth="1"/>
    <col min="14859" max="14859" width="23.33203125" style="92" bestFit="1" customWidth="1"/>
    <col min="14860" max="14860" width="31" style="92" customWidth="1"/>
    <col min="14861" max="15104" width="12.5546875" style="92" customWidth="1"/>
    <col min="15105" max="15105" width="37.88671875" style="92" bestFit="1" customWidth="1"/>
    <col min="15106" max="15106" width="17.5546875" style="92" customWidth="1"/>
    <col min="15107" max="15107" width="21.5546875" style="92" bestFit="1" customWidth="1"/>
    <col min="15108" max="15108" width="39.5546875" style="92" bestFit="1" customWidth="1"/>
    <col min="15109" max="15109" width="28.109375" style="92" bestFit="1" customWidth="1"/>
    <col min="15110" max="15110" width="16.6640625" style="92" customWidth="1"/>
    <col min="15111" max="15111" width="13.88671875" style="92" customWidth="1"/>
    <col min="15112" max="15112" width="12.5546875" style="92" customWidth="1"/>
    <col min="15113" max="15113" width="21.33203125" style="92" customWidth="1"/>
    <col min="15114" max="15114" width="12.5546875" style="92" customWidth="1"/>
    <col min="15115" max="15115" width="23.33203125" style="92" bestFit="1" customWidth="1"/>
    <col min="15116" max="15116" width="31" style="92" customWidth="1"/>
    <col min="15117" max="15360" width="12.5546875" style="92" customWidth="1"/>
    <col min="15361" max="15361" width="37.88671875" style="92" bestFit="1" customWidth="1"/>
    <col min="15362" max="15362" width="17.5546875" style="92" customWidth="1"/>
    <col min="15363" max="15363" width="21.5546875" style="92" bestFit="1" customWidth="1"/>
    <col min="15364" max="15364" width="39.5546875" style="92" bestFit="1" customWidth="1"/>
    <col min="15365" max="15365" width="28.109375" style="92" bestFit="1" customWidth="1"/>
    <col min="15366" max="15366" width="16.6640625" style="92" customWidth="1"/>
    <col min="15367" max="15367" width="13.88671875" style="92" customWidth="1"/>
    <col min="15368" max="15368" width="12.5546875" style="92" customWidth="1"/>
    <col min="15369" max="15369" width="21.33203125" style="92" customWidth="1"/>
    <col min="15370" max="15370" width="12.5546875" style="92" customWidth="1"/>
    <col min="15371" max="15371" width="23.33203125" style="92" bestFit="1" customWidth="1"/>
    <col min="15372" max="15372" width="31" style="92" customWidth="1"/>
    <col min="15373" max="15616" width="12.5546875" style="92" customWidth="1"/>
    <col min="15617" max="15617" width="37.88671875" style="92" bestFit="1" customWidth="1"/>
    <col min="15618" max="15618" width="17.5546875" style="92" customWidth="1"/>
    <col min="15619" max="15619" width="21.5546875" style="92" bestFit="1" customWidth="1"/>
    <col min="15620" max="15620" width="39.5546875" style="92" bestFit="1" customWidth="1"/>
    <col min="15621" max="15621" width="28.109375" style="92" bestFit="1" customWidth="1"/>
    <col min="15622" max="15622" width="16.6640625" style="92" customWidth="1"/>
    <col min="15623" max="15623" width="13.88671875" style="92" customWidth="1"/>
    <col min="15624" max="15624" width="12.5546875" style="92" customWidth="1"/>
    <col min="15625" max="15625" width="21.33203125" style="92" customWidth="1"/>
    <col min="15626" max="15626" width="12.5546875" style="92" customWidth="1"/>
    <col min="15627" max="15627" width="23.33203125" style="92" bestFit="1" customWidth="1"/>
    <col min="15628" max="15628" width="31" style="92" customWidth="1"/>
    <col min="15629" max="15872" width="12.5546875" style="92" customWidth="1"/>
    <col min="15873" max="15873" width="37.88671875" style="92" bestFit="1" customWidth="1"/>
    <col min="15874" max="15874" width="17.5546875" style="92" customWidth="1"/>
    <col min="15875" max="15875" width="21.5546875" style="92" bestFit="1" customWidth="1"/>
    <col min="15876" max="15876" width="39.5546875" style="92" bestFit="1" customWidth="1"/>
    <col min="15877" max="15877" width="28.109375" style="92" bestFit="1" customWidth="1"/>
    <col min="15878" max="15878" width="16.6640625" style="92" customWidth="1"/>
    <col min="15879" max="15879" width="13.88671875" style="92" customWidth="1"/>
    <col min="15880" max="15880" width="12.5546875" style="92" customWidth="1"/>
    <col min="15881" max="15881" width="21.33203125" style="92" customWidth="1"/>
    <col min="15882" max="15882" width="12.5546875" style="92" customWidth="1"/>
    <col min="15883" max="15883" width="23.33203125" style="92" bestFit="1" customWidth="1"/>
    <col min="15884" max="15884" width="31" style="92" customWidth="1"/>
    <col min="15885" max="16128" width="12.5546875" style="92" customWidth="1"/>
    <col min="16129" max="16129" width="37.88671875" style="92" bestFit="1" customWidth="1"/>
    <col min="16130" max="16130" width="17.5546875" style="92" customWidth="1"/>
    <col min="16131" max="16131" width="21.5546875" style="92" bestFit="1" customWidth="1"/>
    <col min="16132" max="16132" width="39.5546875" style="92" bestFit="1" customWidth="1"/>
    <col min="16133" max="16133" width="28.109375" style="92" bestFit="1" customWidth="1"/>
    <col min="16134" max="16134" width="16.6640625" style="92" customWidth="1"/>
    <col min="16135" max="16135" width="13.88671875" style="92" customWidth="1"/>
    <col min="16136" max="16136" width="12.5546875" style="92" customWidth="1"/>
    <col min="16137" max="16137" width="21.33203125" style="92" customWidth="1"/>
    <col min="16138" max="16138" width="12.5546875" style="92" customWidth="1"/>
    <col min="16139" max="16139" width="23.33203125" style="92" bestFit="1" customWidth="1"/>
    <col min="16140" max="16140" width="31" style="92" customWidth="1"/>
    <col min="16141" max="16384" width="12.5546875" style="92" customWidth="1"/>
  </cols>
  <sheetData>
    <row r="1" spans="1:11" ht="15.9" customHeight="1">
      <c r="A1" s="91" t="s">
        <v>213</v>
      </c>
      <c r="B1" s="304">
        <v>45296</v>
      </c>
      <c r="C1" s="305"/>
      <c r="D1" s="305"/>
      <c r="E1" s="305"/>
      <c r="F1" s="305"/>
      <c r="G1" s="306"/>
      <c r="H1" s="307" t="s">
        <v>214</v>
      </c>
      <c r="I1" s="310" t="s">
        <v>215</v>
      </c>
      <c r="J1" s="311"/>
      <c r="K1" s="312"/>
    </row>
    <row r="2" spans="1:11" ht="15.6">
      <c r="A2" s="93" t="s">
        <v>216</v>
      </c>
      <c r="B2" s="313" t="s">
        <v>217</v>
      </c>
      <c r="C2" s="314"/>
      <c r="D2" s="314"/>
      <c r="E2" s="314"/>
      <c r="F2" s="314"/>
      <c r="G2" s="315"/>
      <c r="H2" s="308"/>
      <c r="I2" s="316" t="s">
        <v>218</v>
      </c>
      <c r="J2" s="317"/>
      <c r="K2" s="318"/>
    </row>
    <row r="3" spans="1:11" ht="15.6">
      <c r="A3" s="93" t="s">
        <v>219</v>
      </c>
      <c r="B3" s="322" t="s">
        <v>220</v>
      </c>
      <c r="C3" s="323"/>
      <c r="D3" s="323"/>
      <c r="E3" s="324"/>
      <c r="F3" s="322" t="s">
        <v>221</v>
      </c>
      <c r="G3" s="325"/>
      <c r="H3" s="308"/>
      <c r="I3" s="316"/>
      <c r="J3" s="317"/>
      <c r="K3" s="318"/>
    </row>
    <row r="4" spans="1:11" ht="15.6">
      <c r="A4" s="93" t="s">
        <v>222</v>
      </c>
      <c r="B4" s="326" t="s">
        <v>223</v>
      </c>
      <c r="C4" s="327"/>
      <c r="D4" s="327"/>
      <c r="E4" s="327"/>
      <c r="F4" s="327"/>
      <c r="G4" s="328"/>
      <c r="H4" s="308"/>
      <c r="I4" s="316"/>
      <c r="J4" s="317"/>
      <c r="K4" s="318"/>
    </row>
    <row r="5" spans="1:11" ht="15.6">
      <c r="A5" s="93" t="s">
        <v>224</v>
      </c>
      <c r="B5" s="329" t="s">
        <v>225</v>
      </c>
      <c r="C5" s="330"/>
      <c r="D5" s="330"/>
      <c r="E5" s="330"/>
      <c r="F5" s="330"/>
      <c r="G5" s="331"/>
      <c r="H5" s="308"/>
      <c r="I5" s="316"/>
      <c r="J5" s="317"/>
      <c r="K5" s="318"/>
    </row>
    <row r="6" spans="1:11" s="94" customFormat="1" ht="15.6">
      <c r="A6" s="93" t="s">
        <v>226</v>
      </c>
      <c r="B6" s="313" t="s">
        <v>227</v>
      </c>
      <c r="C6" s="314"/>
      <c r="D6" s="314"/>
      <c r="E6" s="314"/>
      <c r="F6" s="314"/>
      <c r="G6" s="315"/>
      <c r="H6" s="308"/>
      <c r="I6" s="316"/>
      <c r="J6" s="317"/>
      <c r="K6" s="318"/>
    </row>
    <row r="7" spans="1:11" ht="16.2" thickBot="1">
      <c r="A7" s="95" t="s">
        <v>228</v>
      </c>
      <c r="B7" s="301" t="s">
        <v>229</v>
      </c>
      <c r="C7" s="302"/>
      <c r="D7" s="302"/>
      <c r="E7" s="302"/>
      <c r="F7" s="302"/>
      <c r="G7" s="303"/>
      <c r="H7" s="309"/>
      <c r="I7" s="319"/>
      <c r="J7" s="320"/>
      <c r="K7" s="321"/>
    </row>
    <row r="8" spans="1:11" s="100" customFormat="1" ht="13.2">
      <c r="A8" s="96" t="s">
        <v>230</v>
      </c>
      <c r="B8" s="97"/>
      <c r="C8" s="97"/>
      <c r="D8" s="97"/>
      <c r="E8" s="98"/>
      <c r="F8" s="99"/>
      <c r="G8" s="99" t="s">
        <v>231</v>
      </c>
      <c r="H8" s="99"/>
      <c r="I8" s="99"/>
      <c r="J8" s="99"/>
      <c r="K8" s="99"/>
    </row>
    <row r="9" spans="1:11" s="100" customFormat="1" ht="13.2">
      <c r="A9" s="101" t="s">
        <v>232</v>
      </c>
      <c r="B9" s="99"/>
      <c r="C9" s="99"/>
      <c r="D9" s="102">
        <v>3.8800000000000001E-2</v>
      </c>
      <c r="E9" s="98"/>
      <c r="F9" s="99"/>
      <c r="G9" s="103" t="s">
        <v>233</v>
      </c>
      <c r="H9" s="103"/>
      <c r="I9" s="103" t="s">
        <v>234</v>
      </c>
      <c r="J9" s="99"/>
      <c r="K9" s="99"/>
    </row>
    <row r="10" spans="1:11" s="100" customFormat="1" ht="15.6">
      <c r="A10" s="101" t="s">
        <v>235</v>
      </c>
      <c r="B10" s="99"/>
      <c r="C10" s="99"/>
      <c r="D10" s="104">
        <v>5.8900000000000001E-2</v>
      </c>
      <c r="E10" s="98"/>
      <c r="F10" s="99"/>
      <c r="G10" s="105">
        <v>0</v>
      </c>
      <c r="H10" s="106">
        <v>0.25</v>
      </c>
      <c r="I10" s="107">
        <v>6.2430000000000003E-3</v>
      </c>
      <c r="J10" s="99"/>
      <c r="K10" s="99"/>
    </row>
    <row r="11" spans="1:11" s="100" customFormat="1" ht="15.6">
      <c r="A11" s="101" t="s">
        <v>236</v>
      </c>
      <c r="B11" s="99"/>
      <c r="C11" s="99"/>
      <c r="D11" s="108">
        <v>9.5999999999999992E-3</v>
      </c>
      <c r="E11" s="98"/>
      <c r="F11" s="99"/>
      <c r="G11" s="105">
        <v>0.25000099999999997</v>
      </c>
      <c r="H11" s="106">
        <v>0.5</v>
      </c>
      <c r="I11" s="107">
        <v>1.2055E-2</v>
      </c>
      <c r="J11" s="99"/>
      <c r="K11" s="99"/>
    </row>
    <row r="12" spans="1:11" s="100" customFormat="1" ht="15.6">
      <c r="A12" s="101" t="s">
        <v>237</v>
      </c>
      <c r="B12" s="99"/>
      <c r="C12" s="99"/>
      <c r="D12" s="109"/>
      <c r="E12" s="98"/>
      <c r="F12" s="110" t="s">
        <v>238</v>
      </c>
      <c r="G12" s="105">
        <v>0.50000100000000003</v>
      </c>
      <c r="H12" s="106">
        <v>0.65</v>
      </c>
      <c r="I12" s="107">
        <v>1.4724000000000001E-2</v>
      </c>
      <c r="J12" s="99"/>
      <c r="K12" s="99"/>
    </row>
    <row r="13" spans="1:11" s="100" customFormat="1" ht="15.6">
      <c r="A13" s="101" t="s">
        <v>239</v>
      </c>
      <c r="B13" s="99"/>
      <c r="C13" s="99"/>
      <c r="D13" s="99"/>
      <c r="E13" s="98"/>
      <c r="F13" s="111">
        <v>0.24709999999999999</v>
      </c>
      <c r="G13" s="105">
        <v>0.65000100000000005</v>
      </c>
      <c r="H13" s="106">
        <v>0.8</v>
      </c>
      <c r="I13" s="107">
        <v>2.2078999999999998E-2</v>
      </c>
      <c r="J13" s="99"/>
      <c r="K13" s="99"/>
    </row>
    <row r="14" spans="1:11" s="100" customFormat="1" ht="15.6">
      <c r="A14" s="101"/>
      <c r="B14" s="99"/>
      <c r="C14" s="99"/>
      <c r="D14" s="99"/>
      <c r="E14" s="98"/>
      <c r="F14" s="99"/>
      <c r="G14" s="105">
        <v>0.80000099999999996</v>
      </c>
      <c r="H14" s="106">
        <v>0.9</v>
      </c>
      <c r="I14" s="107">
        <v>3.6055999999999998E-2</v>
      </c>
      <c r="J14" s="99"/>
      <c r="K14" s="99"/>
    </row>
    <row r="15" spans="1:11" s="100" customFormat="1" ht="15.6">
      <c r="A15" s="112" t="s">
        <v>240</v>
      </c>
      <c r="B15" s="113"/>
      <c r="C15" s="113"/>
      <c r="D15" s="99"/>
      <c r="E15" s="98"/>
      <c r="F15" s="99"/>
      <c r="G15" s="105">
        <v>0.90000100000000005</v>
      </c>
      <c r="H15" s="106">
        <v>1</v>
      </c>
      <c r="I15" s="107">
        <v>5.2403999999999999E-2</v>
      </c>
      <c r="J15" s="99"/>
      <c r="K15" s="99"/>
    </row>
    <row r="16" spans="1:11" s="100" customFormat="1" ht="15.6">
      <c r="A16" s="114" t="s">
        <v>241</v>
      </c>
      <c r="B16" s="113"/>
      <c r="C16" s="115">
        <v>1.4999999999999999E-2</v>
      </c>
      <c r="D16" s="99"/>
      <c r="E16" s="98"/>
      <c r="F16" s="99"/>
      <c r="G16" s="105">
        <v>1.0000009999999999</v>
      </c>
      <c r="H16" s="106">
        <v>10</v>
      </c>
      <c r="I16" s="107">
        <v>8.5099999999999995E-2</v>
      </c>
      <c r="J16" s="99"/>
      <c r="K16" s="99"/>
    </row>
    <row r="17" spans="1:12" s="100" customFormat="1" ht="13.2">
      <c r="A17" s="114" t="s">
        <v>242</v>
      </c>
      <c r="B17" s="113"/>
      <c r="C17" s="115">
        <v>0.03</v>
      </c>
      <c r="D17" s="99"/>
      <c r="E17" s="98"/>
      <c r="F17" s="99"/>
      <c r="G17" s="99"/>
      <c r="H17" s="99"/>
      <c r="I17" s="99"/>
      <c r="J17" s="99"/>
      <c r="K17" s="99"/>
    </row>
    <row r="18" spans="1:12" s="100" customFormat="1" ht="13.2">
      <c r="A18" s="101"/>
      <c r="B18" s="99"/>
      <c r="C18" s="99"/>
      <c r="D18" s="99"/>
      <c r="E18" s="98"/>
      <c r="F18" s="99"/>
      <c r="G18" s="99"/>
      <c r="H18" s="99"/>
      <c r="I18" s="99"/>
      <c r="J18" s="99"/>
      <c r="K18" s="99"/>
    </row>
    <row r="19" spans="1:12" s="119" customFormat="1" ht="13.2">
      <c r="A19" s="116" t="s">
        <v>243</v>
      </c>
      <c r="B19" s="117" t="s">
        <v>244</v>
      </c>
      <c r="C19" s="117" t="s">
        <v>245</v>
      </c>
      <c r="D19" s="117" t="s">
        <v>246</v>
      </c>
      <c r="E19" s="117" t="s">
        <v>247</v>
      </c>
      <c r="F19" s="117" t="s">
        <v>248</v>
      </c>
      <c r="G19" s="117" t="s">
        <v>249</v>
      </c>
      <c r="H19" s="117" t="s">
        <v>250</v>
      </c>
      <c r="I19" s="117" t="s">
        <v>251</v>
      </c>
      <c r="J19" s="117" t="s">
        <v>252</v>
      </c>
      <c r="K19" s="117" t="s">
        <v>253</v>
      </c>
      <c r="L19" s="118" t="s">
        <v>254</v>
      </c>
    </row>
    <row r="20" spans="1:12" s="100" customFormat="1">
      <c r="A20" s="120" t="s">
        <v>255</v>
      </c>
      <c r="B20" s="103">
        <v>89</v>
      </c>
      <c r="C20" s="121">
        <v>1.0096480818742957</v>
      </c>
      <c r="D20" s="122">
        <f>$D$9+C20*$D$10</f>
        <v>9.8268272022396019E-2</v>
      </c>
      <c r="E20" s="122">
        <v>0.68325369794693536</v>
      </c>
      <c r="F20" s="122">
        <v>0.35163784823517308</v>
      </c>
      <c r="G20" s="123">
        <f>$D$9+VLOOKUP(F20,$G$10:$I$16,3)+$D$11</f>
        <v>6.0454999999999995E-2</v>
      </c>
      <c r="H20" s="123">
        <v>0.13698926560957606</v>
      </c>
      <c r="I20" s="122">
        <f>IF($F$12="Yes",G20*(1-$F$13),G20*(1-H20))</f>
        <v>4.55165695E-2</v>
      </c>
      <c r="J20" s="123">
        <f>1-E20</f>
        <v>0.31674630205306464</v>
      </c>
      <c r="K20" s="122">
        <f>D20*(1-J20)+I20*J20</f>
        <v>8.1559365321423757E-2</v>
      </c>
      <c r="L20" s="124">
        <f t="shared" ref="L20:L83" si="0">(1+K20)*((1+$C$16)/(1+$C$17))-1</f>
        <v>6.5808500777907675E-2</v>
      </c>
    </row>
    <row r="21" spans="1:12" s="100" customFormat="1">
      <c r="A21" s="120" t="s">
        <v>256</v>
      </c>
      <c r="B21" s="103">
        <v>61</v>
      </c>
      <c r="C21" s="121">
        <v>0.90446606994531331</v>
      </c>
      <c r="D21" s="122">
        <f t="shared" ref="D21:D84" si="1">$D$9+C21*$D$10</f>
        <v>9.2073051519778959E-2</v>
      </c>
      <c r="E21" s="122">
        <v>0.86701756180813849</v>
      </c>
      <c r="F21" s="122">
        <v>0.3552608942317434</v>
      </c>
      <c r="G21" s="123">
        <f t="shared" ref="G21:G84" si="2">$D$9+VLOOKUP(F21,$G$10:$I$16,3)+$D$11</f>
        <v>6.0454999999999995E-2</v>
      </c>
      <c r="H21" s="123">
        <v>0.1274261400807439</v>
      </c>
      <c r="I21" s="122">
        <f t="shared" ref="I21:I84" si="3">IF($F$12="Yes",G21*(1-$F$13),G21*(1-H21))</f>
        <v>4.55165695E-2</v>
      </c>
      <c r="J21" s="123">
        <f t="shared" ref="J21:J84" si="4">1-E21</f>
        <v>0.13298243819186151</v>
      </c>
      <c r="K21" s="122">
        <f t="shared" ref="K21:K84" si="5">D21*(1-J21)+I21*J21</f>
        <v>8.5881857027153202E-2</v>
      </c>
      <c r="L21" s="124">
        <f t="shared" si="0"/>
        <v>7.0068043575301164E-2</v>
      </c>
    </row>
    <row r="22" spans="1:12" s="100" customFormat="1">
      <c r="A22" s="120" t="s">
        <v>257</v>
      </c>
      <c r="B22" s="103">
        <v>34</v>
      </c>
      <c r="C22" s="121">
        <v>1.3413062774665883</v>
      </c>
      <c r="D22" s="122">
        <f t="shared" si="1"/>
        <v>0.11780293974278205</v>
      </c>
      <c r="E22" s="122">
        <v>0.5244979224755042</v>
      </c>
      <c r="F22" s="122">
        <v>0.30734501632876848</v>
      </c>
      <c r="G22" s="123">
        <f t="shared" si="2"/>
        <v>6.0454999999999995E-2</v>
      </c>
      <c r="H22" s="123">
        <v>0.15614019779571642</v>
      </c>
      <c r="I22" s="122">
        <f t="shared" si="3"/>
        <v>4.55165695E-2</v>
      </c>
      <c r="J22" s="123">
        <f t="shared" si="4"/>
        <v>0.4755020775244958</v>
      </c>
      <c r="K22" s="122">
        <f t="shared" si="5"/>
        <v>8.3430620515634296E-2</v>
      </c>
      <c r="L22" s="124">
        <f t="shared" si="0"/>
        <v>6.7652504682882197E-2</v>
      </c>
    </row>
    <row r="23" spans="1:12" s="100" customFormat="1">
      <c r="A23" s="120" t="s">
        <v>258</v>
      </c>
      <c r="B23" s="103">
        <v>110</v>
      </c>
      <c r="C23" s="121">
        <v>1.0044826650762329</v>
      </c>
      <c r="D23" s="122">
        <f t="shared" si="1"/>
        <v>9.7964028972990114E-2</v>
      </c>
      <c r="E23" s="122">
        <v>0.87584741510186004</v>
      </c>
      <c r="F23" s="122">
        <v>0.31434810417005654</v>
      </c>
      <c r="G23" s="123">
        <f t="shared" si="2"/>
        <v>6.0454999999999995E-2</v>
      </c>
      <c r="H23" s="123">
        <v>0.14185235874230337</v>
      </c>
      <c r="I23" s="122">
        <f t="shared" si="3"/>
        <v>4.55165695E-2</v>
      </c>
      <c r="J23" s="123">
        <f t="shared" si="4"/>
        <v>0.12415258489813996</v>
      </c>
      <c r="K23" s="122">
        <f t="shared" si="5"/>
        <v>9.145254130807795E-2</v>
      </c>
      <c r="L23" s="124">
        <f t="shared" si="0"/>
        <v>7.5557601386115669E-2</v>
      </c>
    </row>
    <row r="24" spans="1:12" s="100" customFormat="1">
      <c r="A24" s="120" t="s">
        <v>259</v>
      </c>
      <c r="B24" s="103">
        <v>31</v>
      </c>
      <c r="C24" s="121">
        <v>1.3951896187246104</v>
      </c>
      <c r="D24" s="122">
        <f t="shared" si="1"/>
        <v>0.12097666854287956</v>
      </c>
      <c r="E24" s="122">
        <v>0.48687952613556662</v>
      </c>
      <c r="F24" s="122">
        <v>0.35583235151341913</v>
      </c>
      <c r="G24" s="123">
        <f t="shared" si="2"/>
        <v>6.0454999999999995E-2</v>
      </c>
      <c r="H24" s="123">
        <v>9.6291260906391576E-2</v>
      </c>
      <c r="I24" s="122">
        <f t="shared" si="3"/>
        <v>4.55165695E-2</v>
      </c>
      <c r="J24" s="123">
        <f t="shared" si="4"/>
        <v>0.51312047386443338</v>
      </c>
      <c r="K24" s="122">
        <f t="shared" si="5"/>
        <v>8.2256546764140126E-2</v>
      </c>
      <c r="L24" s="124">
        <f t="shared" si="0"/>
        <v>6.6495529092817529E-2</v>
      </c>
    </row>
    <row r="25" spans="1:12" s="100" customFormat="1">
      <c r="A25" s="120" t="s">
        <v>260</v>
      </c>
      <c r="B25" s="103">
        <v>59</v>
      </c>
      <c r="C25" s="121">
        <v>1.4037710559198122</v>
      </c>
      <c r="D25" s="122">
        <f t="shared" si="1"/>
        <v>0.12148211519367694</v>
      </c>
      <c r="E25" s="122">
        <v>0.61737714450462056</v>
      </c>
      <c r="F25" s="122">
        <v>0.30688712424747039</v>
      </c>
      <c r="G25" s="123">
        <f t="shared" si="2"/>
        <v>6.0454999999999995E-2</v>
      </c>
      <c r="H25" s="123">
        <v>0.17963718773568216</v>
      </c>
      <c r="I25" s="122">
        <f t="shared" si="3"/>
        <v>4.55165695E-2</v>
      </c>
      <c r="J25" s="123">
        <f t="shared" si="4"/>
        <v>0.38262285549537944</v>
      </c>
      <c r="K25" s="122">
        <f t="shared" si="5"/>
        <v>9.2415961181097545E-2</v>
      </c>
      <c r="L25" s="124">
        <f t="shared" si="0"/>
        <v>7.6506990872634795E-2</v>
      </c>
    </row>
    <row r="26" spans="1:12" s="100" customFormat="1">
      <c r="A26" s="120" t="s">
        <v>261</v>
      </c>
      <c r="B26" s="103">
        <v>112</v>
      </c>
      <c r="C26" s="121">
        <v>1.2153935486343155</v>
      </c>
      <c r="D26" s="122">
        <f t="shared" si="1"/>
        <v>0.11038668001456119</v>
      </c>
      <c r="E26" s="122">
        <v>0.15115613546743933</v>
      </c>
      <c r="F26" s="122">
        <v>0.25358376727578946</v>
      </c>
      <c r="G26" s="123">
        <f t="shared" si="2"/>
        <v>6.0454999999999995E-2</v>
      </c>
      <c r="H26" s="123">
        <v>0.23544115727376269</v>
      </c>
      <c r="I26" s="122">
        <f t="shared" si="3"/>
        <v>4.55165695E-2</v>
      </c>
      <c r="J26" s="123">
        <f t="shared" si="4"/>
        <v>0.84884386453256067</v>
      </c>
      <c r="K26" s="122">
        <f t="shared" si="5"/>
        <v>5.5322084712726767E-2</v>
      </c>
      <c r="L26" s="124">
        <f t="shared" si="0"/>
        <v>3.9953316488754886E-2</v>
      </c>
    </row>
    <row r="27" spans="1:12" s="100" customFormat="1">
      <c r="A27" s="120" t="s">
        <v>262</v>
      </c>
      <c r="B27" s="103">
        <v>72</v>
      </c>
      <c r="C27" s="121">
        <v>0.46828868467206308</v>
      </c>
      <c r="D27" s="122">
        <f t="shared" si="1"/>
        <v>6.6382203527184519E-2</v>
      </c>
      <c r="E27" s="122">
        <v>0.2580269829998616</v>
      </c>
      <c r="F27" s="122">
        <v>0.13283543357435104</v>
      </c>
      <c r="G27" s="123">
        <f t="shared" si="2"/>
        <v>5.4642999999999997E-2</v>
      </c>
      <c r="H27" s="123">
        <v>0.18768236232471092</v>
      </c>
      <c r="I27" s="122">
        <f t="shared" si="3"/>
        <v>4.1140714699999997E-2</v>
      </c>
      <c r="J27" s="123">
        <f t="shared" si="4"/>
        <v>0.7419730170001384</v>
      </c>
      <c r="K27" s="122">
        <f t="shared" si="5"/>
        <v>4.7653699908503135E-2</v>
      </c>
      <c r="L27" s="124">
        <f t="shared" si="0"/>
        <v>3.2396607191388815E-2</v>
      </c>
    </row>
    <row r="28" spans="1:12" s="100" customFormat="1">
      <c r="A28" s="120" t="s">
        <v>263</v>
      </c>
      <c r="B28" s="103">
        <v>55</v>
      </c>
      <c r="C28" s="121">
        <v>0.59195866407723685</v>
      </c>
      <c r="D28" s="122">
        <f t="shared" si="1"/>
        <v>7.3666365314149246E-2</v>
      </c>
      <c r="E28" s="122">
        <v>0.68961399320268479</v>
      </c>
      <c r="F28" s="122">
        <v>0.26354588744589025</v>
      </c>
      <c r="G28" s="123">
        <f t="shared" si="2"/>
        <v>6.0454999999999995E-2</v>
      </c>
      <c r="H28" s="123">
        <v>0.18033450330480677</v>
      </c>
      <c r="I28" s="122">
        <f t="shared" si="3"/>
        <v>4.55165695E-2</v>
      </c>
      <c r="J28" s="123">
        <f t="shared" si="4"/>
        <v>0.31038600679731521</v>
      </c>
      <c r="K28" s="122">
        <f t="shared" si="5"/>
        <v>6.4929062599235685E-2</v>
      </c>
      <c r="L28" s="124">
        <f t="shared" si="0"/>
        <v>4.9420386930314475E-2</v>
      </c>
    </row>
    <row r="29" spans="1:12" s="100" customFormat="1">
      <c r="A29" s="120" t="s">
        <v>264</v>
      </c>
      <c r="B29" s="103">
        <v>15</v>
      </c>
      <c r="C29" s="121">
        <v>0.70767231020648758</v>
      </c>
      <c r="D29" s="122">
        <f t="shared" si="1"/>
        <v>8.0481899071162127E-2</v>
      </c>
      <c r="E29" s="122">
        <v>0.73397644878660284</v>
      </c>
      <c r="F29" s="122">
        <v>0.23722876941919721</v>
      </c>
      <c r="G29" s="123">
        <f t="shared" si="2"/>
        <v>5.4642999999999997E-2</v>
      </c>
      <c r="H29" s="123">
        <v>0.1969973028657391</v>
      </c>
      <c r="I29" s="122">
        <f t="shared" si="3"/>
        <v>4.1140714699999997E-2</v>
      </c>
      <c r="J29" s="123">
        <f t="shared" si="4"/>
        <v>0.26602355121339716</v>
      </c>
      <c r="K29" s="122">
        <f t="shared" si="5"/>
        <v>7.0016217495804584E-2</v>
      </c>
      <c r="L29" s="124">
        <f t="shared" si="0"/>
        <v>5.4433457046836331E-2</v>
      </c>
    </row>
    <row r="30" spans="1:12" s="100" customFormat="1">
      <c r="A30" s="120" t="s">
        <v>265</v>
      </c>
      <c r="B30" s="103">
        <v>22</v>
      </c>
      <c r="C30" s="121">
        <v>0.92826313387064707</v>
      </c>
      <c r="D30" s="122">
        <f t="shared" si="1"/>
        <v>9.3474698584981114E-2</v>
      </c>
      <c r="E30" s="122">
        <v>0.69161504762755277</v>
      </c>
      <c r="F30" s="122">
        <v>0.22521575023850673</v>
      </c>
      <c r="G30" s="123">
        <f t="shared" si="2"/>
        <v>5.4642999999999997E-2</v>
      </c>
      <c r="H30" s="123">
        <v>0.18398284760432776</v>
      </c>
      <c r="I30" s="122">
        <f t="shared" si="3"/>
        <v>4.1140714699999997E-2</v>
      </c>
      <c r="J30" s="123">
        <f t="shared" si="4"/>
        <v>0.30838495237244723</v>
      </c>
      <c r="K30" s="122">
        <f t="shared" si="5"/>
        <v>7.7335685457150791E-2</v>
      </c>
      <c r="L30" s="124">
        <f t="shared" si="0"/>
        <v>6.1646330814570716E-2</v>
      </c>
    </row>
    <row r="31" spans="1:12" s="100" customFormat="1">
      <c r="A31" s="120" t="s">
        <v>266</v>
      </c>
      <c r="B31" s="103">
        <v>74</v>
      </c>
      <c r="C31" s="121">
        <v>0.87073158990585464</v>
      </c>
      <c r="D31" s="122">
        <f t="shared" si="1"/>
        <v>9.0086090645454836E-2</v>
      </c>
      <c r="E31" s="122">
        <v>0.59254379764166631</v>
      </c>
      <c r="F31" s="122">
        <v>0.29262446145427512</v>
      </c>
      <c r="G31" s="123">
        <f t="shared" si="2"/>
        <v>6.0454999999999995E-2</v>
      </c>
      <c r="H31" s="123">
        <v>0.15189444421935591</v>
      </c>
      <c r="I31" s="122">
        <f t="shared" si="3"/>
        <v>4.55165695E-2</v>
      </c>
      <c r="J31" s="123">
        <f t="shared" si="4"/>
        <v>0.40745620235833369</v>
      </c>
      <c r="K31" s="122">
        <f t="shared" si="5"/>
        <v>7.1925962818598366E-2</v>
      </c>
      <c r="L31" s="124">
        <f t="shared" si="0"/>
        <v>5.6315390544541044E-2</v>
      </c>
    </row>
    <row r="32" spans="1:12" s="100" customFormat="1">
      <c r="A32" s="120" t="s">
        <v>267</v>
      </c>
      <c r="B32" s="103">
        <v>89</v>
      </c>
      <c r="C32" s="121">
        <v>1.0705705789689228</v>
      </c>
      <c r="D32" s="122">
        <f t="shared" si="1"/>
        <v>0.10185660710126955</v>
      </c>
      <c r="E32" s="122">
        <v>0.82967745530959069</v>
      </c>
      <c r="F32" s="122">
        <v>0.29813524747340214</v>
      </c>
      <c r="G32" s="123">
        <f t="shared" si="2"/>
        <v>6.0454999999999995E-2</v>
      </c>
      <c r="H32" s="123">
        <v>0.1465083734825644</v>
      </c>
      <c r="I32" s="122">
        <f t="shared" si="3"/>
        <v>4.55165695E-2</v>
      </c>
      <c r="J32" s="123">
        <f t="shared" si="4"/>
        <v>0.17032254469040931</v>
      </c>
      <c r="K32" s="122">
        <f t="shared" si="5"/>
        <v>9.2260628529067981E-2</v>
      </c>
      <c r="L32" s="124">
        <f t="shared" si="0"/>
        <v>7.6353920346605708E-2</v>
      </c>
    </row>
    <row r="33" spans="1:12" s="100" customFormat="1">
      <c r="A33" s="120" t="s">
        <v>268</v>
      </c>
      <c r="B33" s="103">
        <v>194</v>
      </c>
      <c r="C33" s="121">
        <v>1.0050331723966925</v>
      </c>
      <c r="D33" s="122">
        <f t="shared" si="1"/>
        <v>9.7996453854165194E-2</v>
      </c>
      <c r="E33" s="122">
        <v>0.78718446944728537</v>
      </c>
      <c r="F33" s="122">
        <v>0.3073997215741856</v>
      </c>
      <c r="G33" s="123">
        <f t="shared" si="2"/>
        <v>6.0454999999999995E-2</v>
      </c>
      <c r="H33" s="123">
        <v>0.1637828014742404</v>
      </c>
      <c r="I33" s="122">
        <f t="shared" si="3"/>
        <v>4.55165695E-2</v>
      </c>
      <c r="J33" s="123">
        <f t="shared" si="4"/>
        <v>0.21281553055271463</v>
      </c>
      <c r="K33" s="122">
        <f t="shared" si="5"/>
        <v>8.682791942198842E-2</v>
      </c>
      <c r="L33" s="124">
        <f t="shared" si="0"/>
        <v>7.1000328362444742E-2</v>
      </c>
    </row>
    <row r="34" spans="1:12" s="100" customFormat="1">
      <c r="A34" s="120" t="s">
        <v>269</v>
      </c>
      <c r="B34" s="103">
        <v>3</v>
      </c>
      <c r="C34" s="121">
        <v>0.77744456785852956</v>
      </c>
      <c r="D34" s="122">
        <f t="shared" si="1"/>
        <v>8.4591485046867393E-2</v>
      </c>
      <c r="E34" s="122">
        <v>0.33689507944751573</v>
      </c>
      <c r="F34" s="122">
        <v>0.28344665155280241</v>
      </c>
      <c r="G34" s="123">
        <f t="shared" si="2"/>
        <v>6.0454999999999995E-2</v>
      </c>
      <c r="H34" s="123">
        <v>0.16061352979004959</v>
      </c>
      <c r="I34" s="122">
        <f t="shared" si="3"/>
        <v>4.55165695E-2</v>
      </c>
      <c r="J34" s="123">
        <f t="shared" si="4"/>
        <v>0.66310492055248427</v>
      </c>
      <c r="K34" s="122">
        <f t="shared" si="5"/>
        <v>5.8680716277566859E-2</v>
      </c>
      <c r="L34" s="124">
        <f t="shared" si="0"/>
        <v>4.3263035943427397E-2</v>
      </c>
    </row>
    <row r="35" spans="1:12" s="100" customFormat="1">
      <c r="A35" s="120" t="s">
        <v>270</v>
      </c>
      <c r="B35" s="103">
        <v>61</v>
      </c>
      <c r="C35" s="121">
        <v>0.83507144242402198</v>
      </c>
      <c r="D35" s="122">
        <f t="shared" si="1"/>
        <v>8.7985707958774889E-2</v>
      </c>
      <c r="E35" s="122">
        <v>0.71139822703432909</v>
      </c>
      <c r="F35" s="122">
        <v>0.33332641349454933</v>
      </c>
      <c r="G35" s="123">
        <f t="shared" si="2"/>
        <v>6.0454999999999995E-2</v>
      </c>
      <c r="H35" s="123">
        <v>8.5926605748046295E-2</v>
      </c>
      <c r="I35" s="122">
        <f t="shared" si="3"/>
        <v>4.55165695E-2</v>
      </c>
      <c r="J35" s="123">
        <f t="shared" si="4"/>
        <v>0.28860177296567091</v>
      </c>
      <c r="K35" s="122">
        <f t="shared" si="5"/>
        <v>7.5729039303247897E-2</v>
      </c>
      <c r="L35" s="124">
        <f t="shared" si="0"/>
        <v>6.0063082420190872E-2</v>
      </c>
    </row>
    <row r="36" spans="1:12" s="100" customFormat="1">
      <c r="A36" s="120" t="s">
        <v>271</v>
      </c>
      <c r="B36" s="103">
        <v>7</v>
      </c>
      <c r="C36" s="121">
        <v>1.108693626848418</v>
      </c>
      <c r="D36" s="122">
        <f t="shared" si="1"/>
        <v>0.10410205462137183</v>
      </c>
      <c r="E36" s="122">
        <v>0.65790763119335494</v>
      </c>
      <c r="F36" s="122">
        <v>0.23183480831657868</v>
      </c>
      <c r="G36" s="123">
        <f t="shared" si="2"/>
        <v>5.4642999999999997E-2</v>
      </c>
      <c r="H36" s="123">
        <v>8.1336101067662966E-2</v>
      </c>
      <c r="I36" s="122">
        <f t="shared" si="3"/>
        <v>4.1140714699999997E-2</v>
      </c>
      <c r="J36" s="123">
        <f t="shared" si="4"/>
        <v>0.34209236880664506</v>
      </c>
      <c r="K36" s="122">
        <f t="shared" si="5"/>
        <v>8.2563460704429339E-2</v>
      </c>
      <c r="L36" s="124">
        <f t="shared" si="0"/>
        <v>6.6797973412617173E-2</v>
      </c>
    </row>
    <row r="37" spans="1:12" s="100" customFormat="1">
      <c r="A37" s="120" t="s">
        <v>272</v>
      </c>
      <c r="B37" s="103">
        <v>102</v>
      </c>
      <c r="C37" s="121">
        <v>1.0757967976752074</v>
      </c>
      <c r="D37" s="122">
        <f t="shared" si="1"/>
        <v>0.10216443138306971</v>
      </c>
      <c r="E37" s="122">
        <v>0.84551508875071213</v>
      </c>
      <c r="F37" s="122">
        <v>0.34065716956257086</v>
      </c>
      <c r="G37" s="123">
        <f t="shared" si="2"/>
        <v>6.0454999999999995E-2</v>
      </c>
      <c r="H37" s="123">
        <v>0.1068757698659088</v>
      </c>
      <c r="I37" s="122">
        <f t="shared" si="3"/>
        <v>4.55165695E-2</v>
      </c>
      <c r="J37" s="123">
        <f t="shared" si="4"/>
        <v>0.15448491124928787</v>
      </c>
      <c r="K37" s="122">
        <f t="shared" si="5"/>
        <v>9.3413191467601783E-2</v>
      </c>
      <c r="L37" s="124">
        <f t="shared" si="0"/>
        <v>7.7489698387976258E-2</v>
      </c>
    </row>
    <row r="38" spans="1:12" s="100" customFormat="1">
      <c r="A38" s="120" t="s">
        <v>273</v>
      </c>
      <c r="B38" s="103">
        <v>16</v>
      </c>
      <c r="C38" s="121">
        <v>0.87097445753476543</v>
      </c>
      <c r="D38" s="122">
        <f t="shared" si="1"/>
        <v>9.0100395548797688E-2</v>
      </c>
      <c r="E38" s="122">
        <v>0.87099238500359943</v>
      </c>
      <c r="F38" s="122">
        <v>0.50498610658757526</v>
      </c>
      <c r="G38" s="123">
        <f t="shared" si="2"/>
        <v>6.3124E-2</v>
      </c>
      <c r="H38" s="123">
        <v>6.8772811147993176E-2</v>
      </c>
      <c r="I38" s="122">
        <f t="shared" si="3"/>
        <v>4.7526059600000004E-2</v>
      </c>
      <c r="J38" s="123">
        <f t="shared" si="4"/>
        <v>0.12900761499640057</v>
      </c>
      <c r="K38" s="122">
        <f t="shared" si="5"/>
        <v>8.4607982007987775E-2</v>
      </c>
      <c r="L38" s="124">
        <f t="shared" si="0"/>
        <v>6.8812720134084904E-2</v>
      </c>
    </row>
    <row r="39" spans="1:12" s="100" customFormat="1">
      <c r="A39" s="120" t="s">
        <v>274</v>
      </c>
      <c r="B39" s="103">
        <v>226</v>
      </c>
      <c r="C39" s="121">
        <v>0.95331132321883205</v>
      </c>
      <c r="D39" s="122">
        <f t="shared" si="1"/>
        <v>9.4950036937589216E-2</v>
      </c>
      <c r="E39" s="122">
        <v>0.9066655184201784</v>
      </c>
      <c r="F39" s="122">
        <v>0.29529805401350062</v>
      </c>
      <c r="G39" s="123">
        <f t="shared" si="2"/>
        <v>6.0454999999999995E-2</v>
      </c>
      <c r="H39" s="123">
        <v>0.16295368114727554</v>
      </c>
      <c r="I39" s="122">
        <f t="shared" si="3"/>
        <v>4.55165695E-2</v>
      </c>
      <c r="J39" s="123">
        <f t="shared" si="4"/>
        <v>9.3334481579821604E-2</v>
      </c>
      <c r="K39" s="122">
        <f t="shared" si="5"/>
        <v>9.0336189881608839E-2</v>
      </c>
      <c r="L39" s="124">
        <f t="shared" si="0"/>
        <v>7.4457507504692044E-2</v>
      </c>
    </row>
    <row r="40" spans="1:12" s="100" customFormat="1">
      <c r="A40" s="120" t="s">
        <v>275</v>
      </c>
      <c r="B40" s="103">
        <v>43</v>
      </c>
      <c r="C40" s="121">
        <v>1.0944260005641828</v>
      </c>
      <c r="D40" s="122">
        <f t="shared" si="1"/>
        <v>0.10326169143323037</v>
      </c>
      <c r="E40" s="122">
        <v>0.82924132678686546</v>
      </c>
      <c r="F40" s="122">
        <v>0.363013116850949</v>
      </c>
      <c r="G40" s="123">
        <f t="shared" si="2"/>
        <v>6.0454999999999995E-2</v>
      </c>
      <c r="H40" s="123">
        <v>7.7526165010381135E-2</v>
      </c>
      <c r="I40" s="122">
        <f t="shared" si="3"/>
        <v>4.55165695E-2</v>
      </c>
      <c r="J40" s="123">
        <f t="shared" si="4"/>
        <v>0.17075867321313454</v>
      </c>
      <c r="K40" s="122">
        <f t="shared" si="5"/>
        <v>9.3401211027381276E-2</v>
      </c>
      <c r="L40" s="124">
        <f t="shared" si="0"/>
        <v>7.7477892420186212E-2</v>
      </c>
    </row>
    <row r="41" spans="1:12" s="100" customFormat="1">
      <c r="A41" s="120" t="s">
        <v>276</v>
      </c>
      <c r="B41" s="103">
        <v>123</v>
      </c>
      <c r="C41" s="121">
        <v>1.0210763622322212</v>
      </c>
      <c r="D41" s="122">
        <f t="shared" si="1"/>
        <v>9.8941397735477832E-2</v>
      </c>
      <c r="E41" s="122">
        <v>0.67038244984592144</v>
      </c>
      <c r="F41" s="122">
        <v>0.29989118587622066</v>
      </c>
      <c r="G41" s="123">
        <f t="shared" si="2"/>
        <v>6.0454999999999995E-2</v>
      </c>
      <c r="H41" s="123">
        <v>0.1382373708852298</v>
      </c>
      <c r="I41" s="122">
        <f t="shared" si="3"/>
        <v>4.55165695E-2</v>
      </c>
      <c r="J41" s="123">
        <f t="shared" si="4"/>
        <v>0.32961755015407856</v>
      </c>
      <c r="K41" s="122">
        <f t="shared" si="5"/>
        <v>8.1331636735097176E-2</v>
      </c>
      <c r="L41" s="124">
        <f t="shared" si="0"/>
        <v>6.5584088627304249E-2</v>
      </c>
    </row>
    <row r="42" spans="1:12" s="100" customFormat="1">
      <c r="A42" s="120" t="s">
        <v>277</v>
      </c>
      <c r="B42" s="103">
        <v>70</v>
      </c>
      <c r="C42" s="121">
        <v>1.1696175679430305</v>
      </c>
      <c r="D42" s="122">
        <f t="shared" si="1"/>
        <v>0.1076904747518445</v>
      </c>
      <c r="E42" s="122">
        <v>0.71148981677701117</v>
      </c>
      <c r="F42" s="122">
        <v>0.26480140933168178</v>
      </c>
      <c r="G42" s="123">
        <f t="shared" si="2"/>
        <v>6.0454999999999995E-2</v>
      </c>
      <c r="H42" s="123">
        <v>0.13961928619976716</v>
      </c>
      <c r="I42" s="122">
        <f t="shared" si="3"/>
        <v>4.55165695E-2</v>
      </c>
      <c r="J42" s="123">
        <f t="shared" si="4"/>
        <v>0.28851018322298883</v>
      </c>
      <c r="K42" s="122">
        <f t="shared" si="5"/>
        <v>8.9752669955946093E-2</v>
      </c>
      <c r="L42" s="124">
        <f t="shared" si="0"/>
        <v>7.3882485442024359E-2</v>
      </c>
    </row>
    <row r="43" spans="1:12" s="100" customFormat="1">
      <c r="A43" s="120" t="s">
        <v>278</v>
      </c>
      <c r="B43" s="103">
        <v>233</v>
      </c>
      <c r="C43" s="121">
        <v>1.1603519124746084</v>
      </c>
      <c r="D43" s="122">
        <f t="shared" si="1"/>
        <v>0.10714472764475444</v>
      </c>
      <c r="E43" s="122">
        <v>0.86176812698633554</v>
      </c>
      <c r="F43" s="122">
        <v>0.51189288441269665</v>
      </c>
      <c r="G43" s="123">
        <f t="shared" si="2"/>
        <v>6.3124E-2</v>
      </c>
      <c r="H43" s="123">
        <v>1.7970566354692949E-2</v>
      </c>
      <c r="I43" s="122">
        <f t="shared" si="3"/>
        <v>4.7526059600000004E-2</v>
      </c>
      <c r="J43" s="123">
        <f t="shared" si="4"/>
        <v>0.13823187301366446</v>
      </c>
      <c r="K43" s="122">
        <f t="shared" si="5"/>
        <v>9.8903527494348123E-2</v>
      </c>
      <c r="L43" s="124">
        <f t="shared" si="0"/>
        <v>8.2900078064818805E-2</v>
      </c>
    </row>
    <row r="44" spans="1:12" s="100" customFormat="1">
      <c r="A44" s="120" t="s">
        <v>279</v>
      </c>
      <c r="B44" s="103">
        <v>131</v>
      </c>
      <c r="C44" s="121">
        <v>0.97730649125797919</v>
      </c>
      <c r="D44" s="122">
        <f t="shared" si="1"/>
        <v>9.6363352335094979E-2</v>
      </c>
      <c r="E44" s="122">
        <v>0.86871268202245133</v>
      </c>
      <c r="F44" s="122">
        <v>0.41840255220858935</v>
      </c>
      <c r="G44" s="123">
        <f t="shared" si="2"/>
        <v>6.0454999999999995E-2</v>
      </c>
      <c r="H44" s="123">
        <v>7.8774501709053688E-2</v>
      </c>
      <c r="I44" s="122">
        <f t="shared" si="3"/>
        <v>4.55165695E-2</v>
      </c>
      <c r="J44" s="123">
        <f t="shared" si="4"/>
        <v>0.13128731797754867</v>
      </c>
      <c r="K44" s="122">
        <f t="shared" si="5"/>
        <v>8.9687814588888512E-2</v>
      </c>
      <c r="L44" s="124">
        <f t="shared" si="0"/>
        <v>7.3818574570603479E-2</v>
      </c>
    </row>
    <row r="45" spans="1:12" s="100" customFormat="1">
      <c r="A45" s="120" t="s">
        <v>280</v>
      </c>
      <c r="B45" s="103">
        <v>21</v>
      </c>
      <c r="C45" s="121">
        <v>0.62166980587481491</v>
      </c>
      <c r="D45" s="122">
        <f t="shared" si="1"/>
        <v>7.5416351566026607E-2</v>
      </c>
      <c r="E45" s="122">
        <v>0.7751591134197422</v>
      </c>
      <c r="F45" s="122">
        <v>0.27822540168105064</v>
      </c>
      <c r="G45" s="123">
        <f t="shared" si="2"/>
        <v>6.0454999999999995E-2</v>
      </c>
      <c r="H45" s="123">
        <v>6.8220148783859472E-2</v>
      </c>
      <c r="I45" s="122">
        <f t="shared" si="3"/>
        <v>4.55165695E-2</v>
      </c>
      <c r="J45" s="123">
        <f t="shared" si="4"/>
        <v>0.2248408865802578</v>
      </c>
      <c r="K45" s="122">
        <f t="shared" si="5"/>
        <v>6.8693658057744689E-2</v>
      </c>
      <c r="L45" s="124">
        <f t="shared" si="0"/>
        <v>5.3130158183117171E-2</v>
      </c>
    </row>
    <row r="46" spans="1:12" s="100" customFormat="1">
      <c r="A46" s="120" t="s">
        <v>281</v>
      </c>
      <c r="B46" s="103">
        <v>157</v>
      </c>
      <c r="C46" s="121">
        <v>1.2935071256797255</v>
      </c>
      <c r="D46" s="122">
        <f t="shared" si="1"/>
        <v>0.11498756970253583</v>
      </c>
      <c r="E46" s="122">
        <v>0.86365782445816131</v>
      </c>
      <c r="F46" s="122">
        <v>0.38250447730424403</v>
      </c>
      <c r="G46" s="123">
        <f t="shared" si="2"/>
        <v>6.0454999999999995E-2</v>
      </c>
      <c r="H46" s="123">
        <v>9.7337317054553743E-2</v>
      </c>
      <c r="I46" s="122">
        <f t="shared" si="3"/>
        <v>4.55165695E-2</v>
      </c>
      <c r="J46" s="123">
        <f t="shared" si="4"/>
        <v>0.13634217554183869</v>
      </c>
      <c r="K46" s="122">
        <f t="shared" si="5"/>
        <v>0.10551574239785458</v>
      </c>
      <c r="L46" s="124">
        <f t="shared" si="0"/>
        <v>8.9415998576526379E-2</v>
      </c>
    </row>
    <row r="47" spans="1:12" s="100" customFormat="1">
      <c r="A47" s="120" t="s">
        <v>282</v>
      </c>
      <c r="B47" s="103">
        <v>21</v>
      </c>
      <c r="C47" s="121">
        <v>1.017704497157091</v>
      </c>
      <c r="D47" s="122">
        <f t="shared" si="1"/>
        <v>9.8742794882552665E-2</v>
      </c>
      <c r="E47" s="122">
        <v>0.88524518725572854</v>
      </c>
      <c r="F47" s="122">
        <v>0.39963970737896359</v>
      </c>
      <c r="G47" s="123">
        <f t="shared" si="2"/>
        <v>6.0454999999999995E-2</v>
      </c>
      <c r="H47" s="123">
        <v>0.10197209286939604</v>
      </c>
      <c r="I47" s="122">
        <f t="shared" si="3"/>
        <v>4.55165695E-2</v>
      </c>
      <c r="J47" s="123">
        <f t="shared" si="4"/>
        <v>0.11475481274427146</v>
      </c>
      <c r="K47" s="122">
        <f t="shared" si="5"/>
        <v>9.2634829355693449E-2</v>
      </c>
      <c r="L47" s="124">
        <f t="shared" si="0"/>
        <v>7.6722671646629825E-2</v>
      </c>
    </row>
    <row r="48" spans="1:12" s="100" customFormat="1">
      <c r="A48" s="120" t="s">
        <v>283</v>
      </c>
      <c r="B48" s="103">
        <v>151</v>
      </c>
      <c r="C48" s="121">
        <v>1.2131330452408937</v>
      </c>
      <c r="D48" s="122">
        <f t="shared" si="1"/>
        <v>0.11025353636468864</v>
      </c>
      <c r="E48" s="122">
        <v>0.88201377006171922</v>
      </c>
      <c r="F48" s="122">
        <v>0.36147197968228162</v>
      </c>
      <c r="G48" s="123">
        <f t="shared" si="2"/>
        <v>6.0454999999999995E-2</v>
      </c>
      <c r="H48" s="123">
        <v>0.12354535547162446</v>
      </c>
      <c r="I48" s="122">
        <f t="shared" si="3"/>
        <v>4.55165695E-2</v>
      </c>
      <c r="J48" s="123">
        <f t="shared" si="4"/>
        <v>0.11798622993828078</v>
      </c>
      <c r="K48" s="125">
        <f t="shared" si="5"/>
        <v>0.10261546570668463</v>
      </c>
      <c r="L48" s="124">
        <f t="shared" si="0"/>
        <v>8.6557958924548428E-2</v>
      </c>
    </row>
    <row r="49" spans="1:12" s="100" customFormat="1">
      <c r="A49" s="120" t="s">
        <v>284</v>
      </c>
      <c r="B49" s="103">
        <v>162</v>
      </c>
      <c r="C49" s="121">
        <v>0.96745490637466303</v>
      </c>
      <c r="D49" s="122">
        <f t="shared" si="1"/>
        <v>9.5783093985467652E-2</v>
      </c>
      <c r="E49" s="122">
        <v>0.6113905376051022</v>
      </c>
      <c r="F49" s="122">
        <v>0.28933029381582115</v>
      </c>
      <c r="G49" s="123">
        <f t="shared" si="2"/>
        <v>6.0454999999999995E-2</v>
      </c>
      <c r="H49" s="123">
        <v>0.15524469362514215</v>
      </c>
      <c r="I49" s="122">
        <f t="shared" si="3"/>
        <v>4.55165695E-2</v>
      </c>
      <c r="J49" s="123">
        <f t="shared" si="4"/>
        <v>0.3886094623948978</v>
      </c>
      <c r="K49" s="122">
        <f t="shared" si="5"/>
        <v>7.6249046928710096E-2</v>
      </c>
      <c r="L49" s="124">
        <f t="shared" si="0"/>
        <v>6.05755171190685E-2</v>
      </c>
    </row>
    <row r="50" spans="1:12" s="100" customFormat="1">
      <c r="A50" s="120" t="s">
        <v>285</v>
      </c>
      <c r="B50" s="103">
        <v>200</v>
      </c>
      <c r="C50" s="121">
        <v>0.89160582618723849</v>
      </c>
      <c r="D50" s="122">
        <f t="shared" si="1"/>
        <v>9.1315583162428354E-2</v>
      </c>
      <c r="E50" s="122">
        <v>0.84182580616858194</v>
      </c>
      <c r="F50" s="122">
        <v>0.39460048520599533</v>
      </c>
      <c r="G50" s="123">
        <f t="shared" si="2"/>
        <v>6.0454999999999995E-2</v>
      </c>
      <c r="H50" s="123">
        <v>6.6856979880058121E-2</v>
      </c>
      <c r="I50" s="122">
        <f t="shared" si="3"/>
        <v>4.55165695E-2</v>
      </c>
      <c r="J50" s="123">
        <f t="shared" si="4"/>
        <v>0.15817419383141806</v>
      </c>
      <c r="K50" s="122">
        <f t="shared" si="5"/>
        <v>8.4071361098099651E-2</v>
      </c>
      <c r="L50" s="124">
        <f t="shared" si="0"/>
        <v>6.8283914091816555E-2</v>
      </c>
    </row>
    <row r="51" spans="1:12" s="100" customFormat="1">
      <c r="A51" s="120" t="s">
        <v>286</v>
      </c>
      <c r="B51" s="103">
        <v>52</v>
      </c>
      <c r="C51" s="121">
        <v>1.1149113651414317</v>
      </c>
      <c r="D51" s="122">
        <f t="shared" si="1"/>
        <v>0.10446827940683033</v>
      </c>
      <c r="E51" s="122">
        <v>0.66261763138170693</v>
      </c>
      <c r="F51" s="122">
        <v>0.35073311275951996</v>
      </c>
      <c r="G51" s="123">
        <f t="shared" si="2"/>
        <v>6.0454999999999995E-2</v>
      </c>
      <c r="H51" s="123">
        <v>0.14445098028210721</v>
      </c>
      <c r="I51" s="122">
        <f t="shared" si="3"/>
        <v>4.55165695E-2</v>
      </c>
      <c r="J51" s="123">
        <f t="shared" si="4"/>
        <v>0.33738236861829307</v>
      </c>
      <c r="K51" s="122">
        <f t="shared" si="5"/>
        <v>8.4579011884365424E-2</v>
      </c>
      <c r="L51" s="124">
        <f t="shared" si="0"/>
        <v>6.8784171905466707E-2</v>
      </c>
    </row>
    <row r="52" spans="1:12" s="100" customFormat="1">
      <c r="A52" s="120" t="s">
        <v>287</v>
      </c>
      <c r="B52" s="103">
        <v>50</v>
      </c>
      <c r="C52" s="121">
        <v>0.79668334263767149</v>
      </c>
      <c r="D52" s="122">
        <f t="shared" si="1"/>
        <v>8.5724648881358861E-2</v>
      </c>
      <c r="E52" s="122">
        <v>0.52952934447144073</v>
      </c>
      <c r="F52" s="122">
        <v>0.30339794047550289</v>
      </c>
      <c r="G52" s="123">
        <f t="shared" si="2"/>
        <v>6.0454999999999995E-2</v>
      </c>
      <c r="H52" s="123">
        <v>0.13566818150408974</v>
      </c>
      <c r="I52" s="122">
        <f t="shared" si="3"/>
        <v>4.55165695E-2</v>
      </c>
      <c r="J52" s="123">
        <f t="shared" si="4"/>
        <v>0.47047065552855927</v>
      </c>
      <c r="K52" s="122">
        <f t="shared" si="5"/>
        <v>6.6807927417266613E-2</v>
      </c>
      <c r="L52" s="124">
        <f t="shared" si="0"/>
        <v>5.1271889639345147E-2</v>
      </c>
    </row>
    <row r="53" spans="1:12" s="100" customFormat="1">
      <c r="A53" s="120" t="s">
        <v>288</v>
      </c>
      <c r="B53" s="103">
        <v>143</v>
      </c>
      <c r="C53" s="121">
        <v>1.0216367356825768</v>
      </c>
      <c r="D53" s="122">
        <f t="shared" si="1"/>
        <v>9.8974403731703769E-2</v>
      </c>
      <c r="E53" s="122">
        <v>0.19569730979075073</v>
      </c>
      <c r="F53" s="122">
        <v>0.35551361693245503</v>
      </c>
      <c r="G53" s="123">
        <f t="shared" si="2"/>
        <v>6.0454999999999995E-2</v>
      </c>
      <c r="H53" s="123">
        <v>0.13338034943382607</v>
      </c>
      <c r="I53" s="122">
        <f t="shared" si="3"/>
        <v>4.55165695E-2</v>
      </c>
      <c r="J53" s="123">
        <f t="shared" si="4"/>
        <v>0.80430269020924927</v>
      </c>
      <c r="K53" s="122">
        <f t="shared" si="5"/>
        <v>5.5978123846384328E-2</v>
      </c>
      <c r="L53" s="124">
        <f t="shared" si="0"/>
        <v>4.0599801654446654E-2</v>
      </c>
    </row>
    <row r="54" spans="1:12" s="100" customFormat="1">
      <c r="A54" s="120" t="s">
        <v>289</v>
      </c>
      <c r="B54" s="103">
        <v>169</v>
      </c>
      <c r="C54" s="121">
        <v>0.5989668816915108</v>
      </c>
      <c r="D54" s="122">
        <f t="shared" si="1"/>
        <v>7.4079149331629984E-2</v>
      </c>
      <c r="E54" s="122">
        <v>0.79652344429732991</v>
      </c>
      <c r="F54" s="122">
        <v>0.25796106969138299</v>
      </c>
      <c r="G54" s="123">
        <f t="shared" si="2"/>
        <v>6.0454999999999995E-2</v>
      </c>
      <c r="H54" s="123">
        <v>0.14605911697751275</v>
      </c>
      <c r="I54" s="122">
        <f t="shared" si="3"/>
        <v>4.55165695E-2</v>
      </c>
      <c r="J54" s="123">
        <f t="shared" si="4"/>
        <v>0.20347655570267009</v>
      </c>
      <c r="K54" s="122">
        <f t="shared" si="5"/>
        <v>6.8267333965507368E-2</v>
      </c>
      <c r="L54" s="124">
        <f t="shared" si="0"/>
        <v>5.2710042694164905E-2</v>
      </c>
    </row>
    <row r="55" spans="1:12" s="100" customFormat="1">
      <c r="A55" s="120" t="s">
        <v>290</v>
      </c>
      <c r="B55" s="103">
        <v>14</v>
      </c>
      <c r="C55" s="121">
        <v>0.76416255898974117</v>
      </c>
      <c r="D55" s="122">
        <f t="shared" si="1"/>
        <v>8.3809174724495755E-2</v>
      </c>
      <c r="E55" s="122">
        <v>0.37512407271881498</v>
      </c>
      <c r="F55" s="122">
        <v>0.28873718799518366</v>
      </c>
      <c r="G55" s="123">
        <f t="shared" si="2"/>
        <v>6.0454999999999995E-2</v>
      </c>
      <c r="H55" s="123">
        <v>0.18696210183783005</v>
      </c>
      <c r="I55" s="122">
        <f t="shared" si="3"/>
        <v>4.55165695E-2</v>
      </c>
      <c r="J55" s="123">
        <f t="shared" si="4"/>
        <v>0.62487592728118502</v>
      </c>
      <c r="K55" s="122">
        <f t="shared" si="5"/>
        <v>5.9881047526826617E-2</v>
      </c>
      <c r="L55" s="124">
        <f t="shared" si="0"/>
        <v>4.4445886640513521E-2</v>
      </c>
    </row>
    <row r="56" spans="1:12" s="100" customFormat="1">
      <c r="A56" s="120" t="s">
        <v>291</v>
      </c>
      <c r="B56" s="103">
        <v>52</v>
      </c>
      <c r="C56" s="121">
        <v>0.90140674201886739</v>
      </c>
      <c r="D56" s="122">
        <f t="shared" si="1"/>
        <v>9.1892857104911296E-2</v>
      </c>
      <c r="E56" s="122">
        <v>0.59783561768118254</v>
      </c>
      <c r="F56" s="122">
        <v>0.30170994950229618</v>
      </c>
      <c r="G56" s="123">
        <f t="shared" si="2"/>
        <v>6.0454999999999995E-2</v>
      </c>
      <c r="H56" s="123">
        <v>0.14498121846848683</v>
      </c>
      <c r="I56" s="122">
        <f t="shared" si="3"/>
        <v>4.55165695E-2</v>
      </c>
      <c r="J56" s="123">
        <f t="shared" si="4"/>
        <v>0.40216438231881746</v>
      </c>
      <c r="K56" s="122">
        <f t="shared" si="5"/>
        <v>7.3241966046042314E-2</v>
      </c>
      <c r="L56" s="124">
        <f t="shared" si="0"/>
        <v>5.7612228676439781E-2</v>
      </c>
    </row>
    <row r="57" spans="1:12" s="100" customFormat="1">
      <c r="A57" s="120" t="s">
        <v>292</v>
      </c>
      <c r="B57" s="103">
        <v>66</v>
      </c>
      <c r="C57" s="121">
        <v>0.83099533706975048</v>
      </c>
      <c r="D57" s="122">
        <f t="shared" si="1"/>
        <v>8.7745625353408296E-2</v>
      </c>
      <c r="E57" s="122">
        <v>0.57586496203097659</v>
      </c>
      <c r="F57" s="122">
        <v>0.33260833062017342</v>
      </c>
      <c r="G57" s="123">
        <f t="shared" si="2"/>
        <v>6.0454999999999995E-2</v>
      </c>
      <c r="H57" s="123">
        <v>9.0900445260106294E-2</v>
      </c>
      <c r="I57" s="122">
        <f t="shared" si="3"/>
        <v>4.55165695E-2</v>
      </c>
      <c r="J57" s="123">
        <f t="shared" si="4"/>
        <v>0.42413503796902341</v>
      </c>
      <c r="K57" s="122">
        <f t="shared" si="5"/>
        <v>6.9834803145626956E-2</v>
      </c>
      <c r="L57" s="124">
        <f t="shared" si="0"/>
        <v>5.4254684653214813E-2</v>
      </c>
    </row>
    <row r="58" spans="1:12" s="100" customFormat="1">
      <c r="A58" s="120" t="s">
        <v>293</v>
      </c>
      <c r="B58" s="103">
        <v>182</v>
      </c>
      <c r="C58" s="121">
        <v>1.1934810943942749</v>
      </c>
      <c r="D58" s="122">
        <f t="shared" si="1"/>
        <v>0.10909603645982278</v>
      </c>
      <c r="E58" s="122">
        <v>0.83858169602287314</v>
      </c>
      <c r="F58" s="122">
        <v>0.45248663574391795</v>
      </c>
      <c r="G58" s="123">
        <f t="shared" si="2"/>
        <v>6.0454999999999995E-2</v>
      </c>
      <c r="H58" s="123">
        <v>7.4931131623614547E-2</v>
      </c>
      <c r="I58" s="122">
        <f t="shared" si="3"/>
        <v>4.55165695E-2</v>
      </c>
      <c r="J58" s="123">
        <f t="shared" si="4"/>
        <v>0.16141830397712686</v>
      </c>
      <c r="K58" s="122">
        <f t="shared" si="5"/>
        <v>9.8833146735398406E-2</v>
      </c>
      <c r="L58" s="124">
        <f t="shared" si="0"/>
        <v>8.2830722268377954E-2</v>
      </c>
    </row>
    <row r="59" spans="1:12" s="100" customFormat="1">
      <c r="A59" s="120" t="s">
        <v>294</v>
      </c>
      <c r="B59" s="103">
        <v>45</v>
      </c>
      <c r="C59" s="121">
        <v>0.8558791331118023</v>
      </c>
      <c r="D59" s="122">
        <f t="shared" si="1"/>
        <v>8.9211280940285159E-2</v>
      </c>
      <c r="E59" s="122">
        <v>0.58894600855090262</v>
      </c>
      <c r="F59" s="122">
        <v>0.31308910256725969</v>
      </c>
      <c r="G59" s="123">
        <f t="shared" si="2"/>
        <v>6.0454999999999995E-2</v>
      </c>
      <c r="H59" s="123">
        <v>0.13951494494110495</v>
      </c>
      <c r="I59" s="122">
        <f t="shared" si="3"/>
        <v>4.55165695E-2</v>
      </c>
      <c r="J59" s="123">
        <f t="shared" si="4"/>
        <v>0.41105399144909738</v>
      </c>
      <c r="K59" s="122">
        <f t="shared" si="5"/>
        <v>7.1250395397539412E-2</v>
      </c>
      <c r="L59" s="124">
        <f t="shared" si="0"/>
        <v>5.5649661483982982E-2</v>
      </c>
    </row>
    <row r="60" spans="1:12" s="100" customFormat="1">
      <c r="A60" s="120" t="s">
        <v>295</v>
      </c>
      <c r="B60" s="103">
        <v>95</v>
      </c>
      <c r="C60" s="121">
        <v>1.1684975665107238</v>
      </c>
      <c r="D60" s="122">
        <f t="shared" si="1"/>
        <v>0.10762450666748163</v>
      </c>
      <c r="E60" s="122">
        <v>0.87557983083504909</v>
      </c>
      <c r="F60" s="122">
        <v>0.36864747977878082</v>
      </c>
      <c r="G60" s="123">
        <f t="shared" si="2"/>
        <v>6.0454999999999995E-2</v>
      </c>
      <c r="H60" s="123">
        <v>8.0560305172723348E-2</v>
      </c>
      <c r="I60" s="122">
        <f t="shared" si="3"/>
        <v>4.55165695E-2</v>
      </c>
      <c r="J60" s="123">
        <f t="shared" si="4"/>
        <v>0.12442016916495091</v>
      </c>
      <c r="K60" s="122">
        <f t="shared" si="5"/>
        <v>9.9897026618617435E-2</v>
      </c>
      <c r="L60" s="124">
        <f t="shared" si="0"/>
        <v>8.3879108755239296E-2</v>
      </c>
    </row>
    <row r="61" spans="1:12" s="100" customFormat="1">
      <c r="A61" s="120" t="s">
        <v>296</v>
      </c>
      <c r="B61" s="103">
        <v>43</v>
      </c>
      <c r="C61" s="121">
        <v>1.1386417797685302</v>
      </c>
      <c r="D61" s="122">
        <f t="shared" si="1"/>
        <v>0.10586600082836643</v>
      </c>
      <c r="E61" s="122">
        <v>0.84014462375873111</v>
      </c>
      <c r="F61" s="122">
        <v>0.29430402389434418</v>
      </c>
      <c r="G61" s="123">
        <f t="shared" si="2"/>
        <v>6.0454999999999995E-2</v>
      </c>
      <c r="H61" s="123">
        <v>0.14986864525121921</v>
      </c>
      <c r="I61" s="122">
        <f t="shared" si="3"/>
        <v>4.55165695E-2</v>
      </c>
      <c r="J61" s="123">
        <f t="shared" si="4"/>
        <v>0.15985537624126889</v>
      </c>
      <c r="K61" s="122">
        <f t="shared" si="5"/>
        <v>9.6218819777423789E-2</v>
      </c>
      <c r="L61" s="124">
        <f t="shared" si="0"/>
        <v>8.025446803309233E-2</v>
      </c>
    </row>
    <row r="62" spans="1:12" s="100" customFormat="1">
      <c r="A62" s="120" t="s">
        <v>297</v>
      </c>
      <c r="B62" s="103">
        <v>29</v>
      </c>
      <c r="C62" s="121">
        <v>0.56228957725443496</v>
      </c>
      <c r="D62" s="122">
        <f t="shared" si="1"/>
        <v>7.1918856100286227E-2</v>
      </c>
      <c r="E62" s="122">
        <v>0.28056885276482579</v>
      </c>
      <c r="F62" s="122">
        <v>0.28128884047543545</v>
      </c>
      <c r="G62" s="123">
        <f t="shared" si="2"/>
        <v>6.0454999999999995E-2</v>
      </c>
      <c r="H62" s="123">
        <v>0.15839946050645295</v>
      </c>
      <c r="I62" s="122">
        <f t="shared" si="3"/>
        <v>4.55165695E-2</v>
      </c>
      <c r="J62" s="123">
        <f t="shared" si="4"/>
        <v>0.71943114723517421</v>
      </c>
      <c r="K62" s="122">
        <f t="shared" si="5"/>
        <v>5.2924228761810438E-2</v>
      </c>
      <c r="L62" s="124">
        <f t="shared" si="0"/>
        <v>3.7590380770133436E-2</v>
      </c>
    </row>
    <row r="63" spans="1:12" s="100" customFormat="1">
      <c r="A63" s="120" t="s">
        <v>298</v>
      </c>
      <c r="B63" s="103">
        <v>106</v>
      </c>
      <c r="C63" s="121">
        <v>1.195646747312114</v>
      </c>
      <c r="D63" s="122">
        <f t="shared" si="1"/>
        <v>0.10922359341668351</v>
      </c>
      <c r="E63" s="122">
        <v>0.73980588991310858</v>
      </c>
      <c r="F63" s="122">
        <v>0.35113806119976015</v>
      </c>
      <c r="G63" s="123">
        <f t="shared" si="2"/>
        <v>6.0454999999999995E-2</v>
      </c>
      <c r="H63" s="123">
        <v>9.9972614194437676E-2</v>
      </c>
      <c r="I63" s="122">
        <f t="shared" si="3"/>
        <v>4.55165695E-2</v>
      </c>
      <c r="J63" s="123">
        <f t="shared" si="4"/>
        <v>0.26019411008689142</v>
      </c>
      <c r="K63" s="122">
        <f t="shared" si="5"/>
        <v>9.2647401022397741E-2</v>
      </c>
      <c r="L63" s="124">
        <f t="shared" si="0"/>
        <v>7.6735060230809227E-2</v>
      </c>
    </row>
    <row r="64" spans="1:12" s="100" customFormat="1">
      <c r="A64" s="120" t="s">
        <v>299</v>
      </c>
      <c r="B64" s="103">
        <v>70</v>
      </c>
      <c r="C64" s="121">
        <v>0.94816627497321804</v>
      </c>
      <c r="D64" s="122">
        <f t="shared" si="1"/>
        <v>9.4646993595922546E-2</v>
      </c>
      <c r="E64" s="122">
        <v>0.87275890469994311</v>
      </c>
      <c r="F64" s="122">
        <v>0.35397113083748566</v>
      </c>
      <c r="G64" s="123">
        <f t="shared" si="2"/>
        <v>6.0454999999999995E-2</v>
      </c>
      <c r="H64" s="123">
        <v>0.11830247115713513</v>
      </c>
      <c r="I64" s="122">
        <f t="shared" si="3"/>
        <v>4.55165695E-2</v>
      </c>
      <c r="J64" s="123">
        <f t="shared" si="4"/>
        <v>0.12724109530005689</v>
      </c>
      <c r="K64" s="122">
        <f t="shared" si="5"/>
        <v>8.8395584621401055E-2</v>
      </c>
      <c r="L64" s="124">
        <f t="shared" si="0"/>
        <v>7.254516348613782E-2</v>
      </c>
    </row>
    <row r="65" spans="1:12" s="100" customFormat="1">
      <c r="A65" s="120" t="s">
        <v>300</v>
      </c>
      <c r="B65" s="103">
        <v>6</v>
      </c>
      <c r="C65" s="121">
        <v>2.5196619753187326</v>
      </c>
      <c r="D65" s="122">
        <f t="shared" si="1"/>
        <v>0.18720809034627336</v>
      </c>
      <c r="E65" s="122">
        <v>0.63104080652772376</v>
      </c>
      <c r="F65" s="122">
        <v>0.38570116251229974</v>
      </c>
      <c r="G65" s="123">
        <f t="shared" si="2"/>
        <v>6.0454999999999995E-2</v>
      </c>
      <c r="H65" s="123">
        <v>6.6137455690543911E-2</v>
      </c>
      <c r="I65" s="122">
        <f t="shared" si="3"/>
        <v>4.55165695E-2</v>
      </c>
      <c r="J65" s="123">
        <f t="shared" si="4"/>
        <v>0.36895919347227624</v>
      </c>
      <c r="K65" s="122">
        <f t="shared" si="5"/>
        <v>0.13492970109297214</v>
      </c>
      <c r="L65" s="124">
        <f t="shared" si="0"/>
        <v>0.11840159864987054</v>
      </c>
    </row>
    <row r="66" spans="1:12" s="100" customFormat="1">
      <c r="A66" s="120" t="s">
        <v>301</v>
      </c>
      <c r="B66" s="103">
        <v>36</v>
      </c>
      <c r="C66" s="121">
        <v>0.93306978755739678</v>
      </c>
      <c r="D66" s="122">
        <f t="shared" si="1"/>
        <v>9.3757810487130666E-2</v>
      </c>
      <c r="E66" s="122">
        <v>0.71488159901095261</v>
      </c>
      <c r="F66" s="122">
        <v>0.20595789341238463</v>
      </c>
      <c r="G66" s="123">
        <f t="shared" si="2"/>
        <v>5.4642999999999997E-2</v>
      </c>
      <c r="H66" s="123">
        <v>0.15889835536105867</v>
      </c>
      <c r="I66" s="122">
        <f t="shared" si="3"/>
        <v>4.1140714699999997E-2</v>
      </c>
      <c r="J66" s="123">
        <f t="shared" si="4"/>
        <v>0.28511840098904739</v>
      </c>
      <c r="K66" s="122">
        <f t="shared" si="5"/>
        <v>7.8755708271616431E-2</v>
      </c>
      <c r="L66" s="124">
        <f t="shared" si="0"/>
        <v>6.3045673685136361E-2</v>
      </c>
    </row>
    <row r="67" spans="1:12" s="100" customFormat="1">
      <c r="A67" s="120" t="s">
        <v>302</v>
      </c>
      <c r="B67" s="103">
        <v>16</v>
      </c>
      <c r="C67" s="121">
        <v>1.1359621152622124</v>
      </c>
      <c r="D67" s="122">
        <f t="shared" si="1"/>
        <v>0.10570816858894432</v>
      </c>
      <c r="E67" s="122">
        <v>0.36881949457171115</v>
      </c>
      <c r="F67" s="122">
        <v>0.19983865488258035</v>
      </c>
      <c r="G67" s="123">
        <f t="shared" si="2"/>
        <v>5.4642999999999997E-2</v>
      </c>
      <c r="H67" s="123">
        <v>0.14257900115046152</v>
      </c>
      <c r="I67" s="122">
        <f t="shared" si="3"/>
        <v>4.1140714699999997E-2</v>
      </c>
      <c r="J67" s="123">
        <f t="shared" si="4"/>
        <v>0.63118050542828885</v>
      </c>
      <c r="K67" s="122">
        <f t="shared" si="5"/>
        <v>6.4954450409102707E-2</v>
      </c>
      <c r="L67" s="124">
        <f t="shared" si="0"/>
        <v>4.9445405014795218E-2</v>
      </c>
    </row>
    <row r="68" spans="1:12" s="100" customFormat="1">
      <c r="A68" s="120" t="s">
        <v>303</v>
      </c>
      <c r="B68" s="103">
        <v>19</v>
      </c>
      <c r="C68" s="121">
        <v>0.69042252875835886</v>
      </c>
      <c r="D68" s="122">
        <f t="shared" si="1"/>
        <v>7.9465886943867331E-2</v>
      </c>
      <c r="E68" s="122">
        <v>0.83765779269681617</v>
      </c>
      <c r="F68" s="122">
        <v>0.230777965767056</v>
      </c>
      <c r="G68" s="123">
        <f t="shared" si="2"/>
        <v>5.4642999999999997E-2</v>
      </c>
      <c r="H68" s="123">
        <v>0.13374846750805483</v>
      </c>
      <c r="I68" s="122">
        <f t="shared" si="3"/>
        <v>4.1140714699999997E-2</v>
      </c>
      <c r="J68" s="123">
        <f t="shared" si="4"/>
        <v>0.16234220730318383</v>
      </c>
      <c r="K68" s="122">
        <f t="shared" si="5"/>
        <v>7.3244093886523184E-2</v>
      </c>
      <c r="L68" s="124">
        <f t="shared" si="0"/>
        <v>5.7614325528952293E-2</v>
      </c>
    </row>
    <row r="69" spans="1:12" s="100" customFormat="1">
      <c r="A69" s="120" t="s">
        <v>304</v>
      </c>
      <c r="B69" s="103">
        <v>350</v>
      </c>
      <c r="C69" s="121">
        <v>0.88685563464017436</v>
      </c>
      <c r="D69" s="122">
        <f t="shared" si="1"/>
        <v>9.1035796880306274E-2</v>
      </c>
      <c r="E69" s="122">
        <v>0.78659252458920803</v>
      </c>
      <c r="F69" s="122">
        <v>0.30093381709767331</v>
      </c>
      <c r="G69" s="123">
        <f t="shared" si="2"/>
        <v>6.0454999999999995E-2</v>
      </c>
      <c r="H69" s="123">
        <v>7.0415280569102998E-2</v>
      </c>
      <c r="I69" s="122">
        <f t="shared" si="3"/>
        <v>4.55165695E-2</v>
      </c>
      <c r="J69" s="123">
        <f t="shared" si="4"/>
        <v>0.21340747541079197</v>
      </c>
      <c r="K69" s="122">
        <f t="shared" si="5"/>
        <v>8.1321653482425316E-2</v>
      </c>
      <c r="L69" s="124">
        <f t="shared" si="0"/>
        <v>6.557425076180734E-2</v>
      </c>
    </row>
    <row r="70" spans="1:12" s="100" customFormat="1">
      <c r="A70" s="120" t="s">
        <v>305</v>
      </c>
      <c r="B70" s="103">
        <v>219</v>
      </c>
      <c r="C70" s="121">
        <v>1.1746048028969782</v>
      </c>
      <c r="D70" s="122">
        <f t="shared" si="1"/>
        <v>0.10798422289063202</v>
      </c>
      <c r="E70" s="122">
        <v>0.88749986542829573</v>
      </c>
      <c r="F70" s="122">
        <v>0.30786756395107828</v>
      </c>
      <c r="G70" s="123">
        <f t="shared" si="2"/>
        <v>6.0454999999999995E-2</v>
      </c>
      <c r="H70" s="123">
        <v>0.14738852291402182</v>
      </c>
      <c r="I70" s="122">
        <f t="shared" si="3"/>
        <v>4.55165695E-2</v>
      </c>
      <c r="J70" s="123">
        <f t="shared" si="4"/>
        <v>0.11250013457170427</v>
      </c>
      <c r="K70" s="122">
        <f t="shared" si="5"/>
        <v>0.10095660347780734</v>
      </c>
      <c r="L70" s="124">
        <f t="shared" si="0"/>
        <v>8.4923254883470189E-2</v>
      </c>
    </row>
    <row r="71" spans="1:12" s="100" customFormat="1">
      <c r="A71" s="120" t="s">
        <v>306</v>
      </c>
      <c r="B71" s="103">
        <v>120</v>
      </c>
      <c r="C71" s="121">
        <v>1.0517443227154515</v>
      </c>
      <c r="D71" s="122">
        <f t="shared" si="1"/>
        <v>0.10074774060794009</v>
      </c>
      <c r="E71" s="122">
        <v>0.78629446856654561</v>
      </c>
      <c r="F71" s="122">
        <v>0.43006687148152678</v>
      </c>
      <c r="G71" s="123">
        <f t="shared" si="2"/>
        <v>6.0454999999999995E-2</v>
      </c>
      <c r="H71" s="123">
        <v>7.7153818133751245E-2</v>
      </c>
      <c r="I71" s="122">
        <f t="shared" si="3"/>
        <v>4.55165695E-2</v>
      </c>
      <c r="J71" s="123">
        <f t="shared" si="4"/>
        <v>0.21370553143345439</v>
      </c>
      <c r="K71" s="122">
        <f t="shared" si="5"/>
        <v>8.8944533834625694E-2</v>
      </c>
      <c r="L71" s="124">
        <f t="shared" si="0"/>
        <v>7.308611829334466E-2</v>
      </c>
    </row>
    <row r="72" spans="1:12" s="100" customFormat="1">
      <c r="A72" s="120" t="s">
        <v>307</v>
      </c>
      <c r="B72" s="103">
        <v>22</v>
      </c>
      <c r="C72" s="121">
        <v>0.70801024052303263</v>
      </c>
      <c r="D72" s="122">
        <f t="shared" si="1"/>
        <v>8.0501803166806621E-2</v>
      </c>
      <c r="E72" s="122">
        <v>0.81595793785646542</v>
      </c>
      <c r="F72" s="122">
        <v>0.25828228476517473</v>
      </c>
      <c r="G72" s="123">
        <f t="shared" si="2"/>
        <v>6.0454999999999995E-2</v>
      </c>
      <c r="H72" s="123">
        <v>0.22933357548858968</v>
      </c>
      <c r="I72" s="122">
        <f t="shared" si="3"/>
        <v>4.55165695E-2</v>
      </c>
      <c r="J72" s="123">
        <f t="shared" si="4"/>
        <v>0.18404206214353458</v>
      </c>
      <c r="K72" s="122">
        <f t="shared" si="5"/>
        <v>7.4063048618194127E-2</v>
      </c>
      <c r="L72" s="124">
        <f t="shared" si="0"/>
        <v>5.8421353735404802E-2</v>
      </c>
    </row>
    <row r="73" spans="1:12" s="100" customFormat="1">
      <c r="A73" s="120" t="s">
        <v>308</v>
      </c>
      <c r="B73" s="103">
        <v>12</v>
      </c>
      <c r="C73" s="121">
        <v>0.78256853870304433</v>
      </c>
      <c r="D73" s="122">
        <f t="shared" si="1"/>
        <v>8.4893286929609318E-2</v>
      </c>
      <c r="E73" s="122">
        <v>0.69441704258518855</v>
      </c>
      <c r="F73" s="122">
        <v>0.23548032311746692</v>
      </c>
      <c r="G73" s="123">
        <f t="shared" si="2"/>
        <v>5.4642999999999997E-2</v>
      </c>
      <c r="H73" s="123">
        <v>0.36563322110742341</v>
      </c>
      <c r="I73" s="122">
        <f t="shared" si="3"/>
        <v>4.1140714699999997E-2</v>
      </c>
      <c r="J73" s="123">
        <f t="shared" si="4"/>
        <v>0.30558295741481145</v>
      </c>
      <c r="K73" s="122">
        <f t="shared" si="5"/>
        <v>7.152324651318015E-2</v>
      </c>
      <c r="L73" s="124">
        <f t="shared" si="0"/>
        <v>5.5918539039687021E-2</v>
      </c>
    </row>
    <row r="74" spans="1:12" s="100" customFormat="1">
      <c r="A74" s="120" t="s">
        <v>309</v>
      </c>
      <c r="B74" s="103">
        <v>91</v>
      </c>
      <c r="C74" s="121">
        <v>0.84204926960124005</v>
      </c>
      <c r="D74" s="122">
        <f t="shared" si="1"/>
        <v>8.8396701979513048E-2</v>
      </c>
      <c r="E74" s="122">
        <v>0.6001966145261235</v>
      </c>
      <c r="F74" s="122">
        <v>0.50944001847354348</v>
      </c>
      <c r="G74" s="123">
        <f t="shared" si="2"/>
        <v>6.3124E-2</v>
      </c>
      <c r="H74" s="123">
        <v>0.10793852127153462</v>
      </c>
      <c r="I74" s="122">
        <f t="shared" si="3"/>
        <v>4.7526059600000004E-2</v>
      </c>
      <c r="J74" s="123">
        <f t="shared" si="4"/>
        <v>0.3998033854738765</v>
      </c>
      <c r="K74" s="122">
        <f t="shared" si="5"/>
        <v>7.2056480789691638E-2</v>
      </c>
      <c r="L74" s="124">
        <f t="shared" si="0"/>
        <v>5.6444007768482463E-2</v>
      </c>
    </row>
    <row r="75" spans="1:12" s="100" customFormat="1">
      <c r="A75" s="120" t="s">
        <v>310</v>
      </c>
      <c r="B75" s="103">
        <v>29</v>
      </c>
      <c r="C75" s="121">
        <v>0.76487278730437169</v>
      </c>
      <c r="D75" s="122">
        <f t="shared" si="1"/>
        <v>8.3851007172227487E-2</v>
      </c>
      <c r="E75" s="122">
        <v>0.63167137141466556</v>
      </c>
      <c r="F75" s="122">
        <v>0.35809607157798468</v>
      </c>
      <c r="G75" s="123">
        <f t="shared" si="2"/>
        <v>6.0454999999999995E-2</v>
      </c>
      <c r="H75" s="123">
        <v>0.11695880092480608</v>
      </c>
      <c r="I75" s="122">
        <f t="shared" si="3"/>
        <v>4.55165695E-2</v>
      </c>
      <c r="J75" s="123">
        <f t="shared" si="4"/>
        <v>0.36832862858533444</v>
      </c>
      <c r="K75" s="122">
        <f t="shared" si="5"/>
        <v>6.9731336316825959E-2</v>
      </c>
      <c r="L75" s="124">
        <f t="shared" si="0"/>
        <v>5.4152724622891446E-2</v>
      </c>
    </row>
    <row r="76" spans="1:12" s="100" customFormat="1">
      <c r="A76" s="120" t="s">
        <v>311</v>
      </c>
      <c r="B76" s="103">
        <v>67</v>
      </c>
      <c r="C76" s="121">
        <v>1.1191956476665332</v>
      </c>
      <c r="D76" s="122">
        <f t="shared" si="1"/>
        <v>0.10472062364755881</v>
      </c>
      <c r="E76" s="122">
        <v>0.73874934344912613</v>
      </c>
      <c r="F76" s="122">
        <v>0.39083347261237072</v>
      </c>
      <c r="G76" s="123">
        <f t="shared" si="2"/>
        <v>6.0454999999999995E-2</v>
      </c>
      <c r="H76" s="123">
        <v>0.13369690334216425</v>
      </c>
      <c r="I76" s="122">
        <f t="shared" si="3"/>
        <v>4.55165695E-2</v>
      </c>
      <c r="J76" s="123">
        <f t="shared" si="4"/>
        <v>0.26125065655087387</v>
      </c>
      <c r="K76" s="122">
        <f t="shared" si="5"/>
        <v>8.9253525631035585E-2</v>
      </c>
      <c r="L76" s="124">
        <f t="shared" si="0"/>
        <v>7.3390610209224327E-2</v>
      </c>
    </row>
    <row r="77" spans="1:12" s="100" customFormat="1">
      <c r="A77" s="120" t="s">
        <v>312</v>
      </c>
      <c r="B77" s="103">
        <v>44</v>
      </c>
      <c r="C77" s="121">
        <v>0.79441518522562971</v>
      </c>
      <c r="D77" s="122">
        <f t="shared" si="1"/>
        <v>8.5591054409789591E-2</v>
      </c>
      <c r="E77" s="122">
        <v>0.68510341871673486</v>
      </c>
      <c r="F77" s="122">
        <v>0.27277399788128837</v>
      </c>
      <c r="G77" s="123">
        <f t="shared" si="2"/>
        <v>6.0454999999999995E-2</v>
      </c>
      <c r="H77" s="123">
        <v>0.1260432671704044</v>
      </c>
      <c r="I77" s="122">
        <f t="shared" si="3"/>
        <v>4.55165695E-2</v>
      </c>
      <c r="J77" s="123">
        <f t="shared" si="4"/>
        <v>0.31489658128326514</v>
      </c>
      <c r="K77" s="122">
        <f t="shared" si="5"/>
        <v>7.2971736115009053E-2</v>
      </c>
      <c r="L77" s="124">
        <f t="shared" si="0"/>
        <v>5.7345934132751575E-2</v>
      </c>
    </row>
    <row r="78" spans="1:12" s="100" customFormat="1">
      <c r="A78" s="120" t="s">
        <v>313</v>
      </c>
      <c r="B78" s="103">
        <v>38</v>
      </c>
      <c r="C78" s="121">
        <v>0.73151685382237341</v>
      </c>
      <c r="D78" s="122">
        <f t="shared" si="1"/>
        <v>8.1886342690137795E-2</v>
      </c>
      <c r="E78" s="122">
        <v>0.78953314089043358</v>
      </c>
      <c r="F78" s="122">
        <v>0.25783161713426789</v>
      </c>
      <c r="G78" s="123">
        <f t="shared" si="2"/>
        <v>6.0454999999999995E-2</v>
      </c>
      <c r="H78" s="123">
        <v>0.16416974609436566</v>
      </c>
      <c r="I78" s="122">
        <f t="shared" si="3"/>
        <v>4.55165695E-2</v>
      </c>
      <c r="J78" s="123">
        <f t="shared" si="4"/>
        <v>0.21046685910956642</v>
      </c>
      <c r="K78" s="122">
        <f t="shared" si="5"/>
        <v>7.4231710760282177E-2</v>
      </c>
      <c r="L78" s="124">
        <f t="shared" si="0"/>
        <v>5.8587559632705011E-2</v>
      </c>
    </row>
    <row r="79" spans="1:12" s="100" customFormat="1">
      <c r="A79" s="120" t="s">
        <v>314</v>
      </c>
      <c r="B79" s="103">
        <v>73</v>
      </c>
      <c r="C79" s="121">
        <v>0.77873860902772818</v>
      </c>
      <c r="D79" s="122">
        <f t="shared" si="1"/>
        <v>8.4667704071733185E-2</v>
      </c>
      <c r="E79" s="122">
        <v>0.60735630047647349</v>
      </c>
      <c r="F79" s="122">
        <v>0.31125655481055869</v>
      </c>
      <c r="G79" s="123">
        <f t="shared" si="2"/>
        <v>6.0454999999999995E-2</v>
      </c>
      <c r="H79" s="123">
        <v>0.15380180860405573</v>
      </c>
      <c r="I79" s="122">
        <f t="shared" si="3"/>
        <v>4.55165695E-2</v>
      </c>
      <c r="J79" s="123">
        <f t="shared" si="4"/>
        <v>0.39264369952352651</v>
      </c>
      <c r="K79" s="122">
        <f t="shared" si="5"/>
        <v>6.9295257752944428E-2</v>
      </c>
      <c r="L79" s="124">
        <f t="shared" si="0"/>
        <v>5.3722996717707305E-2</v>
      </c>
    </row>
    <row r="80" spans="1:12" s="100" customFormat="1">
      <c r="A80" s="120" t="s">
        <v>315</v>
      </c>
      <c r="B80" s="103">
        <v>46</v>
      </c>
      <c r="C80" s="121">
        <v>1.134958303654692</v>
      </c>
      <c r="D80" s="122">
        <f t="shared" si="1"/>
        <v>0.10564904408526136</v>
      </c>
      <c r="E80" s="122">
        <v>0.84575275517828652</v>
      </c>
      <c r="F80" s="122">
        <v>0.42341743715023983</v>
      </c>
      <c r="G80" s="123">
        <f t="shared" si="2"/>
        <v>6.0454999999999995E-2</v>
      </c>
      <c r="H80" s="123">
        <v>0.10177416289447845</v>
      </c>
      <c r="I80" s="122">
        <f t="shared" si="3"/>
        <v>4.55165695E-2</v>
      </c>
      <c r="J80" s="123">
        <f t="shared" si="4"/>
        <v>0.15424724482171348</v>
      </c>
      <c r="K80" s="122">
        <f t="shared" si="5"/>
        <v>9.6373775556173089E-2</v>
      </c>
      <c r="L80" s="124">
        <f t="shared" si="0"/>
        <v>8.0407167174286975E-2</v>
      </c>
    </row>
    <row r="81" spans="1:12" s="100" customFormat="1">
      <c r="A81" s="120" t="s">
        <v>316</v>
      </c>
      <c r="B81" s="103">
        <v>72</v>
      </c>
      <c r="C81" s="121">
        <v>0.80924951452446081</v>
      </c>
      <c r="D81" s="122">
        <f t="shared" si="1"/>
        <v>8.6464796405490735E-2</v>
      </c>
      <c r="E81" s="122">
        <v>0.64033845616000118</v>
      </c>
      <c r="F81" s="122">
        <v>0.30011022470809878</v>
      </c>
      <c r="G81" s="123">
        <f t="shared" si="2"/>
        <v>6.0454999999999995E-2</v>
      </c>
      <c r="H81" s="123">
        <v>0.13033792698490154</v>
      </c>
      <c r="I81" s="122">
        <f t="shared" si="3"/>
        <v>4.55165695E-2</v>
      </c>
      <c r="J81" s="123">
        <f t="shared" si="4"/>
        <v>0.35966154383999882</v>
      </c>
      <c r="K81" s="122">
        <f t="shared" si="5"/>
        <v>7.1737293899151358E-2</v>
      </c>
      <c r="L81" s="124">
        <f t="shared" si="0"/>
        <v>5.6129469230717044E-2</v>
      </c>
    </row>
    <row r="82" spans="1:12" s="100" customFormat="1">
      <c r="A82" s="120" t="s">
        <v>317</v>
      </c>
      <c r="B82" s="103">
        <v>142</v>
      </c>
      <c r="C82" s="121">
        <v>0.73020325788584939</v>
      </c>
      <c r="D82" s="122">
        <f t="shared" si="1"/>
        <v>8.1808971889476528E-2</v>
      </c>
      <c r="E82" s="122">
        <v>0.55072408907714132</v>
      </c>
      <c r="F82" s="122">
        <v>0.22896465668887026</v>
      </c>
      <c r="G82" s="123">
        <f t="shared" si="2"/>
        <v>5.4642999999999997E-2</v>
      </c>
      <c r="H82" s="123">
        <v>1.2029231634608686E-2</v>
      </c>
      <c r="I82" s="122">
        <f t="shared" si="3"/>
        <v>4.1140714699999997E-2</v>
      </c>
      <c r="J82" s="123">
        <f t="shared" si="4"/>
        <v>0.44927591092285868</v>
      </c>
      <c r="K82" s="122">
        <f t="shared" si="5"/>
        <v>6.353770359502936E-2</v>
      </c>
      <c r="L82" s="124">
        <f t="shared" si="0"/>
        <v>4.8049290435878245E-2</v>
      </c>
    </row>
    <row r="83" spans="1:12" s="100" customFormat="1">
      <c r="A83" s="120" t="s">
        <v>318</v>
      </c>
      <c r="B83" s="103">
        <v>66</v>
      </c>
      <c r="C83" s="121">
        <v>0.79639760612779886</v>
      </c>
      <c r="D83" s="122">
        <f t="shared" si="1"/>
        <v>8.570781900092736E-2</v>
      </c>
      <c r="E83" s="122">
        <v>0.56046696516010397</v>
      </c>
      <c r="F83" s="122">
        <v>0.31979003214907947</v>
      </c>
      <c r="G83" s="123">
        <f t="shared" si="2"/>
        <v>6.0454999999999995E-2</v>
      </c>
      <c r="H83" s="123">
        <v>0.10939555801582926</v>
      </c>
      <c r="I83" s="122">
        <f t="shared" si="3"/>
        <v>4.55165695E-2</v>
      </c>
      <c r="J83" s="123">
        <f t="shared" si="4"/>
        <v>0.43953303483989603</v>
      </c>
      <c r="K83" s="122">
        <f t="shared" si="5"/>
        <v>6.8042437133777306E-2</v>
      </c>
      <c r="L83" s="124">
        <f t="shared" si="0"/>
        <v>5.2488421059013524E-2</v>
      </c>
    </row>
    <row r="84" spans="1:12" s="100" customFormat="1">
      <c r="A84" s="120" t="s">
        <v>319</v>
      </c>
      <c r="B84" s="103">
        <v>48</v>
      </c>
      <c r="C84" s="121">
        <v>0.93787377343234724</v>
      </c>
      <c r="D84" s="122">
        <f t="shared" si="1"/>
        <v>9.4040765255165248E-2</v>
      </c>
      <c r="E84" s="122">
        <v>0.36404064051751905</v>
      </c>
      <c r="F84" s="122">
        <v>0.29126749591863227</v>
      </c>
      <c r="G84" s="123">
        <f t="shared" si="2"/>
        <v>6.0454999999999995E-2</v>
      </c>
      <c r="H84" s="123">
        <v>9.546207118571931E-2</v>
      </c>
      <c r="I84" s="122">
        <f t="shared" si="3"/>
        <v>4.55165695E-2</v>
      </c>
      <c r="J84" s="123">
        <f t="shared" si="4"/>
        <v>0.63595935948248095</v>
      </c>
      <c r="K84" s="122">
        <f t="shared" si="5"/>
        <v>6.3181348803307835E-2</v>
      </c>
      <c r="L84" s="124">
        <f t="shared" ref="L84:L115" si="6">(1+K84)*((1+$C$16)/(1+$C$17))-1</f>
        <v>4.7698125277045866E-2</v>
      </c>
    </row>
    <row r="85" spans="1:12" s="100" customFormat="1">
      <c r="A85" s="120" t="s">
        <v>320</v>
      </c>
      <c r="B85" s="103">
        <v>237</v>
      </c>
      <c r="C85" s="121">
        <v>0.83004642594588762</v>
      </c>
      <c r="D85" s="122">
        <f t="shared" ref="D85:D115" si="7">$D$9+C85*$D$10</f>
        <v>8.7689734488212781E-2</v>
      </c>
      <c r="E85" s="122">
        <v>0.45292776546777858</v>
      </c>
      <c r="F85" s="122">
        <v>0.25519690712409959</v>
      </c>
      <c r="G85" s="123">
        <f t="shared" ref="G85:G115" si="8">$D$9+VLOOKUP(F85,$G$10:$I$16,3)+$D$11</f>
        <v>6.0454999999999995E-2</v>
      </c>
      <c r="H85" s="123">
        <v>9.8494690053240574E-2</v>
      </c>
      <c r="I85" s="122">
        <f t="shared" ref="I85:I115" si="9">IF($F$12="Yes",G85*(1-$F$13),G85*(1-H85))</f>
        <v>4.55165695E-2</v>
      </c>
      <c r="J85" s="123">
        <f t="shared" ref="J85:J115" si="10">1-E85</f>
        <v>0.54707223453222142</v>
      </c>
      <c r="K85" s="122">
        <f t="shared" ref="K85:K115" si="11">D85*(1-J85)+I85*J85</f>
        <v>6.461796688081517E-2</v>
      </c>
      <c r="L85" s="124">
        <f t="shared" si="6"/>
        <v>4.9113821732065244E-2</v>
      </c>
    </row>
    <row r="86" spans="1:12" s="100" customFormat="1">
      <c r="A86" s="120" t="s">
        <v>321</v>
      </c>
      <c r="B86" s="103">
        <v>60</v>
      </c>
      <c r="C86" s="121">
        <v>1.0035503434252013</v>
      </c>
      <c r="D86" s="122">
        <f t="shared" si="7"/>
        <v>9.790911522774437E-2</v>
      </c>
      <c r="E86" s="122">
        <v>0.77229871083139678</v>
      </c>
      <c r="F86" s="122">
        <v>0.30059864085448196</v>
      </c>
      <c r="G86" s="123">
        <f t="shared" si="8"/>
        <v>6.0454999999999995E-2</v>
      </c>
      <c r="H86" s="123">
        <v>0.14900264640009969</v>
      </c>
      <c r="I86" s="122">
        <f t="shared" si="9"/>
        <v>4.55165695E-2</v>
      </c>
      <c r="J86" s="123">
        <f t="shared" si="10"/>
        <v>0.22770128916860322</v>
      </c>
      <c r="K86" s="122">
        <f t="shared" si="11"/>
        <v>8.5979265022711984E-2</v>
      </c>
      <c r="L86" s="124">
        <f t="shared" si="6"/>
        <v>7.016403300781815E-2</v>
      </c>
    </row>
    <row r="87" spans="1:12" s="100" customFormat="1">
      <c r="A87" s="120" t="s">
        <v>322</v>
      </c>
      <c r="B87" s="103">
        <v>4</v>
      </c>
      <c r="C87" s="121">
        <v>1.095957800932122</v>
      </c>
      <c r="D87" s="122">
        <f t="shared" si="7"/>
        <v>0.103351914474902</v>
      </c>
      <c r="E87" s="122">
        <v>0.83075526092838137</v>
      </c>
      <c r="F87" s="122">
        <v>0.18211184494801436</v>
      </c>
      <c r="G87" s="123">
        <f t="shared" si="8"/>
        <v>5.4642999999999997E-2</v>
      </c>
      <c r="H87" s="123">
        <v>0.23639180216766836</v>
      </c>
      <c r="I87" s="122">
        <f t="shared" si="9"/>
        <v>4.1140714699999997E-2</v>
      </c>
      <c r="J87" s="123">
        <f t="shared" si="10"/>
        <v>0.16924473907161863</v>
      </c>
      <c r="K87" s="122">
        <f t="shared" si="11"/>
        <v>9.2822996201666369E-2</v>
      </c>
      <c r="L87" s="124">
        <f t="shared" si="6"/>
        <v>7.6908098198729347E-2</v>
      </c>
    </row>
    <row r="88" spans="1:12" s="100" customFormat="1">
      <c r="A88" s="120" t="s">
        <v>323</v>
      </c>
      <c r="B88" s="103">
        <v>43</v>
      </c>
      <c r="C88" s="121">
        <v>1.2535672909065732</v>
      </c>
      <c r="D88" s="122">
        <f t="shared" si="7"/>
        <v>0.11263511343439717</v>
      </c>
      <c r="E88" s="122">
        <v>0.72413507310225034</v>
      </c>
      <c r="F88" s="122">
        <v>0.33406471848208386</v>
      </c>
      <c r="G88" s="123">
        <f t="shared" si="8"/>
        <v>6.0454999999999995E-2</v>
      </c>
      <c r="H88" s="123">
        <v>9.3084383632332304E-2</v>
      </c>
      <c r="I88" s="122">
        <f t="shared" si="9"/>
        <v>4.55165695E-2</v>
      </c>
      <c r="J88" s="123">
        <f t="shared" si="10"/>
        <v>0.27586492689774966</v>
      </c>
      <c r="K88" s="122">
        <f t="shared" si="11"/>
        <v>9.41194612184513E-2</v>
      </c>
      <c r="L88" s="124">
        <f t="shared" si="6"/>
        <v>7.8185682657017308E-2</v>
      </c>
    </row>
    <row r="89" spans="1:12" s="100" customFormat="1">
      <c r="A89" s="120" t="s">
        <v>324</v>
      </c>
      <c r="B89" s="103">
        <v>28</v>
      </c>
      <c r="C89" s="121">
        <v>1.2408503375379711</v>
      </c>
      <c r="D89" s="122">
        <f t="shared" si="7"/>
        <v>0.1118860848809865</v>
      </c>
      <c r="E89" s="122">
        <v>0.63269292181147629</v>
      </c>
      <c r="F89" s="122">
        <v>0.37537045106584821</v>
      </c>
      <c r="G89" s="123">
        <f t="shared" si="8"/>
        <v>6.0454999999999995E-2</v>
      </c>
      <c r="H89" s="123">
        <v>0.13157490928601703</v>
      </c>
      <c r="I89" s="122">
        <f t="shared" si="9"/>
        <v>4.55165695E-2</v>
      </c>
      <c r="J89" s="123">
        <f t="shared" si="10"/>
        <v>0.36730707818852371</v>
      </c>
      <c r="K89" s="122">
        <f t="shared" si="11"/>
        <v>8.7508092105608073E-2</v>
      </c>
      <c r="L89" s="124">
        <f t="shared" si="6"/>
        <v>7.1670595618633204E-2</v>
      </c>
    </row>
    <row r="90" spans="1:12" s="100" customFormat="1">
      <c r="A90" s="120" t="s">
        <v>325</v>
      </c>
      <c r="B90" s="103">
        <v>29</v>
      </c>
      <c r="C90" s="121">
        <v>1.2555264223300098</v>
      </c>
      <c r="D90" s="122">
        <f t="shared" si="7"/>
        <v>0.11275050627523758</v>
      </c>
      <c r="E90" s="122">
        <v>0.59302850506734872</v>
      </c>
      <c r="F90" s="122">
        <v>0.28071281493731903</v>
      </c>
      <c r="G90" s="123">
        <f t="shared" si="8"/>
        <v>6.0454999999999995E-2</v>
      </c>
      <c r="H90" s="123">
        <v>0.19717956850228402</v>
      </c>
      <c r="I90" s="122">
        <f t="shared" si="9"/>
        <v>4.55165695E-2</v>
      </c>
      <c r="J90" s="123">
        <f t="shared" si="10"/>
        <v>0.40697149493265128</v>
      </c>
      <c r="K90" s="122">
        <f t="shared" si="11"/>
        <v>8.5388210515611782E-2</v>
      </c>
      <c r="L90" s="124">
        <f t="shared" si="6"/>
        <v>6.9581586090627034E-2</v>
      </c>
    </row>
    <row r="91" spans="1:12" s="100" customFormat="1">
      <c r="A91" s="120" t="s">
        <v>326</v>
      </c>
      <c r="B91" s="103">
        <v>116</v>
      </c>
      <c r="C91" s="121">
        <v>0.98741170058225136</v>
      </c>
      <c r="D91" s="122">
        <f t="shared" si="7"/>
        <v>9.6958549164294611E-2</v>
      </c>
      <c r="E91" s="122">
        <v>0.6584879516647304</v>
      </c>
      <c r="F91" s="122">
        <v>0.27346258241751981</v>
      </c>
      <c r="G91" s="123">
        <f t="shared" si="8"/>
        <v>6.0454999999999995E-2</v>
      </c>
      <c r="H91" s="123">
        <v>0.1658335675207312</v>
      </c>
      <c r="I91" s="122">
        <f t="shared" si="9"/>
        <v>4.55165695E-2</v>
      </c>
      <c r="J91" s="123">
        <f t="shared" si="10"/>
        <v>0.3415120483352696</v>
      </c>
      <c r="K91" s="122">
        <f t="shared" si="11"/>
        <v>7.9390493318720071E-2</v>
      </c>
      <c r="L91" s="124">
        <f t="shared" si="6"/>
        <v>6.3671214289806599E-2</v>
      </c>
    </row>
    <row r="92" spans="1:12" s="100" customFormat="1">
      <c r="A92" s="120" t="s">
        <v>327</v>
      </c>
      <c r="B92" s="103">
        <v>32</v>
      </c>
      <c r="C92" s="121">
        <v>1.0836153030318241</v>
      </c>
      <c r="D92" s="122">
        <f t="shared" si="7"/>
        <v>0.10262494134857444</v>
      </c>
      <c r="E92" s="122">
        <v>0.7172141416707789</v>
      </c>
      <c r="F92" s="122">
        <v>0.35902674130694007</v>
      </c>
      <c r="G92" s="123">
        <f t="shared" si="8"/>
        <v>6.0454999999999995E-2</v>
      </c>
      <c r="H92" s="123">
        <v>9.5693964443221854E-2</v>
      </c>
      <c r="I92" s="122">
        <f t="shared" si="9"/>
        <v>4.55165695E-2</v>
      </c>
      <c r="J92" s="123">
        <f t="shared" si="10"/>
        <v>0.2827858583292211</v>
      </c>
      <c r="K92" s="122">
        <f t="shared" si="11"/>
        <v>8.6475501397590998E-2</v>
      </c>
      <c r="L92" s="124">
        <f t="shared" si="6"/>
        <v>7.0653042639373664E-2</v>
      </c>
    </row>
    <row r="93" spans="1:12" s="100" customFormat="1">
      <c r="A93" s="120" t="s">
        <v>328</v>
      </c>
      <c r="B93" s="103">
        <v>32</v>
      </c>
      <c r="C93" s="121">
        <v>1.073982711190173</v>
      </c>
      <c r="D93" s="122">
        <f t="shared" si="7"/>
        <v>0.10205758168910119</v>
      </c>
      <c r="E93" s="122">
        <v>0.61443490686398095</v>
      </c>
      <c r="F93" s="122">
        <v>0.29736560971190662</v>
      </c>
      <c r="G93" s="123">
        <f t="shared" si="8"/>
        <v>6.0454999999999995E-2</v>
      </c>
      <c r="H93" s="123">
        <v>0.16556934842536192</v>
      </c>
      <c r="I93" s="122">
        <f t="shared" si="9"/>
        <v>4.55165695E-2</v>
      </c>
      <c r="J93" s="123">
        <f t="shared" si="10"/>
        <v>0.38556509313601905</v>
      </c>
      <c r="K93" s="122">
        <f t="shared" si="11"/>
        <v>8.0257341058405596E-2</v>
      </c>
      <c r="L93" s="124">
        <f t="shared" si="6"/>
        <v>6.4525438033282922E-2</v>
      </c>
    </row>
    <row r="94" spans="1:12" s="100" customFormat="1">
      <c r="A94" s="120" t="s">
        <v>329</v>
      </c>
      <c r="B94" s="103">
        <v>33</v>
      </c>
      <c r="C94" s="121">
        <v>0.96074699869045799</v>
      </c>
      <c r="D94" s="122">
        <f t="shared" si="7"/>
        <v>9.5387998222867976E-2</v>
      </c>
      <c r="E94" s="122">
        <v>0.40955942683497659</v>
      </c>
      <c r="F94" s="122">
        <v>0.21209722687273572</v>
      </c>
      <c r="G94" s="123">
        <f t="shared" si="8"/>
        <v>5.4642999999999997E-2</v>
      </c>
      <c r="H94" s="123">
        <v>4.2197142709291834E-2</v>
      </c>
      <c r="I94" s="122">
        <f t="shared" si="9"/>
        <v>4.1140714699999997E-2</v>
      </c>
      <c r="J94" s="123">
        <f t="shared" si="10"/>
        <v>0.59044057316502341</v>
      </c>
      <c r="K94" s="122">
        <f t="shared" si="11"/>
        <v>6.3358201046980284E-2</v>
      </c>
      <c r="L94" s="124">
        <f t="shared" si="6"/>
        <v>4.7872402002606673E-2</v>
      </c>
    </row>
    <row r="95" spans="1:12" s="100" customFormat="1">
      <c r="A95" s="120" t="s">
        <v>330</v>
      </c>
      <c r="B95" s="103">
        <v>111</v>
      </c>
      <c r="C95" s="121">
        <v>1.5260199648902262</v>
      </c>
      <c r="D95" s="122">
        <f t="shared" si="7"/>
        <v>0.1286825759320343</v>
      </c>
      <c r="E95" s="122">
        <v>0.82471678916512459</v>
      </c>
      <c r="F95" s="122">
        <v>0.37700298014481848</v>
      </c>
      <c r="G95" s="123">
        <f t="shared" si="8"/>
        <v>6.0454999999999995E-2</v>
      </c>
      <c r="H95" s="123">
        <v>0.10549003076138613</v>
      </c>
      <c r="I95" s="122">
        <f t="shared" si="9"/>
        <v>4.55165695E-2</v>
      </c>
      <c r="J95" s="123">
        <f t="shared" si="10"/>
        <v>0.17528321083487541</v>
      </c>
      <c r="K95" s="122">
        <f t="shared" si="11"/>
        <v>0.11410497129231342</v>
      </c>
      <c r="L95" s="124">
        <f t="shared" si="6"/>
        <v>9.7880141613299054E-2</v>
      </c>
    </row>
    <row r="96" spans="1:12" s="100" customFormat="1">
      <c r="A96" s="120" t="s">
        <v>331</v>
      </c>
      <c r="B96" s="103">
        <v>8</v>
      </c>
      <c r="C96" s="121">
        <v>1.0967762951201412</v>
      </c>
      <c r="D96" s="122">
        <f t="shared" si="7"/>
        <v>0.10340012378257632</v>
      </c>
      <c r="E96" s="122">
        <v>0.69557327353684029</v>
      </c>
      <c r="F96" s="122">
        <v>0.27450562055262784</v>
      </c>
      <c r="G96" s="123">
        <f t="shared" si="8"/>
        <v>6.0454999999999995E-2</v>
      </c>
      <c r="H96" s="123">
        <v>0.1492611595385358</v>
      </c>
      <c r="I96" s="122">
        <f t="shared" si="9"/>
        <v>4.55165695E-2</v>
      </c>
      <c r="J96" s="123">
        <f t="shared" si="10"/>
        <v>0.30442672646315971</v>
      </c>
      <c r="K96" s="122">
        <f t="shared" si="11"/>
        <v>8.5778822836279009E-2</v>
      </c>
      <c r="L96" s="124">
        <f t="shared" si="6"/>
        <v>6.9966509882352534E-2</v>
      </c>
    </row>
    <row r="97" spans="1:12" s="100" customFormat="1">
      <c r="A97" s="120" t="s">
        <v>332</v>
      </c>
      <c r="B97" s="103">
        <v>40</v>
      </c>
      <c r="C97" s="121">
        <v>1.4028368020266158</v>
      </c>
      <c r="D97" s="122">
        <f t="shared" si="7"/>
        <v>0.12142708763936767</v>
      </c>
      <c r="E97" s="122">
        <v>0.87769188344824789</v>
      </c>
      <c r="F97" s="122">
        <v>0.44518121605777689</v>
      </c>
      <c r="G97" s="123">
        <f t="shared" si="8"/>
        <v>6.0454999999999995E-2</v>
      </c>
      <c r="H97" s="123">
        <v>4.5656755258772427E-2</v>
      </c>
      <c r="I97" s="122">
        <f t="shared" si="9"/>
        <v>4.55165695E-2</v>
      </c>
      <c r="J97" s="123">
        <f t="shared" si="10"/>
        <v>0.12230811655175211</v>
      </c>
      <c r="K97" s="122">
        <f t="shared" si="11"/>
        <v>0.11214261513927401</v>
      </c>
      <c r="L97" s="124">
        <f t="shared" si="6"/>
        <v>9.5946363462488193E-2</v>
      </c>
    </row>
    <row r="98" spans="1:12" s="100" customFormat="1">
      <c r="A98" s="120" t="s">
        <v>333</v>
      </c>
      <c r="B98" s="103">
        <v>22</v>
      </c>
      <c r="C98" s="121">
        <v>1.7327199822089587</v>
      </c>
      <c r="D98" s="122">
        <f t="shared" si="7"/>
        <v>0.14085720695210768</v>
      </c>
      <c r="E98" s="122">
        <v>0.9776722290677915</v>
      </c>
      <c r="F98" s="122">
        <v>0.34686166765591364</v>
      </c>
      <c r="G98" s="123">
        <f t="shared" si="8"/>
        <v>6.0454999999999995E-2</v>
      </c>
      <c r="H98" s="123">
        <v>0.11851777704671926</v>
      </c>
      <c r="I98" s="122">
        <f t="shared" si="9"/>
        <v>4.55165695E-2</v>
      </c>
      <c r="J98" s="123">
        <f t="shared" si="10"/>
        <v>2.2327770932208502E-2</v>
      </c>
      <c r="K98" s="122">
        <f t="shared" si="11"/>
        <v>0.1387284630385463</v>
      </c>
      <c r="L98" s="124">
        <f t="shared" si="6"/>
        <v>0.1221450388195382</v>
      </c>
    </row>
    <row r="99" spans="1:12" s="100" customFormat="1">
      <c r="A99" s="120" t="s">
        <v>334</v>
      </c>
      <c r="B99" s="103">
        <v>62</v>
      </c>
      <c r="C99" s="121">
        <v>0.92095864282203832</v>
      </c>
      <c r="D99" s="122">
        <f t="shared" si="7"/>
        <v>9.3044464062218057E-2</v>
      </c>
      <c r="E99" s="122">
        <v>0.728242542700684</v>
      </c>
      <c r="F99" s="122">
        <v>0.34018799281537249</v>
      </c>
      <c r="G99" s="123">
        <f t="shared" si="8"/>
        <v>6.0454999999999995E-2</v>
      </c>
      <c r="H99" s="123">
        <v>8.6244589684340039E-2</v>
      </c>
      <c r="I99" s="122">
        <f t="shared" si="9"/>
        <v>4.55165695E-2</v>
      </c>
      <c r="J99" s="123">
        <f t="shared" si="10"/>
        <v>0.271757457299316</v>
      </c>
      <c r="K99" s="122">
        <f t="shared" si="11"/>
        <v>8.0128404285199684E-2</v>
      </c>
      <c r="L99" s="124">
        <f t="shared" si="6"/>
        <v>6.4398378980075277E-2</v>
      </c>
    </row>
    <row r="100" spans="1:12" s="100" customFormat="1">
      <c r="A100" s="120" t="s">
        <v>335</v>
      </c>
      <c r="B100" s="103">
        <v>10</v>
      </c>
      <c r="C100" s="121">
        <v>1.265248696016497</v>
      </c>
      <c r="D100" s="122">
        <f t="shared" si="7"/>
        <v>0.11332314819537168</v>
      </c>
      <c r="E100" s="122">
        <v>0.7982944491451972</v>
      </c>
      <c r="F100" s="122">
        <v>0.31283775149323445</v>
      </c>
      <c r="G100" s="123">
        <f t="shared" si="8"/>
        <v>6.0454999999999995E-2</v>
      </c>
      <c r="H100" s="123">
        <v>0.13388795632262263</v>
      </c>
      <c r="I100" s="122">
        <f t="shared" si="9"/>
        <v>4.55165695E-2</v>
      </c>
      <c r="J100" s="123">
        <f t="shared" si="10"/>
        <v>0.2017055508548028</v>
      </c>
      <c r="K100" s="122">
        <f t="shared" si="11"/>
        <v>9.9646184888042194E-2</v>
      </c>
      <c r="L100" s="124">
        <f t="shared" si="6"/>
        <v>8.3631920059575426E-2</v>
      </c>
    </row>
    <row r="101" spans="1:12" s="100" customFormat="1">
      <c r="A101" s="120" t="s">
        <v>336</v>
      </c>
      <c r="B101" s="103">
        <v>56</v>
      </c>
      <c r="C101" s="121">
        <v>1.2950431993104936</v>
      </c>
      <c r="D101" s="122">
        <f t="shared" si="7"/>
        <v>0.11507804443938807</v>
      </c>
      <c r="E101" s="122">
        <v>0.91984650393823686</v>
      </c>
      <c r="F101" s="122">
        <v>0.43415402335725556</v>
      </c>
      <c r="G101" s="123">
        <f t="shared" si="8"/>
        <v>6.0454999999999995E-2</v>
      </c>
      <c r="H101" s="123">
        <v>7.8730619195515578E-2</v>
      </c>
      <c r="I101" s="122">
        <f t="shared" si="9"/>
        <v>4.55165695E-2</v>
      </c>
      <c r="J101" s="123">
        <f t="shared" si="10"/>
        <v>8.0153496061763141E-2</v>
      </c>
      <c r="K101" s="122">
        <f t="shared" si="11"/>
        <v>0.10950244903178338</v>
      </c>
      <c r="L101" s="124">
        <f t="shared" si="6"/>
        <v>9.3344646375980611E-2</v>
      </c>
    </row>
    <row r="102" spans="1:12" s="100" customFormat="1">
      <c r="A102" s="120" t="s">
        <v>337</v>
      </c>
      <c r="B102" s="103">
        <v>28</v>
      </c>
      <c r="C102" s="121">
        <v>1.2218335144293462</v>
      </c>
      <c r="D102" s="122">
        <f t="shared" si="7"/>
        <v>0.1107659939998885</v>
      </c>
      <c r="E102" s="122">
        <v>0.76338583479519895</v>
      </c>
      <c r="F102" s="122">
        <v>0.41007857439816392</v>
      </c>
      <c r="G102" s="123">
        <f t="shared" si="8"/>
        <v>6.0454999999999995E-2</v>
      </c>
      <c r="H102" s="123">
        <v>8.3751362006172878E-2</v>
      </c>
      <c r="I102" s="122">
        <f t="shared" si="9"/>
        <v>4.55165695E-2</v>
      </c>
      <c r="J102" s="123">
        <f t="shared" si="10"/>
        <v>0.23661416520480105</v>
      </c>
      <c r="K102" s="122">
        <f t="shared" si="11"/>
        <v>9.5327055891753693E-2</v>
      </c>
      <c r="L102" s="124">
        <f t="shared" si="6"/>
        <v>7.9375691000125981E-2</v>
      </c>
    </row>
    <row r="103" spans="1:12" s="100" customFormat="1">
      <c r="A103" s="120" t="s">
        <v>338</v>
      </c>
      <c r="B103" s="103">
        <v>339</v>
      </c>
      <c r="C103" s="121">
        <v>1.0812033487059913</v>
      </c>
      <c r="D103" s="122">
        <f t="shared" si="7"/>
        <v>0.1024828772387829</v>
      </c>
      <c r="E103" s="122">
        <v>0.93065106407721199</v>
      </c>
      <c r="F103" s="122">
        <v>0.39155351042187558</v>
      </c>
      <c r="G103" s="123">
        <f t="shared" si="8"/>
        <v>6.0454999999999995E-2</v>
      </c>
      <c r="H103" s="123">
        <v>7.8853909972494057E-2</v>
      </c>
      <c r="I103" s="122">
        <f t="shared" si="9"/>
        <v>4.55165695E-2</v>
      </c>
      <c r="J103" s="123">
        <f t="shared" si="10"/>
        <v>6.9348935922788013E-2</v>
      </c>
      <c r="K103" s="122">
        <f t="shared" si="11"/>
        <v>9.8532324413648231E-2</v>
      </c>
      <c r="L103" s="124">
        <f t="shared" si="6"/>
        <v>8.2534280854225983E-2</v>
      </c>
    </row>
    <row r="104" spans="1:12" s="100" customFormat="1">
      <c r="A104" s="120" t="s">
        <v>339</v>
      </c>
      <c r="B104" s="103">
        <v>59</v>
      </c>
      <c r="C104" s="121">
        <v>1.0390117122502491</v>
      </c>
      <c r="D104" s="122">
        <f t="shared" si="7"/>
        <v>9.9997789851539676E-2</v>
      </c>
      <c r="E104" s="122">
        <v>0.68917040187087064</v>
      </c>
      <c r="F104" s="122">
        <v>0.34342964136539128</v>
      </c>
      <c r="G104" s="123">
        <f t="shared" si="8"/>
        <v>6.0454999999999995E-2</v>
      </c>
      <c r="H104" s="123">
        <v>0.12835856670190565</v>
      </c>
      <c r="I104" s="122">
        <f t="shared" si="9"/>
        <v>4.55165695E-2</v>
      </c>
      <c r="J104" s="123">
        <f t="shared" si="10"/>
        <v>0.31082959812912936</v>
      </c>
      <c r="K104" s="122">
        <f t="shared" si="11"/>
        <v>8.3063414024086055E-2</v>
      </c>
      <c r="L104" s="124">
        <f t="shared" si="6"/>
        <v>6.7290645858686604E-2</v>
      </c>
    </row>
    <row r="105" spans="1:12" s="100" customFormat="1">
      <c r="A105" s="120" t="s">
        <v>340</v>
      </c>
      <c r="B105" s="103">
        <v>12</v>
      </c>
      <c r="C105" s="121">
        <v>0.74344254424057932</v>
      </c>
      <c r="D105" s="122">
        <f t="shared" si="7"/>
        <v>8.258876585577013E-2</v>
      </c>
      <c r="E105" s="122">
        <v>0.3585002076717797</v>
      </c>
      <c r="F105" s="122">
        <v>0.26470063790883314</v>
      </c>
      <c r="G105" s="123">
        <f t="shared" si="8"/>
        <v>6.0454999999999995E-2</v>
      </c>
      <c r="H105" s="123">
        <v>0.19421470338822303</v>
      </c>
      <c r="I105" s="122">
        <f t="shared" si="9"/>
        <v>4.55165695E-2</v>
      </c>
      <c r="J105" s="123">
        <f t="shared" si="10"/>
        <v>0.6414997923282203</v>
      </c>
      <c r="K105" s="122">
        <f t="shared" si="11"/>
        <v>5.8806959592392585E-2</v>
      </c>
      <c r="L105" s="124">
        <f t="shared" si="6"/>
        <v>4.3387440763376972E-2</v>
      </c>
    </row>
    <row r="106" spans="1:12" s="100" customFormat="1">
      <c r="A106" s="120" t="s">
        <v>341</v>
      </c>
      <c r="B106" s="103">
        <v>54</v>
      </c>
      <c r="C106" s="121">
        <v>0.93275992121687246</v>
      </c>
      <c r="D106" s="122">
        <f t="shared" si="7"/>
        <v>9.3739559359673791E-2</v>
      </c>
      <c r="E106" s="122">
        <v>0.80825700788905863</v>
      </c>
      <c r="F106" s="122">
        <v>0.33319520112261086</v>
      </c>
      <c r="G106" s="123">
        <f t="shared" si="8"/>
        <v>6.0454999999999995E-2</v>
      </c>
      <c r="H106" s="123">
        <v>8.0153729634325599E-2</v>
      </c>
      <c r="I106" s="122">
        <f t="shared" si="9"/>
        <v>4.55165695E-2</v>
      </c>
      <c r="J106" s="123">
        <f t="shared" si="10"/>
        <v>0.19174299211094137</v>
      </c>
      <c r="K106" s="122">
        <f t="shared" si="11"/>
        <v>8.4493138995444361E-2</v>
      </c>
      <c r="L106" s="124">
        <f t="shared" si="6"/>
        <v>6.8699549592597942E-2</v>
      </c>
    </row>
    <row r="107" spans="1:12" s="100" customFormat="1">
      <c r="A107" s="120" t="s">
        <v>342</v>
      </c>
      <c r="B107" s="103">
        <v>64</v>
      </c>
      <c r="C107" s="121">
        <v>0.84930254851574982</v>
      </c>
      <c r="D107" s="122">
        <f t="shared" si="7"/>
        <v>8.882392010757767E-2</v>
      </c>
      <c r="E107" s="122">
        <v>0.47169516440431514</v>
      </c>
      <c r="F107" s="122">
        <v>0.26207860927865606</v>
      </c>
      <c r="G107" s="123">
        <f t="shared" si="8"/>
        <v>6.0454999999999995E-2</v>
      </c>
      <c r="H107" s="123">
        <v>0.12245939952883556</v>
      </c>
      <c r="I107" s="122">
        <f t="shared" si="9"/>
        <v>4.55165695E-2</v>
      </c>
      <c r="J107" s="123">
        <f t="shared" si="10"/>
        <v>0.52830483559568486</v>
      </c>
      <c r="K107" s="122">
        <f t="shared" si="11"/>
        <v>6.5944437364756664E-2</v>
      </c>
      <c r="L107" s="124">
        <f t="shared" si="6"/>
        <v>5.0420974684687314E-2</v>
      </c>
    </row>
    <row r="108" spans="1:12" s="100" customFormat="1">
      <c r="A108" s="120" t="s">
        <v>343</v>
      </c>
      <c r="B108" s="103">
        <v>6</v>
      </c>
      <c r="C108" s="121">
        <v>0.55210818720899113</v>
      </c>
      <c r="D108" s="122">
        <f t="shared" si="7"/>
        <v>7.1319172226609578E-2</v>
      </c>
      <c r="E108" s="122">
        <v>0.57278555606455561</v>
      </c>
      <c r="F108" s="122">
        <v>0.18281710440540047</v>
      </c>
      <c r="G108" s="123">
        <f t="shared" si="8"/>
        <v>5.4642999999999997E-2</v>
      </c>
      <c r="H108" s="123">
        <v>0.17671211228109826</v>
      </c>
      <c r="I108" s="122">
        <f t="shared" si="9"/>
        <v>4.1140714699999997E-2</v>
      </c>
      <c r="J108" s="123">
        <f t="shared" si="10"/>
        <v>0.42721444393544439</v>
      </c>
      <c r="K108" s="122">
        <f t="shared" si="11"/>
        <v>5.8426499275549645E-2</v>
      </c>
      <c r="L108" s="124">
        <f t="shared" si="6"/>
        <v>4.3012521130759929E-2</v>
      </c>
    </row>
    <row r="109" spans="1:12" s="100" customFormat="1">
      <c r="A109" s="120" t="s">
        <v>344</v>
      </c>
      <c r="B109" s="103">
        <v>59</v>
      </c>
      <c r="C109" s="121">
        <v>0.94354130954515614</v>
      </c>
      <c r="D109" s="122">
        <f t="shared" si="7"/>
        <v>9.43745831322097E-2</v>
      </c>
      <c r="E109" s="122">
        <v>0.59908937810993845</v>
      </c>
      <c r="F109" s="122">
        <v>0.30362009528384304</v>
      </c>
      <c r="G109" s="123">
        <f t="shared" si="8"/>
        <v>6.0454999999999995E-2</v>
      </c>
      <c r="H109" s="123">
        <v>0.15447321046423965</v>
      </c>
      <c r="I109" s="122">
        <f t="shared" si="9"/>
        <v>4.55165695E-2</v>
      </c>
      <c r="J109" s="123">
        <f t="shared" si="10"/>
        <v>0.40091062189006155</v>
      </c>
      <c r="K109" s="122">
        <f t="shared" si="11"/>
        <v>7.4786886502607397E-2</v>
      </c>
      <c r="L109" s="124">
        <f t="shared" si="6"/>
        <v>5.91346502914043E-2</v>
      </c>
    </row>
    <row r="110" spans="1:12" s="100" customFormat="1">
      <c r="A110" s="120" t="s">
        <v>345</v>
      </c>
      <c r="B110" s="103">
        <v>7</v>
      </c>
      <c r="C110" s="121">
        <v>0.91038906159445154</v>
      </c>
      <c r="D110" s="122">
        <f t="shared" si="7"/>
        <v>9.2421915727913195E-2</v>
      </c>
      <c r="E110" s="122">
        <v>0.5486983679943902</v>
      </c>
      <c r="F110" s="122">
        <v>0.17036545746591236</v>
      </c>
      <c r="G110" s="123">
        <f t="shared" si="8"/>
        <v>5.4642999999999997E-2</v>
      </c>
      <c r="H110" s="123">
        <v>0.16260038342080962</v>
      </c>
      <c r="I110" s="122">
        <f t="shared" si="9"/>
        <v>4.1140714699999997E-2</v>
      </c>
      <c r="J110" s="123">
        <f t="shared" si="10"/>
        <v>0.4513016320056098</v>
      </c>
      <c r="K110" s="122">
        <f t="shared" si="11"/>
        <v>6.9278626012808209E-2</v>
      </c>
      <c r="L110" s="124">
        <f t="shared" si="6"/>
        <v>5.3706607187378852E-2</v>
      </c>
    </row>
    <row r="111" spans="1:12" s="100" customFormat="1">
      <c r="A111" s="120" t="s">
        <v>346</v>
      </c>
      <c r="B111" s="103">
        <v>6</v>
      </c>
      <c r="C111" s="121">
        <v>1.0898056173084412</v>
      </c>
      <c r="D111" s="122">
        <f t="shared" si="7"/>
        <v>0.10298955085946719</v>
      </c>
      <c r="E111" s="122">
        <v>0.63598822390389431</v>
      </c>
      <c r="F111" s="122">
        <v>0.26775426645043926</v>
      </c>
      <c r="G111" s="123">
        <f t="shared" si="8"/>
        <v>6.0454999999999995E-2</v>
      </c>
      <c r="H111" s="123">
        <v>0.21633647512822854</v>
      </c>
      <c r="I111" s="122">
        <f t="shared" si="9"/>
        <v>4.55165695E-2</v>
      </c>
      <c r="J111" s="123">
        <f t="shared" si="10"/>
        <v>0.36401177609610569</v>
      </c>
      <c r="K111" s="122">
        <f t="shared" si="11"/>
        <v>8.2068708837269161E-2</v>
      </c>
      <c r="L111" s="124">
        <f t="shared" si="6"/>
        <v>6.6310426669736078E-2</v>
      </c>
    </row>
    <row r="112" spans="1:12" s="100" customFormat="1">
      <c r="A112" s="120" t="s">
        <v>347</v>
      </c>
      <c r="B112" s="103">
        <v>16</v>
      </c>
      <c r="C112" s="121">
        <v>0.88697947039205449</v>
      </c>
      <c r="D112" s="122">
        <f t="shared" si="7"/>
        <v>9.104309080609202E-2</v>
      </c>
      <c r="E112" s="122">
        <v>0.47721973800146777</v>
      </c>
      <c r="F112" s="122">
        <v>0.19193813872527388</v>
      </c>
      <c r="G112" s="123">
        <f t="shared" si="8"/>
        <v>5.4642999999999997E-2</v>
      </c>
      <c r="H112" s="123">
        <v>0.19612967893131861</v>
      </c>
      <c r="I112" s="122">
        <f t="shared" si="9"/>
        <v>4.1140714699999997E-2</v>
      </c>
      <c r="J112" s="123">
        <f t="shared" si="10"/>
        <v>0.52278026199853223</v>
      </c>
      <c r="K112" s="122">
        <f t="shared" si="11"/>
        <v>6.4955113550999935E-2</v>
      </c>
      <c r="L112" s="124">
        <f t="shared" si="6"/>
        <v>4.9446058499286405E-2</v>
      </c>
    </row>
    <row r="113" spans="1:12" s="100" customFormat="1">
      <c r="A113" s="120" t="s">
        <v>348</v>
      </c>
      <c r="B113" s="103">
        <v>12</v>
      </c>
      <c r="C113" s="121">
        <v>0.76190724718224989</v>
      </c>
      <c r="D113" s="122">
        <f t="shared" si="7"/>
        <v>8.3676336859034528E-2</v>
      </c>
      <c r="E113" s="122">
        <v>0.47571412891730902</v>
      </c>
      <c r="F113" s="122">
        <v>0.25557606321406418</v>
      </c>
      <c r="G113" s="123">
        <f t="shared" si="8"/>
        <v>6.0454999999999995E-2</v>
      </c>
      <c r="H113" s="123">
        <v>9.589754359406201E-2</v>
      </c>
      <c r="I113" s="122">
        <f t="shared" si="9"/>
        <v>4.55165695E-2</v>
      </c>
      <c r="J113" s="123">
        <f t="shared" si="10"/>
        <v>0.52428587108269098</v>
      </c>
      <c r="K113" s="122">
        <f t="shared" si="11"/>
        <v>6.3669709988890266E-2</v>
      </c>
      <c r="L113" s="124">
        <f t="shared" si="6"/>
        <v>4.8179374406527753E-2</v>
      </c>
    </row>
    <row r="114" spans="1:12" s="132" customFormat="1" ht="13.2">
      <c r="A114" s="126" t="s">
        <v>349</v>
      </c>
      <c r="B114" s="127">
        <v>6971</v>
      </c>
      <c r="C114" s="128">
        <v>1.0048847843564543</v>
      </c>
      <c r="D114" s="129">
        <f t="shared" si="7"/>
        <v>9.7987713798595166E-2</v>
      </c>
      <c r="E114" s="129">
        <v>0.54893558007723142</v>
      </c>
      <c r="F114" s="129">
        <v>0.33261428375139857</v>
      </c>
      <c r="G114" s="130">
        <f t="shared" si="8"/>
        <v>6.0454999999999995E-2</v>
      </c>
      <c r="H114" s="130">
        <v>0.11569402250988077</v>
      </c>
      <c r="I114" s="129">
        <f t="shared" si="9"/>
        <v>4.55165695E-2</v>
      </c>
      <c r="J114" s="130">
        <f t="shared" si="10"/>
        <v>0.45106441992276858</v>
      </c>
      <c r="K114" s="129">
        <f t="shared" si="11"/>
        <v>7.4319847532865455E-2</v>
      </c>
      <c r="L114" s="131">
        <f t="shared" si="6"/>
        <v>5.8674412860056702E-2</v>
      </c>
    </row>
    <row r="115" spans="1:12" s="132" customFormat="1" ht="13.2">
      <c r="A115" s="133" t="s">
        <v>350</v>
      </c>
      <c r="B115" s="134">
        <v>6149</v>
      </c>
      <c r="C115" s="135">
        <v>1.0163277560226116</v>
      </c>
      <c r="D115" s="136">
        <f t="shared" si="7"/>
        <v>9.8661704829731828E-2</v>
      </c>
      <c r="E115" s="136">
        <v>0.73393794899440934</v>
      </c>
      <c r="F115" s="136">
        <v>0.33954666800049987</v>
      </c>
      <c r="G115" s="137">
        <f t="shared" si="8"/>
        <v>6.0454999999999995E-2</v>
      </c>
      <c r="H115" s="137">
        <v>0.11402158700273608</v>
      </c>
      <c r="I115" s="136">
        <f t="shared" si="9"/>
        <v>4.55165695E-2</v>
      </c>
      <c r="J115" s="137">
        <f t="shared" si="10"/>
        <v>0.26606205100559066</v>
      </c>
      <c r="K115" s="136">
        <f t="shared" si="11"/>
        <v>8.4521801122933699E-2</v>
      </c>
      <c r="L115" s="138">
        <f t="shared" si="6"/>
        <v>6.8727794310463608E-2</v>
      </c>
    </row>
  </sheetData>
  <mergeCells count="11">
    <mergeCell ref="B7:G7"/>
    <mergeCell ref="B1:G1"/>
    <mergeCell ref="H1:H7"/>
    <mergeCell ref="I1:K1"/>
    <mergeCell ref="B2:G2"/>
    <mergeCell ref="I2:K7"/>
    <mergeCell ref="B3:E3"/>
    <mergeCell ref="F3:G3"/>
    <mergeCell ref="B4:G4"/>
    <mergeCell ref="B5:G5"/>
    <mergeCell ref="B6:G6"/>
  </mergeCells>
  <hyperlinks>
    <hyperlink ref="B2" r:id="rId1" xr:uid="{7D0BAF86-812F-4522-A7B9-BCBD21EE409A}"/>
    <hyperlink ref="B4" r:id="rId2" xr:uid="{68C273A4-34E2-4863-BDCF-6F21B3D86371}"/>
    <hyperlink ref="B5" r:id="rId3" display="http://www.stern.nyu.edu/~adamodar/New_Home_Page/data.html" xr:uid="{8A451C58-92B4-40B8-8D8A-972C21DCD21F}"/>
    <hyperlink ref="B6" r:id="rId4" display="http://www.stern.nyu.edu/~adamodar/pc/datasets/indname.xls" xr:uid="{49BA48CA-16E2-4D8C-A585-0FDAA61E09CE}"/>
    <hyperlink ref="B7" r:id="rId5" display="http://www.stern.nyu.edu/~adamodar/New_Home_Page/datafile/variable.htm" xr:uid="{3A36553D-5D97-403D-A202-C123A5D543E8}"/>
    <hyperlink ref="H1:H7" r:id="rId6" tooltip="https://youtu.be/kZzwtlIAx4U?si=l5t2TNIqrxV9slQ7" display="YouTube Video explaining estimation choices and process." xr:uid="{A12FAAA9-CBD8-476D-A09A-9964DC652915}"/>
  </hyperlinks>
  <pageMargins left="0.75" right="0.75" top="1" bottom="1" header="0.5" footer="0.5"/>
  <pageSetup orientation="portrait" horizontalDpi="4294967292" verticalDpi="4294967292"/>
  <headerFooter alignWithMargins="0"/>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D5A4-0D33-4E8A-8D1C-DFB9683D0A2C}">
  <sheetPr>
    <tabColor theme="0" tint="-0.249977111117893"/>
  </sheetPr>
  <dimension ref="A1:C11"/>
  <sheetViews>
    <sheetView workbookViewId="0">
      <selection activeCell="A10" sqref="A10:XFD10"/>
    </sheetView>
  </sheetViews>
  <sheetFormatPr defaultRowHeight="15"/>
  <cols>
    <col min="1" max="1" width="38.109375" style="92" customWidth="1"/>
    <col min="2" max="2" width="68.5546875" style="92" bestFit="1" customWidth="1"/>
    <col min="3" max="3" width="98.88671875" style="92" bestFit="1" customWidth="1"/>
    <col min="4" max="256" width="12.5546875" style="92" customWidth="1"/>
    <col min="257" max="257" width="38.109375" style="92" customWidth="1"/>
    <col min="258" max="258" width="68.5546875" style="92" bestFit="1" customWidth="1"/>
    <col min="259" max="259" width="98.88671875" style="92" bestFit="1" customWidth="1"/>
    <col min="260" max="512" width="12.5546875" style="92" customWidth="1"/>
    <col min="513" max="513" width="38.109375" style="92" customWidth="1"/>
    <col min="514" max="514" width="68.5546875" style="92" bestFit="1" customWidth="1"/>
    <col min="515" max="515" width="98.88671875" style="92" bestFit="1" customWidth="1"/>
    <col min="516" max="768" width="12.5546875" style="92" customWidth="1"/>
    <col min="769" max="769" width="38.109375" style="92" customWidth="1"/>
    <col min="770" max="770" width="68.5546875" style="92" bestFit="1" customWidth="1"/>
    <col min="771" max="771" width="98.88671875" style="92" bestFit="1" customWidth="1"/>
    <col min="772" max="1024" width="12.5546875" style="92" customWidth="1"/>
    <col min="1025" max="1025" width="38.109375" style="92" customWidth="1"/>
    <col min="1026" max="1026" width="68.5546875" style="92" bestFit="1" customWidth="1"/>
    <col min="1027" max="1027" width="98.88671875" style="92" bestFit="1" customWidth="1"/>
    <col min="1028" max="1280" width="12.5546875" style="92" customWidth="1"/>
    <col min="1281" max="1281" width="38.109375" style="92" customWidth="1"/>
    <col min="1282" max="1282" width="68.5546875" style="92" bestFit="1" customWidth="1"/>
    <col min="1283" max="1283" width="98.88671875" style="92" bestFit="1" customWidth="1"/>
    <col min="1284" max="1536" width="12.5546875" style="92" customWidth="1"/>
    <col min="1537" max="1537" width="38.109375" style="92" customWidth="1"/>
    <col min="1538" max="1538" width="68.5546875" style="92" bestFit="1" customWidth="1"/>
    <col min="1539" max="1539" width="98.88671875" style="92" bestFit="1" customWidth="1"/>
    <col min="1540" max="1792" width="12.5546875" style="92" customWidth="1"/>
    <col min="1793" max="1793" width="38.109375" style="92" customWidth="1"/>
    <col min="1794" max="1794" width="68.5546875" style="92" bestFit="1" customWidth="1"/>
    <col min="1795" max="1795" width="98.88671875" style="92" bestFit="1" customWidth="1"/>
    <col min="1796" max="2048" width="12.5546875" style="92" customWidth="1"/>
    <col min="2049" max="2049" width="38.109375" style="92" customWidth="1"/>
    <col min="2050" max="2050" width="68.5546875" style="92" bestFit="1" customWidth="1"/>
    <col min="2051" max="2051" width="98.88671875" style="92" bestFit="1" customWidth="1"/>
    <col min="2052" max="2304" width="12.5546875" style="92" customWidth="1"/>
    <col min="2305" max="2305" width="38.109375" style="92" customWidth="1"/>
    <col min="2306" max="2306" width="68.5546875" style="92" bestFit="1" customWidth="1"/>
    <col min="2307" max="2307" width="98.88671875" style="92" bestFit="1" customWidth="1"/>
    <col min="2308" max="2560" width="12.5546875" style="92" customWidth="1"/>
    <col min="2561" max="2561" width="38.109375" style="92" customWidth="1"/>
    <col min="2562" max="2562" width="68.5546875" style="92" bestFit="1" customWidth="1"/>
    <col min="2563" max="2563" width="98.88671875" style="92" bestFit="1" customWidth="1"/>
    <col min="2564" max="2816" width="12.5546875" style="92" customWidth="1"/>
    <col min="2817" max="2817" width="38.109375" style="92" customWidth="1"/>
    <col min="2818" max="2818" width="68.5546875" style="92" bestFit="1" customWidth="1"/>
    <col min="2819" max="2819" width="98.88671875" style="92" bestFit="1" customWidth="1"/>
    <col min="2820" max="3072" width="12.5546875" style="92" customWidth="1"/>
    <col min="3073" max="3073" width="38.109375" style="92" customWidth="1"/>
    <col min="3074" max="3074" width="68.5546875" style="92" bestFit="1" customWidth="1"/>
    <col min="3075" max="3075" width="98.88671875" style="92" bestFit="1" customWidth="1"/>
    <col min="3076" max="3328" width="12.5546875" style="92" customWidth="1"/>
    <col min="3329" max="3329" width="38.109375" style="92" customWidth="1"/>
    <col min="3330" max="3330" width="68.5546875" style="92" bestFit="1" customWidth="1"/>
    <col min="3331" max="3331" width="98.88671875" style="92" bestFit="1" customWidth="1"/>
    <col min="3332" max="3584" width="12.5546875" style="92" customWidth="1"/>
    <col min="3585" max="3585" width="38.109375" style="92" customWidth="1"/>
    <col min="3586" max="3586" width="68.5546875" style="92" bestFit="1" customWidth="1"/>
    <col min="3587" max="3587" width="98.88671875" style="92" bestFit="1" customWidth="1"/>
    <col min="3588" max="3840" width="12.5546875" style="92" customWidth="1"/>
    <col min="3841" max="3841" width="38.109375" style="92" customWidth="1"/>
    <col min="3842" max="3842" width="68.5546875" style="92" bestFit="1" customWidth="1"/>
    <col min="3843" max="3843" width="98.88671875" style="92" bestFit="1" customWidth="1"/>
    <col min="3844" max="4096" width="12.5546875" style="92" customWidth="1"/>
    <col min="4097" max="4097" width="38.109375" style="92" customWidth="1"/>
    <col min="4098" max="4098" width="68.5546875" style="92" bestFit="1" customWidth="1"/>
    <col min="4099" max="4099" width="98.88671875" style="92" bestFit="1" customWidth="1"/>
    <col min="4100" max="4352" width="12.5546875" style="92" customWidth="1"/>
    <col min="4353" max="4353" width="38.109375" style="92" customWidth="1"/>
    <col min="4354" max="4354" width="68.5546875" style="92" bestFit="1" customWidth="1"/>
    <col min="4355" max="4355" width="98.88671875" style="92" bestFit="1" customWidth="1"/>
    <col min="4356" max="4608" width="12.5546875" style="92" customWidth="1"/>
    <col min="4609" max="4609" width="38.109375" style="92" customWidth="1"/>
    <col min="4610" max="4610" width="68.5546875" style="92" bestFit="1" customWidth="1"/>
    <col min="4611" max="4611" width="98.88671875" style="92" bestFit="1" customWidth="1"/>
    <col min="4612" max="4864" width="12.5546875" style="92" customWidth="1"/>
    <col min="4865" max="4865" width="38.109375" style="92" customWidth="1"/>
    <col min="4866" max="4866" width="68.5546875" style="92" bestFit="1" customWidth="1"/>
    <col min="4867" max="4867" width="98.88671875" style="92" bestFit="1" customWidth="1"/>
    <col min="4868" max="5120" width="12.5546875" style="92" customWidth="1"/>
    <col min="5121" max="5121" width="38.109375" style="92" customWidth="1"/>
    <col min="5122" max="5122" width="68.5546875" style="92" bestFit="1" customWidth="1"/>
    <col min="5123" max="5123" width="98.88671875" style="92" bestFit="1" customWidth="1"/>
    <col min="5124" max="5376" width="12.5546875" style="92" customWidth="1"/>
    <col min="5377" max="5377" width="38.109375" style="92" customWidth="1"/>
    <col min="5378" max="5378" width="68.5546875" style="92" bestFit="1" customWidth="1"/>
    <col min="5379" max="5379" width="98.88671875" style="92" bestFit="1" customWidth="1"/>
    <col min="5380" max="5632" width="12.5546875" style="92" customWidth="1"/>
    <col min="5633" max="5633" width="38.109375" style="92" customWidth="1"/>
    <col min="5634" max="5634" width="68.5546875" style="92" bestFit="1" customWidth="1"/>
    <col min="5635" max="5635" width="98.88671875" style="92" bestFit="1" customWidth="1"/>
    <col min="5636" max="5888" width="12.5546875" style="92" customWidth="1"/>
    <col min="5889" max="5889" width="38.109375" style="92" customWidth="1"/>
    <col min="5890" max="5890" width="68.5546875" style="92" bestFit="1" customWidth="1"/>
    <col min="5891" max="5891" width="98.88671875" style="92" bestFit="1" customWidth="1"/>
    <col min="5892" max="6144" width="12.5546875" style="92" customWidth="1"/>
    <col min="6145" max="6145" width="38.109375" style="92" customWidth="1"/>
    <col min="6146" max="6146" width="68.5546875" style="92" bestFit="1" customWidth="1"/>
    <col min="6147" max="6147" width="98.88671875" style="92" bestFit="1" customWidth="1"/>
    <col min="6148" max="6400" width="12.5546875" style="92" customWidth="1"/>
    <col min="6401" max="6401" width="38.109375" style="92" customWidth="1"/>
    <col min="6402" max="6402" width="68.5546875" style="92" bestFit="1" customWidth="1"/>
    <col min="6403" max="6403" width="98.88671875" style="92" bestFit="1" customWidth="1"/>
    <col min="6404" max="6656" width="12.5546875" style="92" customWidth="1"/>
    <col min="6657" max="6657" width="38.109375" style="92" customWidth="1"/>
    <col min="6658" max="6658" width="68.5546875" style="92" bestFit="1" customWidth="1"/>
    <col min="6659" max="6659" width="98.88671875" style="92" bestFit="1" customWidth="1"/>
    <col min="6660" max="6912" width="12.5546875" style="92" customWidth="1"/>
    <col min="6913" max="6913" width="38.109375" style="92" customWidth="1"/>
    <col min="6914" max="6914" width="68.5546875" style="92" bestFit="1" customWidth="1"/>
    <col min="6915" max="6915" width="98.88671875" style="92" bestFit="1" customWidth="1"/>
    <col min="6916" max="7168" width="12.5546875" style="92" customWidth="1"/>
    <col min="7169" max="7169" width="38.109375" style="92" customWidth="1"/>
    <col min="7170" max="7170" width="68.5546875" style="92" bestFit="1" customWidth="1"/>
    <col min="7171" max="7171" width="98.88671875" style="92" bestFit="1" customWidth="1"/>
    <col min="7172" max="7424" width="12.5546875" style="92" customWidth="1"/>
    <col min="7425" max="7425" width="38.109375" style="92" customWidth="1"/>
    <col min="7426" max="7426" width="68.5546875" style="92" bestFit="1" customWidth="1"/>
    <col min="7427" max="7427" width="98.88671875" style="92" bestFit="1" customWidth="1"/>
    <col min="7428" max="7680" width="12.5546875" style="92" customWidth="1"/>
    <col min="7681" max="7681" width="38.109375" style="92" customWidth="1"/>
    <col min="7682" max="7682" width="68.5546875" style="92" bestFit="1" customWidth="1"/>
    <col min="7683" max="7683" width="98.88671875" style="92" bestFit="1" customWidth="1"/>
    <col min="7684" max="7936" width="12.5546875" style="92" customWidth="1"/>
    <col min="7937" max="7937" width="38.109375" style="92" customWidth="1"/>
    <col min="7938" max="7938" width="68.5546875" style="92" bestFit="1" customWidth="1"/>
    <col min="7939" max="7939" width="98.88671875" style="92" bestFit="1" customWidth="1"/>
    <col min="7940" max="8192" width="12.5546875" style="92" customWidth="1"/>
    <col min="8193" max="8193" width="38.109375" style="92" customWidth="1"/>
    <col min="8194" max="8194" width="68.5546875" style="92" bestFit="1" customWidth="1"/>
    <col min="8195" max="8195" width="98.88671875" style="92" bestFit="1" customWidth="1"/>
    <col min="8196" max="8448" width="12.5546875" style="92" customWidth="1"/>
    <col min="8449" max="8449" width="38.109375" style="92" customWidth="1"/>
    <col min="8450" max="8450" width="68.5546875" style="92" bestFit="1" customWidth="1"/>
    <col min="8451" max="8451" width="98.88671875" style="92" bestFit="1" customWidth="1"/>
    <col min="8452" max="8704" width="12.5546875" style="92" customWidth="1"/>
    <col min="8705" max="8705" width="38.109375" style="92" customWidth="1"/>
    <col min="8706" max="8706" width="68.5546875" style="92" bestFit="1" customWidth="1"/>
    <col min="8707" max="8707" width="98.88671875" style="92" bestFit="1" customWidth="1"/>
    <col min="8708" max="8960" width="12.5546875" style="92" customWidth="1"/>
    <col min="8961" max="8961" width="38.109375" style="92" customWidth="1"/>
    <col min="8962" max="8962" width="68.5546875" style="92" bestFit="1" customWidth="1"/>
    <col min="8963" max="8963" width="98.88671875" style="92" bestFit="1" customWidth="1"/>
    <col min="8964" max="9216" width="12.5546875" style="92" customWidth="1"/>
    <col min="9217" max="9217" width="38.109375" style="92" customWidth="1"/>
    <col min="9218" max="9218" width="68.5546875" style="92" bestFit="1" customWidth="1"/>
    <col min="9219" max="9219" width="98.88671875" style="92" bestFit="1" customWidth="1"/>
    <col min="9220" max="9472" width="12.5546875" style="92" customWidth="1"/>
    <col min="9473" max="9473" width="38.109375" style="92" customWidth="1"/>
    <col min="9474" max="9474" width="68.5546875" style="92" bestFit="1" customWidth="1"/>
    <col min="9475" max="9475" width="98.88671875" style="92" bestFit="1" customWidth="1"/>
    <col min="9476" max="9728" width="12.5546875" style="92" customWidth="1"/>
    <col min="9729" max="9729" width="38.109375" style="92" customWidth="1"/>
    <col min="9730" max="9730" width="68.5546875" style="92" bestFit="1" customWidth="1"/>
    <col min="9731" max="9731" width="98.88671875" style="92" bestFit="1" customWidth="1"/>
    <col min="9732" max="9984" width="12.5546875" style="92" customWidth="1"/>
    <col min="9985" max="9985" width="38.109375" style="92" customWidth="1"/>
    <col min="9986" max="9986" width="68.5546875" style="92" bestFit="1" customWidth="1"/>
    <col min="9987" max="9987" width="98.88671875" style="92" bestFit="1" customWidth="1"/>
    <col min="9988" max="10240" width="12.5546875" style="92" customWidth="1"/>
    <col min="10241" max="10241" width="38.109375" style="92" customWidth="1"/>
    <col min="10242" max="10242" width="68.5546875" style="92" bestFit="1" customWidth="1"/>
    <col min="10243" max="10243" width="98.88671875" style="92" bestFit="1" customWidth="1"/>
    <col min="10244" max="10496" width="12.5546875" style="92" customWidth="1"/>
    <col min="10497" max="10497" width="38.109375" style="92" customWidth="1"/>
    <col min="10498" max="10498" width="68.5546875" style="92" bestFit="1" customWidth="1"/>
    <col min="10499" max="10499" width="98.88671875" style="92" bestFit="1" customWidth="1"/>
    <col min="10500" max="10752" width="12.5546875" style="92" customWidth="1"/>
    <col min="10753" max="10753" width="38.109375" style="92" customWidth="1"/>
    <col min="10754" max="10754" width="68.5546875" style="92" bestFit="1" customWidth="1"/>
    <col min="10755" max="10755" width="98.88671875" style="92" bestFit="1" customWidth="1"/>
    <col min="10756" max="11008" width="12.5546875" style="92" customWidth="1"/>
    <col min="11009" max="11009" width="38.109375" style="92" customWidth="1"/>
    <col min="11010" max="11010" width="68.5546875" style="92" bestFit="1" customWidth="1"/>
    <col min="11011" max="11011" width="98.88671875" style="92" bestFit="1" customWidth="1"/>
    <col min="11012" max="11264" width="12.5546875" style="92" customWidth="1"/>
    <col min="11265" max="11265" width="38.109375" style="92" customWidth="1"/>
    <col min="11266" max="11266" width="68.5546875" style="92" bestFit="1" customWidth="1"/>
    <col min="11267" max="11267" width="98.88671875" style="92" bestFit="1" customWidth="1"/>
    <col min="11268" max="11520" width="12.5546875" style="92" customWidth="1"/>
    <col min="11521" max="11521" width="38.109375" style="92" customWidth="1"/>
    <col min="11522" max="11522" width="68.5546875" style="92" bestFit="1" customWidth="1"/>
    <col min="11523" max="11523" width="98.88671875" style="92" bestFit="1" customWidth="1"/>
    <col min="11524" max="11776" width="12.5546875" style="92" customWidth="1"/>
    <col min="11777" max="11777" width="38.109375" style="92" customWidth="1"/>
    <col min="11778" max="11778" width="68.5546875" style="92" bestFit="1" customWidth="1"/>
    <col min="11779" max="11779" width="98.88671875" style="92" bestFit="1" customWidth="1"/>
    <col min="11780" max="12032" width="12.5546875" style="92" customWidth="1"/>
    <col min="12033" max="12033" width="38.109375" style="92" customWidth="1"/>
    <col min="12034" max="12034" width="68.5546875" style="92" bestFit="1" customWidth="1"/>
    <col min="12035" max="12035" width="98.88671875" style="92" bestFit="1" customWidth="1"/>
    <col min="12036" max="12288" width="12.5546875" style="92" customWidth="1"/>
    <col min="12289" max="12289" width="38.109375" style="92" customWidth="1"/>
    <col min="12290" max="12290" width="68.5546875" style="92" bestFit="1" customWidth="1"/>
    <col min="12291" max="12291" width="98.88671875" style="92" bestFit="1" customWidth="1"/>
    <col min="12292" max="12544" width="12.5546875" style="92" customWidth="1"/>
    <col min="12545" max="12545" width="38.109375" style="92" customWidth="1"/>
    <col min="12546" max="12546" width="68.5546875" style="92" bestFit="1" customWidth="1"/>
    <col min="12547" max="12547" width="98.88671875" style="92" bestFit="1" customWidth="1"/>
    <col min="12548" max="12800" width="12.5546875" style="92" customWidth="1"/>
    <col min="12801" max="12801" width="38.109375" style="92" customWidth="1"/>
    <col min="12802" max="12802" width="68.5546875" style="92" bestFit="1" customWidth="1"/>
    <col min="12803" max="12803" width="98.88671875" style="92" bestFit="1" customWidth="1"/>
    <col min="12804" max="13056" width="12.5546875" style="92" customWidth="1"/>
    <col min="13057" max="13057" width="38.109375" style="92" customWidth="1"/>
    <col min="13058" max="13058" width="68.5546875" style="92" bestFit="1" customWidth="1"/>
    <col min="13059" max="13059" width="98.88671875" style="92" bestFit="1" customWidth="1"/>
    <col min="13060" max="13312" width="12.5546875" style="92" customWidth="1"/>
    <col min="13313" max="13313" width="38.109375" style="92" customWidth="1"/>
    <col min="13314" max="13314" width="68.5546875" style="92" bestFit="1" customWidth="1"/>
    <col min="13315" max="13315" width="98.88671875" style="92" bestFit="1" customWidth="1"/>
    <col min="13316" max="13568" width="12.5546875" style="92" customWidth="1"/>
    <col min="13569" max="13569" width="38.109375" style="92" customWidth="1"/>
    <col min="13570" max="13570" width="68.5546875" style="92" bestFit="1" customWidth="1"/>
    <col min="13571" max="13571" width="98.88671875" style="92" bestFit="1" customWidth="1"/>
    <col min="13572" max="13824" width="12.5546875" style="92" customWidth="1"/>
    <col min="13825" max="13825" width="38.109375" style="92" customWidth="1"/>
    <col min="13826" max="13826" width="68.5546875" style="92" bestFit="1" customWidth="1"/>
    <col min="13827" max="13827" width="98.88671875" style="92" bestFit="1" customWidth="1"/>
    <col min="13828" max="14080" width="12.5546875" style="92" customWidth="1"/>
    <col min="14081" max="14081" width="38.109375" style="92" customWidth="1"/>
    <col min="14082" max="14082" width="68.5546875" style="92" bestFit="1" customWidth="1"/>
    <col min="14083" max="14083" width="98.88671875" style="92" bestFit="1" customWidth="1"/>
    <col min="14084" max="14336" width="12.5546875" style="92" customWidth="1"/>
    <col min="14337" max="14337" width="38.109375" style="92" customWidth="1"/>
    <col min="14338" max="14338" width="68.5546875" style="92" bestFit="1" customWidth="1"/>
    <col min="14339" max="14339" width="98.88671875" style="92" bestFit="1" customWidth="1"/>
    <col min="14340" max="14592" width="12.5546875" style="92" customWidth="1"/>
    <col min="14593" max="14593" width="38.109375" style="92" customWidth="1"/>
    <col min="14594" max="14594" width="68.5546875" style="92" bestFit="1" customWidth="1"/>
    <col min="14595" max="14595" width="98.88671875" style="92" bestFit="1" customWidth="1"/>
    <col min="14596" max="14848" width="12.5546875" style="92" customWidth="1"/>
    <col min="14849" max="14849" width="38.109375" style="92" customWidth="1"/>
    <col min="14850" max="14850" width="68.5546875" style="92" bestFit="1" customWidth="1"/>
    <col min="14851" max="14851" width="98.88671875" style="92" bestFit="1" customWidth="1"/>
    <col min="14852" max="15104" width="12.5546875" style="92" customWidth="1"/>
    <col min="15105" max="15105" width="38.109375" style="92" customWidth="1"/>
    <col min="15106" max="15106" width="68.5546875" style="92" bestFit="1" customWidth="1"/>
    <col min="15107" max="15107" width="98.88671875" style="92" bestFit="1" customWidth="1"/>
    <col min="15108" max="15360" width="12.5546875" style="92" customWidth="1"/>
    <col min="15361" max="15361" width="38.109375" style="92" customWidth="1"/>
    <col min="15362" max="15362" width="68.5546875" style="92" bestFit="1" customWidth="1"/>
    <col min="15363" max="15363" width="98.88671875" style="92" bestFit="1" customWidth="1"/>
    <col min="15364" max="15616" width="12.5546875" style="92" customWidth="1"/>
    <col min="15617" max="15617" width="38.109375" style="92" customWidth="1"/>
    <col min="15618" max="15618" width="68.5546875" style="92" bestFit="1" customWidth="1"/>
    <col min="15619" max="15619" width="98.88671875" style="92" bestFit="1" customWidth="1"/>
    <col min="15620" max="15872" width="12.5546875" style="92" customWidth="1"/>
    <col min="15873" max="15873" width="38.109375" style="92" customWidth="1"/>
    <col min="15874" max="15874" width="68.5546875" style="92" bestFit="1" customWidth="1"/>
    <col min="15875" max="15875" width="98.88671875" style="92" bestFit="1" customWidth="1"/>
    <col min="15876" max="16128" width="12.5546875" style="92" customWidth="1"/>
    <col min="16129" max="16129" width="38.109375" style="92" customWidth="1"/>
    <col min="16130" max="16130" width="68.5546875" style="92" bestFit="1" customWidth="1"/>
    <col min="16131" max="16131" width="98.88671875" style="92" bestFit="1" customWidth="1"/>
    <col min="16132" max="16384" width="12.5546875" style="92" customWidth="1"/>
  </cols>
  <sheetData>
    <row r="1" spans="1:3" ht="18" thickBot="1">
      <c r="A1" s="141" t="s">
        <v>351</v>
      </c>
      <c r="B1" s="332" t="s">
        <v>352</v>
      </c>
      <c r="C1" s="333"/>
    </row>
    <row r="3" spans="1:3" ht="15.6">
      <c r="A3" s="142" t="s">
        <v>353</v>
      </c>
      <c r="B3" s="142" t="s">
        <v>354</v>
      </c>
      <c r="C3" s="143" t="s">
        <v>355</v>
      </c>
    </row>
    <row r="4" spans="1:3">
      <c r="A4" s="144" t="s">
        <v>356</v>
      </c>
      <c r="B4" s="145" t="s">
        <v>357</v>
      </c>
      <c r="C4" s="146" t="s">
        <v>358</v>
      </c>
    </row>
    <row r="5" spans="1:3">
      <c r="A5" s="144" t="s">
        <v>245</v>
      </c>
      <c r="B5" s="146" t="s">
        <v>359</v>
      </c>
      <c r="C5" s="146" t="s">
        <v>360</v>
      </c>
    </row>
    <row r="6" spans="1:3">
      <c r="A6" s="144" t="s">
        <v>246</v>
      </c>
      <c r="B6" s="146" t="s">
        <v>361</v>
      </c>
      <c r="C6" s="146" t="s">
        <v>362</v>
      </c>
    </row>
    <row r="7" spans="1:3" ht="60">
      <c r="A7" s="144" t="s">
        <v>252</v>
      </c>
      <c r="B7" s="146" t="s">
        <v>363</v>
      </c>
      <c r="C7" s="146" t="s">
        <v>364</v>
      </c>
    </row>
    <row r="8" spans="1:3" ht="30">
      <c r="A8" s="144" t="s">
        <v>365</v>
      </c>
      <c r="B8" s="146" t="s">
        <v>366</v>
      </c>
      <c r="C8" s="146" t="s">
        <v>367</v>
      </c>
    </row>
    <row r="9" spans="1:3">
      <c r="A9" s="144" t="s">
        <v>251</v>
      </c>
      <c r="B9" s="146" t="s">
        <v>368</v>
      </c>
      <c r="C9" s="146" t="s">
        <v>369</v>
      </c>
    </row>
    <row r="10" spans="1:3" ht="75">
      <c r="A10" s="144" t="s">
        <v>253</v>
      </c>
      <c r="B10" s="146" t="s">
        <v>370</v>
      </c>
      <c r="C10" s="146" t="s">
        <v>371</v>
      </c>
    </row>
    <row r="11" spans="1:3" ht="45">
      <c r="A11" s="144" t="s">
        <v>372</v>
      </c>
      <c r="B11" s="146" t="s">
        <v>373</v>
      </c>
      <c r="C11" s="146" t="s">
        <v>374</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3" sqref="B3"/>
    </sheetView>
  </sheetViews>
  <sheetFormatPr defaultColWidth="12.6640625" defaultRowHeight="15" customHeight="1"/>
  <cols>
    <col min="1" max="1" width="4.88671875" customWidth="1"/>
    <col min="2" max="6" width="8.6640625" customWidth="1"/>
  </cols>
  <sheetData>
    <row r="1" spans="1:2" ht="12.75" customHeight="1">
      <c r="B1" s="1" t="s">
        <v>0</v>
      </c>
    </row>
    <row r="2" spans="1:2" ht="12.75" customHeight="1">
      <c r="B2" s="2"/>
    </row>
    <row r="3" spans="1:2" ht="12.75" customHeight="1">
      <c r="B3" s="1" t="s">
        <v>1</v>
      </c>
    </row>
    <row r="4" spans="1:2" ht="12.75" customHeight="1"/>
    <row r="5" spans="1:2" ht="12.75" customHeight="1">
      <c r="B5" s="3" t="s">
        <v>2</v>
      </c>
    </row>
    <row r="6" spans="1:2" ht="12.75" customHeight="1"/>
    <row r="7" spans="1:2" ht="12.75" customHeight="1">
      <c r="B7" s="2" t="s">
        <v>3</v>
      </c>
    </row>
    <row r="8" spans="1:2" ht="12.75" customHeight="1">
      <c r="B8" s="2" t="s">
        <v>4</v>
      </c>
    </row>
    <row r="9" spans="1:2" ht="12.75" customHeight="1"/>
    <row r="10" spans="1:2" ht="12.75" customHeight="1">
      <c r="B10" s="4" t="s">
        <v>5</v>
      </c>
    </row>
    <row r="11" spans="1:2" ht="12.75" customHeight="1"/>
    <row r="12" spans="1:2" ht="12.75" customHeight="1">
      <c r="A12" s="5" t="s">
        <v>6</v>
      </c>
      <c r="B12" s="2" t="s">
        <v>7</v>
      </c>
    </row>
    <row r="13" spans="1:2" ht="12.75" customHeight="1">
      <c r="B13" s="2" t="s">
        <v>8</v>
      </c>
    </row>
    <row r="14" spans="1:2" ht="12.75" customHeight="1">
      <c r="B14" s="2" t="s">
        <v>9</v>
      </c>
    </row>
    <row r="15" spans="1:2" ht="12.75" customHeight="1">
      <c r="B15" s="2" t="s">
        <v>10</v>
      </c>
    </row>
    <row r="16" spans="1:2" ht="12.75" customHeight="1"/>
    <row r="17" spans="1:2" ht="12.75" customHeight="1">
      <c r="A17" s="5" t="s">
        <v>11</v>
      </c>
      <c r="B17" s="2" t="s">
        <v>12</v>
      </c>
    </row>
    <row r="18" spans="1:2" ht="12.75" customHeight="1">
      <c r="B18" s="2" t="s">
        <v>13</v>
      </c>
    </row>
    <row r="19" spans="1:2" ht="12.75" customHeight="1">
      <c r="B19" s="2" t="s">
        <v>14</v>
      </c>
    </row>
    <row r="20" spans="1:2" ht="12.75" customHeight="1">
      <c r="B20" s="2" t="s">
        <v>15</v>
      </c>
    </row>
    <row r="21" spans="1:2" s="74" customFormat="1" ht="12.75" customHeight="1">
      <c r="B21" s="292" t="s">
        <v>16</v>
      </c>
    </row>
    <row r="22" spans="1:2" ht="12.75" customHeight="1"/>
    <row r="23" spans="1:2" ht="12.75" customHeight="1"/>
    <row r="24" spans="1:2" ht="12.75" customHeight="1">
      <c r="B24" s="4" t="s">
        <v>17</v>
      </c>
    </row>
    <row r="25" spans="1:2" ht="12.75" customHeight="1">
      <c r="B25" s="4"/>
    </row>
    <row r="26" spans="1:2" ht="54" customHeight="1">
      <c r="B26" s="2" t="s">
        <v>18</v>
      </c>
    </row>
    <row r="27" spans="1:2" ht="12.75" customHeight="1">
      <c r="B27" s="2" t="s">
        <v>19</v>
      </c>
    </row>
    <row r="28" spans="1:2" ht="12.75" customHeight="1"/>
    <row r="29" spans="1:2" ht="12.75" customHeight="1">
      <c r="B29" s="3" t="s">
        <v>20</v>
      </c>
    </row>
    <row r="30" spans="1:2" ht="12.75" customHeight="1"/>
    <row r="31" spans="1:2" ht="12.75" customHeight="1">
      <c r="A31" s="3">
        <v>1</v>
      </c>
      <c r="B31" s="1" t="s">
        <v>21</v>
      </c>
    </row>
    <row r="32" spans="1:2" ht="12.75" customHeight="1">
      <c r="A32" s="3">
        <v>2</v>
      </c>
      <c r="B32" s="1" t="s">
        <v>22</v>
      </c>
    </row>
    <row r="33" spans="1:2" ht="12.75" customHeight="1">
      <c r="A33" s="3">
        <v>3</v>
      </c>
      <c r="B33" s="1" t="s">
        <v>23</v>
      </c>
    </row>
    <row r="34" spans="1:2" ht="12.75" customHeight="1">
      <c r="A34" s="3">
        <v>4</v>
      </c>
      <c r="B34" s="1" t="s">
        <v>24</v>
      </c>
    </row>
    <row r="35" spans="1:2" ht="12.75" customHeight="1">
      <c r="A35" s="3">
        <v>5</v>
      </c>
      <c r="B35" s="1" t="s">
        <v>25</v>
      </c>
    </row>
    <row r="36" spans="1:2" ht="12.75" customHeight="1"/>
    <row r="37" spans="1:2" ht="12.75" customHeight="1">
      <c r="B37" s="3" t="s">
        <v>26</v>
      </c>
    </row>
    <row r="38" spans="1:2" ht="12.75" customHeight="1"/>
    <row r="39" spans="1:2" ht="12.75" customHeight="1">
      <c r="A39" s="1">
        <v>1</v>
      </c>
      <c r="B39" s="1" t="s">
        <v>27</v>
      </c>
    </row>
    <row r="40" spans="1:2" ht="12.75" customHeight="1">
      <c r="A40" s="1">
        <v>2</v>
      </c>
      <c r="B40" s="1" t="s">
        <v>28</v>
      </c>
    </row>
    <row r="41" spans="1:2" ht="12.75" customHeight="1">
      <c r="A41" s="1">
        <v>3</v>
      </c>
      <c r="B41" s="1" t="s">
        <v>29</v>
      </c>
    </row>
    <row r="42" spans="1:2" ht="12.75" customHeight="1">
      <c r="A42" s="1">
        <v>4</v>
      </c>
      <c r="B42" s="1" t="s">
        <v>30</v>
      </c>
    </row>
    <row r="43" spans="1:2" ht="12.75" customHeight="1">
      <c r="A43" s="1">
        <v>5</v>
      </c>
      <c r="B43" s="1" t="s">
        <v>31</v>
      </c>
    </row>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000"/>
  <sheetViews>
    <sheetView workbookViewId="0">
      <selection activeCell="B2" sqref="B2:H14"/>
    </sheetView>
  </sheetViews>
  <sheetFormatPr defaultColWidth="12.6640625" defaultRowHeight="15" customHeight="1"/>
  <cols>
    <col min="1" max="1" width="8.6640625" customWidth="1"/>
    <col min="2" max="2" width="48.6640625" customWidth="1"/>
    <col min="3" max="8" width="13.33203125" customWidth="1"/>
  </cols>
  <sheetData>
    <row r="1" spans="2:8" ht="12.75" customHeight="1"/>
    <row r="2" spans="2:8" ht="12.75" customHeight="1">
      <c r="D2" s="6" t="s">
        <v>32</v>
      </c>
      <c r="E2" s="6"/>
      <c r="G2" s="6" t="s">
        <v>33</v>
      </c>
    </row>
    <row r="3" spans="2:8" ht="12.75" customHeight="1">
      <c r="B3" s="7" t="s">
        <v>34</v>
      </c>
      <c r="C3" s="334" t="s">
        <v>35</v>
      </c>
      <c r="D3" s="335"/>
      <c r="E3" s="336"/>
      <c r="F3" s="334" t="s">
        <v>35</v>
      </c>
      <c r="G3" s="335"/>
      <c r="H3" s="336"/>
    </row>
    <row r="4" spans="2:8" ht="12.75" customHeight="1">
      <c r="B4" s="8"/>
      <c r="C4" s="9" t="s">
        <v>36</v>
      </c>
      <c r="D4" s="9">
        <v>2018</v>
      </c>
      <c r="E4" s="9">
        <v>2019</v>
      </c>
      <c r="F4" s="9" t="s">
        <v>36</v>
      </c>
      <c r="G4" s="9">
        <v>2018</v>
      </c>
      <c r="H4" s="9">
        <v>2019</v>
      </c>
    </row>
    <row r="5" spans="2:8" ht="12.75" customHeight="1">
      <c r="B5" s="10" t="s">
        <v>37</v>
      </c>
      <c r="C5" s="11">
        <v>1528273.2011121409</v>
      </c>
      <c r="D5" s="11">
        <f>C5*0.4</f>
        <v>611309.28044485638</v>
      </c>
      <c r="E5" s="11">
        <f>C5*0.6</f>
        <v>916963.92066728452</v>
      </c>
      <c r="F5" s="11">
        <v>0</v>
      </c>
      <c r="G5" s="11">
        <f>F5*0.4</f>
        <v>0</v>
      </c>
      <c r="H5" s="12">
        <f>F5*0.6</f>
        <v>0</v>
      </c>
    </row>
    <row r="6" spans="2:8" ht="12.75" customHeight="1">
      <c r="B6" s="10" t="s">
        <v>38</v>
      </c>
      <c r="C6" s="11">
        <v>3000000</v>
      </c>
      <c r="D6" s="11"/>
      <c r="E6" s="11">
        <f>C6</f>
        <v>3000000</v>
      </c>
      <c r="F6" s="11"/>
      <c r="G6" s="11"/>
      <c r="H6" s="12"/>
    </row>
    <row r="7" spans="2:8" ht="12.75" customHeight="1">
      <c r="B7" s="10" t="s">
        <v>39</v>
      </c>
      <c r="C7" s="11">
        <v>140000</v>
      </c>
      <c r="D7" s="11">
        <f>C7*0.4</f>
        <v>56000</v>
      </c>
      <c r="E7" s="11">
        <f>C7*0.6</f>
        <v>84000</v>
      </c>
      <c r="F7" s="11">
        <v>0</v>
      </c>
      <c r="G7" s="11">
        <f>F7*0.4</f>
        <v>0</v>
      </c>
      <c r="H7" s="12">
        <f>F7*0.6</f>
        <v>0</v>
      </c>
    </row>
    <row r="8" spans="2:8" ht="12.75" customHeight="1">
      <c r="B8" s="10" t="s">
        <v>40</v>
      </c>
      <c r="C8" s="11">
        <v>750000</v>
      </c>
      <c r="D8" s="11">
        <f>C8*0.5</f>
        <v>375000</v>
      </c>
      <c r="E8" s="11">
        <f>D8</f>
        <v>375000</v>
      </c>
      <c r="F8" s="11">
        <v>8000000</v>
      </c>
      <c r="G8" s="11">
        <f>F8*0.5</f>
        <v>4000000</v>
      </c>
      <c r="H8" s="12">
        <f>G8</f>
        <v>4000000</v>
      </c>
    </row>
    <row r="9" spans="2:8" ht="12.75" customHeight="1">
      <c r="B9" s="13" t="s">
        <v>41</v>
      </c>
      <c r="C9" s="14">
        <f t="shared" ref="C9:H9" si="0">SUM(C5:C8)</f>
        <v>5418273.2011121409</v>
      </c>
      <c r="D9" s="14">
        <f t="shared" si="0"/>
        <v>1042309.2804448564</v>
      </c>
      <c r="E9" s="14">
        <f t="shared" si="0"/>
        <v>4375963.9206672851</v>
      </c>
      <c r="F9" s="14">
        <f t="shared" si="0"/>
        <v>8000000</v>
      </c>
      <c r="G9" s="14">
        <f t="shared" si="0"/>
        <v>4000000</v>
      </c>
      <c r="H9" s="15">
        <f t="shared" si="0"/>
        <v>4000000</v>
      </c>
    </row>
    <row r="10" spans="2:8" ht="8.25" customHeight="1">
      <c r="B10" s="16"/>
      <c r="C10" s="17"/>
      <c r="D10" s="17"/>
      <c r="E10" s="18"/>
      <c r="F10" s="14"/>
      <c r="G10" s="14"/>
      <c r="H10" s="15"/>
    </row>
    <row r="11" spans="2:8" ht="12.75" customHeight="1">
      <c r="B11" s="10" t="s">
        <v>42</v>
      </c>
      <c r="C11" s="19">
        <v>1200000</v>
      </c>
      <c r="D11" s="11">
        <f>C11-E11</f>
        <v>500000</v>
      </c>
      <c r="E11" s="11">
        <v>700000</v>
      </c>
      <c r="F11" s="11">
        <v>0</v>
      </c>
      <c r="G11" s="11">
        <v>0</v>
      </c>
      <c r="H11" s="12">
        <v>0</v>
      </c>
    </row>
    <row r="12" spans="2:8" ht="12.75" customHeight="1">
      <c r="B12" s="10" t="s">
        <v>43</v>
      </c>
      <c r="C12" s="19">
        <f t="shared" ref="C12:H12" si="1">C9-C11-C13</f>
        <v>2718273.2011121409</v>
      </c>
      <c r="D12" s="11">
        <f t="shared" si="1"/>
        <v>92309.280444856384</v>
      </c>
      <c r="E12" s="11">
        <f t="shared" si="1"/>
        <v>2625963.9206672851</v>
      </c>
      <c r="F12" s="11">
        <f t="shared" si="1"/>
        <v>8000000</v>
      </c>
      <c r="G12" s="11">
        <f t="shared" si="1"/>
        <v>4000000</v>
      </c>
      <c r="H12" s="12">
        <f t="shared" si="1"/>
        <v>4000000</v>
      </c>
    </row>
    <row r="13" spans="2:8" ht="12.75" customHeight="1">
      <c r="B13" s="10" t="s">
        <v>44</v>
      </c>
      <c r="C13" s="19">
        <v>1500000</v>
      </c>
      <c r="D13" s="11">
        <f>C13*0.3</f>
        <v>450000</v>
      </c>
      <c r="E13" s="11">
        <f>C13-D13</f>
        <v>1050000</v>
      </c>
      <c r="F13" s="11">
        <v>0</v>
      </c>
      <c r="G13" s="11">
        <f>F13*0.4</f>
        <v>0</v>
      </c>
      <c r="H13" s="12">
        <f>F13*0.6</f>
        <v>0</v>
      </c>
    </row>
    <row r="14" spans="2:8" ht="12.75" customHeight="1">
      <c r="B14" s="20" t="s">
        <v>45</v>
      </c>
      <c r="C14" s="21">
        <f t="shared" ref="C14:H14" si="2">SUM(C11:C13)</f>
        <v>5418273.2011121409</v>
      </c>
      <c r="D14" s="21">
        <f t="shared" si="2"/>
        <v>1042309.2804448564</v>
      </c>
      <c r="E14" s="21">
        <f t="shared" si="2"/>
        <v>4375963.9206672851</v>
      </c>
      <c r="F14" s="22">
        <f t="shared" si="2"/>
        <v>8000000</v>
      </c>
      <c r="G14" s="22">
        <f t="shared" si="2"/>
        <v>4000000</v>
      </c>
      <c r="H14" s="23">
        <f t="shared" si="2"/>
        <v>4000000</v>
      </c>
    </row>
    <row r="15" spans="2:8" ht="12.75" customHeight="1">
      <c r="C15" s="24">
        <f t="shared" ref="C15:H15" si="3">C14-C9</f>
        <v>0</v>
      </c>
      <c r="D15" s="24">
        <f t="shared" si="3"/>
        <v>0</v>
      </c>
      <c r="E15" s="24">
        <f t="shared" si="3"/>
        <v>0</v>
      </c>
      <c r="F15" s="24">
        <f t="shared" si="3"/>
        <v>0</v>
      </c>
      <c r="G15" s="24">
        <f t="shared" si="3"/>
        <v>0</v>
      </c>
      <c r="H15" s="24">
        <f t="shared" si="3"/>
        <v>0</v>
      </c>
    </row>
    <row r="16" spans="2:8" ht="12.75" customHeight="1"/>
    <row r="17" spans="2:2" ht="12.75" customHeight="1">
      <c r="B17" s="6" t="s">
        <v>46</v>
      </c>
    </row>
    <row r="18" spans="2:2" ht="12.75" customHeight="1">
      <c r="B18" s="25" t="s">
        <v>47</v>
      </c>
    </row>
    <row r="19" spans="2:2" ht="12.75" customHeight="1">
      <c r="B19" s="2" t="s">
        <v>48</v>
      </c>
    </row>
    <row r="20" spans="2:2" ht="12.75" customHeight="1">
      <c r="B20" s="2" t="s">
        <v>49</v>
      </c>
    </row>
    <row r="21" spans="2:2" ht="12.75" customHeight="1"/>
    <row r="22" spans="2:2" ht="12.75" customHeight="1">
      <c r="B22" s="25" t="s">
        <v>50</v>
      </c>
    </row>
    <row r="23" spans="2:2" ht="12.75" customHeight="1">
      <c r="B23" s="2" t="s">
        <v>51</v>
      </c>
    </row>
    <row r="24" spans="2:2" ht="12.75" customHeight="1">
      <c r="B24" s="2" t="s">
        <v>52</v>
      </c>
    </row>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E3"/>
    <mergeCell ref="F3:H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pane xSplit="3" ySplit="4" topLeftCell="D29" activePane="bottomRight" state="frozen"/>
      <selection pane="topRight" activeCell="D1" sqref="D1"/>
      <selection pane="bottomLeft" activeCell="A5" sqref="A5"/>
      <selection pane="bottomRight" activeCell="F17" sqref="F17"/>
    </sheetView>
  </sheetViews>
  <sheetFormatPr defaultColWidth="12.6640625" defaultRowHeight="15" customHeight="1"/>
  <cols>
    <col min="1" max="1" width="2.6640625" customWidth="1"/>
    <col min="2" max="2" width="5.88671875" customWidth="1"/>
    <col min="3" max="3" width="43.109375" customWidth="1"/>
    <col min="4" max="5" width="11.109375" customWidth="1"/>
    <col min="6" max="25" width="11" customWidth="1"/>
  </cols>
  <sheetData>
    <row r="1" spans="1:25" ht="13.5" customHeight="1">
      <c r="A1" s="26"/>
      <c r="B1" s="26"/>
      <c r="C1" s="26"/>
      <c r="D1" s="27"/>
      <c r="E1" s="26"/>
      <c r="F1" s="26"/>
      <c r="G1" s="26"/>
      <c r="H1" s="26"/>
      <c r="I1" s="26"/>
      <c r="J1" s="26"/>
      <c r="K1" s="26"/>
      <c r="L1" s="26"/>
      <c r="M1" s="26"/>
      <c r="N1" s="26"/>
      <c r="O1" s="26"/>
      <c r="P1" s="26"/>
      <c r="Q1" s="26"/>
      <c r="R1" s="26"/>
      <c r="S1" s="26"/>
      <c r="T1" s="26"/>
      <c r="U1" s="26"/>
      <c r="V1" s="26"/>
      <c r="W1" s="26"/>
      <c r="X1" s="26"/>
      <c r="Y1" s="26"/>
    </row>
    <row r="2" spans="1:25" ht="12.75" customHeight="1">
      <c r="A2" s="2"/>
      <c r="B2" s="2"/>
      <c r="C2" s="337" t="s">
        <v>53</v>
      </c>
      <c r="D2" s="338"/>
      <c r="E2" s="338"/>
      <c r="F2" s="2"/>
      <c r="G2" s="2"/>
      <c r="H2" s="2"/>
      <c r="I2" s="2"/>
      <c r="J2" s="2"/>
      <c r="K2" s="2"/>
      <c r="L2" s="2"/>
      <c r="M2" s="2"/>
      <c r="N2" s="2"/>
      <c r="O2" s="2"/>
      <c r="P2" s="2"/>
      <c r="Q2" s="2"/>
      <c r="R2" s="2"/>
      <c r="S2" s="2"/>
      <c r="T2" s="2"/>
      <c r="U2" s="2"/>
      <c r="V2" s="2"/>
      <c r="W2" s="2"/>
      <c r="X2" s="2"/>
      <c r="Y2" s="2"/>
    </row>
    <row r="3" spans="1:25" ht="12.75" customHeight="1">
      <c r="A3" s="2"/>
      <c r="B3" s="339"/>
      <c r="C3" s="341" t="s">
        <v>54</v>
      </c>
      <c r="D3" s="342">
        <v>2016</v>
      </c>
      <c r="E3" s="342">
        <v>2017</v>
      </c>
      <c r="F3" s="2"/>
      <c r="G3" s="2"/>
      <c r="H3" s="2"/>
      <c r="I3" s="2"/>
      <c r="J3" s="2"/>
      <c r="K3" s="2"/>
      <c r="L3" s="2"/>
      <c r="M3" s="2"/>
      <c r="N3" s="2"/>
      <c r="O3" s="2"/>
      <c r="P3" s="2"/>
      <c r="Q3" s="2"/>
      <c r="R3" s="2"/>
      <c r="S3" s="2"/>
      <c r="T3" s="2"/>
      <c r="U3" s="2"/>
      <c r="V3" s="2"/>
      <c r="W3" s="2"/>
      <c r="X3" s="2"/>
      <c r="Y3" s="2"/>
    </row>
    <row r="4" spans="1:25" ht="29.25" customHeight="1">
      <c r="A4" s="2"/>
      <c r="B4" s="340"/>
      <c r="C4" s="340"/>
      <c r="D4" s="343"/>
      <c r="E4" s="343"/>
      <c r="F4" s="2"/>
      <c r="G4" s="2"/>
      <c r="H4" s="2"/>
      <c r="I4" s="2"/>
      <c r="J4" s="2"/>
      <c r="K4" s="2"/>
      <c r="L4" s="2"/>
      <c r="M4" s="2"/>
      <c r="N4" s="2"/>
      <c r="O4" s="2"/>
      <c r="P4" s="2"/>
      <c r="Q4" s="2"/>
      <c r="R4" s="2"/>
      <c r="S4" s="2"/>
      <c r="T4" s="2"/>
      <c r="U4" s="2"/>
      <c r="V4" s="2"/>
      <c r="W4" s="2"/>
      <c r="X4" s="2"/>
      <c r="Y4" s="2"/>
    </row>
    <row r="5" spans="1:25" ht="17.25" customHeight="1">
      <c r="A5" s="28"/>
      <c r="B5" s="29" t="s">
        <v>55</v>
      </c>
      <c r="C5" s="29" t="s">
        <v>56</v>
      </c>
      <c r="D5" s="30">
        <v>2714177.4791473583</v>
      </c>
      <c r="E5" s="30">
        <v>4414253.6492122337</v>
      </c>
      <c r="F5" s="28"/>
      <c r="G5" s="28"/>
      <c r="H5" s="28"/>
      <c r="I5" s="28"/>
      <c r="J5" s="28"/>
      <c r="K5" s="28"/>
      <c r="L5" s="28"/>
      <c r="M5" s="28"/>
      <c r="N5" s="28"/>
      <c r="O5" s="28"/>
      <c r="P5" s="28"/>
      <c r="Q5" s="28"/>
      <c r="R5" s="28"/>
      <c r="S5" s="28"/>
      <c r="T5" s="28"/>
      <c r="U5" s="28"/>
      <c r="V5" s="28"/>
      <c r="W5" s="28"/>
      <c r="X5" s="28"/>
      <c r="Y5" s="28"/>
    </row>
    <row r="6" spans="1:25" ht="17.25" customHeight="1">
      <c r="A6" s="28"/>
      <c r="B6" s="29" t="s">
        <v>57</v>
      </c>
      <c r="C6" s="29" t="s">
        <v>58</v>
      </c>
      <c r="D6" s="30">
        <v>998289.53753475449</v>
      </c>
      <c r="E6" s="30">
        <v>1121942.4814643189</v>
      </c>
      <c r="F6" s="28"/>
      <c r="G6" s="28"/>
      <c r="H6" s="28"/>
      <c r="I6" s="28"/>
      <c r="J6" s="28"/>
      <c r="K6" s="28"/>
      <c r="L6" s="28"/>
      <c r="M6" s="28"/>
      <c r="N6" s="28"/>
      <c r="O6" s="28"/>
      <c r="P6" s="28"/>
      <c r="Q6" s="28"/>
      <c r="R6" s="28"/>
      <c r="S6" s="28"/>
      <c r="T6" s="28"/>
      <c r="U6" s="28"/>
      <c r="V6" s="28"/>
      <c r="W6" s="28"/>
      <c r="X6" s="28"/>
      <c r="Y6" s="28"/>
    </row>
    <row r="7" spans="1:25" ht="12.75" customHeight="1">
      <c r="A7" s="2"/>
      <c r="B7" s="2"/>
      <c r="C7" s="31" t="s">
        <v>59</v>
      </c>
      <c r="D7" s="32">
        <v>0</v>
      </c>
      <c r="E7" s="32">
        <v>0</v>
      </c>
      <c r="F7" s="2"/>
      <c r="G7" s="2"/>
      <c r="H7" s="2"/>
      <c r="I7" s="2"/>
      <c r="J7" s="2"/>
      <c r="K7" s="2"/>
      <c r="L7" s="2"/>
      <c r="M7" s="2"/>
      <c r="N7" s="2"/>
      <c r="O7" s="2"/>
      <c r="P7" s="2"/>
      <c r="Q7" s="2"/>
      <c r="R7" s="2"/>
      <c r="S7" s="2"/>
      <c r="T7" s="2"/>
      <c r="U7" s="2"/>
      <c r="V7" s="2"/>
      <c r="W7" s="2"/>
      <c r="X7" s="2"/>
      <c r="Y7" s="2"/>
    </row>
    <row r="8" spans="1:25" ht="12.75" customHeight="1">
      <c r="A8" s="2"/>
      <c r="B8" s="2"/>
      <c r="C8" s="31" t="s">
        <v>60</v>
      </c>
      <c r="D8" s="32">
        <v>992551.55236329942</v>
      </c>
      <c r="E8" s="32">
        <v>1076892.6668211308</v>
      </c>
      <c r="F8" s="2"/>
      <c r="G8" s="2"/>
      <c r="H8" s="2"/>
      <c r="I8" s="2"/>
      <c r="J8" s="2"/>
      <c r="K8" s="2"/>
      <c r="L8" s="2"/>
      <c r="M8" s="2"/>
      <c r="N8" s="2"/>
      <c r="O8" s="2"/>
      <c r="P8" s="2"/>
      <c r="Q8" s="2"/>
      <c r="R8" s="2"/>
      <c r="S8" s="2"/>
      <c r="T8" s="2"/>
      <c r="U8" s="2"/>
      <c r="V8" s="2"/>
      <c r="W8" s="2"/>
      <c r="X8" s="2"/>
      <c r="Y8" s="2"/>
    </row>
    <row r="9" spans="1:25" ht="12.75" customHeight="1">
      <c r="A9" s="2"/>
      <c r="B9" s="2"/>
      <c r="C9" s="31" t="s">
        <v>61</v>
      </c>
      <c r="D9" s="32"/>
      <c r="E9" s="32"/>
      <c r="F9" s="2"/>
      <c r="G9" s="2"/>
      <c r="H9" s="2"/>
      <c r="I9" s="2"/>
      <c r="J9" s="2"/>
      <c r="K9" s="2"/>
      <c r="L9" s="2"/>
      <c r="M9" s="2"/>
      <c r="N9" s="2"/>
      <c r="O9" s="2"/>
      <c r="P9" s="2"/>
      <c r="Q9" s="2"/>
      <c r="R9" s="2"/>
      <c r="S9" s="2"/>
      <c r="T9" s="2"/>
      <c r="U9" s="2"/>
      <c r="V9" s="2"/>
      <c r="W9" s="2"/>
      <c r="X9" s="2"/>
      <c r="Y9" s="2"/>
    </row>
    <row r="10" spans="1:25" ht="12.75" customHeight="1">
      <c r="A10" s="2"/>
      <c r="B10" s="2"/>
      <c r="C10" s="31" t="s">
        <v>62</v>
      </c>
      <c r="D10" s="33"/>
      <c r="E10" s="33"/>
      <c r="F10" s="2"/>
      <c r="G10" s="2"/>
      <c r="H10" s="2"/>
      <c r="I10" s="2"/>
      <c r="J10" s="2"/>
      <c r="K10" s="2"/>
      <c r="L10" s="2"/>
      <c r="M10" s="2"/>
      <c r="N10" s="2"/>
      <c r="O10" s="2"/>
      <c r="P10" s="2"/>
      <c r="Q10" s="2"/>
      <c r="R10" s="2"/>
      <c r="S10" s="2"/>
      <c r="T10" s="2"/>
      <c r="U10" s="2"/>
      <c r="V10" s="2"/>
      <c r="W10" s="2"/>
      <c r="X10" s="2"/>
      <c r="Y10" s="2"/>
    </row>
    <row r="11" spans="1:25" ht="12.75" customHeight="1">
      <c r="A11" s="2"/>
      <c r="B11" s="2"/>
      <c r="C11" s="31" t="s">
        <v>63</v>
      </c>
      <c r="D11" s="32">
        <v>5737.985171455075</v>
      </c>
      <c r="E11" s="32">
        <v>45049.814643188147</v>
      </c>
      <c r="F11" s="2"/>
      <c r="G11" s="2"/>
      <c r="H11" s="2"/>
      <c r="I11" s="2"/>
      <c r="J11" s="2"/>
      <c r="K11" s="2"/>
      <c r="L11" s="2"/>
      <c r="M11" s="2"/>
      <c r="N11" s="2"/>
      <c r="O11" s="2"/>
      <c r="P11" s="2"/>
      <c r="Q11" s="2"/>
      <c r="R11" s="2"/>
      <c r="S11" s="2"/>
      <c r="T11" s="2"/>
      <c r="U11" s="2"/>
      <c r="V11" s="2"/>
      <c r="W11" s="2"/>
      <c r="X11" s="2"/>
      <c r="Y11" s="2"/>
    </row>
    <row r="12" spans="1:25" ht="17.25" customHeight="1">
      <c r="A12" s="28"/>
      <c r="B12" s="29" t="s">
        <v>64</v>
      </c>
      <c r="C12" s="29" t="s">
        <v>65</v>
      </c>
      <c r="D12" s="34">
        <f t="shared" ref="D12:E12" si="0">SUM(D5-D6)</f>
        <v>1715887.9416126038</v>
      </c>
      <c r="E12" s="34">
        <f t="shared" si="0"/>
        <v>3292311.1677479148</v>
      </c>
      <c r="F12" s="28"/>
      <c r="G12" s="28"/>
      <c r="H12" s="28"/>
      <c r="I12" s="28"/>
      <c r="J12" s="28"/>
      <c r="K12" s="28"/>
      <c r="L12" s="28"/>
      <c r="M12" s="28"/>
      <c r="N12" s="28"/>
      <c r="O12" s="28"/>
      <c r="P12" s="28"/>
      <c r="Q12" s="28"/>
      <c r="R12" s="28"/>
      <c r="S12" s="28"/>
      <c r="T12" s="28"/>
      <c r="U12" s="28"/>
      <c r="V12" s="28"/>
      <c r="W12" s="28"/>
      <c r="X12" s="28"/>
      <c r="Y12" s="28"/>
    </row>
    <row r="13" spans="1:25" ht="17.25" customHeight="1">
      <c r="A13" s="28"/>
      <c r="B13" s="29" t="s">
        <v>66</v>
      </c>
      <c r="C13" s="29" t="s">
        <v>67</v>
      </c>
      <c r="D13" s="30">
        <f t="shared" ref="D13:E13" si="1">SUM(D14,D19)</f>
        <v>1367820.0690454128</v>
      </c>
      <c r="E13" s="30">
        <f t="shared" si="1"/>
        <v>2932586.3067655233</v>
      </c>
      <c r="F13" s="28"/>
      <c r="G13" s="28"/>
      <c r="H13" s="28"/>
      <c r="I13" s="28"/>
      <c r="J13" s="28"/>
      <c r="K13" s="28"/>
      <c r="L13" s="28"/>
      <c r="M13" s="28"/>
      <c r="N13" s="28"/>
      <c r="O13" s="28"/>
      <c r="P13" s="28"/>
      <c r="Q13" s="28"/>
      <c r="R13" s="28"/>
      <c r="S13" s="28"/>
      <c r="T13" s="28"/>
      <c r="U13" s="28"/>
      <c r="V13" s="28"/>
      <c r="W13" s="28"/>
      <c r="X13" s="28"/>
      <c r="Y13" s="28"/>
    </row>
    <row r="14" spans="1:25" ht="17.25" customHeight="1">
      <c r="A14" s="26"/>
      <c r="B14" s="35" t="s">
        <v>68</v>
      </c>
      <c r="C14" s="35" t="s">
        <v>69</v>
      </c>
      <c r="D14" s="36">
        <v>726794.19601482863</v>
      </c>
      <c r="E14" s="36">
        <v>10847.717794253938</v>
      </c>
      <c r="F14" s="26"/>
      <c r="G14" s="26"/>
      <c r="H14" s="26"/>
      <c r="I14" s="26"/>
      <c r="J14" s="26"/>
      <c r="K14" s="26"/>
      <c r="L14" s="26"/>
      <c r="M14" s="26"/>
      <c r="N14" s="26"/>
      <c r="O14" s="26"/>
      <c r="P14" s="26"/>
      <c r="Q14" s="26"/>
      <c r="R14" s="26"/>
      <c r="S14" s="26"/>
      <c r="T14" s="26"/>
      <c r="U14" s="26"/>
      <c r="V14" s="26"/>
      <c r="W14" s="26"/>
      <c r="X14" s="26"/>
      <c r="Y14" s="26"/>
    </row>
    <row r="15" spans="1:25" ht="12.75" customHeight="1">
      <c r="A15" s="2"/>
      <c r="B15" s="2"/>
      <c r="C15" s="31" t="s">
        <v>59</v>
      </c>
      <c r="D15" s="32"/>
      <c r="E15" s="32"/>
      <c r="F15" s="2"/>
      <c r="G15" s="2"/>
      <c r="H15" s="2"/>
      <c r="I15" s="2"/>
      <c r="J15" s="2"/>
      <c r="K15" s="2"/>
      <c r="L15" s="2"/>
      <c r="M15" s="2"/>
      <c r="N15" s="2"/>
      <c r="O15" s="2"/>
      <c r="P15" s="2"/>
      <c r="Q15" s="2"/>
      <c r="R15" s="2"/>
      <c r="S15" s="2"/>
      <c r="T15" s="2"/>
      <c r="U15" s="2"/>
      <c r="V15" s="2"/>
      <c r="W15" s="2"/>
      <c r="X15" s="2"/>
      <c r="Y15" s="2"/>
    </row>
    <row r="16" spans="1:25" ht="12.75" customHeight="1">
      <c r="A16" s="2"/>
      <c r="B16" s="2"/>
      <c r="C16" s="31" t="s">
        <v>61</v>
      </c>
      <c r="D16" s="32"/>
      <c r="E16" s="32"/>
      <c r="F16" s="2"/>
      <c r="G16" s="2"/>
      <c r="H16" s="2"/>
      <c r="I16" s="2"/>
      <c r="J16" s="2"/>
      <c r="K16" s="2"/>
      <c r="L16" s="2"/>
      <c r="M16" s="2"/>
      <c r="N16" s="2"/>
      <c r="O16" s="2"/>
      <c r="P16" s="2"/>
      <c r="Q16" s="2"/>
      <c r="R16" s="2"/>
      <c r="S16" s="2"/>
      <c r="T16" s="2"/>
      <c r="U16" s="2"/>
      <c r="V16" s="2"/>
      <c r="W16" s="2"/>
      <c r="X16" s="2"/>
      <c r="Y16" s="2"/>
    </row>
    <row r="17" spans="1:25" ht="12.75" customHeight="1">
      <c r="A17" s="2"/>
      <c r="B17" s="2"/>
      <c r="C17" s="31" t="s">
        <v>70</v>
      </c>
      <c r="D17" s="32"/>
      <c r="E17" s="32"/>
      <c r="F17" s="2"/>
      <c r="G17" s="2"/>
      <c r="H17" s="2"/>
      <c r="I17" s="2"/>
      <c r="J17" s="2"/>
      <c r="K17" s="2"/>
      <c r="L17" s="2"/>
      <c r="M17" s="2"/>
      <c r="N17" s="2"/>
      <c r="O17" s="2"/>
      <c r="P17" s="2"/>
      <c r="Q17" s="2"/>
      <c r="R17" s="2"/>
      <c r="S17" s="2"/>
      <c r="T17" s="2"/>
      <c r="U17" s="2"/>
      <c r="V17" s="2"/>
      <c r="W17" s="2"/>
      <c r="X17" s="2"/>
      <c r="Y17" s="2"/>
    </row>
    <row r="18" spans="1:25" ht="12.75" customHeight="1">
      <c r="A18" s="2"/>
      <c r="B18" s="2"/>
      <c r="C18" s="31" t="s">
        <v>63</v>
      </c>
      <c r="D18" s="32">
        <f t="shared" ref="D18:E18" si="2">D14</f>
        <v>726794.19601482863</v>
      </c>
      <c r="E18" s="32">
        <f t="shared" si="2"/>
        <v>10847.717794253938</v>
      </c>
      <c r="F18" s="2"/>
      <c r="G18" s="2"/>
      <c r="H18" s="2"/>
      <c r="I18" s="2"/>
      <c r="J18" s="2"/>
      <c r="K18" s="2"/>
      <c r="L18" s="2"/>
      <c r="M18" s="2"/>
      <c r="N18" s="2"/>
      <c r="O18" s="2"/>
      <c r="P18" s="2"/>
      <c r="Q18" s="2"/>
      <c r="R18" s="2"/>
      <c r="S18" s="2"/>
      <c r="T18" s="2"/>
      <c r="U18" s="2"/>
      <c r="V18" s="2"/>
      <c r="W18" s="2"/>
      <c r="X18" s="2"/>
      <c r="Y18" s="2"/>
    </row>
    <row r="19" spans="1:25" ht="17.25" customHeight="1">
      <c r="A19" s="26"/>
      <c r="B19" s="35" t="s">
        <v>71</v>
      </c>
      <c r="C19" s="35" t="s">
        <v>72</v>
      </c>
      <c r="D19" s="36">
        <f t="shared" ref="D19:E19" si="3">SUM(D20:D23)</f>
        <v>641025.87303058407</v>
      </c>
      <c r="E19" s="36">
        <f t="shared" si="3"/>
        <v>2921738.5889712693</v>
      </c>
      <c r="F19" s="26"/>
      <c r="G19" s="26"/>
      <c r="H19" s="26"/>
      <c r="I19" s="26"/>
      <c r="J19" s="26"/>
      <c r="K19" s="26"/>
      <c r="L19" s="26"/>
      <c r="M19" s="26"/>
      <c r="N19" s="26"/>
      <c r="O19" s="26"/>
      <c r="P19" s="26"/>
      <c r="Q19" s="26"/>
      <c r="R19" s="26"/>
      <c r="S19" s="26"/>
      <c r="T19" s="26"/>
      <c r="U19" s="26"/>
      <c r="V19" s="26"/>
      <c r="W19" s="26"/>
      <c r="X19" s="26"/>
      <c r="Y19" s="26"/>
    </row>
    <row r="20" spans="1:25" ht="12.75" customHeight="1">
      <c r="A20" s="2"/>
      <c r="B20" s="2"/>
      <c r="C20" s="31" t="s">
        <v>59</v>
      </c>
      <c r="D20" s="32">
        <v>140511.17933271549</v>
      </c>
      <c r="E20" s="32">
        <v>203121.81417979611</v>
      </c>
      <c r="F20" s="2"/>
      <c r="G20" s="2"/>
      <c r="H20" s="2"/>
      <c r="I20" s="2"/>
      <c r="J20" s="2"/>
      <c r="K20" s="2"/>
      <c r="L20" s="2"/>
      <c r="M20" s="2"/>
      <c r="N20" s="2"/>
      <c r="O20" s="2"/>
      <c r="P20" s="2"/>
      <c r="Q20" s="2"/>
      <c r="R20" s="2"/>
      <c r="S20" s="2"/>
      <c r="T20" s="2"/>
      <c r="U20" s="2"/>
      <c r="V20" s="2"/>
      <c r="W20" s="2"/>
      <c r="X20" s="2"/>
      <c r="Y20" s="2"/>
    </row>
    <row r="21" spans="1:25" ht="12.75" customHeight="1">
      <c r="A21" s="2"/>
      <c r="B21" s="2"/>
      <c r="C21" s="31" t="s">
        <v>61</v>
      </c>
      <c r="D21" s="32">
        <v>499966.69369786844</v>
      </c>
      <c r="E21" s="32">
        <v>1368507.0088044486</v>
      </c>
      <c r="F21" s="2"/>
      <c r="G21" s="2"/>
      <c r="H21" s="2"/>
      <c r="I21" s="2"/>
      <c r="J21" s="2"/>
      <c r="K21" s="2"/>
      <c r="L21" s="2"/>
      <c r="M21" s="2"/>
      <c r="N21" s="2"/>
      <c r="O21" s="2"/>
      <c r="P21" s="2"/>
      <c r="Q21" s="2"/>
      <c r="R21" s="2"/>
      <c r="S21" s="2"/>
      <c r="T21" s="2"/>
      <c r="U21" s="2"/>
      <c r="V21" s="2"/>
      <c r="W21" s="2"/>
      <c r="X21" s="2"/>
      <c r="Y21" s="2"/>
    </row>
    <row r="22" spans="1:25" ht="12.75" customHeight="1">
      <c r="A22" s="2"/>
      <c r="B22" s="2"/>
      <c r="C22" s="31" t="s">
        <v>70</v>
      </c>
      <c r="D22" s="32"/>
      <c r="E22" s="32"/>
      <c r="F22" s="2"/>
      <c r="G22" s="2"/>
      <c r="H22" s="2"/>
      <c r="I22" s="2"/>
      <c r="J22" s="2"/>
      <c r="K22" s="2"/>
      <c r="L22" s="2"/>
      <c r="M22" s="2"/>
      <c r="N22" s="2"/>
      <c r="O22" s="2"/>
      <c r="P22" s="2"/>
      <c r="Q22" s="2"/>
      <c r="R22" s="2"/>
      <c r="S22" s="2"/>
      <c r="T22" s="2"/>
      <c r="U22" s="2"/>
      <c r="V22" s="2"/>
      <c r="W22" s="2"/>
      <c r="X22" s="2"/>
      <c r="Y22" s="2"/>
    </row>
    <row r="23" spans="1:25" ht="12.75" customHeight="1">
      <c r="A23" s="2"/>
      <c r="B23" s="2"/>
      <c r="C23" s="31" t="s">
        <v>63</v>
      </c>
      <c r="D23" s="32">
        <v>548.00000000011642</v>
      </c>
      <c r="E23" s="32">
        <v>1350109.7659870244</v>
      </c>
      <c r="F23" s="2"/>
      <c r="G23" s="2"/>
      <c r="H23" s="2"/>
      <c r="I23" s="2"/>
      <c r="J23" s="2"/>
      <c r="K23" s="2"/>
      <c r="L23" s="2"/>
      <c r="M23" s="2"/>
      <c r="N23" s="2"/>
      <c r="O23" s="2"/>
      <c r="P23" s="2"/>
      <c r="Q23" s="2"/>
      <c r="R23" s="2"/>
      <c r="S23" s="2"/>
      <c r="T23" s="2"/>
      <c r="U23" s="2"/>
      <c r="V23" s="2"/>
      <c r="W23" s="2"/>
      <c r="X23" s="2"/>
      <c r="Y23" s="2"/>
    </row>
    <row r="24" spans="1:25" ht="17.25" customHeight="1">
      <c r="A24" s="28"/>
      <c r="B24" s="29" t="s">
        <v>73</v>
      </c>
      <c r="C24" s="29" t="s">
        <v>74</v>
      </c>
      <c r="D24" s="34">
        <f t="shared" ref="D24:E24" si="4">SUM(D12-D13)</f>
        <v>348067.87256719102</v>
      </c>
      <c r="E24" s="34">
        <f t="shared" si="4"/>
        <v>359724.86098239152</v>
      </c>
      <c r="F24" s="28"/>
      <c r="G24" s="28"/>
      <c r="H24" s="28"/>
      <c r="I24" s="28"/>
      <c r="J24" s="28"/>
      <c r="K24" s="28"/>
      <c r="L24" s="28"/>
      <c r="M24" s="28"/>
      <c r="N24" s="28"/>
      <c r="O24" s="28"/>
      <c r="P24" s="28"/>
      <c r="Q24" s="28"/>
      <c r="R24" s="28"/>
      <c r="S24" s="28"/>
      <c r="T24" s="28"/>
      <c r="U24" s="28"/>
      <c r="V24" s="28"/>
      <c r="W24" s="28"/>
      <c r="X24" s="28"/>
      <c r="Y24" s="28"/>
    </row>
    <row r="25" spans="1:25" ht="17.25" customHeight="1">
      <c r="A25" s="28"/>
      <c r="B25" s="29" t="s">
        <v>75</v>
      </c>
      <c r="C25" s="29" t="s">
        <v>76</v>
      </c>
      <c r="D25" s="30">
        <f t="shared" ref="D25:E25" si="5">SUM(D26-D27)</f>
        <v>4344.3002780352181</v>
      </c>
      <c r="E25" s="30">
        <f t="shared" si="5"/>
        <v>89548.192771084345</v>
      </c>
      <c r="F25" s="28"/>
      <c r="G25" s="28"/>
      <c r="H25" s="28"/>
      <c r="I25" s="28"/>
      <c r="J25" s="28"/>
      <c r="K25" s="28"/>
      <c r="L25" s="28"/>
      <c r="M25" s="28"/>
      <c r="N25" s="28"/>
      <c r="O25" s="28"/>
      <c r="P25" s="28"/>
      <c r="Q25" s="28"/>
      <c r="R25" s="28"/>
      <c r="S25" s="28"/>
      <c r="T25" s="28"/>
      <c r="U25" s="28"/>
      <c r="V25" s="28"/>
      <c r="W25" s="28"/>
      <c r="X25" s="28"/>
      <c r="Y25" s="28"/>
    </row>
    <row r="26" spans="1:25" ht="17.25" customHeight="1">
      <c r="A26" s="26"/>
      <c r="B26" s="35" t="s">
        <v>77</v>
      </c>
      <c r="C26" s="35" t="s">
        <v>78</v>
      </c>
      <c r="D26" s="36">
        <f>15000/3.4528</f>
        <v>4344.3002780352181</v>
      </c>
      <c r="E26" s="36">
        <f>309192/3.4528</f>
        <v>89548.192771084345</v>
      </c>
      <c r="F26" s="26"/>
      <c r="G26" s="26"/>
      <c r="H26" s="26"/>
      <c r="I26" s="26"/>
      <c r="J26" s="26"/>
      <c r="K26" s="26"/>
      <c r="L26" s="26"/>
      <c r="M26" s="26"/>
      <c r="N26" s="26"/>
      <c r="O26" s="26"/>
      <c r="P26" s="26"/>
      <c r="Q26" s="26"/>
      <c r="R26" s="26"/>
      <c r="S26" s="26"/>
      <c r="T26" s="26"/>
      <c r="U26" s="26"/>
      <c r="V26" s="26"/>
      <c r="W26" s="26"/>
      <c r="X26" s="26"/>
      <c r="Y26" s="26"/>
    </row>
    <row r="27" spans="1:25" ht="17.25" customHeight="1">
      <c r="A27" s="26"/>
      <c r="B27" s="35" t="s">
        <v>79</v>
      </c>
      <c r="C27" s="35" t="s">
        <v>80</v>
      </c>
      <c r="D27" s="36">
        <v>0</v>
      </c>
      <c r="E27" s="36">
        <v>0</v>
      </c>
      <c r="F27" s="26"/>
      <c r="G27" s="26"/>
      <c r="H27" s="26"/>
      <c r="I27" s="26"/>
      <c r="J27" s="26"/>
      <c r="K27" s="26"/>
      <c r="L27" s="26"/>
      <c r="M27" s="26"/>
      <c r="N27" s="26"/>
      <c r="O27" s="26"/>
      <c r="P27" s="26"/>
      <c r="Q27" s="26"/>
      <c r="R27" s="26"/>
      <c r="S27" s="26"/>
      <c r="T27" s="26"/>
      <c r="U27" s="26"/>
      <c r="V27" s="26"/>
      <c r="W27" s="26"/>
      <c r="X27" s="26"/>
      <c r="Y27" s="26"/>
    </row>
    <row r="28" spans="1:25" ht="17.25" customHeight="1">
      <c r="A28" s="28"/>
      <c r="B28" s="29" t="s">
        <v>81</v>
      </c>
      <c r="C28" s="29" t="s">
        <v>82</v>
      </c>
      <c r="D28" s="30">
        <f t="shared" ref="D28:E28" si="6">SUM(D29-D30)</f>
        <v>-9701.112140871177</v>
      </c>
      <c r="E28" s="30">
        <f t="shared" si="6"/>
        <v>-21799.119555143654</v>
      </c>
      <c r="F28" s="28"/>
      <c r="G28" s="28"/>
      <c r="H28" s="28"/>
      <c r="I28" s="28"/>
      <c r="J28" s="28"/>
      <c r="K28" s="28"/>
      <c r="L28" s="28"/>
      <c r="M28" s="28"/>
      <c r="N28" s="28"/>
      <c r="O28" s="28"/>
      <c r="P28" s="28"/>
      <c r="Q28" s="28"/>
      <c r="R28" s="28"/>
      <c r="S28" s="28"/>
      <c r="T28" s="28"/>
      <c r="U28" s="28"/>
      <c r="V28" s="28"/>
      <c r="W28" s="28"/>
      <c r="X28" s="28"/>
      <c r="Y28" s="28"/>
    </row>
    <row r="29" spans="1:25" ht="17.25" customHeight="1">
      <c r="A29" s="26"/>
      <c r="B29" s="35" t="s">
        <v>83</v>
      </c>
      <c r="C29" s="35" t="s">
        <v>78</v>
      </c>
      <c r="D29" s="36">
        <f>11633/3.4528</f>
        <v>3369.1496756255792</v>
      </c>
      <c r="E29" s="36">
        <f>9444/3.4528</f>
        <v>2735.1714550509732</v>
      </c>
      <c r="F29" s="26"/>
      <c r="G29" s="26"/>
      <c r="H29" s="26"/>
      <c r="I29" s="26"/>
      <c r="J29" s="26"/>
      <c r="K29" s="26"/>
      <c r="L29" s="26"/>
      <c r="M29" s="26"/>
      <c r="N29" s="26"/>
      <c r="O29" s="26"/>
      <c r="P29" s="26"/>
      <c r="Q29" s="26"/>
      <c r="R29" s="26"/>
      <c r="S29" s="26"/>
      <c r="T29" s="26"/>
      <c r="U29" s="26"/>
      <c r="V29" s="26"/>
      <c r="W29" s="26"/>
      <c r="X29" s="26"/>
      <c r="Y29" s="26"/>
    </row>
    <row r="30" spans="1:25" ht="17.25" customHeight="1">
      <c r="A30" s="26"/>
      <c r="B30" s="35" t="s">
        <v>84</v>
      </c>
      <c r="C30" s="35" t="s">
        <v>80</v>
      </c>
      <c r="D30" s="36">
        <f>45129/3.4528</f>
        <v>13070.261816496757</v>
      </c>
      <c r="E30" s="36">
        <f>84712/3.4528</f>
        <v>24534.291010194625</v>
      </c>
      <c r="F30" s="26"/>
      <c r="G30" s="26"/>
      <c r="H30" s="26"/>
      <c r="I30" s="26"/>
      <c r="J30" s="26"/>
      <c r="K30" s="26"/>
      <c r="L30" s="26"/>
      <c r="M30" s="26"/>
      <c r="N30" s="26"/>
      <c r="O30" s="26"/>
      <c r="P30" s="26"/>
      <c r="Q30" s="26"/>
      <c r="R30" s="26"/>
      <c r="S30" s="26"/>
      <c r="T30" s="26"/>
      <c r="U30" s="26"/>
      <c r="V30" s="26"/>
      <c r="W30" s="26"/>
      <c r="X30" s="26"/>
      <c r="Y30" s="26"/>
    </row>
    <row r="31" spans="1:25" ht="17.25" customHeight="1">
      <c r="A31" s="28"/>
      <c r="B31" s="29" t="s">
        <v>85</v>
      </c>
      <c r="C31" s="29" t="s">
        <v>86</v>
      </c>
      <c r="D31" s="34">
        <f t="shared" ref="D31:E31" si="7">SUM(D24+D25+D28)</f>
        <v>342711.06070435507</v>
      </c>
      <c r="E31" s="34">
        <f t="shared" si="7"/>
        <v>427473.93419833225</v>
      </c>
      <c r="F31" s="28"/>
      <c r="G31" s="28"/>
      <c r="H31" s="28"/>
      <c r="I31" s="28"/>
      <c r="J31" s="28"/>
      <c r="K31" s="28"/>
      <c r="L31" s="28"/>
      <c r="M31" s="28"/>
      <c r="N31" s="28"/>
      <c r="O31" s="28"/>
      <c r="P31" s="28"/>
      <c r="Q31" s="28"/>
      <c r="R31" s="28"/>
      <c r="S31" s="28"/>
      <c r="T31" s="28"/>
      <c r="U31" s="28"/>
      <c r="V31" s="28"/>
      <c r="W31" s="28"/>
      <c r="X31" s="28"/>
      <c r="Y31" s="28"/>
    </row>
    <row r="32" spans="1:25" ht="17.25" customHeight="1">
      <c r="A32" s="28"/>
      <c r="B32" s="29"/>
      <c r="C32" s="29"/>
      <c r="D32" s="34"/>
      <c r="E32" s="34"/>
      <c r="F32" s="28"/>
      <c r="G32" s="28"/>
      <c r="H32" s="28"/>
      <c r="I32" s="28"/>
      <c r="J32" s="28"/>
      <c r="K32" s="28"/>
      <c r="L32" s="28"/>
      <c r="M32" s="28"/>
      <c r="N32" s="28"/>
      <c r="O32" s="28"/>
      <c r="P32" s="28"/>
      <c r="Q32" s="28"/>
      <c r="R32" s="28"/>
      <c r="S32" s="28"/>
      <c r="T32" s="28"/>
      <c r="U32" s="28"/>
      <c r="V32" s="28"/>
      <c r="W32" s="28"/>
      <c r="X32" s="28"/>
      <c r="Y32" s="28"/>
    </row>
    <row r="33" spans="1:25" ht="17.25" customHeight="1">
      <c r="A33" s="28"/>
      <c r="B33" s="29" t="s">
        <v>87</v>
      </c>
      <c r="C33" s="29" t="s">
        <v>88</v>
      </c>
      <c r="D33" s="34"/>
      <c r="E33" s="34"/>
      <c r="F33" s="28"/>
      <c r="G33" s="28"/>
      <c r="H33" s="28"/>
      <c r="I33" s="28"/>
      <c r="J33" s="28"/>
      <c r="K33" s="28"/>
      <c r="L33" s="28"/>
      <c r="M33" s="28"/>
      <c r="N33" s="28"/>
      <c r="O33" s="28"/>
      <c r="P33" s="28"/>
      <c r="Q33" s="28"/>
      <c r="R33" s="28"/>
      <c r="S33" s="28"/>
      <c r="T33" s="28"/>
      <c r="U33" s="28"/>
      <c r="V33" s="28"/>
      <c r="W33" s="28"/>
      <c r="X33" s="28"/>
      <c r="Y33" s="28"/>
    </row>
    <row r="34" spans="1:25" ht="17.25" customHeight="1">
      <c r="A34" s="28"/>
      <c r="B34" s="29" t="s">
        <v>89</v>
      </c>
      <c r="C34" s="29" t="s">
        <v>90</v>
      </c>
      <c r="D34" s="34">
        <f t="shared" ref="D34:E34" si="8">SUM(D31+D32-D33)</f>
        <v>342711.06070435507</v>
      </c>
      <c r="E34" s="34">
        <f t="shared" si="8"/>
        <v>427473.93419833225</v>
      </c>
      <c r="F34" s="28"/>
      <c r="G34" s="28"/>
      <c r="H34" s="28"/>
      <c r="I34" s="28"/>
      <c r="J34" s="28"/>
      <c r="K34" s="28"/>
      <c r="L34" s="28"/>
      <c r="M34" s="28"/>
      <c r="N34" s="28"/>
      <c r="O34" s="28"/>
      <c r="P34" s="28"/>
      <c r="Q34" s="28"/>
      <c r="R34" s="28"/>
      <c r="S34" s="28"/>
      <c r="T34" s="28"/>
      <c r="U34" s="28"/>
      <c r="V34" s="28"/>
      <c r="W34" s="28"/>
      <c r="X34" s="28"/>
      <c r="Y34" s="28"/>
    </row>
    <row r="35" spans="1:25" ht="17.25" customHeight="1">
      <c r="A35" s="28"/>
      <c r="B35" s="29" t="s">
        <v>91</v>
      </c>
      <c r="C35" s="29" t="s">
        <v>92</v>
      </c>
      <c r="D35" s="30">
        <v>54291.010194624658</v>
      </c>
      <c r="E35" s="30">
        <v>62089.608433734946</v>
      </c>
      <c r="F35" s="28"/>
      <c r="G35" s="28"/>
      <c r="H35" s="28"/>
      <c r="I35" s="28"/>
      <c r="J35" s="28"/>
      <c r="K35" s="28"/>
      <c r="L35" s="28"/>
      <c r="M35" s="28"/>
      <c r="N35" s="28"/>
      <c r="O35" s="28"/>
      <c r="P35" s="28"/>
      <c r="Q35" s="28"/>
      <c r="R35" s="28"/>
      <c r="S35" s="28"/>
      <c r="T35" s="28"/>
      <c r="U35" s="28"/>
      <c r="V35" s="28"/>
      <c r="W35" s="28"/>
      <c r="X35" s="28"/>
      <c r="Y35" s="28"/>
    </row>
    <row r="36" spans="1:25" ht="17.25" customHeight="1">
      <c r="A36" s="28"/>
      <c r="B36" s="29" t="s">
        <v>93</v>
      </c>
      <c r="C36" s="29" t="s">
        <v>94</v>
      </c>
      <c r="D36" s="30">
        <f t="shared" ref="D36:E36" si="9">D34-D35</f>
        <v>288420.05050973041</v>
      </c>
      <c r="E36" s="30">
        <f t="shared" si="9"/>
        <v>365384.32576459728</v>
      </c>
      <c r="F36" s="28"/>
      <c r="G36" s="28"/>
      <c r="H36" s="28"/>
      <c r="I36" s="28"/>
      <c r="J36" s="28"/>
      <c r="K36" s="28"/>
      <c r="L36" s="28"/>
      <c r="M36" s="28"/>
      <c r="N36" s="28"/>
      <c r="O36" s="28"/>
      <c r="P36" s="28"/>
      <c r="Q36" s="28"/>
      <c r="R36" s="28"/>
      <c r="S36" s="28"/>
      <c r="T36" s="28"/>
      <c r="U36" s="28"/>
      <c r="V36" s="28"/>
      <c r="W36" s="28"/>
      <c r="X36" s="28"/>
      <c r="Y36" s="28"/>
    </row>
    <row r="37" spans="1:25" ht="12.75" customHeight="1">
      <c r="A37" s="26"/>
      <c r="B37" s="26"/>
      <c r="C37" s="26"/>
      <c r="D37" s="37"/>
      <c r="E37" s="37"/>
      <c r="F37" s="26"/>
      <c r="G37" s="26"/>
      <c r="H37" s="26"/>
      <c r="I37" s="26"/>
      <c r="J37" s="26"/>
      <c r="K37" s="26"/>
      <c r="L37" s="26"/>
      <c r="M37" s="26"/>
      <c r="N37" s="26"/>
      <c r="O37" s="26"/>
      <c r="P37" s="26"/>
      <c r="Q37" s="26"/>
      <c r="R37" s="26"/>
      <c r="S37" s="26"/>
      <c r="T37" s="26"/>
      <c r="U37" s="26"/>
      <c r="V37" s="26"/>
      <c r="W37" s="26"/>
      <c r="X37" s="26"/>
      <c r="Y37" s="26"/>
    </row>
    <row r="38" spans="1:25" ht="12.75" customHeight="1">
      <c r="A38" s="26"/>
      <c r="B38" s="26"/>
      <c r="C38" s="26"/>
      <c r="D38" s="27">
        <v>0</v>
      </c>
      <c r="E38" s="27">
        <v>0</v>
      </c>
      <c r="F38" s="26"/>
      <c r="G38" s="26"/>
      <c r="H38" s="26"/>
      <c r="I38" s="26"/>
      <c r="J38" s="26"/>
      <c r="K38" s="26"/>
      <c r="L38" s="26"/>
      <c r="M38" s="26"/>
      <c r="N38" s="26"/>
      <c r="O38" s="26"/>
      <c r="P38" s="26"/>
      <c r="Q38" s="26"/>
      <c r="R38" s="26"/>
      <c r="S38" s="26"/>
      <c r="T38" s="26"/>
      <c r="U38" s="26"/>
      <c r="V38" s="26"/>
      <c r="W38" s="26"/>
      <c r="X38" s="26"/>
      <c r="Y38" s="26"/>
    </row>
    <row r="39" spans="1:25"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spans="1:25"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spans="1:25"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25"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spans="1:25"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spans="1:25"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25"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25"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25"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25"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spans="1:25"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spans="1:25"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spans="1:25"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25"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spans="1:25" ht="12.75" customHeight="1">
      <c r="A61" s="27"/>
      <c r="B61" s="26"/>
      <c r="C61" s="26"/>
      <c r="D61" s="26"/>
      <c r="E61" s="26"/>
      <c r="F61" s="26"/>
      <c r="G61" s="26"/>
      <c r="H61" s="26"/>
      <c r="I61" s="26"/>
      <c r="J61" s="26"/>
      <c r="K61" s="26"/>
      <c r="L61" s="26"/>
      <c r="M61" s="26"/>
      <c r="N61" s="26"/>
      <c r="O61" s="26"/>
      <c r="P61" s="26"/>
      <c r="Q61" s="26"/>
      <c r="R61" s="26"/>
      <c r="S61" s="26"/>
      <c r="T61" s="26"/>
      <c r="U61" s="26"/>
      <c r="V61" s="26"/>
      <c r="W61" s="26"/>
      <c r="X61" s="26"/>
      <c r="Y61" s="26"/>
    </row>
    <row r="62" spans="1:25"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spans="1:25"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spans="1:25"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spans="1:25"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25"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25"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25"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spans="1:25"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spans="1:25"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spans="1:25"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spans="1:25"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spans="1:25"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spans="1:25"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spans="1:25"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spans="1:25"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spans="1:25"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spans="1:25"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spans="1:25"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spans="1:25"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spans="1:25"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spans="1:25"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spans="1:25"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spans="1:25"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spans="1:25"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spans="1:25"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spans="1:25"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spans="1:25"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spans="1:25"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spans="1:25"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spans="1:25"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spans="1:25"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spans="1:25"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spans="1:25"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spans="1:25"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spans="1:25"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spans="1:25"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spans="1:25"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spans="1:25"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spans="1:25"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spans="1:25"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spans="1:25"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spans="1:25"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spans="1:25"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spans="1:25"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spans="1:25"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spans="1:25"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spans="1:25"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spans="1:25"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spans="1:25"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spans="1:25"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spans="1:25"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spans="1:25"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spans="1:25"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spans="1:25"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spans="1:25"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spans="1:25"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spans="1:25"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spans="1:25"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spans="1:25"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spans="1:25"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spans="1:25"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spans="1:25"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spans="1:25"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spans="1:25"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spans="1:25"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spans="1:25"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spans="1:25"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spans="1:25"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spans="1:25"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spans="1:25"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spans="1:25"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spans="1:25"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spans="1:25"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spans="1:25"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spans="1:25"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spans="1:25"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spans="1:25"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spans="1:25"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spans="1:25"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spans="1:25"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spans="1:25"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spans="1:25"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spans="1:25"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spans="1:25"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spans="1:25"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spans="1:25"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spans="1:25"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spans="1:25"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spans="1:25"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spans="1:25"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spans="1:25"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spans="1:25"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spans="1:25"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spans="1:25"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spans="1:25"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spans="1:25"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spans="1:25"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spans="1:25"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spans="1:25"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spans="1:25"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spans="1:25"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spans="1:25"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spans="1:25"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spans="1:25"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spans="1:25"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spans="1:25"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spans="1:25"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spans="1:25"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spans="1:25"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spans="1:25"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spans="1:25"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spans="1:25"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spans="1:25"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spans="1:25"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spans="1:25"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spans="1:25"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spans="1:25"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spans="1:25"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spans="1:25"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spans="1:25"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spans="1:25"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spans="1:25"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spans="1:25"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spans="1:25"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spans="1:25"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spans="1:25"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spans="1:25"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spans="1:25"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spans="1:25"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spans="1:25"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spans="1:25"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spans="1:25"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spans="1:25"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spans="1:25"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spans="1:25"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spans="1:25"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spans="1:25"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spans="1:25"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spans="1:25"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spans="1:25"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spans="1:25"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spans="1:25"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spans="1:25"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spans="1:25"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spans="1:25"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spans="1:25"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spans="1:25"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E2"/>
    <mergeCell ref="B3:B4"/>
    <mergeCell ref="C3:C4"/>
    <mergeCell ref="D3:D4"/>
    <mergeCell ref="E3:E4"/>
  </mergeCells>
  <pageMargins left="0.56999999999999995" right="0.31" top="0.4" bottom="0.52"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topLeftCell="A33" workbookViewId="0">
      <selection activeCell="D49" sqref="D49"/>
    </sheetView>
  </sheetViews>
  <sheetFormatPr defaultColWidth="12.6640625" defaultRowHeight="15" customHeight="1"/>
  <cols>
    <col min="1" max="1" width="2.33203125" customWidth="1"/>
    <col min="2" max="2" width="72.88671875" customWidth="1"/>
    <col min="3" max="4" width="10" customWidth="1"/>
    <col min="5" max="6" width="9.109375" customWidth="1"/>
    <col min="7" max="24" width="8.6640625" customWidth="1"/>
  </cols>
  <sheetData>
    <row r="1" spans="1:24" ht="12.75" customHeight="1">
      <c r="A1" s="2"/>
      <c r="B1" s="2"/>
      <c r="C1" s="2"/>
      <c r="D1" s="2"/>
      <c r="E1" s="2"/>
      <c r="F1" s="2"/>
      <c r="G1" s="2"/>
      <c r="H1" s="2"/>
      <c r="I1" s="2"/>
      <c r="J1" s="2"/>
      <c r="K1" s="2"/>
      <c r="L1" s="2"/>
      <c r="M1" s="2"/>
      <c r="N1" s="2"/>
      <c r="O1" s="2"/>
      <c r="P1" s="2"/>
      <c r="Q1" s="2"/>
      <c r="R1" s="2"/>
      <c r="S1" s="2"/>
      <c r="T1" s="2"/>
      <c r="U1" s="2"/>
      <c r="V1" s="2"/>
      <c r="W1" s="2"/>
      <c r="X1" s="2"/>
    </row>
    <row r="2" spans="1:24" ht="12.75" customHeight="1">
      <c r="A2" s="2"/>
      <c r="B2" s="2"/>
      <c r="C2" s="2"/>
      <c r="D2" s="2"/>
      <c r="E2" s="2"/>
      <c r="F2" s="2"/>
      <c r="G2" s="2"/>
      <c r="H2" s="2"/>
      <c r="I2" s="2"/>
      <c r="J2" s="2"/>
      <c r="K2" s="2"/>
      <c r="L2" s="2"/>
      <c r="M2" s="2"/>
      <c r="N2" s="2"/>
      <c r="O2" s="2"/>
      <c r="P2" s="2"/>
      <c r="Q2" s="2"/>
      <c r="R2" s="2"/>
      <c r="S2" s="2"/>
      <c r="T2" s="2"/>
      <c r="U2" s="2"/>
      <c r="V2" s="2"/>
      <c r="W2" s="2"/>
      <c r="X2" s="2"/>
    </row>
    <row r="3" spans="1:24" ht="12.75" customHeight="1">
      <c r="A3" s="2"/>
      <c r="B3" s="7" t="s">
        <v>54</v>
      </c>
      <c r="C3" s="334" t="s">
        <v>95</v>
      </c>
      <c r="D3" s="335"/>
      <c r="E3" s="2"/>
      <c r="F3" s="2"/>
      <c r="G3" s="2"/>
      <c r="H3" s="2"/>
      <c r="I3" s="2"/>
      <c r="J3" s="2"/>
      <c r="K3" s="2"/>
      <c r="L3" s="2"/>
      <c r="M3" s="2"/>
      <c r="N3" s="2"/>
      <c r="O3" s="2"/>
      <c r="P3" s="2"/>
      <c r="Q3" s="2"/>
      <c r="R3" s="2"/>
      <c r="S3" s="2"/>
      <c r="T3" s="2"/>
      <c r="U3" s="2"/>
      <c r="V3" s="2"/>
      <c r="W3" s="2"/>
      <c r="X3" s="2"/>
    </row>
    <row r="4" spans="1:24" ht="12.75" customHeight="1">
      <c r="A4" s="2"/>
      <c r="B4" s="8"/>
      <c r="C4" s="38">
        <v>2016</v>
      </c>
      <c r="D4" s="38">
        <v>2017</v>
      </c>
      <c r="E4" s="2"/>
      <c r="F4" s="2"/>
      <c r="G4" s="2"/>
      <c r="H4" s="2"/>
      <c r="I4" s="2"/>
      <c r="J4" s="2"/>
      <c r="K4" s="2"/>
      <c r="L4" s="2"/>
      <c r="M4" s="2"/>
      <c r="N4" s="2"/>
      <c r="O4" s="2"/>
      <c r="P4" s="2"/>
      <c r="Q4" s="2"/>
      <c r="R4" s="2"/>
      <c r="S4" s="2"/>
      <c r="T4" s="2"/>
      <c r="U4" s="2"/>
      <c r="V4" s="2"/>
      <c r="W4" s="2"/>
      <c r="X4" s="2"/>
    </row>
    <row r="5" spans="1:24" ht="12.75" customHeight="1">
      <c r="A5" s="2"/>
      <c r="B5" s="39" t="s">
        <v>96</v>
      </c>
      <c r="C5" s="40">
        <v>1321426.9578313255</v>
      </c>
      <c r="D5" s="40">
        <v>1249622.9147358667</v>
      </c>
      <c r="E5" s="2"/>
      <c r="F5" s="2"/>
      <c r="G5" s="2"/>
      <c r="H5" s="2"/>
      <c r="I5" s="2"/>
      <c r="J5" s="2"/>
      <c r="K5" s="2"/>
      <c r="L5" s="2"/>
      <c r="M5" s="2"/>
      <c r="N5" s="2"/>
      <c r="O5" s="2"/>
      <c r="P5" s="2"/>
      <c r="Q5" s="2"/>
      <c r="R5" s="2"/>
      <c r="S5" s="2"/>
      <c r="T5" s="2"/>
      <c r="U5" s="2"/>
      <c r="V5" s="2"/>
      <c r="W5" s="2"/>
      <c r="X5" s="2"/>
    </row>
    <row r="6" spans="1:24" ht="12.75" customHeight="1">
      <c r="A6" s="2"/>
      <c r="B6" s="41" t="s">
        <v>97</v>
      </c>
      <c r="C6" s="40">
        <v>1345.5746061167752</v>
      </c>
      <c r="D6" s="40">
        <v>1572.636700648749</v>
      </c>
      <c r="E6" s="2"/>
      <c r="F6" s="2"/>
      <c r="G6" s="2"/>
      <c r="H6" s="2"/>
      <c r="I6" s="2"/>
      <c r="J6" s="2"/>
      <c r="K6" s="2"/>
      <c r="L6" s="2"/>
      <c r="M6" s="2"/>
      <c r="N6" s="2"/>
      <c r="O6" s="2"/>
      <c r="P6" s="2"/>
      <c r="Q6" s="2"/>
      <c r="R6" s="2"/>
      <c r="S6" s="2"/>
      <c r="T6" s="2"/>
      <c r="U6" s="2"/>
      <c r="V6" s="2"/>
      <c r="W6" s="2"/>
      <c r="X6" s="2"/>
    </row>
    <row r="7" spans="1:24" ht="12.75" customHeight="1">
      <c r="A7" s="2"/>
      <c r="B7" s="42" t="s">
        <v>98</v>
      </c>
      <c r="C7" s="43">
        <v>0</v>
      </c>
      <c r="D7" s="43">
        <v>0</v>
      </c>
      <c r="E7" s="2"/>
      <c r="F7" s="2"/>
      <c r="G7" s="2"/>
      <c r="H7" s="2"/>
      <c r="I7" s="2"/>
      <c r="J7" s="2"/>
      <c r="K7" s="2"/>
      <c r="L7" s="2"/>
      <c r="M7" s="2"/>
      <c r="N7" s="2"/>
      <c r="O7" s="2"/>
      <c r="P7" s="2"/>
      <c r="Q7" s="2"/>
      <c r="R7" s="2"/>
      <c r="S7" s="2"/>
      <c r="T7" s="2"/>
      <c r="U7" s="2"/>
      <c r="V7" s="2"/>
      <c r="W7" s="2"/>
      <c r="X7" s="2"/>
    </row>
    <row r="8" spans="1:24" ht="12.75" customHeight="1">
      <c r="A8" s="2"/>
      <c r="B8" s="44" t="s">
        <v>99</v>
      </c>
      <c r="C8" s="45">
        <v>0</v>
      </c>
      <c r="D8" s="45">
        <v>0</v>
      </c>
      <c r="E8" s="2"/>
      <c r="F8" s="2"/>
      <c r="G8" s="2"/>
      <c r="H8" s="2"/>
      <c r="I8" s="2"/>
      <c r="J8" s="2"/>
      <c r="K8" s="2"/>
      <c r="L8" s="2"/>
      <c r="M8" s="2"/>
      <c r="N8" s="2"/>
      <c r="O8" s="2"/>
      <c r="P8" s="2"/>
      <c r="Q8" s="2"/>
      <c r="R8" s="2"/>
      <c r="S8" s="2"/>
      <c r="T8" s="2"/>
      <c r="U8" s="2"/>
      <c r="V8" s="2"/>
      <c r="W8" s="2"/>
      <c r="X8" s="2"/>
    </row>
    <row r="9" spans="1:24" ht="12.75" customHeight="1">
      <c r="A9" s="2"/>
      <c r="B9" s="46" t="s">
        <v>100</v>
      </c>
      <c r="C9" s="47">
        <v>1345.5746061167752</v>
      </c>
      <c r="D9" s="47">
        <v>1572.636700648749</v>
      </c>
      <c r="E9" s="2"/>
      <c r="F9" s="2"/>
      <c r="G9" s="2"/>
      <c r="H9" s="2"/>
      <c r="I9" s="2"/>
      <c r="J9" s="2"/>
      <c r="K9" s="2"/>
      <c r="L9" s="2"/>
      <c r="M9" s="2"/>
      <c r="N9" s="2"/>
      <c r="O9" s="2"/>
      <c r="P9" s="2"/>
      <c r="Q9" s="2"/>
      <c r="R9" s="2"/>
      <c r="S9" s="2"/>
      <c r="T9" s="2"/>
      <c r="U9" s="2"/>
      <c r="V9" s="2"/>
      <c r="W9" s="2"/>
      <c r="X9" s="2"/>
    </row>
    <row r="10" spans="1:24" ht="12.75" customHeight="1">
      <c r="A10" s="2"/>
      <c r="B10" s="41" t="s">
        <v>101</v>
      </c>
      <c r="C10" s="40">
        <v>1184828.8345690456</v>
      </c>
      <c r="D10" s="40">
        <v>1098769.9837812791</v>
      </c>
      <c r="E10" s="2"/>
      <c r="F10" s="2"/>
      <c r="G10" s="2"/>
      <c r="H10" s="2"/>
      <c r="I10" s="2"/>
      <c r="J10" s="2"/>
      <c r="K10" s="2"/>
      <c r="L10" s="2"/>
      <c r="M10" s="2"/>
      <c r="N10" s="2"/>
      <c r="O10" s="2"/>
      <c r="P10" s="2"/>
      <c r="Q10" s="2"/>
      <c r="R10" s="2"/>
      <c r="S10" s="2"/>
      <c r="T10" s="2"/>
      <c r="U10" s="2"/>
      <c r="V10" s="2"/>
      <c r="W10" s="2"/>
      <c r="X10" s="2"/>
    </row>
    <row r="11" spans="1:24" ht="12.75" customHeight="1">
      <c r="A11" s="2"/>
      <c r="B11" s="42" t="s">
        <v>102</v>
      </c>
      <c r="C11" s="43">
        <v>0</v>
      </c>
      <c r="D11" s="43">
        <v>0</v>
      </c>
      <c r="E11" s="2"/>
      <c r="F11" s="2"/>
      <c r="G11" s="2"/>
      <c r="H11" s="2"/>
      <c r="I11" s="2"/>
      <c r="J11" s="2"/>
      <c r="K11" s="2"/>
      <c r="L11" s="2"/>
      <c r="M11" s="2"/>
      <c r="N11" s="2"/>
      <c r="O11" s="2"/>
      <c r="P11" s="2"/>
      <c r="Q11" s="2"/>
      <c r="R11" s="2"/>
      <c r="S11" s="2"/>
      <c r="T11" s="2"/>
      <c r="U11" s="2"/>
      <c r="V11" s="2"/>
      <c r="W11" s="2"/>
      <c r="X11" s="2"/>
    </row>
    <row r="12" spans="1:24" ht="12.75" customHeight="1">
      <c r="A12" s="2"/>
      <c r="B12" s="48" t="s">
        <v>103</v>
      </c>
      <c r="C12" s="49">
        <v>728233.60750695097</v>
      </c>
      <c r="D12" s="49">
        <v>585547.38183503249</v>
      </c>
      <c r="E12" s="2"/>
      <c r="F12" s="2"/>
      <c r="G12" s="2"/>
      <c r="H12" s="2"/>
      <c r="I12" s="2"/>
      <c r="J12" s="2"/>
      <c r="K12" s="2"/>
      <c r="L12" s="2"/>
      <c r="M12" s="2"/>
      <c r="N12" s="2"/>
      <c r="O12" s="2"/>
      <c r="P12" s="2"/>
      <c r="Q12" s="2"/>
      <c r="R12" s="2"/>
      <c r="S12" s="2"/>
      <c r="T12" s="2"/>
      <c r="U12" s="2"/>
      <c r="V12" s="2"/>
      <c r="W12" s="2"/>
      <c r="X12" s="2"/>
    </row>
    <row r="13" spans="1:24" ht="12.75" customHeight="1">
      <c r="A13" s="2"/>
      <c r="B13" s="48" t="s">
        <v>104</v>
      </c>
      <c r="C13" s="49">
        <v>323297.03429101018</v>
      </c>
      <c r="D13" s="49">
        <v>222930.95458758113</v>
      </c>
      <c r="E13" s="2"/>
      <c r="F13" s="2"/>
      <c r="G13" s="2"/>
      <c r="H13" s="2"/>
      <c r="I13" s="2"/>
      <c r="J13" s="2"/>
      <c r="K13" s="2"/>
      <c r="L13" s="2"/>
      <c r="M13" s="2"/>
      <c r="N13" s="2"/>
      <c r="O13" s="2"/>
      <c r="P13" s="2"/>
      <c r="Q13" s="2"/>
      <c r="R13" s="2"/>
      <c r="S13" s="2"/>
      <c r="T13" s="2"/>
      <c r="U13" s="2"/>
      <c r="V13" s="2"/>
      <c r="W13" s="2"/>
      <c r="X13" s="2"/>
    </row>
    <row r="14" spans="1:24" ht="12.75" customHeight="1">
      <c r="A14" s="2"/>
      <c r="B14" s="48" t="s">
        <v>105</v>
      </c>
      <c r="C14" s="49">
        <v>130161.31835032438</v>
      </c>
      <c r="D14" s="49">
        <v>249225.55607043562</v>
      </c>
      <c r="E14" s="2"/>
      <c r="F14" s="2"/>
      <c r="G14" s="2"/>
      <c r="H14" s="2"/>
      <c r="I14" s="2"/>
      <c r="J14" s="2"/>
      <c r="K14" s="2"/>
      <c r="L14" s="2"/>
      <c r="M14" s="2"/>
      <c r="N14" s="2"/>
      <c r="O14" s="2"/>
      <c r="P14" s="2"/>
      <c r="Q14" s="2"/>
      <c r="R14" s="2"/>
      <c r="S14" s="2"/>
      <c r="T14" s="2"/>
      <c r="U14" s="2"/>
      <c r="V14" s="2"/>
      <c r="W14" s="2"/>
      <c r="X14" s="2"/>
    </row>
    <row r="15" spans="1:24" ht="12.75" customHeight="1">
      <c r="A15" s="2"/>
      <c r="B15" s="48" t="s">
        <v>106</v>
      </c>
      <c r="C15" s="49">
        <v>3136.8744207599634</v>
      </c>
      <c r="D15" s="49">
        <v>41066.091288229843</v>
      </c>
      <c r="E15" s="2"/>
      <c r="F15" s="2"/>
      <c r="G15" s="2"/>
      <c r="H15" s="2"/>
      <c r="I15" s="2"/>
      <c r="J15" s="2"/>
      <c r="K15" s="2"/>
      <c r="L15" s="2"/>
      <c r="M15" s="2"/>
      <c r="N15" s="2"/>
      <c r="O15" s="2"/>
      <c r="P15" s="2"/>
      <c r="Q15" s="2"/>
      <c r="R15" s="2"/>
      <c r="S15" s="2"/>
      <c r="T15" s="2"/>
      <c r="U15" s="2"/>
      <c r="V15" s="2"/>
      <c r="W15" s="2"/>
      <c r="X15" s="2"/>
    </row>
    <row r="16" spans="1:24" ht="12.75" customHeight="1">
      <c r="A16" s="2"/>
      <c r="B16" s="46" t="s">
        <v>107</v>
      </c>
      <c r="C16" s="47">
        <v>0</v>
      </c>
      <c r="D16" s="47">
        <v>0</v>
      </c>
      <c r="E16" s="2"/>
      <c r="F16" s="2"/>
      <c r="G16" s="2"/>
      <c r="H16" s="2"/>
      <c r="I16" s="2"/>
      <c r="J16" s="2"/>
      <c r="K16" s="2"/>
      <c r="L16" s="2"/>
      <c r="M16" s="2"/>
      <c r="N16" s="2"/>
      <c r="O16" s="2"/>
      <c r="P16" s="2"/>
      <c r="Q16" s="2"/>
      <c r="R16" s="2"/>
      <c r="S16" s="2"/>
      <c r="T16" s="2"/>
      <c r="U16" s="2"/>
      <c r="V16" s="2"/>
      <c r="W16" s="2"/>
      <c r="X16" s="2"/>
    </row>
    <row r="17" spans="1:24" ht="12.75" customHeight="1">
      <c r="A17" s="2"/>
      <c r="B17" s="41" t="s">
        <v>108</v>
      </c>
      <c r="C17" s="40">
        <v>135252.54865616313</v>
      </c>
      <c r="D17" s="40">
        <v>149280.29425393883</v>
      </c>
      <c r="E17" s="2"/>
      <c r="F17" s="2"/>
      <c r="G17" s="2"/>
      <c r="H17" s="2"/>
      <c r="I17" s="2"/>
      <c r="J17" s="2"/>
      <c r="K17" s="2"/>
      <c r="L17" s="2"/>
      <c r="M17" s="2"/>
      <c r="N17" s="2"/>
      <c r="O17" s="2"/>
      <c r="P17" s="2"/>
      <c r="Q17" s="2"/>
      <c r="R17" s="2"/>
      <c r="S17" s="2"/>
      <c r="T17" s="2"/>
      <c r="U17" s="2"/>
      <c r="V17" s="2"/>
      <c r="W17" s="2"/>
      <c r="X17" s="2"/>
    </row>
    <row r="18" spans="1:24" ht="12.75" customHeight="1">
      <c r="A18" s="2"/>
      <c r="B18" s="41" t="s">
        <v>109</v>
      </c>
      <c r="C18" s="40">
        <v>0</v>
      </c>
      <c r="D18" s="40">
        <v>0</v>
      </c>
      <c r="E18" s="2"/>
      <c r="F18" s="2"/>
      <c r="G18" s="2"/>
      <c r="H18" s="2"/>
      <c r="I18" s="2"/>
      <c r="J18" s="2"/>
      <c r="K18" s="2"/>
      <c r="L18" s="2"/>
      <c r="M18" s="2"/>
      <c r="N18" s="2"/>
      <c r="O18" s="2"/>
      <c r="P18" s="2"/>
      <c r="Q18" s="2"/>
      <c r="R18" s="2"/>
      <c r="S18" s="2"/>
      <c r="T18" s="2"/>
      <c r="U18" s="2"/>
      <c r="V18" s="2"/>
      <c r="W18" s="2"/>
      <c r="X18" s="2"/>
    </row>
    <row r="19" spans="1:24" ht="7.5" customHeight="1">
      <c r="A19" s="2"/>
      <c r="B19" s="39"/>
      <c r="C19" s="40"/>
      <c r="D19" s="40"/>
      <c r="E19" s="2"/>
      <c r="F19" s="2"/>
      <c r="G19" s="2"/>
      <c r="H19" s="2"/>
      <c r="I19" s="2"/>
      <c r="J19" s="2"/>
      <c r="K19" s="2"/>
      <c r="L19" s="2"/>
      <c r="M19" s="2"/>
      <c r="N19" s="2"/>
      <c r="O19" s="2"/>
      <c r="P19" s="2"/>
      <c r="Q19" s="2"/>
      <c r="R19" s="2"/>
      <c r="S19" s="2"/>
      <c r="T19" s="2"/>
      <c r="U19" s="2"/>
      <c r="V19" s="2"/>
      <c r="W19" s="2"/>
      <c r="X19" s="2"/>
    </row>
    <row r="20" spans="1:24" ht="12.75" customHeight="1">
      <c r="A20" s="2"/>
      <c r="B20" s="39" t="s">
        <v>110</v>
      </c>
      <c r="C20" s="40">
        <v>416804.62233549583</v>
      </c>
      <c r="D20" s="40">
        <v>520089.4925857276</v>
      </c>
      <c r="E20" s="2"/>
      <c r="F20" s="2"/>
      <c r="G20" s="2"/>
      <c r="H20" s="2"/>
      <c r="I20" s="2"/>
      <c r="J20" s="2"/>
      <c r="K20" s="2"/>
      <c r="L20" s="2"/>
      <c r="M20" s="2"/>
      <c r="N20" s="2"/>
      <c r="O20" s="2"/>
      <c r="P20" s="2"/>
      <c r="Q20" s="2"/>
      <c r="R20" s="2"/>
      <c r="S20" s="2"/>
      <c r="T20" s="2"/>
      <c r="U20" s="2"/>
      <c r="V20" s="2"/>
      <c r="W20" s="2"/>
      <c r="X20" s="2"/>
    </row>
    <row r="21" spans="1:24" ht="12.75" customHeight="1">
      <c r="A21" s="2"/>
      <c r="B21" s="41" t="s">
        <v>111</v>
      </c>
      <c r="C21" s="40">
        <v>162812.5</v>
      </c>
      <c r="D21" s="40">
        <v>187468.72103799816</v>
      </c>
      <c r="E21" s="2"/>
      <c r="F21" s="2"/>
      <c r="G21" s="2"/>
      <c r="H21" s="2"/>
      <c r="I21" s="2"/>
      <c r="J21" s="2"/>
      <c r="K21" s="2"/>
      <c r="L21" s="2"/>
      <c r="M21" s="2"/>
      <c r="N21" s="2"/>
      <c r="O21" s="2"/>
      <c r="P21" s="2"/>
      <c r="Q21" s="2"/>
      <c r="R21" s="2"/>
      <c r="S21" s="2"/>
      <c r="T21" s="2"/>
      <c r="U21" s="2"/>
      <c r="V21" s="2"/>
      <c r="W21" s="2"/>
      <c r="X21" s="2"/>
    </row>
    <row r="22" spans="1:24" ht="12.75" customHeight="1">
      <c r="A22" s="2"/>
      <c r="B22" s="42" t="s">
        <v>112</v>
      </c>
      <c r="C22" s="43">
        <v>45580.108897126971</v>
      </c>
      <c r="D22" s="43">
        <v>29898.632993512514</v>
      </c>
      <c r="E22" s="2"/>
      <c r="F22" s="2"/>
      <c r="G22" s="2"/>
      <c r="H22" s="2"/>
      <c r="I22" s="2"/>
      <c r="J22" s="2"/>
      <c r="K22" s="2"/>
      <c r="L22" s="2"/>
      <c r="M22" s="2"/>
      <c r="N22" s="2"/>
      <c r="O22" s="2"/>
      <c r="P22" s="2"/>
      <c r="Q22" s="2"/>
      <c r="R22" s="2"/>
      <c r="S22" s="2"/>
      <c r="T22" s="2"/>
      <c r="U22" s="2"/>
      <c r="V22" s="2"/>
      <c r="W22" s="2"/>
      <c r="X22" s="2"/>
    </row>
    <row r="23" spans="1:24" ht="12.75" customHeight="1">
      <c r="A23" s="2"/>
      <c r="B23" s="48" t="s">
        <v>113</v>
      </c>
      <c r="C23" s="49">
        <v>0</v>
      </c>
      <c r="D23" s="49">
        <v>0</v>
      </c>
      <c r="E23" s="2"/>
      <c r="F23" s="2"/>
      <c r="G23" s="2"/>
      <c r="H23" s="2"/>
      <c r="I23" s="2"/>
      <c r="J23" s="2"/>
      <c r="K23" s="2"/>
      <c r="L23" s="2"/>
      <c r="M23" s="2"/>
      <c r="N23" s="2"/>
      <c r="O23" s="2"/>
      <c r="P23" s="2"/>
      <c r="Q23" s="2"/>
      <c r="R23" s="2"/>
      <c r="S23" s="2"/>
      <c r="T23" s="2"/>
      <c r="U23" s="2"/>
      <c r="V23" s="2"/>
      <c r="W23" s="2"/>
      <c r="X23" s="2"/>
    </row>
    <row r="24" spans="1:24" ht="12.75" customHeight="1">
      <c r="A24" s="2"/>
      <c r="B24" s="48" t="s">
        <v>114</v>
      </c>
      <c r="C24" s="49">
        <v>0</v>
      </c>
      <c r="D24" s="49">
        <v>0</v>
      </c>
      <c r="E24" s="2"/>
      <c r="F24" s="2"/>
      <c r="G24" s="2"/>
      <c r="H24" s="2"/>
      <c r="I24" s="2"/>
      <c r="J24" s="2"/>
      <c r="K24" s="2"/>
      <c r="L24" s="2"/>
      <c r="M24" s="2"/>
      <c r="N24" s="2"/>
      <c r="O24" s="2"/>
      <c r="P24" s="2"/>
      <c r="Q24" s="2"/>
      <c r="R24" s="2"/>
      <c r="S24" s="2"/>
      <c r="T24" s="2"/>
      <c r="U24" s="2"/>
      <c r="V24" s="2"/>
      <c r="W24" s="2"/>
      <c r="X24" s="2"/>
    </row>
    <row r="25" spans="1:24" ht="12.75" customHeight="1">
      <c r="A25" s="2"/>
      <c r="B25" s="48" t="s">
        <v>115</v>
      </c>
      <c r="C25" s="49">
        <v>0</v>
      </c>
      <c r="D25" s="49">
        <v>0</v>
      </c>
      <c r="E25" s="2"/>
      <c r="F25" s="2"/>
      <c r="G25" s="2"/>
      <c r="H25" s="2"/>
      <c r="I25" s="2"/>
      <c r="J25" s="2"/>
      <c r="K25" s="2"/>
      <c r="L25" s="2"/>
      <c r="M25" s="2"/>
      <c r="N25" s="2"/>
      <c r="O25" s="2"/>
      <c r="P25" s="2"/>
      <c r="Q25" s="2"/>
      <c r="R25" s="2"/>
      <c r="S25" s="2"/>
      <c r="T25" s="2"/>
      <c r="U25" s="2"/>
      <c r="V25" s="2"/>
      <c r="W25" s="2"/>
      <c r="X25" s="2"/>
    </row>
    <row r="26" spans="1:24" ht="12.75" customHeight="1">
      <c r="A26" s="2"/>
      <c r="B26" s="46" t="s">
        <v>116</v>
      </c>
      <c r="C26" s="47">
        <v>117232.39110287304</v>
      </c>
      <c r="D26" s="47">
        <v>157570.08804448563</v>
      </c>
      <c r="E26" s="2"/>
      <c r="F26" s="2"/>
      <c r="G26" s="2"/>
      <c r="H26" s="2"/>
      <c r="I26" s="2"/>
      <c r="J26" s="2"/>
      <c r="K26" s="2"/>
      <c r="L26" s="2"/>
      <c r="M26" s="2"/>
      <c r="N26" s="2"/>
      <c r="O26" s="2"/>
      <c r="P26" s="2"/>
      <c r="Q26" s="2"/>
      <c r="R26" s="2"/>
      <c r="S26" s="2"/>
      <c r="T26" s="2"/>
      <c r="U26" s="2"/>
      <c r="V26" s="2"/>
      <c r="W26" s="2"/>
      <c r="X26" s="2"/>
    </row>
    <row r="27" spans="1:24" ht="12.75" customHeight="1">
      <c r="A27" s="2"/>
      <c r="B27" s="41" t="s">
        <v>117</v>
      </c>
      <c r="C27" s="40">
        <v>68365.094995366089</v>
      </c>
      <c r="D27" s="40">
        <v>152062.96339202966</v>
      </c>
      <c r="E27" s="2"/>
      <c r="F27" s="2"/>
      <c r="G27" s="2"/>
      <c r="H27" s="2"/>
      <c r="I27" s="2"/>
      <c r="J27" s="2"/>
      <c r="K27" s="2"/>
      <c r="L27" s="2"/>
      <c r="M27" s="2"/>
      <c r="N27" s="2"/>
      <c r="O27" s="2"/>
      <c r="P27" s="2"/>
      <c r="Q27" s="2"/>
      <c r="R27" s="2"/>
      <c r="S27" s="2"/>
      <c r="T27" s="2"/>
      <c r="U27" s="2"/>
      <c r="V27" s="2"/>
      <c r="W27" s="2"/>
      <c r="X27" s="2"/>
    </row>
    <row r="28" spans="1:24" ht="12.75" customHeight="1">
      <c r="A28" s="2"/>
      <c r="B28" s="42" t="s">
        <v>118</v>
      </c>
      <c r="C28" s="43">
        <v>59868.802131603341</v>
      </c>
      <c r="D28" s="43">
        <v>131712.81278962002</v>
      </c>
      <c r="E28" s="2"/>
      <c r="F28" s="2"/>
      <c r="G28" s="2"/>
      <c r="H28" s="2"/>
      <c r="I28" s="2"/>
      <c r="J28" s="2"/>
      <c r="K28" s="2"/>
      <c r="L28" s="2"/>
      <c r="M28" s="2"/>
      <c r="N28" s="2"/>
      <c r="O28" s="2"/>
      <c r="P28" s="2"/>
      <c r="Q28" s="2"/>
      <c r="R28" s="2"/>
      <c r="S28" s="2"/>
      <c r="T28" s="2"/>
      <c r="U28" s="2"/>
      <c r="V28" s="2"/>
      <c r="W28" s="2"/>
      <c r="X28" s="2"/>
    </row>
    <row r="29" spans="1:24" ht="12.75" customHeight="1">
      <c r="A29" s="2"/>
      <c r="B29" s="46" t="s">
        <v>119</v>
      </c>
      <c r="C29" s="47">
        <v>8496.2928637627429</v>
      </c>
      <c r="D29" s="47">
        <v>20350.150602409638</v>
      </c>
      <c r="E29" s="2"/>
      <c r="F29" s="2"/>
      <c r="G29" s="2"/>
      <c r="H29" s="2"/>
      <c r="I29" s="2"/>
      <c r="J29" s="2"/>
      <c r="K29" s="2"/>
      <c r="L29" s="2"/>
      <c r="M29" s="2"/>
      <c r="N29" s="2"/>
      <c r="O29" s="2"/>
      <c r="P29" s="2"/>
      <c r="Q29" s="2"/>
      <c r="R29" s="2"/>
      <c r="S29" s="2"/>
      <c r="T29" s="2"/>
      <c r="U29" s="2"/>
      <c r="V29" s="2"/>
      <c r="W29" s="2"/>
      <c r="X29" s="2"/>
    </row>
    <row r="30" spans="1:24" ht="12.75" customHeight="1">
      <c r="A30" s="2"/>
      <c r="B30" s="41" t="s">
        <v>120</v>
      </c>
      <c r="C30" s="40">
        <v>0</v>
      </c>
      <c r="D30" s="40">
        <v>0</v>
      </c>
      <c r="E30" s="2"/>
      <c r="F30" s="2"/>
      <c r="G30" s="2"/>
      <c r="H30" s="2"/>
      <c r="I30" s="2"/>
      <c r="J30" s="2"/>
      <c r="K30" s="2"/>
      <c r="L30" s="2"/>
      <c r="M30" s="2"/>
      <c r="N30" s="2"/>
      <c r="O30" s="2"/>
      <c r="P30" s="2"/>
      <c r="Q30" s="2"/>
      <c r="R30" s="2"/>
      <c r="S30" s="2"/>
      <c r="T30" s="2"/>
      <c r="U30" s="2"/>
      <c r="V30" s="2"/>
      <c r="W30" s="2"/>
      <c r="X30" s="2"/>
    </row>
    <row r="31" spans="1:24" ht="12.75" customHeight="1">
      <c r="A31" s="2"/>
      <c r="B31" s="41" t="s">
        <v>121</v>
      </c>
      <c r="C31" s="40">
        <v>185627.02734012975</v>
      </c>
      <c r="D31" s="40">
        <v>180557.80815569972</v>
      </c>
      <c r="E31" s="2"/>
      <c r="F31" s="2"/>
      <c r="G31" s="2"/>
      <c r="H31" s="2"/>
      <c r="I31" s="2"/>
      <c r="J31" s="2"/>
      <c r="K31" s="2"/>
      <c r="L31" s="2"/>
      <c r="M31" s="2"/>
      <c r="N31" s="2"/>
      <c r="O31" s="2"/>
      <c r="P31" s="2"/>
      <c r="Q31" s="2"/>
      <c r="R31" s="2"/>
      <c r="S31" s="2"/>
      <c r="T31" s="2"/>
      <c r="U31" s="2"/>
      <c r="V31" s="2"/>
      <c r="W31" s="2"/>
      <c r="X31" s="2"/>
    </row>
    <row r="32" spans="1:24" ht="12.75" customHeight="1">
      <c r="A32" s="2"/>
      <c r="B32" s="50" t="s">
        <v>122</v>
      </c>
      <c r="C32" s="51">
        <v>1738231.5801668214</v>
      </c>
      <c r="D32" s="51">
        <v>1769712.4073215942</v>
      </c>
      <c r="E32" s="2"/>
      <c r="F32" s="2"/>
      <c r="G32" s="2"/>
      <c r="H32" s="2"/>
      <c r="I32" s="2"/>
      <c r="J32" s="2"/>
      <c r="K32" s="2"/>
      <c r="L32" s="2"/>
      <c r="M32" s="2"/>
      <c r="N32" s="2"/>
      <c r="O32" s="2"/>
      <c r="P32" s="2"/>
      <c r="Q32" s="2"/>
      <c r="R32" s="2"/>
      <c r="S32" s="2"/>
      <c r="T32" s="2"/>
      <c r="U32" s="2"/>
      <c r="V32" s="2"/>
      <c r="W32" s="2"/>
      <c r="X32" s="2"/>
    </row>
    <row r="33" spans="1:24" ht="9" customHeight="1">
      <c r="A33" s="2"/>
      <c r="B33" s="2"/>
      <c r="C33" s="52"/>
      <c r="D33" s="52"/>
      <c r="E33" s="2"/>
      <c r="F33" s="2"/>
      <c r="G33" s="2"/>
      <c r="H33" s="2"/>
      <c r="I33" s="2"/>
      <c r="J33" s="2"/>
      <c r="K33" s="2"/>
      <c r="L33" s="2"/>
      <c r="M33" s="2"/>
      <c r="N33" s="2"/>
      <c r="O33" s="2"/>
      <c r="P33" s="2"/>
      <c r="Q33" s="2"/>
      <c r="R33" s="2"/>
      <c r="S33" s="2"/>
      <c r="T33" s="2"/>
      <c r="U33" s="2"/>
      <c r="V33" s="2"/>
      <c r="W33" s="2"/>
      <c r="X33" s="2"/>
    </row>
    <row r="34" spans="1:24" ht="12.75" customHeight="1">
      <c r="A34" s="2"/>
      <c r="B34" s="53" t="s">
        <v>123</v>
      </c>
      <c r="C34" s="54">
        <v>456358.89712696942</v>
      </c>
      <c r="D34" s="54">
        <v>821743.22289156634</v>
      </c>
      <c r="E34" s="2"/>
      <c r="F34" s="2"/>
      <c r="G34" s="2"/>
      <c r="H34" s="2"/>
      <c r="I34" s="2"/>
      <c r="J34" s="2"/>
      <c r="K34" s="2"/>
      <c r="L34" s="2"/>
      <c r="M34" s="2"/>
      <c r="N34" s="2"/>
      <c r="O34" s="2"/>
      <c r="P34" s="2"/>
      <c r="Q34" s="2"/>
      <c r="R34" s="2"/>
      <c r="S34" s="2"/>
      <c r="T34" s="2"/>
      <c r="U34" s="2"/>
      <c r="V34" s="2"/>
      <c r="W34" s="2"/>
      <c r="X34" s="2"/>
    </row>
    <row r="35" spans="1:24" ht="12.75" customHeight="1">
      <c r="A35" s="2"/>
      <c r="B35" s="41" t="s">
        <v>124</v>
      </c>
      <c r="C35" s="40">
        <v>2896.2001853568122</v>
      </c>
      <c r="D35" s="40">
        <v>2896.2001853568122</v>
      </c>
      <c r="E35" s="2"/>
      <c r="F35" s="2"/>
      <c r="G35" s="2"/>
      <c r="H35" s="2"/>
      <c r="I35" s="2"/>
      <c r="J35" s="2"/>
      <c r="K35" s="2"/>
      <c r="L35" s="2"/>
      <c r="M35" s="2"/>
      <c r="N35" s="2"/>
      <c r="O35" s="2"/>
      <c r="P35" s="2"/>
      <c r="Q35" s="2"/>
      <c r="R35" s="2"/>
      <c r="S35" s="2"/>
      <c r="T35" s="2"/>
      <c r="U35" s="2"/>
      <c r="V35" s="2"/>
      <c r="W35" s="2"/>
      <c r="X35" s="2"/>
    </row>
    <row r="36" spans="1:24" ht="12.75" customHeight="1">
      <c r="A36" s="2"/>
      <c r="B36" s="42" t="s">
        <v>125</v>
      </c>
      <c r="C36" s="43">
        <v>2896.2001853568122</v>
      </c>
      <c r="D36" s="43">
        <v>2896.2001853568122</v>
      </c>
      <c r="E36" s="2"/>
      <c r="F36" s="2"/>
      <c r="G36" s="2"/>
      <c r="H36" s="2"/>
      <c r="I36" s="2"/>
      <c r="J36" s="2"/>
      <c r="K36" s="2"/>
      <c r="L36" s="2"/>
      <c r="M36" s="2"/>
      <c r="N36" s="2"/>
      <c r="O36" s="2"/>
      <c r="P36" s="2"/>
      <c r="Q36" s="2"/>
      <c r="R36" s="2"/>
      <c r="S36" s="2"/>
      <c r="T36" s="2"/>
      <c r="U36" s="2"/>
      <c r="V36" s="2"/>
      <c r="W36" s="2"/>
      <c r="X36" s="2"/>
    </row>
    <row r="37" spans="1:24" ht="12.75" customHeight="1">
      <c r="A37" s="2"/>
      <c r="B37" s="48" t="s">
        <v>126</v>
      </c>
      <c r="C37" s="49">
        <v>0</v>
      </c>
      <c r="D37" s="49">
        <v>0</v>
      </c>
      <c r="E37" s="2"/>
      <c r="F37" s="2"/>
      <c r="G37" s="2"/>
      <c r="H37" s="2"/>
      <c r="I37" s="2"/>
      <c r="J37" s="2"/>
      <c r="K37" s="2"/>
      <c r="L37" s="2"/>
      <c r="M37" s="2"/>
      <c r="N37" s="2"/>
      <c r="O37" s="2"/>
      <c r="P37" s="2"/>
      <c r="Q37" s="2"/>
      <c r="R37" s="2"/>
      <c r="S37" s="2"/>
      <c r="T37" s="2"/>
      <c r="U37" s="2"/>
      <c r="V37" s="2"/>
      <c r="W37" s="2"/>
      <c r="X37" s="2"/>
    </row>
    <row r="38" spans="1:24" ht="12.75" customHeight="1">
      <c r="A38" s="2"/>
      <c r="B38" s="46" t="s">
        <v>116</v>
      </c>
      <c r="C38" s="47">
        <v>0</v>
      </c>
      <c r="D38" s="47">
        <v>0</v>
      </c>
      <c r="E38" s="2"/>
      <c r="F38" s="2"/>
      <c r="G38" s="2"/>
      <c r="H38" s="2"/>
      <c r="I38" s="2"/>
      <c r="J38" s="2"/>
      <c r="K38" s="2"/>
      <c r="L38" s="2"/>
      <c r="M38" s="2"/>
      <c r="N38" s="2"/>
      <c r="O38" s="2"/>
      <c r="P38" s="2"/>
      <c r="Q38" s="2"/>
      <c r="R38" s="2"/>
      <c r="S38" s="2"/>
      <c r="T38" s="2"/>
      <c r="U38" s="2"/>
      <c r="V38" s="2"/>
      <c r="W38" s="2"/>
      <c r="X38" s="2"/>
    </row>
    <row r="39" spans="1:24" ht="12.75" customHeight="1">
      <c r="A39" s="2"/>
      <c r="B39" s="41" t="s">
        <v>127</v>
      </c>
      <c r="C39" s="40">
        <v>0</v>
      </c>
      <c r="D39" s="40">
        <v>0</v>
      </c>
      <c r="E39" s="2"/>
      <c r="F39" s="2"/>
      <c r="G39" s="2"/>
      <c r="H39" s="2"/>
      <c r="I39" s="2"/>
      <c r="J39" s="2"/>
      <c r="K39" s="2"/>
      <c r="L39" s="2"/>
      <c r="M39" s="2"/>
      <c r="N39" s="2"/>
      <c r="O39" s="2"/>
      <c r="P39" s="2"/>
      <c r="Q39" s="2"/>
      <c r="R39" s="2"/>
      <c r="S39" s="2"/>
      <c r="T39" s="2"/>
      <c r="U39" s="2"/>
      <c r="V39" s="2"/>
      <c r="W39" s="2"/>
      <c r="X39" s="2"/>
    </row>
    <row r="40" spans="1:24" ht="12.75" customHeight="1">
      <c r="A40" s="2"/>
      <c r="B40" s="41" t="s">
        <v>128</v>
      </c>
      <c r="C40" s="40">
        <v>289.6200185356812</v>
      </c>
      <c r="D40" s="40">
        <v>289.6200185356812</v>
      </c>
      <c r="E40" s="2"/>
      <c r="F40" s="2"/>
      <c r="G40" s="2"/>
      <c r="H40" s="2"/>
      <c r="I40" s="2"/>
      <c r="J40" s="2"/>
      <c r="K40" s="2"/>
      <c r="L40" s="2"/>
      <c r="M40" s="2"/>
      <c r="N40" s="2"/>
      <c r="O40" s="2"/>
      <c r="P40" s="2"/>
      <c r="Q40" s="2"/>
      <c r="R40" s="2"/>
      <c r="S40" s="2"/>
      <c r="T40" s="2"/>
      <c r="U40" s="2"/>
      <c r="V40" s="2"/>
      <c r="W40" s="2"/>
      <c r="X40" s="2"/>
    </row>
    <row r="41" spans="1:24" ht="12.75" customHeight="1">
      <c r="A41" s="2"/>
      <c r="B41" s="42" t="s">
        <v>129</v>
      </c>
      <c r="C41" s="43">
        <v>289.6200185356812</v>
      </c>
      <c r="D41" s="43">
        <v>289.6200185356812</v>
      </c>
      <c r="E41" s="2"/>
      <c r="F41" s="2"/>
      <c r="G41" s="2"/>
      <c r="H41" s="2"/>
      <c r="I41" s="2"/>
      <c r="J41" s="2"/>
      <c r="K41" s="2"/>
      <c r="L41" s="2"/>
      <c r="M41" s="2"/>
      <c r="N41" s="2"/>
      <c r="O41" s="2"/>
      <c r="P41" s="2"/>
      <c r="Q41" s="2"/>
      <c r="R41" s="2"/>
      <c r="S41" s="2"/>
      <c r="T41" s="2"/>
      <c r="U41" s="2"/>
      <c r="V41" s="2"/>
      <c r="W41" s="2"/>
      <c r="X41" s="2"/>
    </row>
    <row r="42" spans="1:24" ht="12.75" customHeight="1">
      <c r="A42" s="2"/>
      <c r="B42" s="46" t="s">
        <v>130</v>
      </c>
      <c r="C42" s="47">
        <v>0</v>
      </c>
      <c r="D42" s="47">
        <v>0</v>
      </c>
      <c r="E42" s="2"/>
      <c r="F42" s="2"/>
      <c r="G42" s="2"/>
      <c r="H42" s="2"/>
      <c r="I42" s="2"/>
      <c r="J42" s="2"/>
      <c r="K42" s="2"/>
      <c r="L42" s="2"/>
      <c r="M42" s="2"/>
      <c r="N42" s="2"/>
      <c r="O42" s="2"/>
      <c r="P42" s="2"/>
      <c r="Q42" s="2"/>
      <c r="R42" s="2"/>
      <c r="S42" s="2"/>
      <c r="T42" s="2"/>
      <c r="U42" s="2"/>
      <c r="V42" s="2"/>
      <c r="W42" s="2"/>
      <c r="X42" s="2"/>
    </row>
    <row r="43" spans="1:24" ht="12.75" customHeight="1">
      <c r="A43" s="2"/>
      <c r="B43" s="41" t="s">
        <v>131</v>
      </c>
      <c r="C43" s="40">
        <v>453173.07692307694</v>
      </c>
      <c r="D43" s="40">
        <v>818557.40268767381</v>
      </c>
      <c r="E43" s="2"/>
      <c r="F43" s="2"/>
      <c r="G43" s="2"/>
      <c r="H43" s="2"/>
      <c r="I43" s="2"/>
      <c r="J43" s="2"/>
      <c r="K43" s="2"/>
      <c r="L43" s="2"/>
      <c r="M43" s="2"/>
      <c r="N43" s="2"/>
      <c r="O43" s="2"/>
      <c r="P43" s="2"/>
      <c r="Q43" s="2"/>
      <c r="R43" s="2"/>
      <c r="S43" s="2"/>
      <c r="T43" s="2"/>
      <c r="U43" s="2"/>
      <c r="V43" s="2"/>
      <c r="W43" s="2"/>
      <c r="X43" s="2"/>
    </row>
    <row r="44" spans="1:24" ht="12.75" customHeight="1">
      <c r="A44" s="2"/>
      <c r="B44" s="42" t="s">
        <v>132</v>
      </c>
      <c r="C44" s="43">
        <v>288420.05050973041</v>
      </c>
      <c r="D44" s="43">
        <v>365384.32576459728</v>
      </c>
      <c r="E44" s="2"/>
      <c r="F44" s="2"/>
      <c r="G44" s="2"/>
      <c r="H44" s="2"/>
      <c r="I44" s="2"/>
      <c r="J44" s="2"/>
      <c r="K44" s="2"/>
      <c r="L44" s="2"/>
      <c r="M44" s="2"/>
      <c r="N44" s="2"/>
      <c r="O44" s="2"/>
      <c r="P44" s="2"/>
      <c r="Q44" s="2"/>
      <c r="R44" s="2"/>
      <c r="S44" s="2"/>
      <c r="T44" s="2"/>
      <c r="U44" s="2"/>
      <c r="V44" s="2"/>
      <c r="W44" s="2"/>
      <c r="X44" s="2"/>
    </row>
    <row r="45" spans="1:24" ht="12.75" customHeight="1">
      <c r="A45" s="2"/>
      <c r="B45" s="46" t="s">
        <v>133</v>
      </c>
      <c r="C45" s="47">
        <v>164753.02641334652</v>
      </c>
      <c r="D45" s="47">
        <v>453173.07692307694</v>
      </c>
      <c r="E45" s="2"/>
      <c r="F45" s="2"/>
      <c r="G45" s="2"/>
      <c r="H45" s="2"/>
      <c r="I45" s="2"/>
      <c r="J45" s="2"/>
      <c r="K45" s="2"/>
      <c r="L45" s="2"/>
      <c r="M45" s="2"/>
      <c r="N45" s="2"/>
      <c r="O45" s="2"/>
      <c r="P45" s="2"/>
      <c r="Q45" s="2"/>
      <c r="R45" s="2"/>
      <c r="S45" s="2"/>
      <c r="T45" s="2"/>
      <c r="U45" s="2"/>
      <c r="V45" s="2"/>
      <c r="W45" s="2"/>
      <c r="X45" s="2"/>
    </row>
    <row r="46" spans="1:24" ht="12.75" customHeight="1">
      <c r="A46" s="2"/>
      <c r="B46" s="39"/>
      <c r="C46" s="40">
        <v>0</v>
      </c>
      <c r="D46" s="40">
        <v>0</v>
      </c>
      <c r="E46" s="2"/>
      <c r="F46" s="2"/>
      <c r="G46" s="2"/>
      <c r="H46" s="2"/>
      <c r="I46" s="2"/>
      <c r="J46" s="2"/>
      <c r="K46" s="2"/>
      <c r="L46" s="2"/>
      <c r="M46" s="2"/>
      <c r="N46" s="2"/>
      <c r="O46" s="2"/>
      <c r="P46" s="2"/>
      <c r="Q46" s="2"/>
      <c r="R46" s="2"/>
      <c r="S46" s="2"/>
      <c r="T46" s="2"/>
      <c r="U46" s="2"/>
      <c r="V46" s="2"/>
      <c r="W46" s="2"/>
      <c r="X46" s="2"/>
    </row>
    <row r="47" spans="1:24" ht="12.75" customHeight="1">
      <c r="A47" s="2"/>
      <c r="B47" s="39" t="s">
        <v>134</v>
      </c>
      <c r="C47" s="40">
        <v>0</v>
      </c>
      <c r="D47" s="40">
        <v>0</v>
      </c>
      <c r="E47" s="2"/>
      <c r="F47" s="2"/>
      <c r="G47" s="2"/>
      <c r="H47" s="2"/>
      <c r="I47" s="2"/>
      <c r="J47" s="2"/>
      <c r="K47" s="2"/>
      <c r="L47" s="2"/>
      <c r="M47" s="2"/>
      <c r="N47" s="2"/>
      <c r="O47" s="2"/>
      <c r="P47" s="2"/>
      <c r="Q47" s="2"/>
      <c r="R47" s="2"/>
      <c r="S47" s="2"/>
      <c r="T47" s="2"/>
      <c r="U47" s="2"/>
      <c r="V47" s="2"/>
      <c r="W47" s="2"/>
      <c r="X47" s="2"/>
    </row>
    <row r="48" spans="1:24" ht="12.75" customHeight="1">
      <c r="A48" s="2"/>
      <c r="B48" s="39"/>
      <c r="C48" s="40">
        <v>0</v>
      </c>
      <c r="D48" s="40">
        <v>0</v>
      </c>
      <c r="E48" s="2"/>
      <c r="F48" s="2"/>
      <c r="G48" s="2"/>
      <c r="H48" s="2"/>
      <c r="I48" s="2"/>
      <c r="J48" s="2"/>
      <c r="K48" s="2"/>
      <c r="L48" s="2"/>
      <c r="M48" s="2"/>
      <c r="N48" s="2"/>
      <c r="O48" s="2"/>
      <c r="P48" s="2"/>
      <c r="Q48" s="2"/>
      <c r="R48" s="2"/>
      <c r="S48" s="2"/>
      <c r="T48" s="2"/>
      <c r="U48" s="2"/>
      <c r="V48" s="2"/>
      <c r="W48" s="2"/>
      <c r="X48" s="2"/>
    </row>
    <row r="49" spans="1:24" ht="12.75" customHeight="1">
      <c r="A49" s="2"/>
      <c r="B49" s="39" t="s">
        <v>135</v>
      </c>
      <c r="C49" s="40">
        <v>1281872.6830398515</v>
      </c>
      <c r="D49" s="40">
        <v>947969.60518999083</v>
      </c>
      <c r="E49" s="2"/>
      <c r="F49" s="2"/>
      <c r="G49" s="2"/>
      <c r="H49" s="2"/>
      <c r="I49" s="2"/>
      <c r="J49" s="2"/>
      <c r="K49" s="2"/>
      <c r="L49" s="2"/>
      <c r="M49" s="2"/>
      <c r="N49" s="2"/>
      <c r="O49" s="2"/>
      <c r="P49" s="2"/>
      <c r="Q49" s="2"/>
      <c r="R49" s="2"/>
      <c r="S49" s="2"/>
      <c r="T49" s="2"/>
      <c r="U49" s="2"/>
      <c r="V49" s="2"/>
      <c r="W49" s="2"/>
      <c r="X49" s="2"/>
    </row>
    <row r="50" spans="1:24" ht="12.75" customHeight="1">
      <c r="A50" s="2"/>
      <c r="B50" s="41" t="s">
        <v>136</v>
      </c>
      <c r="C50" s="40">
        <v>523639.36515291932</v>
      </c>
      <c r="D50" s="40">
        <v>105177.82669138091</v>
      </c>
      <c r="E50" s="2"/>
      <c r="F50" s="2"/>
      <c r="G50" s="2"/>
      <c r="H50" s="2"/>
      <c r="I50" s="2"/>
      <c r="J50" s="2"/>
      <c r="K50" s="2"/>
      <c r="L50" s="2"/>
      <c r="M50" s="2"/>
      <c r="N50" s="2"/>
      <c r="O50" s="2"/>
      <c r="P50" s="2"/>
      <c r="Q50" s="2"/>
      <c r="R50" s="2"/>
      <c r="S50" s="2"/>
      <c r="T50" s="2"/>
      <c r="U50" s="2"/>
      <c r="V50" s="2"/>
      <c r="W50" s="2"/>
      <c r="X50" s="2"/>
    </row>
    <row r="51" spans="1:24" ht="12.75" customHeight="1">
      <c r="A51" s="2"/>
      <c r="B51" s="42" t="s">
        <v>137</v>
      </c>
      <c r="C51" s="43">
        <v>394759.03614457831</v>
      </c>
      <c r="D51" s="43">
        <v>0</v>
      </c>
      <c r="E51" s="2"/>
      <c r="F51" s="2"/>
      <c r="G51" s="2"/>
      <c r="H51" s="2"/>
      <c r="I51" s="2"/>
      <c r="J51" s="2"/>
      <c r="K51" s="2"/>
      <c r="L51" s="2"/>
      <c r="M51" s="2"/>
      <c r="N51" s="2"/>
      <c r="O51" s="2"/>
      <c r="P51" s="2"/>
      <c r="Q51" s="2"/>
      <c r="R51" s="2"/>
      <c r="S51" s="2"/>
      <c r="T51" s="2"/>
      <c r="U51" s="2"/>
      <c r="V51" s="2"/>
      <c r="W51" s="2"/>
      <c r="X51" s="2"/>
    </row>
    <row r="52" spans="1:24" ht="12.75" customHeight="1">
      <c r="A52" s="2"/>
      <c r="B52" s="48" t="s">
        <v>138</v>
      </c>
      <c r="C52" s="49">
        <v>75011.005560704361</v>
      </c>
      <c r="D52" s="49">
        <v>105177.82669138091</v>
      </c>
      <c r="E52" s="2"/>
      <c r="F52" s="2"/>
      <c r="G52" s="2"/>
      <c r="H52" s="2"/>
      <c r="I52" s="2"/>
      <c r="J52" s="2"/>
      <c r="K52" s="2"/>
      <c r="L52" s="2"/>
      <c r="M52" s="2"/>
      <c r="N52" s="2"/>
      <c r="O52" s="2"/>
      <c r="P52" s="2"/>
      <c r="Q52" s="2"/>
      <c r="R52" s="2"/>
      <c r="S52" s="2"/>
      <c r="T52" s="2"/>
      <c r="U52" s="2"/>
      <c r="V52" s="2"/>
      <c r="W52" s="2"/>
      <c r="X52" s="2"/>
    </row>
    <row r="53" spans="1:24" ht="12.75" customHeight="1">
      <c r="A53" s="2"/>
      <c r="B53" s="46" t="s">
        <v>116</v>
      </c>
      <c r="C53" s="47">
        <v>53869.3234476367</v>
      </c>
      <c r="D53" s="47">
        <v>0</v>
      </c>
      <c r="E53" s="2"/>
      <c r="F53" s="2"/>
      <c r="G53" s="2"/>
      <c r="H53" s="2"/>
      <c r="I53" s="2"/>
      <c r="J53" s="2"/>
      <c r="K53" s="2"/>
      <c r="L53" s="2"/>
      <c r="M53" s="2"/>
      <c r="N53" s="2"/>
      <c r="O53" s="2"/>
      <c r="P53" s="2"/>
      <c r="Q53" s="2"/>
      <c r="R53" s="2"/>
      <c r="S53" s="2"/>
      <c r="T53" s="2"/>
      <c r="U53" s="2"/>
      <c r="V53" s="2"/>
      <c r="W53" s="2"/>
      <c r="X53" s="2"/>
    </row>
    <row r="54" spans="1:24" ht="12.75" customHeight="1">
      <c r="A54" s="2"/>
      <c r="B54" s="41" t="s">
        <v>139</v>
      </c>
      <c r="C54" s="40">
        <v>758233.31788693229</v>
      </c>
      <c r="D54" s="40">
        <v>842791.7784986099</v>
      </c>
      <c r="E54" s="2"/>
      <c r="F54" s="2"/>
      <c r="G54" s="2"/>
      <c r="H54" s="2"/>
      <c r="I54" s="2"/>
      <c r="J54" s="2"/>
      <c r="K54" s="2"/>
      <c r="L54" s="2"/>
      <c r="M54" s="2"/>
      <c r="N54" s="2"/>
      <c r="O54" s="2"/>
      <c r="P54" s="2"/>
      <c r="Q54" s="2"/>
      <c r="R54" s="2"/>
      <c r="S54" s="2"/>
      <c r="T54" s="2"/>
      <c r="U54" s="2"/>
      <c r="V54" s="2"/>
      <c r="W54" s="2"/>
      <c r="X54" s="2"/>
    </row>
    <row r="55" spans="1:24" ht="12.75" customHeight="1">
      <c r="A55" s="2"/>
      <c r="B55" s="42" t="s">
        <v>140</v>
      </c>
      <c r="C55" s="43">
        <v>42556.475903614461</v>
      </c>
      <c r="D55" s="43">
        <v>54738.47312326228</v>
      </c>
      <c r="E55" s="2"/>
      <c r="F55" s="2"/>
      <c r="G55" s="2"/>
      <c r="H55" s="2"/>
      <c r="I55" s="2"/>
      <c r="J55" s="2"/>
      <c r="K55" s="2"/>
      <c r="L55" s="2"/>
      <c r="M55" s="2"/>
      <c r="N55" s="2"/>
      <c r="O55" s="2"/>
      <c r="P55" s="2"/>
      <c r="Q55" s="2"/>
      <c r="R55" s="2"/>
      <c r="S55" s="2"/>
      <c r="T55" s="2"/>
      <c r="U55" s="2"/>
      <c r="V55" s="2"/>
      <c r="W55" s="2"/>
      <c r="X55" s="2"/>
    </row>
    <row r="56" spans="1:24" ht="12.75" customHeight="1">
      <c r="A56" s="2"/>
      <c r="B56" s="48" t="s">
        <v>137</v>
      </c>
      <c r="C56" s="49">
        <v>89784.522706209464</v>
      </c>
      <c r="D56" s="49">
        <v>0</v>
      </c>
      <c r="E56" s="2"/>
      <c r="F56" s="2"/>
      <c r="G56" s="2"/>
      <c r="H56" s="2"/>
      <c r="I56" s="2"/>
      <c r="J56" s="2"/>
      <c r="K56" s="2"/>
      <c r="L56" s="2"/>
      <c r="M56" s="2"/>
      <c r="N56" s="2"/>
      <c r="O56" s="2"/>
      <c r="P56" s="2"/>
      <c r="Q56" s="2"/>
      <c r="R56" s="2"/>
      <c r="S56" s="2"/>
      <c r="T56" s="2"/>
      <c r="U56" s="2"/>
      <c r="V56" s="2"/>
      <c r="W56" s="2"/>
      <c r="X56" s="2"/>
    </row>
    <row r="57" spans="1:24" ht="12.75" customHeight="1">
      <c r="A57" s="2"/>
      <c r="B57" s="48" t="s">
        <v>141</v>
      </c>
      <c r="C57" s="49">
        <v>267060.06719184428</v>
      </c>
      <c r="D57" s="49">
        <v>391348.47080630215</v>
      </c>
      <c r="E57" s="2"/>
      <c r="F57" s="2"/>
      <c r="G57" s="2"/>
      <c r="H57" s="2"/>
      <c r="I57" s="2"/>
      <c r="J57" s="2"/>
      <c r="K57" s="2"/>
      <c r="L57" s="2"/>
      <c r="M57" s="2"/>
      <c r="N57" s="2"/>
      <c r="O57" s="2"/>
      <c r="P57" s="2"/>
      <c r="Q57" s="2"/>
      <c r="R57" s="2"/>
      <c r="S57" s="2"/>
      <c r="T57" s="2"/>
      <c r="U57" s="2"/>
      <c r="V57" s="2"/>
      <c r="W57" s="2"/>
      <c r="X57" s="2"/>
    </row>
    <row r="58" spans="1:24" ht="12.75" customHeight="1">
      <c r="A58" s="2"/>
      <c r="B58" s="46" t="s">
        <v>116</v>
      </c>
      <c r="C58" s="47">
        <v>358832.25208526413</v>
      </c>
      <c r="D58" s="47">
        <v>396704.83456904546</v>
      </c>
      <c r="E58" s="2"/>
      <c r="F58" s="2"/>
      <c r="G58" s="2"/>
      <c r="H58" s="2"/>
      <c r="I58" s="2"/>
      <c r="J58" s="2"/>
      <c r="K58" s="2"/>
      <c r="L58" s="2"/>
      <c r="M58" s="2"/>
      <c r="N58" s="2"/>
      <c r="O58" s="2"/>
      <c r="P58" s="2"/>
      <c r="Q58" s="2"/>
      <c r="R58" s="2"/>
      <c r="S58" s="2"/>
      <c r="T58" s="2"/>
      <c r="U58" s="2"/>
      <c r="V58" s="2"/>
      <c r="W58" s="2"/>
      <c r="X58" s="2"/>
    </row>
    <row r="59" spans="1:24" ht="12.75" customHeight="1">
      <c r="A59" s="2"/>
      <c r="B59" s="50" t="s">
        <v>142</v>
      </c>
      <c r="C59" s="51">
        <v>1738231.5801668209</v>
      </c>
      <c r="D59" s="51">
        <v>1769712.8280815571</v>
      </c>
      <c r="E59" s="2"/>
      <c r="F59" s="2"/>
      <c r="G59" s="2"/>
      <c r="H59" s="2"/>
      <c r="I59" s="2"/>
      <c r="J59" s="2"/>
      <c r="K59" s="2"/>
      <c r="L59" s="2"/>
      <c r="M59" s="2"/>
      <c r="N59" s="2"/>
      <c r="O59" s="2"/>
      <c r="P59" s="2"/>
      <c r="Q59" s="2"/>
      <c r="R59" s="2"/>
      <c r="S59" s="2"/>
      <c r="T59" s="2"/>
      <c r="U59" s="2"/>
      <c r="V59" s="2"/>
      <c r="W59" s="2"/>
      <c r="X59" s="2"/>
    </row>
    <row r="60" spans="1:24" ht="12.75" customHeight="1">
      <c r="A60" s="2"/>
      <c r="B60" s="2"/>
      <c r="C60" s="52"/>
      <c r="D60" s="52"/>
      <c r="E60" s="2"/>
      <c r="F60" s="2"/>
      <c r="G60" s="2"/>
      <c r="H60" s="2"/>
      <c r="I60" s="2"/>
      <c r="J60" s="2"/>
      <c r="K60" s="2"/>
      <c r="L60" s="2"/>
      <c r="M60" s="2"/>
      <c r="N60" s="2"/>
      <c r="O60" s="2"/>
      <c r="P60" s="2"/>
      <c r="Q60" s="2"/>
      <c r="R60" s="2"/>
      <c r="S60" s="2"/>
      <c r="T60" s="2"/>
      <c r="U60" s="2"/>
      <c r="V60" s="2"/>
      <c r="W60" s="2"/>
      <c r="X60" s="2"/>
    </row>
    <row r="61" spans="1:24" ht="12.75" customHeight="1">
      <c r="A61" s="2"/>
      <c r="B61" s="55"/>
      <c r="C61" s="52"/>
      <c r="D61" s="52"/>
      <c r="E61" s="2"/>
      <c r="F61" s="2"/>
      <c r="G61" s="2"/>
      <c r="H61" s="2"/>
      <c r="I61" s="2"/>
      <c r="J61" s="2"/>
      <c r="K61" s="2"/>
      <c r="L61" s="2"/>
      <c r="M61" s="2"/>
      <c r="N61" s="2"/>
      <c r="O61" s="2"/>
      <c r="P61" s="2"/>
      <c r="Q61" s="2"/>
      <c r="R61" s="2"/>
      <c r="S61" s="2"/>
      <c r="T61" s="2"/>
      <c r="U61" s="2"/>
      <c r="V61" s="2"/>
      <c r="W61" s="2"/>
      <c r="X61" s="2"/>
    </row>
    <row r="62" spans="1:24" ht="12.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2.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2.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2.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2.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2.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2.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2.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2.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2.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2.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2.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2.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2.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2.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2.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2.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2.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2.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2.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2.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2.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2.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2.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2.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2.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2.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2.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2.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2.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2.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2.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2.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2.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2.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2.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2.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2.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2.6640625" defaultRowHeight="15" customHeight="1"/>
  <cols>
    <col min="1" max="1" width="1.88671875" customWidth="1"/>
    <col min="2" max="2" width="33.6640625" customWidth="1"/>
    <col min="3" max="4" width="12" customWidth="1"/>
    <col min="5" max="6" width="9.109375" customWidth="1"/>
    <col min="7" max="24" width="8.6640625" customWidth="1"/>
  </cols>
  <sheetData>
    <row r="1" spans="1:24" ht="12.75" customHeight="1">
      <c r="A1" s="2"/>
      <c r="B1" s="2"/>
      <c r="C1" s="52"/>
      <c r="D1" s="52"/>
      <c r="E1" s="2"/>
      <c r="F1" s="2"/>
      <c r="G1" s="2"/>
      <c r="H1" s="2"/>
      <c r="I1" s="2"/>
      <c r="J1" s="2"/>
      <c r="K1" s="2"/>
      <c r="L1" s="2"/>
      <c r="M1" s="2"/>
      <c r="N1" s="2"/>
      <c r="O1" s="2"/>
      <c r="P1" s="2"/>
      <c r="Q1" s="2"/>
      <c r="R1" s="2"/>
      <c r="S1" s="2"/>
      <c r="T1" s="2"/>
      <c r="U1" s="2"/>
      <c r="V1" s="2"/>
      <c r="W1" s="2"/>
      <c r="X1" s="2"/>
    </row>
    <row r="2" spans="1:24" ht="12.75" customHeight="1">
      <c r="A2" s="2"/>
      <c r="B2" s="7" t="s">
        <v>54</v>
      </c>
      <c r="C2" s="334" t="s">
        <v>95</v>
      </c>
      <c r="D2" s="335"/>
      <c r="E2" s="2"/>
      <c r="F2" s="2"/>
      <c r="G2" s="2"/>
      <c r="H2" s="2"/>
      <c r="I2" s="2"/>
      <c r="J2" s="2"/>
      <c r="K2" s="2"/>
      <c r="L2" s="2"/>
      <c r="M2" s="2"/>
      <c r="N2" s="2"/>
      <c r="O2" s="2"/>
      <c r="P2" s="2"/>
      <c r="Q2" s="2"/>
      <c r="R2" s="2"/>
      <c r="S2" s="2"/>
      <c r="T2" s="2"/>
      <c r="U2" s="2"/>
      <c r="V2" s="2"/>
      <c r="W2" s="2"/>
      <c r="X2" s="2"/>
    </row>
    <row r="3" spans="1:24" ht="12.75" customHeight="1">
      <c r="A3" s="2"/>
      <c r="B3" s="8"/>
      <c r="C3" s="38">
        <v>2016</v>
      </c>
      <c r="D3" s="38">
        <v>2017</v>
      </c>
      <c r="E3" s="2"/>
      <c r="F3" s="2"/>
      <c r="G3" s="2"/>
      <c r="H3" s="2"/>
      <c r="I3" s="2"/>
      <c r="J3" s="2"/>
      <c r="K3" s="2"/>
      <c r="L3" s="2"/>
      <c r="M3" s="2"/>
      <c r="N3" s="2"/>
      <c r="O3" s="2"/>
      <c r="P3" s="2"/>
      <c r="Q3" s="2"/>
      <c r="R3" s="2"/>
      <c r="S3" s="2"/>
      <c r="T3" s="2"/>
      <c r="U3" s="2"/>
      <c r="V3" s="2"/>
      <c r="W3" s="2"/>
      <c r="X3" s="2"/>
    </row>
    <row r="4" spans="1:24" ht="12.75" customHeight="1">
      <c r="A4" s="2"/>
      <c r="B4" s="56" t="s">
        <v>143</v>
      </c>
      <c r="C4" s="57">
        <f t="shared" ref="C4:D4" si="0">SUM(C5:C6)</f>
        <v>3418804.7497683037</v>
      </c>
      <c r="D4" s="57">
        <f t="shared" si="0"/>
        <v>5477916.6655468028</v>
      </c>
      <c r="E4" s="2"/>
      <c r="F4" s="2"/>
      <c r="G4" s="2"/>
      <c r="H4" s="2"/>
      <c r="I4" s="2"/>
      <c r="J4" s="2"/>
      <c r="K4" s="2"/>
      <c r="L4" s="2"/>
      <c r="M4" s="2"/>
      <c r="N4" s="2"/>
      <c r="O4" s="2"/>
      <c r="P4" s="2"/>
      <c r="Q4" s="2"/>
      <c r="R4" s="2"/>
      <c r="S4" s="2"/>
      <c r="T4" s="2"/>
      <c r="U4" s="2"/>
      <c r="V4" s="2"/>
      <c r="W4" s="2"/>
      <c r="X4" s="2"/>
    </row>
    <row r="5" spans="1:24" ht="12.75" customHeight="1">
      <c r="A5" s="2"/>
      <c r="B5" s="58" t="s">
        <v>144</v>
      </c>
      <c r="C5" s="57">
        <f>'Income Statement'!D5*1.21</f>
        <v>3284154.7497683037</v>
      </c>
      <c r="D5" s="57">
        <f>'Income Statement'!E5*1.21</f>
        <v>5341246.9155468028</v>
      </c>
      <c r="E5" s="2"/>
      <c r="F5" s="2"/>
      <c r="G5" s="2"/>
      <c r="H5" s="2"/>
      <c r="I5" s="2"/>
      <c r="J5" s="2"/>
      <c r="K5" s="2"/>
      <c r="L5" s="2"/>
      <c r="M5" s="2"/>
      <c r="N5" s="2"/>
      <c r="O5" s="2"/>
      <c r="P5" s="2"/>
      <c r="Q5" s="2"/>
      <c r="R5" s="2"/>
      <c r="S5" s="2"/>
      <c r="T5" s="2"/>
      <c r="U5" s="2"/>
      <c r="V5" s="2"/>
      <c r="W5" s="2"/>
      <c r="X5" s="2"/>
    </row>
    <row r="6" spans="1:24" ht="12.75" customHeight="1">
      <c r="A6" s="2"/>
      <c r="B6" s="58" t="s">
        <v>63</v>
      </c>
      <c r="C6" s="57">
        <v>134650</v>
      </c>
      <c r="D6" s="57">
        <f>C6*1.015</f>
        <v>136669.75</v>
      </c>
      <c r="E6" s="2"/>
      <c r="F6" s="2"/>
      <c r="G6" s="2"/>
      <c r="H6" s="2"/>
      <c r="I6" s="2"/>
      <c r="J6" s="2"/>
      <c r="K6" s="2"/>
      <c r="L6" s="2"/>
      <c r="M6" s="2"/>
      <c r="N6" s="2"/>
      <c r="O6" s="2"/>
      <c r="P6" s="2"/>
      <c r="Q6" s="2"/>
      <c r="R6" s="2"/>
      <c r="S6" s="2"/>
      <c r="T6" s="2"/>
      <c r="U6" s="2"/>
      <c r="V6" s="2"/>
      <c r="W6" s="2"/>
      <c r="X6" s="2"/>
    </row>
    <row r="7" spans="1:24" ht="12.75" customHeight="1">
      <c r="A7" s="2"/>
      <c r="B7" s="56" t="s">
        <v>145</v>
      </c>
      <c r="C7" s="57">
        <f t="shared" ref="C7:D7" si="1">SUM(C8:C11)</f>
        <v>-2865267.3308619084</v>
      </c>
      <c r="D7" s="57">
        <f t="shared" si="1"/>
        <v>-4917989.939411493</v>
      </c>
      <c r="E7" s="2"/>
      <c r="F7" s="2"/>
      <c r="G7" s="2"/>
      <c r="H7" s="2"/>
      <c r="I7" s="2"/>
      <c r="J7" s="2"/>
      <c r="K7" s="2"/>
      <c r="L7" s="2"/>
      <c r="M7" s="2"/>
      <c r="N7" s="2"/>
      <c r="O7" s="2"/>
      <c r="P7" s="2"/>
      <c r="Q7" s="2"/>
      <c r="R7" s="2"/>
      <c r="S7" s="2"/>
      <c r="T7" s="2"/>
      <c r="U7" s="2"/>
      <c r="V7" s="2"/>
      <c r="W7" s="2"/>
      <c r="X7" s="2"/>
    </row>
    <row r="8" spans="1:24" ht="12.75" customHeight="1">
      <c r="A8" s="2"/>
      <c r="B8" s="58" t="s">
        <v>146</v>
      </c>
      <c r="C8" s="57">
        <v>-2232103.63716404</v>
      </c>
      <c r="D8" s="57">
        <v>-3598006.6062326236</v>
      </c>
      <c r="E8" s="2"/>
      <c r="F8" s="2"/>
      <c r="G8" s="2"/>
      <c r="H8" s="2"/>
      <c r="I8" s="2"/>
      <c r="J8" s="2"/>
      <c r="K8" s="2"/>
      <c r="L8" s="2"/>
      <c r="M8" s="2"/>
      <c r="N8" s="2"/>
      <c r="O8" s="2"/>
      <c r="P8" s="2"/>
      <c r="Q8" s="2"/>
      <c r="R8" s="2"/>
      <c r="S8" s="2"/>
      <c r="T8" s="2"/>
      <c r="U8" s="2"/>
      <c r="V8" s="2"/>
      <c r="W8" s="2"/>
      <c r="X8" s="2"/>
    </row>
    <row r="9" spans="1:24" ht="12.75" customHeight="1">
      <c r="A9" s="2"/>
      <c r="B9" s="58" t="s">
        <v>147</v>
      </c>
      <c r="C9" s="57">
        <v>-499966.69369786844</v>
      </c>
      <c r="D9" s="57">
        <v>-1368507.0088044486</v>
      </c>
      <c r="E9" s="2"/>
      <c r="F9" s="2"/>
      <c r="G9" s="2"/>
      <c r="H9" s="2"/>
      <c r="I9" s="2"/>
      <c r="J9" s="2"/>
      <c r="K9" s="2"/>
      <c r="L9" s="2"/>
      <c r="M9" s="2"/>
      <c r="N9" s="2"/>
      <c r="O9" s="2"/>
      <c r="P9" s="2"/>
      <c r="Q9" s="2"/>
      <c r="R9" s="2"/>
      <c r="S9" s="2"/>
      <c r="T9" s="2"/>
      <c r="U9" s="2"/>
      <c r="V9" s="2"/>
      <c r="W9" s="2"/>
      <c r="X9" s="2"/>
    </row>
    <row r="10" spans="1:24" ht="12.75" customHeight="1">
      <c r="A10" s="2"/>
      <c r="B10" s="58" t="s">
        <v>148</v>
      </c>
      <c r="C10" s="57">
        <v>-238</v>
      </c>
      <c r="D10" s="57">
        <v>70322.795180722896</v>
      </c>
      <c r="E10" s="2"/>
      <c r="F10" s="2"/>
      <c r="G10" s="2"/>
      <c r="H10" s="2"/>
      <c r="I10" s="2"/>
      <c r="J10" s="2"/>
      <c r="K10" s="2"/>
      <c r="L10" s="2"/>
      <c r="M10" s="2"/>
      <c r="N10" s="2"/>
      <c r="O10" s="2"/>
      <c r="P10" s="2"/>
      <c r="Q10" s="2"/>
      <c r="R10" s="2"/>
      <c r="S10" s="2"/>
      <c r="T10" s="2"/>
      <c r="U10" s="2"/>
      <c r="V10" s="2"/>
      <c r="W10" s="2"/>
      <c r="X10" s="2"/>
    </row>
    <row r="11" spans="1:24" ht="12.75" customHeight="1">
      <c r="A11" s="2"/>
      <c r="B11" s="58" t="s">
        <v>149</v>
      </c>
      <c r="C11" s="57">
        <v>-132959</v>
      </c>
      <c r="D11" s="57">
        <v>-21799.119555143654</v>
      </c>
      <c r="E11" s="2"/>
      <c r="F11" s="2"/>
      <c r="G11" s="2"/>
      <c r="H11" s="2"/>
      <c r="I11" s="2"/>
      <c r="J11" s="2"/>
      <c r="K11" s="2"/>
      <c r="L11" s="2"/>
      <c r="M11" s="2"/>
      <c r="N11" s="2"/>
      <c r="O11" s="2"/>
      <c r="P11" s="2"/>
      <c r="Q11" s="2"/>
      <c r="R11" s="2"/>
      <c r="S11" s="2"/>
      <c r="T11" s="2"/>
      <c r="U11" s="2"/>
      <c r="V11" s="2"/>
      <c r="W11" s="2"/>
      <c r="X11" s="2"/>
    </row>
    <row r="12" spans="1:24" ht="12.75" customHeight="1">
      <c r="A12" s="2"/>
      <c r="B12" s="59" t="s">
        <v>150</v>
      </c>
      <c r="C12" s="60">
        <f t="shared" ref="C12:D12" si="2">C4+C7</f>
        <v>553537.41890639532</v>
      </c>
      <c r="D12" s="60">
        <f t="shared" si="2"/>
        <v>559926.72613530979</v>
      </c>
      <c r="E12" s="2"/>
      <c r="F12" s="2"/>
      <c r="G12" s="2"/>
      <c r="H12" s="2"/>
      <c r="I12" s="2"/>
      <c r="J12" s="2"/>
      <c r="K12" s="2"/>
      <c r="L12" s="2"/>
      <c r="M12" s="2"/>
      <c r="N12" s="2"/>
      <c r="O12" s="2"/>
      <c r="P12" s="2"/>
      <c r="Q12" s="2"/>
      <c r="R12" s="2"/>
      <c r="S12" s="2"/>
      <c r="T12" s="2"/>
      <c r="U12" s="2"/>
      <c r="V12" s="2"/>
      <c r="W12" s="2"/>
      <c r="X12" s="2"/>
    </row>
    <row r="13" spans="1:24" ht="12.75" customHeight="1">
      <c r="A13" s="2"/>
      <c r="B13" s="61"/>
      <c r="C13" s="57"/>
      <c r="D13" s="57"/>
      <c r="E13" s="2"/>
      <c r="F13" s="2"/>
      <c r="G13" s="2"/>
      <c r="H13" s="2"/>
      <c r="I13" s="2"/>
      <c r="J13" s="2"/>
      <c r="K13" s="2"/>
      <c r="L13" s="2"/>
      <c r="M13" s="2"/>
      <c r="N13" s="2"/>
      <c r="O13" s="2"/>
      <c r="P13" s="2"/>
      <c r="Q13" s="2"/>
      <c r="R13" s="2"/>
      <c r="S13" s="2"/>
      <c r="T13" s="2"/>
      <c r="U13" s="2"/>
      <c r="V13" s="2"/>
      <c r="W13" s="2"/>
      <c r="X13" s="2"/>
    </row>
    <row r="14" spans="1:24" ht="12.75" customHeight="1">
      <c r="A14" s="2"/>
      <c r="B14" s="58" t="s">
        <v>151</v>
      </c>
      <c r="C14" s="57">
        <v>-351467.21501390176</v>
      </c>
      <c r="D14" s="57">
        <v>-243493.97590361445</v>
      </c>
      <c r="E14" s="2"/>
      <c r="F14" s="2"/>
      <c r="G14" s="2"/>
      <c r="H14" s="2"/>
      <c r="I14" s="2"/>
      <c r="J14" s="2"/>
      <c r="K14" s="2"/>
      <c r="L14" s="2"/>
      <c r="M14" s="2"/>
      <c r="N14" s="2"/>
      <c r="O14" s="2"/>
      <c r="P14" s="2"/>
      <c r="Q14" s="2"/>
      <c r="R14" s="2"/>
      <c r="S14" s="2"/>
      <c r="T14" s="2"/>
      <c r="U14" s="2"/>
      <c r="V14" s="2"/>
      <c r="W14" s="2"/>
      <c r="X14" s="2"/>
    </row>
    <row r="15" spans="1:24" ht="12.75" customHeight="1">
      <c r="A15" s="2"/>
      <c r="B15" s="58" t="s">
        <v>152</v>
      </c>
      <c r="C15" s="57">
        <v>0</v>
      </c>
      <c r="D15" s="57">
        <v>291013.38044485636</v>
      </c>
      <c r="E15" s="2"/>
      <c r="F15" s="2"/>
      <c r="G15" s="2"/>
      <c r="H15" s="2"/>
      <c r="I15" s="2"/>
      <c r="J15" s="2"/>
      <c r="K15" s="2"/>
      <c r="L15" s="2"/>
      <c r="M15" s="2"/>
      <c r="N15" s="2"/>
      <c r="O15" s="2"/>
      <c r="P15" s="2"/>
      <c r="Q15" s="2"/>
      <c r="R15" s="2"/>
      <c r="S15" s="2"/>
      <c r="T15" s="2"/>
      <c r="U15" s="2"/>
      <c r="V15" s="2"/>
      <c r="W15" s="2"/>
      <c r="X15" s="2"/>
    </row>
    <row r="16" spans="1:24" ht="12.75" customHeight="1">
      <c r="A16" s="2"/>
      <c r="B16" s="58" t="s">
        <v>153</v>
      </c>
      <c r="C16" s="57">
        <v>-131719.18443002782</v>
      </c>
      <c r="D16" s="57">
        <v>-14027.745597775718</v>
      </c>
      <c r="E16" s="2"/>
      <c r="F16" s="2"/>
      <c r="G16" s="2"/>
      <c r="H16" s="2"/>
      <c r="I16" s="2"/>
      <c r="J16" s="2"/>
      <c r="K16" s="2"/>
      <c r="L16" s="2"/>
      <c r="M16" s="2"/>
      <c r="N16" s="2"/>
      <c r="O16" s="2"/>
      <c r="P16" s="2"/>
      <c r="Q16" s="2"/>
      <c r="R16" s="2"/>
      <c r="S16" s="2"/>
      <c r="T16" s="2"/>
      <c r="U16" s="2"/>
      <c r="V16" s="2"/>
      <c r="W16" s="2"/>
      <c r="X16" s="2"/>
    </row>
    <row r="17" spans="1:24" ht="12.75" customHeight="1">
      <c r="A17" s="2"/>
      <c r="B17" s="59" t="s">
        <v>154</v>
      </c>
      <c r="C17" s="60">
        <f t="shared" ref="C17:D17" si="3">SUM(C14:C16)</f>
        <v>-483186.39944392955</v>
      </c>
      <c r="D17" s="60">
        <f t="shared" si="3"/>
        <v>33491.658943466187</v>
      </c>
      <c r="E17" s="2"/>
      <c r="F17" s="2"/>
      <c r="G17" s="2"/>
      <c r="H17" s="2"/>
      <c r="I17" s="2"/>
      <c r="J17" s="2"/>
      <c r="K17" s="2"/>
      <c r="L17" s="2"/>
      <c r="M17" s="2"/>
      <c r="N17" s="2"/>
      <c r="O17" s="2"/>
      <c r="P17" s="2"/>
      <c r="Q17" s="2"/>
      <c r="R17" s="2"/>
      <c r="S17" s="2"/>
      <c r="T17" s="2"/>
      <c r="U17" s="2"/>
      <c r="V17" s="2"/>
      <c r="W17" s="2"/>
      <c r="X17" s="2"/>
    </row>
    <row r="18" spans="1:24" ht="12.75" customHeight="1">
      <c r="A18" s="2"/>
      <c r="B18" s="61"/>
      <c r="C18" s="57"/>
      <c r="D18" s="57"/>
      <c r="E18" s="2"/>
      <c r="F18" s="2"/>
      <c r="G18" s="2"/>
      <c r="H18" s="2"/>
      <c r="I18" s="2"/>
      <c r="J18" s="2"/>
      <c r="K18" s="2"/>
      <c r="L18" s="2"/>
      <c r="M18" s="2"/>
      <c r="N18" s="2"/>
      <c r="O18" s="2"/>
      <c r="P18" s="2"/>
      <c r="Q18" s="2"/>
      <c r="R18" s="2"/>
      <c r="S18" s="2"/>
      <c r="T18" s="2"/>
      <c r="U18" s="2"/>
      <c r="V18" s="2"/>
      <c r="W18" s="2"/>
      <c r="X18" s="2"/>
    </row>
    <row r="19" spans="1:24" ht="12.75" customHeight="1">
      <c r="A19" s="2"/>
      <c r="B19" s="58" t="s">
        <v>155</v>
      </c>
      <c r="C19" s="57">
        <v>0</v>
      </c>
      <c r="D19" s="57">
        <v>0</v>
      </c>
      <c r="E19" s="2"/>
      <c r="F19" s="2"/>
      <c r="G19" s="2"/>
      <c r="H19" s="2"/>
      <c r="I19" s="2"/>
      <c r="J19" s="2"/>
      <c r="K19" s="2"/>
      <c r="L19" s="2"/>
      <c r="M19" s="2"/>
      <c r="N19" s="2"/>
      <c r="O19" s="2"/>
      <c r="P19" s="2"/>
      <c r="Q19" s="2"/>
      <c r="R19" s="2"/>
      <c r="S19" s="2"/>
      <c r="T19" s="2"/>
      <c r="U19" s="2"/>
      <c r="V19" s="2"/>
      <c r="W19" s="2"/>
      <c r="X19" s="2"/>
    </row>
    <row r="20" spans="1:24" ht="12.75" customHeight="1">
      <c r="A20" s="2"/>
      <c r="B20" s="58" t="s">
        <v>156</v>
      </c>
      <c r="C20" s="57"/>
      <c r="D20" s="57"/>
      <c r="E20" s="2"/>
      <c r="F20" s="2"/>
      <c r="G20" s="2"/>
      <c r="H20" s="2"/>
      <c r="I20" s="2"/>
      <c r="J20" s="2"/>
      <c r="K20" s="2"/>
      <c r="L20" s="2"/>
      <c r="M20" s="2"/>
      <c r="N20" s="2"/>
      <c r="O20" s="2"/>
      <c r="P20" s="2"/>
      <c r="Q20" s="2"/>
      <c r="R20" s="2"/>
      <c r="S20" s="2"/>
      <c r="T20" s="2"/>
      <c r="U20" s="2"/>
      <c r="V20" s="2"/>
      <c r="W20" s="2"/>
      <c r="X20" s="2"/>
    </row>
    <row r="21" spans="1:24" ht="12.75" customHeight="1">
      <c r="A21" s="2"/>
      <c r="B21" s="58" t="s">
        <v>157</v>
      </c>
      <c r="C21" s="57">
        <v>53869.3234476367</v>
      </c>
      <c r="D21" s="57">
        <v>0</v>
      </c>
      <c r="E21" s="2"/>
      <c r="F21" s="2"/>
      <c r="G21" s="2"/>
      <c r="H21" s="2"/>
      <c r="I21" s="2"/>
      <c r="J21" s="2"/>
      <c r="K21" s="2"/>
      <c r="L21" s="2"/>
      <c r="M21" s="2"/>
      <c r="N21" s="2"/>
      <c r="O21" s="2"/>
      <c r="P21" s="2"/>
      <c r="Q21" s="2"/>
      <c r="R21" s="2"/>
      <c r="S21" s="2"/>
      <c r="T21" s="2"/>
      <c r="U21" s="2"/>
      <c r="V21" s="2"/>
      <c r="W21" s="2"/>
      <c r="X21" s="2"/>
    </row>
    <row r="22" spans="1:24" ht="12.75" customHeight="1">
      <c r="A22" s="2"/>
      <c r="B22" s="58" t="s">
        <v>158</v>
      </c>
      <c r="C22" s="57">
        <v>-56671.686746987951</v>
      </c>
      <c r="D22" s="57">
        <v>-576913.22984244674</v>
      </c>
      <c r="E22" s="2"/>
      <c r="F22" s="2"/>
      <c r="G22" s="2"/>
      <c r="H22" s="2"/>
      <c r="I22" s="2"/>
      <c r="J22" s="2"/>
      <c r="K22" s="2"/>
      <c r="L22" s="2"/>
      <c r="M22" s="2"/>
      <c r="N22" s="2"/>
      <c r="O22" s="2"/>
      <c r="P22" s="2"/>
      <c r="Q22" s="2"/>
      <c r="R22" s="2"/>
      <c r="S22" s="2"/>
      <c r="T22" s="2"/>
      <c r="U22" s="2"/>
      <c r="V22" s="2"/>
      <c r="W22" s="2"/>
      <c r="X22" s="2"/>
    </row>
    <row r="23" spans="1:24" ht="12.75" customHeight="1">
      <c r="A23" s="2"/>
      <c r="B23" s="58" t="s">
        <v>159</v>
      </c>
      <c r="C23" s="57">
        <v>-11716.867469879518</v>
      </c>
      <c r="D23" s="57">
        <v>-13756.371640407786</v>
      </c>
      <c r="E23" s="2"/>
      <c r="F23" s="2"/>
      <c r="G23" s="2"/>
      <c r="H23" s="2"/>
      <c r="I23" s="2"/>
      <c r="J23" s="2"/>
      <c r="K23" s="2"/>
      <c r="L23" s="2"/>
      <c r="M23" s="2"/>
      <c r="N23" s="2"/>
      <c r="O23" s="2"/>
      <c r="P23" s="2"/>
      <c r="Q23" s="2"/>
      <c r="R23" s="2"/>
      <c r="S23" s="2"/>
      <c r="T23" s="2"/>
      <c r="U23" s="2"/>
      <c r="V23" s="2"/>
      <c r="W23" s="2"/>
      <c r="X23" s="2"/>
    </row>
    <row r="24" spans="1:24" ht="12.75" customHeight="1">
      <c r="A24" s="2"/>
      <c r="B24" s="58" t="s">
        <v>160</v>
      </c>
      <c r="C24" s="57">
        <v>2253.5333642261353</v>
      </c>
      <c r="D24" s="57">
        <v>-7818.0027803521789</v>
      </c>
      <c r="E24" s="2"/>
      <c r="F24" s="2"/>
      <c r="G24" s="2"/>
      <c r="H24" s="2"/>
      <c r="I24" s="2"/>
      <c r="J24" s="2"/>
      <c r="K24" s="2"/>
      <c r="L24" s="2"/>
      <c r="M24" s="2"/>
      <c r="N24" s="2"/>
      <c r="O24" s="2"/>
      <c r="P24" s="2"/>
      <c r="Q24" s="2"/>
      <c r="R24" s="2"/>
      <c r="S24" s="2"/>
      <c r="T24" s="2"/>
      <c r="U24" s="2"/>
      <c r="V24" s="2"/>
      <c r="W24" s="2"/>
      <c r="X24" s="2"/>
    </row>
    <row r="25" spans="1:24" ht="12.75" customHeight="1">
      <c r="A25" s="2"/>
      <c r="B25" s="59" t="s">
        <v>161</v>
      </c>
      <c r="C25" s="60">
        <f t="shared" ref="C25:D25" si="4">SUM(C19:C24)</f>
        <v>-12265.697405004634</v>
      </c>
      <c r="D25" s="60">
        <f t="shared" si="4"/>
        <v>-598487.60426320671</v>
      </c>
      <c r="E25" s="2"/>
      <c r="F25" s="2"/>
      <c r="G25" s="2"/>
      <c r="H25" s="2"/>
      <c r="I25" s="2"/>
      <c r="J25" s="2"/>
      <c r="K25" s="2"/>
      <c r="L25" s="2"/>
      <c r="M25" s="2"/>
      <c r="N25" s="2"/>
      <c r="O25" s="2"/>
      <c r="P25" s="2"/>
      <c r="Q25" s="2"/>
      <c r="R25" s="2"/>
      <c r="S25" s="2"/>
      <c r="T25" s="2"/>
      <c r="U25" s="2"/>
      <c r="V25" s="2"/>
      <c r="W25" s="2"/>
      <c r="X25" s="2"/>
    </row>
    <row r="26" spans="1:24" ht="12.75" customHeight="1">
      <c r="A26" s="2"/>
      <c r="B26" s="61"/>
      <c r="C26" s="57"/>
      <c r="D26" s="57"/>
      <c r="E26" s="2"/>
      <c r="F26" s="2"/>
      <c r="G26" s="2"/>
      <c r="H26" s="2"/>
      <c r="I26" s="2"/>
      <c r="J26" s="2"/>
      <c r="K26" s="2"/>
      <c r="L26" s="2"/>
      <c r="M26" s="2"/>
      <c r="N26" s="2"/>
      <c r="O26" s="2"/>
      <c r="P26" s="2"/>
      <c r="Q26" s="2"/>
      <c r="R26" s="2"/>
      <c r="S26" s="2"/>
      <c r="T26" s="2"/>
      <c r="U26" s="2"/>
      <c r="V26" s="2"/>
      <c r="W26" s="2"/>
      <c r="X26" s="2"/>
    </row>
    <row r="27" spans="1:24" ht="12.75" customHeight="1">
      <c r="A27" s="2"/>
      <c r="B27" s="59" t="s">
        <v>162</v>
      </c>
      <c r="C27" s="60">
        <f t="shared" ref="C27:D27" si="5">SUM(C25,C17,C12)</f>
        <v>58085.322057461133</v>
      </c>
      <c r="D27" s="60">
        <f t="shared" si="5"/>
        <v>-5069.2191844307818</v>
      </c>
      <c r="E27" s="2"/>
      <c r="F27" s="2"/>
      <c r="G27" s="2"/>
      <c r="H27" s="2"/>
      <c r="I27" s="2"/>
      <c r="J27" s="2"/>
      <c r="K27" s="2"/>
      <c r="L27" s="2"/>
      <c r="M27" s="2"/>
      <c r="N27" s="2"/>
      <c r="O27" s="2"/>
      <c r="P27" s="2"/>
      <c r="Q27" s="2"/>
      <c r="R27" s="2"/>
      <c r="S27" s="2"/>
      <c r="T27" s="2"/>
      <c r="U27" s="2"/>
      <c r="V27" s="2"/>
      <c r="W27" s="2"/>
      <c r="X27" s="2"/>
    </row>
    <row r="28" spans="1:24" ht="12.75" customHeight="1">
      <c r="A28" s="2"/>
      <c r="B28" s="58" t="s">
        <v>163</v>
      </c>
      <c r="C28" s="57">
        <v>127541.70528266914</v>
      </c>
      <c r="D28" s="57">
        <f>C29</f>
        <v>185627.02734013027</v>
      </c>
      <c r="E28" s="2"/>
      <c r="F28" s="2"/>
      <c r="G28" s="2"/>
      <c r="H28" s="2"/>
      <c r="I28" s="2"/>
      <c r="J28" s="2"/>
      <c r="K28" s="2"/>
      <c r="L28" s="2"/>
      <c r="M28" s="2"/>
      <c r="N28" s="2"/>
      <c r="O28" s="2"/>
      <c r="P28" s="2"/>
      <c r="Q28" s="2"/>
      <c r="R28" s="2"/>
      <c r="S28" s="2"/>
      <c r="T28" s="2"/>
      <c r="U28" s="2"/>
      <c r="V28" s="2"/>
      <c r="W28" s="2"/>
      <c r="X28" s="2"/>
    </row>
    <row r="29" spans="1:24" ht="12.75" customHeight="1">
      <c r="A29" s="2"/>
      <c r="B29" s="62" t="s">
        <v>164</v>
      </c>
      <c r="C29" s="63">
        <f t="shared" ref="C29:D29" si="6">C28+C27</f>
        <v>185627.02734013027</v>
      </c>
      <c r="D29" s="63">
        <f t="shared" si="6"/>
        <v>180557.80815569949</v>
      </c>
      <c r="E29" s="2"/>
      <c r="F29" s="2"/>
      <c r="G29" s="2"/>
      <c r="H29" s="2"/>
      <c r="I29" s="2"/>
      <c r="J29" s="2"/>
      <c r="K29" s="2"/>
      <c r="L29" s="2"/>
      <c r="M29" s="2"/>
      <c r="N29" s="2"/>
      <c r="O29" s="2"/>
      <c r="P29" s="2"/>
      <c r="Q29" s="2"/>
      <c r="R29" s="2"/>
      <c r="S29" s="2"/>
      <c r="T29" s="2"/>
      <c r="U29" s="2"/>
      <c r="V29" s="2"/>
      <c r="W29" s="2"/>
      <c r="X29" s="2"/>
    </row>
    <row r="30" spans="1:24" ht="12.75" customHeight="1">
      <c r="A30" s="2"/>
      <c r="B30" s="2"/>
      <c r="C30" s="2"/>
      <c r="D30" s="2"/>
      <c r="E30" s="2"/>
      <c r="F30" s="2"/>
      <c r="G30" s="2"/>
      <c r="H30" s="2"/>
      <c r="I30" s="2"/>
      <c r="J30" s="2"/>
      <c r="K30" s="2"/>
      <c r="L30" s="2"/>
      <c r="M30" s="2"/>
      <c r="N30" s="2"/>
      <c r="O30" s="2"/>
      <c r="P30" s="2"/>
      <c r="Q30" s="2"/>
      <c r="R30" s="2"/>
      <c r="S30" s="2"/>
      <c r="T30" s="2"/>
      <c r="U30" s="2"/>
      <c r="V30" s="2"/>
      <c r="W30" s="2"/>
      <c r="X30" s="2"/>
    </row>
    <row r="31" spans="1:24" ht="12.75" customHeight="1">
      <c r="A31" s="2"/>
      <c r="B31" s="2" t="s">
        <v>165</v>
      </c>
      <c r="C31" s="52">
        <v>5.8207660913467407E-10</v>
      </c>
      <c r="D31" s="52">
        <v>-2.3283064365386963E-10</v>
      </c>
      <c r="E31" s="2"/>
      <c r="F31" s="2"/>
      <c r="G31" s="2"/>
      <c r="H31" s="2"/>
      <c r="I31" s="2"/>
      <c r="J31" s="2"/>
      <c r="K31" s="2"/>
      <c r="L31" s="2"/>
      <c r="M31" s="2"/>
      <c r="N31" s="2"/>
      <c r="O31" s="2"/>
      <c r="P31" s="2"/>
      <c r="Q31" s="2"/>
      <c r="R31" s="2"/>
      <c r="S31" s="2"/>
      <c r="T31" s="2"/>
      <c r="U31" s="2"/>
      <c r="V31" s="2"/>
      <c r="W31" s="2"/>
      <c r="X31" s="2"/>
    </row>
    <row r="32" spans="1:24" ht="12.75" customHeight="1">
      <c r="A32" s="2"/>
      <c r="B32" s="2"/>
      <c r="C32" s="52">
        <f>C29-'Balance sheet'!C31</f>
        <v>5.2386894822120667E-10</v>
      </c>
      <c r="D32" s="52">
        <f>D29-'Balance sheet'!D31</f>
        <v>-2.3283064365386963E-10</v>
      </c>
      <c r="E32" s="2"/>
      <c r="F32" s="2"/>
      <c r="G32" s="2"/>
      <c r="H32" s="2"/>
      <c r="I32" s="2"/>
      <c r="J32" s="2"/>
      <c r="K32" s="2"/>
      <c r="L32" s="2"/>
      <c r="M32" s="2"/>
      <c r="N32" s="2"/>
      <c r="O32" s="2"/>
      <c r="P32" s="2"/>
      <c r="Q32" s="2"/>
      <c r="R32" s="2"/>
      <c r="S32" s="2"/>
      <c r="T32" s="2"/>
      <c r="U32" s="2"/>
      <c r="V32" s="2"/>
      <c r="W32" s="2"/>
      <c r="X32" s="2"/>
    </row>
    <row r="33" spans="1:24" ht="12.75" customHeight="1">
      <c r="A33" s="2"/>
      <c r="B33" s="2"/>
      <c r="C33" s="2"/>
      <c r="D33" s="2"/>
      <c r="E33" s="2"/>
      <c r="F33" s="2"/>
      <c r="G33" s="2"/>
      <c r="H33" s="2"/>
      <c r="I33" s="2"/>
      <c r="J33" s="2"/>
      <c r="K33" s="2"/>
      <c r="L33" s="2"/>
      <c r="M33" s="2"/>
      <c r="N33" s="2"/>
      <c r="O33" s="2"/>
      <c r="P33" s="2"/>
      <c r="Q33" s="2"/>
      <c r="R33" s="2"/>
      <c r="S33" s="2"/>
      <c r="T33" s="2"/>
      <c r="U33" s="2"/>
      <c r="V33" s="2"/>
      <c r="W33" s="2"/>
      <c r="X33" s="2"/>
    </row>
    <row r="34" spans="1:24" ht="12.75" customHeight="1">
      <c r="A34" s="2"/>
      <c r="B34" s="2"/>
      <c r="C34" s="2"/>
      <c r="D34" s="2"/>
      <c r="E34" s="2"/>
      <c r="F34" s="2"/>
      <c r="G34" s="2"/>
      <c r="H34" s="2"/>
      <c r="I34" s="2"/>
      <c r="J34" s="2"/>
      <c r="K34" s="2"/>
      <c r="L34" s="2"/>
      <c r="M34" s="2"/>
      <c r="N34" s="2"/>
      <c r="O34" s="2"/>
      <c r="P34" s="2"/>
      <c r="Q34" s="2"/>
      <c r="R34" s="2"/>
      <c r="S34" s="2"/>
      <c r="T34" s="2"/>
      <c r="U34" s="2"/>
      <c r="V34" s="2"/>
      <c r="W34" s="2"/>
      <c r="X34" s="2"/>
    </row>
    <row r="35" spans="1:24" ht="12.75" customHeight="1">
      <c r="A35" s="2"/>
      <c r="B35" s="2"/>
      <c r="C35" s="2"/>
      <c r="D35" s="2"/>
      <c r="E35" s="2"/>
      <c r="F35" s="2"/>
      <c r="G35" s="2"/>
      <c r="H35" s="2"/>
      <c r="I35" s="2"/>
      <c r="J35" s="2"/>
      <c r="K35" s="2"/>
      <c r="L35" s="2"/>
      <c r="M35" s="2"/>
      <c r="N35" s="2"/>
      <c r="O35" s="2"/>
      <c r="P35" s="2"/>
      <c r="Q35" s="2"/>
      <c r="R35" s="2"/>
      <c r="S35" s="2"/>
      <c r="T35" s="2"/>
      <c r="U35" s="2"/>
      <c r="V35" s="2"/>
      <c r="W35" s="2"/>
      <c r="X35" s="2"/>
    </row>
    <row r="36" spans="1:24" ht="12.75" customHeight="1">
      <c r="A36" s="2"/>
      <c r="B36" s="2"/>
      <c r="C36" s="2"/>
      <c r="D36" s="2"/>
      <c r="E36" s="2"/>
      <c r="F36" s="2"/>
      <c r="G36" s="2"/>
      <c r="H36" s="2"/>
      <c r="I36" s="2"/>
      <c r="J36" s="2"/>
      <c r="K36" s="2"/>
      <c r="L36" s="2"/>
      <c r="M36" s="2"/>
      <c r="N36" s="2"/>
      <c r="O36" s="2"/>
      <c r="P36" s="2"/>
      <c r="Q36" s="2"/>
      <c r="R36" s="2"/>
      <c r="S36" s="2"/>
      <c r="T36" s="2"/>
      <c r="U36" s="2"/>
      <c r="V36" s="2"/>
      <c r="W36" s="2"/>
      <c r="X36" s="2"/>
    </row>
    <row r="37" spans="1:24" ht="12.75" customHeight="1">
      <c r="A37" s="2"/>
      <c r="B37" s="2"/>
      <c r="C37" s="2"/>
      <c r="D37" s="2"/>
      <c r="E37" s="2"/>
      <c r="F37" s="2"/>
      <c r="G37" s="2"/>
      <c r="H37" s="2"/>
      <c r="I37" s="2"/>
      <c r="J37" s="2"/>
      <c r="K37" s="2"/>
      <c r="L37" s="2"/>
      <c r="M37" s="2"/>
      <c r="N37" s="2"/>
      <c r="O37" s="2"/>
      <c r="P37" s="2"/>
      <c r="Q37" s="2"/>
      <c r="R37" s="2"/>
      <c r="S37" s="2"/>
      <c r="T37" s="2"/>
      <c r="U37" s="2"/>
      <c r="V37" s="2"/>
      <c r="W37" s="2"/>
      <c r="X37" s="2"/>
    </row>
    <row r="38" spans="1:24" ht="12.75" customHeight="1">
      <c r="A38" s="2"/>
      <c r="B38" s="2"/>
      <c r="C38" s="2"/>
      <c r="D38" s="2"/>
      <c r="E38" s="2"/>
      <c r="F38" s="2"/>
      <c r="G38" s="2"/>
      <c r="H38" s="2"/>
      <c r="I38" s="2"/>
      <c r="J38" s="2"/>
      <c r="K38" s="2"/>
      <c r="L38" s="2"/>
      <c r="M38" s="2"/>
      <c r="N38" s="2"/>
      <c r="O38" s="2"/>
      <c r="P38" s="2"/>
      <c r="Q38" s="2"/>
      <c r="R38" s="2"/>
      <c r="S38" s="2"/>
      <c r="T38" s="2"/>
      <c r="U38" s="2"/>
      <c r="V38" s="2"/>
      <c r="W38" s="2"/>
      <c r="X38" s="2"/>
    </row>
    <row r="39" spans="1:24" ht="12.75" customHeight="1">
      <c r="A39" s="2"/>
      <c r="B39" s="2"/>
      <c r="C39" s="2"/>
      <c r="D39" s="2"/>
      <c r="E39" s="2"/>
      <c r="F39" s="2"/>
      <c r="G39" s="2"/>
      <c r="H39" s="2"/>
      <c r="I39" s="2"/>
      <c r="J39" s="2"/>
      <c r="K39" s="2"/>
      <c r="L39" s="2"/>
      <c r="M39" s="2"/>
      <c r="N39" s="2"/>
      <c r="O39" s="2"/>
      <c r="P39" s="2"/>
      <c r="Q39" s="2"/>
      <c r="R39" s="2"/>
      <c r="S39" s="2"/>
      <c r="T39" s="2"/>
      <c r="U39" s="2"/>
      <c r="V39" s="2"/>
      <c r="W39" s="2"/>
      <c r="X39" s="2"/>
    </row>
    <row r="40" spans="1:24" ht="12.75" customHeight="1">
      <c r="A40" s="2"/>
      <c r="B40" s="2"/>
      <c r="C40" s="2"/>
      <c r="D40" s="2"/>
      <c r="E40" s="2"/>
      <c r="F40" s="2"/>
      <c r="G40" s="2"/>
      <c r="H40" s="2"/>
      <c r="I40" s="2"/>
      <c r="J40" s="2"/>
      <c r="K40" s="2"/>
      <c r="L40" s="2"/>
      <c r="M40" s="2"/>
      <c r="N40" s="2"/>
      <c r="O40" s="2"/>
      <c r="P40" s="2"/>
      <c r="Q40" s="2"/>
      <c r="R40" s="2"/>
      <c r="S40" s="2"/>
      <c r="T40" s="2"/>
      <c r="U40" s="2"/>
      <c r="V40" s="2"/>
      <c r="W40" s="2"/>
      <c r="X40" s="2"/>
    </row>
    <row r="41" spans="1:24" ht="12.75" customHeight="1">
      <c r="A41" s="2"/>
      <c r="B41" s="2"/>
      <c r="C41" s="2"/>
      <c r="D41" s="2"/>
      <c r="E41" s="2"/>
      <c r="F41" s="2"/>
      <c r="G41" s="2"/>
      <c r="H41" s="2"/>
      <c r="I41" s="2"/>
      <c r="J41" s="2"/>
      <c r="K41" s="2"/>
      <c r="L41" s="2"/>
      <c r="M41" s="2"/>
      <c r="N41" s="2"/>
      <c r="O41" s="2"/>
      <c r="P41" s="2"/>
      <c r="Q41" s="2"/>
      <c r="R41" s="2"/>
      <c r="S41" s="2"/>
      <c r="T41" s="2"/>
      <c r="U41" s="2"/>
      <c r="V41" s="2"/>
      <c r="W41" s="2"/>
      <c r="X41" s="2"/>
    </row>
    <row r="42" spans="1:24" ht="12.75" customHeight="1">
      <c r="A42" s="2"/>
      <c r="B42" s="2"/>
      <c r="C42" s="2"/>
      <c r="D42" s="2"/>
      <c r="E42" s="2"/>
      <c r="F42" s="2"/>
      <c r="G42" s="2"/>
      <c r="H42" s="2"/>
      <c r="I42" s="2"/>
      <c r="J42" s="2"/>
      <c r="K42" s="2"/>
      <c r="L42" s="2"/>
      <c r="M42" s="2"/>
      <c r="N42" s="2"/>
      <c r="O42" s="2"/>
      <c r="P42" s="2"/>
      <c r="Q42" s="2"/>
      <c r="R42" s="2"/>
      <c r="S42" s="2"/>
      <c r="T42" s="2"/>
      <c r="U42" s="2"/>
      <c r="V42" s="2"/>
      <c r="W42" s="2"/>
      <c r="X42" s="2"/>
    </row>
    <row r="43" spans="1:24" ht="12.75" customHeight="1">
      <c r="A43" s="2"/>
      <c r="B43" s="2"/>
      <c r="C43" s="2"/>
      <c r="D43" s="2"/>
      <c r="E43" s="2"/>
      <c r="F43" s="2"/>
      <c r="G43" s="2"/>
      <c r="H43" s="2"/>
      <c r="I43" s="2"/>
      <c r="J43" s="2"/>
      <c r="K43" s="2"/>
      <c r="L43" s="2"/>
      <c r="M43" s="2"/>
      <c r="N43" s="2"/>
      <c r="O43" s="2"/>
      <c r="P43" s="2"/>
      <c r="Q43" s="2"/>
      <c r="R43" s="2"/>
      <c r="S43" s="2"/>
      <c r="T43" s="2"/>
      <c r="U43" s="2"/>
      <c r="V43" s="2"/>
      <c r="W43" s="2"/>
      <c r="X43" s="2"/>
    </row>
    <row r="44" spans="1:24" ht="12.75" customHeight="1">
      <c r="A44" s="2"/>
      <c r="B44" s="2"/>
      <c r="C44" s="2"/>
      <c r="D44" s="2"/>
      <c r="E44" s="2"/>
      <c r="F44" s="2"/>
      <c r="G44" s="2"/>
      <c r="H44" s="2"/>
      <c r="I44" s="2"/>
      <c r="J44" s="2"/>
      <c r="K44" s="2"/>
      <c r="L44" s="2"/>
      <c r="M44" s="2"/>
      <c r="N44" s="2"/>
      <c r="O44" s="2"/>
      <c r="P44" s="2"/>
      <c r="Q44" s="2"/>
      <c r="R44" s="2"/>
      <c r="S44" s="2"/>
      <c r="T44" s="2"/>
      <c r="U44" s="2"/>
      <c r="V44" s="2"/>
      <c r="W44" s="2"/>
      <c r="X44" s="2"/>
    </row>
    <row r="45" spans="1:24" ht="12.75" customHeight="1">
      <c r="A45" s="2"/>
      <c r="B45" s="2"/>
      <c r="C45" s="2"/>
      <c r="D45" s="2"/>
      <c r="E45" s="2"/>
      <c r="F45" s="2"/>
      <c r="G45" s="2"/>
      <c r="H45" s="2"/>
      <c r="I45" s="2"/>
      <c r="J45" s="2"/>
      <c r="K45" s="2"/>
      <c r="L45" s="2"/>
      <c r="M45" s="2"/>
      <c r="N45" s="2"/>
      <c r="O45" s="2"/>
      <c r="P45" s="2"/>
      <c r="Q45" s="2"/>
      <c r="R45" s="2"/>
      <c r="S45" s="2"/>
      <c r="T45" s="2"/>
      <c r="U45" s="2"/>
      <c r="V45" s="2"/>
      <c r="W45" s="2"/>
      <c r="X45" s="2"/>
    </row>
    <row r="46" spans="1:24" ht="12.75" customHeight="1">
      <c r="A46" s="2"/>
      <c r="B46" s="2"/>
      <c r="C46" s="2"/>
      <c r="D46" s="2"/>
      <c r="E46" s="2"/>
      <c r="F46" s="2"/>
      <c r="G46" s="2"/>
      <c r="H46" s="2"/>
      <c r="I46" s="2"/>
      <c r="J46" s="2"/>
      <c r="K46" s="2"/>
      <c r="L46" s="2"/>
      <c r="M46" s="2"/>
      <c r="N46" s="2"/>
      <c r="O46" s="2"/>
      <c r="P46" s="2"/>
      <c r="Q46" s="2"/>
      <c r="R46" s="2"/>
      <c r="S46" s="2"/>
      <c r="T46" s="2"/>
      <c r="U46" s="2"/>
      <c r="V46" s="2"/>
      <c r="W46" s="2"/>
      <c r="X46" s="2"/>
    </row>
    <row r="47" spans="1:24" ht="12.75" customHeight="1">
      <c r="A47" s="2"/>
      <c r="B47" s="2"/>
      <c r="C47" s="2"/>
      <c r="D47" s="2"/>
      <c r="E47" s="2"/>
      <c r="F47" s="2"/>
      <c r="G47" s="2"/>
      <c r="H47" s="2"/>
      <c r="I47" s="2"/>
      <c r="J47" s="2"/>
      <c r="K47" s="2"/>
      <c r="L47" s="2"/>
      <c r="M47" s="2"/>
      <c r="N47" s="2"/>
      <c r="O47" s="2"/>
      <c r="P47" s="2"/>
      <c r="Q47" s="2"/>
      <c r="R47" s="2"/>
      <c r="S47" s="2"/>
      <c r="T47" s="2"/>
      <c r="U47" s="2"/>
      <c r="V47" s="2"/>
      <c r="W47" s="2"/>
      <c r="X47" s="2"/>
    </row>
    <row r="48" spans="1:24" ht="12.75" customHeight="1">
      <c r="A48" s="2"/>
      <c r="B48" s="2"/>
      <c r="C48" s="2"/>
      <c r="D48" s="2"/>
      <c r="E48" s="2"/>
      <c r="F48" s="2"/>
      <c r="G48" s="2"/>
      <c r="H48" s="2"/>
      <c r="I48" s="2"/>
      <c r="J48" s="2"/>
      <c r="K48" s="2"/>
      <c r="L48" s="2"/>
      <c r="M48" s="2"/>
      <c r="N48" s="2"/>
      <c r="O48" s="2"/>
      <c r="P48" s="2"/>
      <c r="Q48" s="2"/>
      <c r="R48" s="2"/>
      <c r="S48" s="2"/>
      <c r="T48" s="2"/>
      <c r="U48" s="2"/>
      <c r="V48" s="2"/>
      <c r="W48" s="2"/>
      <c r="X48" s="2"/>
    </row>
    <row r="49" spans="1:24" ht="12.75" customHeight="1">
      <c r="A49" s="2"/>
      <c r="B49" s="2"/>
      <c r="C49" s="2"/>
      <c r="D49" s="2"/>
      <c r="E49" s="2"/>
      <c r="F49" s="2"/>
      <c r="G49" s="2"/>
      <c r="H49" s="2"/>
      <c r="I49" s="2"/>
      <c r="J49" s="2"/>
      <c r="K49" s="2"/>
      <c r="L49" s="2"/>
      <c r="M49" s="2"/>
      <c r="N49" s="2"/>
      <c r="O49" s="2"/>
      <c r="P49" s="2"/>
      <c r="Q49" s="2"/>
      <c r="R49" s="2"/>
      <c r="S49" s="2"/>
      <c r="T49" s="2"/>
      <c r="U49" s="2"/>
      <c r="V49" s="2"/>
      <c r="W49" s="2"/>
      <c r="X49" s="2"/>
    </row>
    <row r="50" spans="1:24" ht="12.75" customHeight="1">
      <c r="A50" s="2"/>
      <c r="B50" s="2"/>
      <c r="C50" s="2"/>
      <c r="D50" s="2"/>
      <c r="E50" s="2"/>
      <c r="F50" s="2"/>
      <c r="G50" s="2"/>
      <c r="H50" s="2"/>
      <c r="I50" s="2"/>
      <c r="J50" s="2"/>
      <c r="K50" s="2"/>
      <c r="L50" s="2"/>
      <c r="M50" s="2"/>
      <c r="N50" s="2"/>
      <c r="O50" s="2"/>
      <c r="P50" s="2"/>
      <c r="Q50" s="2"/>
      <c r="R50" s="2"/>
      <c r="S50" s="2"/>
      <c r="T50" s="2"/>
      <c r="U50" s="2"/>
      <c r="V50" s="2"/>
      <c r="W50" s="2"/>
      <c r="X50" s="2"/>
    </row>
    <row r="51" spans="1:24" ht="12.75" customHeight="1">
      <c r="A51" s="2"/>
      <c r="B51" s="2"/>
      <c r="C51" s="2"/>
      <c r="D51" s="2"/>
      <c r="E51" s="2"/>
      <c r="F51" s="2"/>
      <c r="G51" s="2"/>
      <c r="H51" s="2"/>
      <c r="I51" s="2"/>
      <c r="J51" s="2"/>
      <c r="K51" s="2"/>
      <c r="L51" s="2"/>
      <c r="M51" s="2"/>
      <c r="N51" s="2"/>
      <c r="O51" s="2"/>
      <c r="P51" s="2"/>
      <c r="Q51" s="2"/>
      <c r="R51" s="2"/>
      <c r="S51" s="2"/>
      <c r="T51" s="2"/>
      <c r="U51" s="2"/>
      <c r="V51" s="2"/>
      <c r="W51" s="2"/>
      <c r="X51" s="2"/>
    </row>
    <row r="52" spans="1:24" ht="12.75" customHeight="1">
      <c r="A52" s="2"/>
      <c r="B52" s="2"/>
      <c r="C52" s="2"/>
      <c r="D52" s="2"/>
      <c r="E52" s="2"/>
      <c r="F52" s="2"/>
      <c r="G52" s="2"/>
      <c r="H52" s="2"/>
      <c r="I52" s="2"/>
      <c r="J52" s="2"/>
      <c r="K52" s="2"/>
      <c r="L52" s="2"/>
      <c r="M52" s="2"/>
      <c r="N52" s="2"/>
      <c r="O52" s="2"/>
      <c r="P52" s="2"/>
      <c r="Q52" s="2"/>
      <c r="R52" s="2"/>
      <c r="S52" s="2"/>
      <c r="T52" s="2"/>
      <c r="U52" s="2"/>
      <c r="V52" s="2"/>
      <c r="W52" s="2"/>
      <c r="X52" s="2"/>
    </row>
    <row r="53" spans="1:24" ht="12.75" customHeight="1">
      <c r="A53" s="2"/>
      <c r="B53" s="2"/>
      <c r="C53" s="2"/>
      <c r="D53" s="2"/>
      <c r="E53" s="2"/>
      <c r="F53" s="2"/>
      <c r="G53" s="2"/>
      <c r="H53" s="2"/>
      <c r="I53" s="2"/>
      <c r="J53" s="2"/>
      <c r="K53" s="2"/>
      <c r="L53" s="2"/>
      <c r="M53" s="2"/>
      <c r="N53" s="2"/>
      <c r="O53" s="2"/>
      <c r="P53" s="2"/>
      <c r="Q53" s="2"/>
      <c r="R53" s="2"/>
      <c r="S53" s="2"/>
      <c r="T53" s="2"/>
      <c r="U53" s="2"/>
      <c r="V53" s="2"/>
      <c r="W53" s="2"/>
      <c r="X53" s="2"/>
    </row>
    <row r="54" spans="1:24" ht="12.75" customHeight="1">
      <c r="A54" s="2"/>
      <c r="B54" s="2"/>
      <c r="C54" s="2"/>
      <c r="D54" s="2"/>
      <c r="E54" s="2"/>
      <c r="F54" s="2"/>
      <c r="G54" s="2"/>
      <c r="H54" s="2"/>
      <c r="I54" s="2"/>
      <c r="J54" s="2"/>
      <c r="K54" s="2"/>
      <c r="L54" s="2"/>
      <c r="M54" s="2"/>
      <c r="N54" s="2"/>
      <c r="O54" s="2"/>
      <c r="P54" s="2"/>
      <c r="Q54" s="2"/>
      <c r="R54" s="2"/>
      <c r="S54" s="2"/>
      <c r="T54" s="2"/>
      <c r="U54" s="2"/>
      <c r="V54" s="2"/>
      <c r="W54" s="2"/>
      <c r="X54" s="2"/>
    </row>
    <row r="55" spans="1:24" ht="12.75" customHeight="1">
      <c r="A55" s="2"/>
      <c r="B55" s="2"/>
      <c r="C55" s="2"/>
      <c r="D55" s="2"/>
      <c r="E55" s="2"/>
      <c r="F55" s="2"/>
      <c r="G55" s="2"/>
      <c r="H55" s="2"/>
      <c r="I55" s="2"/>
      <c r="J55" s="2"/>
      <c r="K55" s="2"/>
      <c r="L55" s="2"/>
      <c r="M55" s="2"/>
      <c r="N55" s="2"/>
      <c r="O55" s="2"/>
      <c r="P55" s="2"/>
      <c r="Q55" s="2"/>
      <c r="R55" s="2"/>
      <c r="S55" s="2"/>
      <c r="T55" s="2"/>
      <c r="U55" s="2"/>
      <c r="V55" s="2"/>
      <c r="W55" s="2"/>
      <c r="X55" s="2"/>
    </row>
    <row r="56" spans="1:24" ht="12.75" customHeight="1">
      <c r="A56" s="2"/>
      <c r="B56" s="2"/>
      <c r="C56" s="2"/>
      <c r="D56" s="2"/>
      <c r="E56" s="2"/>
      <c r="F56" s="2"/>
      <c r="G56" s="2"/>
      <c r="H56" s="2"/>
      <c r="I56" s="2"/>
      <c r="J56" s="2"/>
      <c r="K56" s="2"/>
      <c r="L56" s="2"/>
      <c r="M56" s="2"/>
      <c r="N56" s="2"/>
      <c r="O56" s="2"/>
      <c r="P56" s="2"/>
      <c r="Q56" s="2"/>
      <c r="R56" s="2"/>
      <c r="S56" s="2"/>
      <c r="T56" s="2"/>
      <c r="U56" s="2"/>
      <c r="V56" s="2"/>
      <c r="W56" s="2"/>
      <c r="X56" s="2"/>
    </row>
    <row r="57" spans="1:24" ht="12.75" customHeight="1">
      <c r="A57" s="2"/>
      <c r="B57" s="2"/>
      <c r="C57" s="2"/>
      <c r="D57" s="2"/>
      <c r="E57" s="2"/>
      <c r="F57" s="2"/>
      <c r="G57" s="2"/>
      <c r="H57" s="2"/>
      <c r="I57" s="2"/>
      <c r="J57" s="2"/>
      <c r="K57" s="2"/>
      <c r="L57" s="2"/>
      <c r="M57" s="2"/>
      <c r="N57" s="2"/>
      <c r="O57" s="2"/>
      <c r="P57" s="2"/>
      <c r="Q57" s="2"/>
      <c r="R57" s="2"/>
      <c r="S57" s="2"/>
      <c r="T57" s="2"/>
      <c r="U57" s="2"/>
      <c r="V57" s="2"/>
      <c r="W57" s="2"/>
      <c r="X57" s="2"/>
    </row>
    <row r="58" spans="1:24" ht="12.75" customHeight="1">
      <c r="A58" s="2"/>
      <c r="B58" s="2"/>
      <c r="C58" s="2"/>
      <c r="D58" s="2"/>
      <c r="E58" s="2"/>
      <c r="F58" s="2"/>
      <c r="G58" s="2"/>
      <c r="H58" s="2"/>
      <c r="I58" s="2"/>
      <c r="J58" s="2"/>
      <c r="K58" s="2"/>
      <c r="L58" s="2"/>
      <c r="M58" s="2"/>
      <c r="N58" s="2"/>
      <c r="O58" s="2"/>
      <c r="P58" s="2"/>
      <c r="Q58" s="2"/>
      <c r="R58" s="2"/>
      <c r="S58" s="2"/>
      <c r="T58" s="2"/>
      <c r="U58" s="2"/>
      <c r="V58" s="2"/>
      <c r="W58" s="2"/>
      <c r="X58" s="2"/>
    </row>
    <row r="59" spans="1:24" ht="12.75" customHeight="1">
      <c r="A59" s="2"/>
      <c r="B59" s="2"/>
      <c r="C59" s="2"/>
      <c r="D59" s="2"/>
      <c r="E59" s="2"/>
      <c r="F59" s="2"/>
      <c r="G59" s="2"/>
      <c r="H59" s="2"/>
      <c r="I59" s="2"/>
      <c r="J59" s="2"/>
      <c r="K59" s="2"/>
      <c r="L59" s="2"/>
      <c r="M59" s="2"/>
      <c r="N59" s="2"/>
      <c r="O59" s="2"/>
      <c r="P59" s="2"/>
      <c r="Q59" s="2"/>
      <c r="R59" s="2"/>
      <c r="S59" s="2"/>
      <c r="T59" s="2"/>
      <c r="U59" s="2"/>
      <c r="V59" s="2"/>
      <c r="W59" s="2"/>
      <c r="X59" s="2"/>
    </row>
    <row r="60" spans="1:24" ht="12.75" customHeight="1">
      <c r="A60" s="2"/>
      <c r="B60" s="2"/>
      <c r="C60" s="2"/>
      <c r="D60" s="2"/>
      <c r="E60" s="2"/>
      <c r="F60" s="2"/>
      <c r="G60" s="2"/>
      <c r="H60" s="2"/>
      <c r="I60" s="2"/>
      <c r="J60" s="2"/>
      <c r="K60" s="2"/>
      <c r="L60" s="2"/>
      <c r="M60" s="2"/>
      <c r="N60" s="2"/>
      <c r="O60" s="2"/>
      <c r="P60" s="2"/>
      <c r="Q60" s="2"/>
      <c r="R60" s="2"/>
      <c r="S60" s="2"/>
      <c r="T60" s="2"/>
      <c r="U60" s="2"/>
      <c r="V60" s="2"/>
      <c r="W60" s="2"/>
      <c r="X60" s="2"/>
    </row>
    <row r="61" spans="1:24" ht="12.75" customHeight="1">
      <c r="A61" s="2"/>
      <c r="B61" s="2"/>
      <c r="C61" s="2"/>
      <c r="D61" s="2"/>
      <c r="E61" s="2"/>
      <c r="F61" s="2"/>
      <c r="G61" s="2"/>
      <c r="H61" s="2"/>
      <c r="I61" s="2"/>
      <c r="J61" s="2"/>
      <c r="K61" s="2"/>
      <c r="L61" s="2"/>
      <c r="M61" s="2"/>
      <c r="N61" s="2"/>
      <c r="O61" s="2"/>
      <c r="P61" s="2"/>
      <c r="Q61" s="2"/>
      <c r="R61" s="2"/>
      <c r="S61" s="2"/>
      <c r="T61" s="2"/>
      <c r="U61" s="2"/>
      <c r="V61" s="2"/>
      <c r="W61" s="2"/>
      <c r="X61" s="2"/>
    </row>
    <row r="62" spans="1:24" ht="12.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2.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2.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2.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2.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2.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2.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2.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2.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2.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2.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2.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2.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2.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2.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2.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2.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2.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2.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2.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2.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2.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2.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2.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2.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2.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2.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2.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2.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2.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2.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2.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2.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2.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2.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2.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2.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2.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D2"/>
  </mergeCells>
  <conditionalFormatting sqref="C32:D32">
    <cfRule type="cellIs" dxfId="0" priority="1" stopIfTrue="1" operator="notBetween">
      <formula>-1</formula>
      <formul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vt:lpstr>
      <vt:lpstr>Damodarn Industry Averages</vt:lpstr>
      <vt:lpstr>Damodrn Variables &amp; FAQ</vt:lpstr>
      <vt:lpstr>Task</vt:lpstr>
      <vt:lpstr>Invesment</vt:lpstr>
      <vt:lpstr>Income Statement</vt:lpstr>
      <vt:lpstr>Balance sheet</vt:lpstr>
      <vt:lpstr>Cash 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Patrycja Danilczuk</dc:creator>
  <cp:lastModifiedBy>Patrycja Danilczuk</cp:lastModifiedBy>
  <cp:lastPrinted>2024-05-20T15:36:47Z</cp:lastPrinted>
  <dcterms:created xsi:type="dcterms:W3CDTF">2024-05-14T21:13:25Z</dcterms:created>
  <dcterms:modified xsi:type="dcterms:W3CDTF">2024-05-24T09:24:14Z</dcterms:modified>
</cp:coreProperties>
</file>