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en_skoroszyt" defaultThemeVersion="202300"/>
  <mc:AlternateContent xmlns:mc="http://schemas.openxmlformats.org/markup-compatibility/2006">
    <mc:Choice Requires="x15">
      <x15ac:absPath xmlns:x15ac="http://schemas.microsoft.com/office/spreadsheetml/2010/11/ac" url="C:\Users\patry\Downloads\"/>
    </mc:Choice>
  </mc:AlternateContent>
  <xr:revisionPtr revIDLastSave="0" documentId="13_ncr:1_{ACE47D0A-13B9-4222-888D-D574422B720D}" xr6:coauthVersionLast="47" xr6:coauthVersionMax="47" xr10:uidLastSave="{00000000-0000-0000-0000-000000000000}"/>
  <bookViews>
    <workbookView xWindow="-110" yWindow="-110" windowWidth="19420" windowHeight="11020" activeTab="1" xr2:uid="{B161F0CF-7841-4734-9FDC-B7616A53A977}"/>
  </bookViews>
  <sheets>
    <sheet name="HELPME" sheetId="6" r:id="rId1"/>
    <sheet name="Stan faktyczny" sheetId="2" r:id="rId2"/>
    <sheet name="Result" sheetId="5" r:id="rId3"/>
    <sheet name="MidCalc" sheetId="3" r:id="rId4"/>
    <sheet name="Wymagania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4" i="3" l="1" a="1"/>
  <c r="C14" i="3" s="1"/>
  <c r="F7" i="5" s="1"/>
  <c r="B14" i="3" a="1"/>
  <c r="B14" i="3" s="1"/>
  <c r="E7" i="5" s="1"/>
  <c r="B2" i="3"/>
  <c r="B3" i="3" a="1"/>
  <c r="B3" i="3" s="1"/>
  <c r="B12" i="3" a="1"/>
  <c r="B12" i="3" s="1"/>
  <c r="B11" i="3" a="1"/>
  <c r="B11" i="3" s="1"/>
  <c r="B16" i="3"/>
  <c r="E10" i="5" s="1"/>
  <c r="B17" i="3"/>
  <c r="E11" i="5" s="1"/>
  <c r="B18" i="3"/>
  <c r="E12" i="5" s="1"/>
  <c r="B19" i="3"/>
  <c r="E13" i="5" s="1"/>
  <c r="B15" i="3"/>
  <c r="E9" i="5" s="1"/>
  <c r="B7" i="3" a="1"/>
  <c r="B7" i="3" s="1"/>
  <c r="B8" i="3" a="1"/>
  <c r="B8" i="3" s="1"/>
  <c r="B9" i="3" a="1"/>
  <c r="B9" i="3" s="1"/>
  <c r="E8" i="5" s="1"/>
  <c r="B6" i="3" a="1"/>
  <c r="B6" i="3" s="1"/>
  <c r="E3" i="5" s="1"/>
  <c r="B5" i="3" a="1"/>
  <c r="B5" i="3" s="1"/>
  <c r="B4" i="3" a="1"/>
  <c r="B4" i="3" s="1"/>
  <c r="C1" i="3"/>
  <c r="D1" i="3" s="1"/>
  <c r="D14" i="3" s="1" a="1"/>
  <c r="D14" i="3" s="1"/>
  <c r="G7" i="5" s="1"/>
  <c r="A18" i="1" a="1"/>
  <c r="A18" i="1" s="1"/>
  <c r="B18" i="1" a="1"/>
  <c r="B18" i="1" s="1"/>
  <c r="A30" i="1" a="1"/>
  <c r="A30" i="1" s="1"/>
  <c r="A26" i="1" a="1"/>
  <c r="A26" i="1" s="1"/>
  <c r="A22" i="1" a="1"/>
  <c r="A22" i="1" s="1"/>
  <c r="B10" i="3" l="1"/>
  <c r="E5" i="5" s="1"/>
  <c r="C3" i="3" a="1"/>
  <c r="C3" i="3" s="1"/>
  <c r="C4" i="3" a="1"/>
  <c r="C4" i="3" s="1"/>
  <c r="C6" i="3" a="1"/>
  <c r="C6" i="3" s="1"/>
  <c r="F3" i="5" s="1"/>
  <c r="C11" i="3" a="1"/>
  <c r="C11" i="3" s="1"/>
  <c r="C12" i="3" a="1"/>
  <c r="C12" i="3" s="1"/>
  <c r="D16" i="3" a="1"/>
  <c r="D16" i="3" s="1"/>
  <c r="G10" i="5" s="1"/>
  <c r="D18" i="3" a="1"/>
  <c r="D18" i="3" s="1"/>
  <c r="G12" i="5" s="1"/>
  <c r="D19" i="3" a="1"/>
  <c r="D19" i="3" s="1"/>
  <c r="G13" i="5" s="1"/>
  <c r="D12" i="3" a="1"/>
  <c r="D12" i="3" s="1"/>
  <c r="D2" i="3" a="1"/>
  <c r="D2" i="3" s="1"/>
  <c r="D17" i="3" a="1"/>
  <c r="D17" i="3" s="1"/>
  <c r="G11" i="5" s="1"/>
  <c r="D6" i="3" a="1"/>
  <c r="D6" i="3" s="1"/>
  <c r="G3" i="5" s="1"/>
  <c r="D3" i="3" a="1"/>
  <c r="D3" i="3" s="1"/>
  <c r="D8" i="3" a="1"/>
  <c r="D8" i="3" s="1"/>
  <c r="D15" i="3" a="1"/>
  <c r="D15" i="3" s="1"/>
  <c r="G9" i="5" s="1"/>
  <c r="D4" i="3" a="1"/>
  <c r="D4" i="3" s="1"/>
  <c r="D5" i="3" a="1"/>
  <c r="D5" i="3" s="1"/>
  <c r="D7" i="3" a="1"/>
  <c r="D7" i="3" s="1"/>
  <c r="D9" i="3" a="1"/>
  <c r="D9" i="3" s="1"/>
  <c r="G8" i="5" s="1"/>
  <c r="D11" i="3" a="1"/>
  <c r="D11" i="3" s="1"/>
  <c r="C15" i="3" a="1"/>
  <c r="C15" i="3" s="1"/>
  <c r="F9" i="5" s="1"/>
  <c r="C18" i="3" a="1"/>
  <c r="C18" i="3" s="1"/>
  <c r="F12" i="5" s="1"/>
  <c r="C16" i="3" a="1"/>
  <c r="C16" i="3" s="1"/>
  <c r="F10" i="5" s="1"/>
  <c r="C2" i="3" a="1"/>
  <c r="C2" i="3" s="1"/>
  <c r="C9" i="3" a="1"/>
  <c r="C9" i="3" s="1"/>
  <c r="F8" i="5" s="1"/>
  <c r="C8" i="3" a="1"/>
  <c r="C8" i="3" s="1"/>
  <c r="C19" i="3" a="1"/>
  <c r="C19" i="3" s="1"/>
  <c r="F13" i="5" s="1"/>
  <c r="C17" i="3" a="1"/>
  <c r="C17" i="3" s="1"/>
  <c r="F11" i="5" s="1"/>
  <c r="C5" i="3" a="1"/>
  <c r="C5" i="3" s="1"/>
  <c r="C7" i="3" a="1"/>
  <c r="C7" i="3" s="1"/>
  <c r="E2" i="5"/>
  <c r="B13" i="3"/>
  <c r="E6" i="5" s="1"/>
  <c r="C10" i="3" l="1"/>
  <c r="F5" i="5" s="1"/>
  <c r="D10" i="3"/>
  <c r="G5" i="5" s="1"/>
  <c r="D13" i="3"/>
  <c r="G6" i="5" s="1"/>
  <c r="C13" i="3"/>
  <c r="F6" i="5" s="1"/>
  <c r="G2" i="5"/>
  <c r="F2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<sst xmlns="http://schemas.openxmlformats.org/spreadsheetml/2006/main" count="167" uniqueCount="122">
  <si>
    <t>MIN_ECTS</t>
  </si>
  <si>
    <t>LIC</t>
  </si>
  <si>
    <t>INŻ.</t>
  </si>
  <si>
    <t>TAGI</t>
  </si>
  <si>
    <t>I</t>
  </si>
  <si>
    <t>K</t>
  </si>
  <si>
    <t>P</t>
  </si>
  <si>
    <t>O+I+K+P</t>
  </si>
  <si>
    <t>ZNACZNIKI</t>
  </si>
  <si>
    <t>Iinż</t>
  </si>
  <si>
    <t>I+Iinż</t>
  </si>
  <si>
    <t>Kinż</t>
  </si>
  <si>
    <t>ind/zesp</t>
  </si>
  <si>
    <t>zesp</t>
  </si>
  <si>
    <t>I1</t>
  </si>
  <si>
    <t>K1</t>
  </si>
  <si>
    <t>RPiS</t>
  </si>
  <si>
    <t>IO</t>
  </si>
  <si>
    <t>PiPO</t>
  </si>
  <si>
    <t>ASK</t>
  </si>
  <si>
    <t>SO</t>
  </si>
  <si>
    <t>SK</t>
  </si>
  <si>
    <t>BD</t>
  </si>
  <si>
    <t>zaliczyć</t>
  </si>
  <si>
    <t xml:space="preserve">TAGI </t>
  </si>
  <si>
    <t xml:space="preserve">PS </t>
  </si>
  <si>
    <t>Zaliczyć</t>
  </si>
  <si>
    <t>Praktyka</t>
  </si>
  <si>
    <t>HS</t>
  </si>
  <si>
    <t>OWI</t>
  </si>
  <si>
    <t>E</t>
  </si>
  <si>
    <t>J.Obcy</t>
  </si>
  <si>
    <t>B2</t>
  </si>
  <si>
    <t>Przedmiot</t>
  </si>
  <si>
    <t>ECTS</t>
  </si>
  <si>
    <t>Tagi</t>
  </si>
  <si>
    <t>MIA</t>
  </si>
  <si>
    <t xml:space="preserve">PWI </t>
  </si>
  <si>
    <t>WdpwC</t>
  </si>
  <si>
    <t>Efekty kształcenia</t>
  </si>
  <si>
    <t>Rodzaj</t>
  </si>
  <si>
    <t>Anal I</t>
  </si>
  <si>
    <t>AlgLin 1R</t>
  </si>
  <si>
    <t>Angielski</t>
  </si>
  <si>
    <t>AI</t>
  </si>
  <si>
    <t>PO</t>
  </si>
  <si>
    <t>Kurs c++</t>
  </si>
  <si>
    <t>PARO</t>
  </si>
  <si>
    <t xml:space="preserve">MP </t>
  </si>
  <si>
    <t>O</t>
  </si>
  <si>
    <t>Anal II</t>
  </si>
  <si>
    <t>Alg lin 2</t>
  </si>
  <si>
    <t>I2</t>
  </si>
  <si>
    <t>TOTAL ECTS</t>
  </si>
  <si>
    <t>Semestr</t>
  </si>
  <si>
    <t>DIPLOMA</t>
  </si>
  <si>
    <t>K2</t>
  </si>
  <si>
    <t>I1, Iinż EFF</t>
  </si>
  <si>
    <t>K1, Kinż EFF</t>
  </si>
  <si>
    <t>EFF</t>
  </si>
  <si>
    <t>PS</t>
  </si>
  <si>
    <t>przedmioty informatyczne (I)</t>
  </si>
  <si>
    <t>kursy narzędzi informatyki (K)</t>
  </si>
  <si>
    <t>projekt programistyczny (P)</t>
  </si>
  <si>
    <t>łącznie przedmioty O+I+K+P</t>
  </si>
  <si>
    <t>przedmioty I1, IInż, K1 i Kinż oznaczone znacznikami tematycznymi 1</t>
  </si>
  <si>
    <t>proseminarium (PS)</t>
  </si>
  <si>
    <t>praktyka zawodowa</t>
  </si>
  <si>
    <t>przedmioty humanistyczno-społeczne (HS)</t>
  </si>
  <si>
    <t>przedmioty oznaczone znacznikiem tematycznym OWI</t>
  </si>
  <si>
    <t>przedmioty oznaczone znacznikiem tematycznym E</t>
  </si>
  <si>
    <t>Język obcy</t>
  </si>
  <si>
    <t>licencjackich</t>
  </si>
  <si>
    <t>Wymóg na zakończenie studiów</t>
  </si>
  <si>
    <t>co najmniej 54 ECTS</t>
  </si>
  <si>
    <t>—</t>
  </si>
  <si>
    <t>indywidualny lub zespołowy</t>
  </si>
  <si>
    <t>co najmniej 140 ECTS</t>
  </si>
  <si>
    <t>co najmniej jedno</t>
  </si>
  <si>
    <t>co najmniej 3 ECTS (3 tygodnie/75h)</t>
  </si>
  <si>
    <t>co najmniej 4 ECTS (4 tygodnie/100h)</t>
  </si>
  <si>
    <t>co najmniej 5 ECTS</t>
  </si>
  <si>
    <t>co najmniej 1 ECTS</t>
  </si>
  <si>
    <t>co najmniej 2 ECTS</t>
  </si>
  <si>
    <t>angielski na poziomie B2</t>
  </si>
  <si>
    <t>inżynierskich</t>
  </si>
  <si>
    <t>co najmniej 66 ECTS, w tym 12 za przedmioty Iinż</t>
  </si>
  <si>
    <t>co najmniej 10 ECTS za kursy Kinż</t>
  </si>
  <si>
    <t>zespołowy</t>
  </si>
  <si>
    <t>co najmniej 170 ECTS</t>
  </si>
  <si>
    <t>Czy spełniony?</t>
  </si>
  <si>
    <t>Tryb studiów</t>
  </si>
  <si>
    <t>inż.</t>
  </si>
  <si>
    <t>Akt sem</t>
  </si>
  <si>
    <t>SEM</t>
  </si>
  <si>
    <t>Wszystko</t>
  </si>
  <si>
    <t>Do akt włącznie</t>
  </si>
  <si>
    <t>Do akt</t>
  </si>
  <si>
    <t>OIKP</t>
  </si>
  <si>
    <t>EFF CNT</t>
  </si>
  <si>
    <t>co najmniej 28 ECTS za przedmioty opatrzone znacznikami RPiS, IO, PiPO, ASK, SO, SK, BD</t>
  </si>
  <si>
    <t xml:space="preserve"> dla każdego z powyższych znaczników należy zaliczyć co najmniej jeden przedmiot nim opatrzony</t>
  </si>
  <si>
    <t>WF</t>
  </si>
  <si>
    <t>2 semestry</t>
  </si>
  <si>
    <t>Fill</t>
  </si>
  <si>
    <t>in</t>
  </si>
  <si>
    <t>the</t>
  </si>
  <si>
    <t>kindapurple</t>
  </si>
  <si>
    <t>stuff</t>
  </si>
  <si>
    <t>Goto</t>
  </si>
  <si>
    <t>Stan faktyczny</t>
  </si>
  <si>
    <t>Result</t>
  </si>
  <si>
    <t>Nice</t>
  </si>
  <si>
    <t>whatevenisit?!</t>
  </si>
  <si>
    <t>sum of all ects</t>
  </si>
  <si>
    <t>sum of all I=I1+I2+Iinż</t>
  </si>
  <si>
    <t>same but for K</t>
  </si>
  <si>
    <t>sum of all Iinż</t>
  </si>
  <si>
    <t>same for K</t>
  </si>
  <si>
    <t>…</t>
  </si>
  <si>
    <t>sum only those that give required effects</t>
  </si>
  <si>
    <t>cnt subjects with required effects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</si>
</sst>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ny" xfId="0" builtinId="0"/>
  </cellStyles>
  <dxfs count="2">
    <dxf>
      <fill>
        <patternFill>
          <bgColor rgb="FF92D05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E4B3C-A6F8-4DE7-B2E5-715C3687465D}">
  <dimension ref="A1:E4"/>
  <sheetViews>
    <sheetView workbookViewId="0">
      <selection activeCell="A4" sqref="A4"/>
    </sheetView>
  </sheetViews>
  <sheetFormatPr defaultRowHeight="14.5" x14ac:dyDescent="0.35"/>
  <cols>
    <col min="2" max="2" width="12.36328125" bestFit="1" customWidth="1"/>
    <col min="4" max="4" width="10.26953125" bestFit="1" customWidth="1"/>
  </cols>
  <sheetData>
    <row r="1" spans="1:5" x14ac:dyDescent="0.35">
      <c r="A1" t="s">
        <v>109</v>
      </c>
      <c r="B1" t="s">
        <v>110</v>
      </c>
    </row>
    <row r="2" spans="1:5" x14ac:dyDescent="0.35">
      <c r="A2" t="s">
        <v>104</v>
      </c>
      <c r="B2" t="s">
        <v>105</v>
      </c>
      <c r="C2" t="s">
        <v>106</v>
      </c>
      <c r="D2" s="1" t="s">
        <v>107</v>
      </c>
      <c r="E2" t="s">
        <v>108</v>
      </c>
    </row>
    <row r="3" spans="1:5" x14ac:dyDescent="0.35">
      <c r="A3" t="s">
        <v>109</v>
      </c>
      <c r="B3" t="s">
        <v>111</v>
      </c>
    </row>
    <row r="4" spans="1:5" x14ac:dyDescent="0.35">
      <c r="A4" t="s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CD909-3C4F-407D-B730-23042809626F}">
  <sheetPr codeName="Arkusz2"/>
  <dimension ref="A1:H15"/>
  <sheetViews>
    <sheetView tabSelected="1" workbookViewId="0">
      <selection activeCell="G5" sqref="G5"/>
    </sheetView>
  </sheetViews>
  <sheetFormatPr defaultRowHeight="14.5" x14ac:dyDescent="0.35"/>
  <cols>
    <col min="1" max="1" width="10.26953125" bestFit="1" customWidth="1"/>
    <col min="3" max="3" width="5" bestFit="1" customWidth="1"/>
    <col min="4" max="4" width="9.453125" customWidth="1"/>
    <col min="5" max="5" width="15.36328125" bestFit="1" customWidth="1"/>
    <col min="7" max="7" width="10.81640625" bestFit="1" customWidth="1"/>
  </cols>
  <sheetData>
    <row r="1" spans="1:8" x14ac:dyDescent="0.35">
      <c r="A1" s="1" t="s">
        <v>33</v>
      </c>
      <c r="B1" s="1" t="s">
        <v>54</v>
      </c>
      <c r="C1" s="1" t="s">
        <v>34</v>
      </c>
      <c r="D1" s="1" t="s">
        <v>35</v>
      </c>
      <c r="E1" s="1" t="s">
        <v>39</v>
      </c>
      <c r="G1" t="s">
        <v>91</v>
      </c>
      <c r="H1" t="s">
        <v>92</v>
      </c>
    </row>
    <row r="2" spans="1:8" x14ac:dyDescent="0.35">
      <c r="A2" t="s">
        <v>36</v>
      </c>
      <c r="B2">
        <v>1</v>
      </c>
      <c r="C2">
        <v>4</v>
      </c>
      <c r="G2" s="1" t="s">
        <v>93</v>
      </c>
      <c r="H2">
        <v>1</v>
      </c>
    </row>
    <row r="3" spans="1:8" x14ac:dyDescent="0.35">
      <c r="A3" t="s">
        <v>37</v>
      </c>
      <c r="B3">
        <v>1</v>
      </c>
      <c r="C3">
        <v>3</v>
      </c>
      <c r="D3" t="s">
        <v>15</v>
      </c>
    </row>
    <row r="4" spans="1:8" x14ac:dyDescent="0.35">
      <c r="A4" t="s">
        <v>38</v>
      </c>
      <c r="B4">
        <v>1</v>
      </c>
      <c r="C4">
        <v>5</v>
      </c>
      <c r="D4" t="s">
        <v>15</v>
      </c>
    </row>
    <row r="5" spans="1:8" x14ac:dyDescent="0.35">
      <c r="A5" t="s">
        <v>41</v>
      </c>
      <c r="B5">
        <v>1</v>
      </c>
      <c r="C5">
        <v>5</v>
      </c>
      <c r="D5" t="s">
        <v>49</v>
      </c>
    </row>
    <row r="6" spans="1:8" x14ac:dyDescent="0.35">
      <c r="A6" t="s">
        <v>42</v>
      </c>
      <c r="B6">
        <v>1</v>
      </c>
      <c r="C6">
        <v>4</v>
      </c>
      <c r="D6" t="s">
        <v>49</v>
      </c>
    </row>
    <row r="7" spans="1:8" x14ac:dyDescent="0.35">
      <c r="A7" t="s">
        <v>43</v>
      </c>
      <c r="B7">
        <v>1</v>
      </c>
      <c r="C7">
        <v>12</v>
      </c>
      <c r="D7" t="s">
        <v>31</v>
      </c>
    </row>
    <row r="9" spans="1:8" x14ac:dyDescent="0.35">
      <c r="A9" t="s">
        <v>44</v>
      </c>
      <c r="B9">
        <v>2</v>
      </c>
      <c r="C9">
        <v>6</v>
      </c>
      <c r="D9" t="s">
        <v>9</v>
      </c>
    </row>
    <row r="10" spans="1:8" x14ac:dyDescent="0.35">
      <c r="A10" t="s">
        <v>45</v>
      </c>
      <c r="B10">
        <v>2</v>
      </c>
      <c r="C10">
        <v>6</v>
      </c>
      <c r="D10" t="s">
        <v>14</v>
      </c>
      <c r="E10" t="s">
        <v>18</v>
      </c>
    </row>
    <row r="11" spans="1:8" x14ac:dyDescent="0.35">
      <c r="A11" t="s">
        <v>46</v>
      </c>
      <c r="B11">
        <v>2</v>
      </c>
      <c r="C11">
        <v>5</v>
      </c>
      <c r="D11" t="s">
        <v>15</v>
      </c>
    </row>
    <row r="12" spans="1:8" x14ac:dyDescent="0.35">
      <c r="A12" t="s">
        <v>47</v>
      </c>
      <c r="B12">
        <v>2</v>
      </c>
      <c r="C12">
        <v>3</v>
      </c>
      <c r="D12" t="s">
        <v>11</v>
      </c>
      <c r="E12" t="s">
        <v>17</v>
      </c>
    </row>
    <row r="13" spans="1:8" x14ac:dyDescent="0.35">
      <c r="A13" t="s">
        <v>48</v>
      </c>
      <c r="B13">
        <v>2</v>
      </c>
      <c r="C13">
        <v>9</v>
      </c>
      <c r="D13" t="s">
        <v>49</v>
      </c>
    </row>
    <row r="14" spans="1:8" x14ac:dyDescent="0.35">
      <c r="A14" t="s">
        <v>50</v>
      </c>
      <c r="B14">
        <v>2</v>
      </c>
      <c r="C14">
        <v>5</v>
      </c>
      <c r="D14" t="s">
        <v>49</v>
      </c>
    </row>
    <row r="15" spans="1:8" x14ac:dyDescent="0.35">
      <c r="A15" t="s">
        <v>51</v>
      </c>
      <c r="B15">
        <v>2</v>
      </c>
      <c r="C15">
        <v>4</v>
      </c>
      <c r="D15" t="s">
        <v>49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CCF3EB4-67B0-45F7-837E-1A78B06C6E3F}">
          <x14:formula1>
            <xm:f>Wymagania!$B$18:$B$25</xm:f>
          </x14:formula1>
          <xm:sqref>E2:E92</xm:sqref>
        </x14:dataValidation>
        <x14:dataValidation type="list" allowBlank="1" showInputMessage="1" showErrorMessage="1" xr:uid="{74631E45-26F0-494C-B44D-EA8BB17D8BB8}">
          <x14:formula1>
            <xm:f>Wymagania!$A$18:$A$37</xm:f>
          </x14:formula1>
          <xm:sqref>D2:D198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0D3D0-3A5F-459D-8319-B4964BCA0124}">
  <dimension ref="A1:G14"/>
  <sheetViews>
    <sheetView workbookViewId="0">
      <selection activeCell="E14" sqref="E14"/>
    </sheetView>
  </sheetViews>
  <sheetFormatPr defaultRowHeight="14.5" x14ac:dyDescent="0.35"/>
  <cols>
    <col min="1" max="1" width="55.90625" bestFit="1" customWidth="1"/>
    <col min="2" max="2" width="29.90625" bestFit="1" customWidth="1"/>
    <col min="3" max="3" width="40.08984375" bestFit="1" customWidth="1"/>
    <col min="4" max="4" width="12.6328125" bestFit="1" customWidth="1"/>
  </cols>
  <sheetData>
    <row r="1" spans="1:7" x14ac:dyDescent="0.35">
      <c r="A1" t="s">
        <v>73</v>
      </c>
      <c r="B1" t="s">
        <v>72</v>
      </c>
      <c r="C1" t="s">
        <v>85</v>
      </c>
      <c r="D1" t="s">
        <v>90</v>
      </c>
      <c r="E1" t="s">
        <v>95</v>
      </c>
      <c r="F1" t="s">
        <v>96</v>
      </c>
      <c r="G1" t="s">
        <v>97</v>
      </c>
    </row>
    <row r="2" spans="1:7" x14ac:dyDescent="0.35">
      <c r="A2" t="s">
        <v>61</v>
      </c>
      <c r="B2" t="s">
        <v>74</v>
      </c>
      <c r="C2" t="s">
        <v>86</v>
      </c>
      <c r="E2" t="b">
        <f>AND(66&lt;=MidCalc!B3,12&lt;=MidCalc!B5)</f>
        <v>0</v>
      </c>
      <c r="F2" t="b">
        <f>AND(66&lt;=MidCalc!C3,12&lt;=MidCalc!C5)</f>
        <v>0</v>
      </c>
      <c r="G2" t="b">
        <f>AND(66&lt;=MidCalc!D3,12&lt;=MidCalc!D5)</f>
        <v>0</v>
      </c>
    </row>
    <row r="3" spans="1:7" x14ac:dyDescent="0.35">
      <c r="A3" t="s">
        <v>62</v>
      </c>
      <c r="B3" t="s">
        <v>75</v>
      </c>
      <c r="C3" t="s">
        <v>87</v>
      </c>
      <c r="E3" t="b">
        <f>AND(10 &lt;= MidCalc!B6)</f>
        <v>0</v>
      </c>
      <c r="F3" t="b">
        <f>AND(10 &lt;= MidCalc!C6)</f>
        <v>0</v>
      </c>
      <c r="G3" t="b">
        <f>AND(10 &lt;= MidCalc!D6)</f>
        <v>0</v>
      </c>
    </row>
    <row r="4" spans="1:7" x14ac:dyDescent="0.35">
      <c r="A4" t="s">
        <v>63</v>
      </c>
      <c r="B4" t="s">
        <v>76</v>
      </c>
      <c r="C4" t="s">
        <v>88</v>
      </c>
    </row>
    <row r="5" spans="1:7" x14ac:dyDescent="0.35">
      <c r="A5" t="s">
        <v>64</v>
      </c>
      <c r="B5" t="s">
        <v>77</v>
      </c>
      <c r="C5" t="s">
        <v>89</v>
      </c>
      <c r="E5" t="b">
        <f>170&lt;=MidCalc!B10+Wymagania!$F$1</f>
        <v>0</v>
      </c>
      <c r="F5" t="b">
        <f>170&lt;=MidCalc!C10+Wymagania!$F$1</f>
        <v>0</v>
      </c>
      <c r="G5" t="b">
        <f>170&lt;=MidCalc!D10+Wymagania!$F$1</f>
        <v>0</v>
      </c>
    </row>
    <row r="6" spans="1:7" x14ac:dyDescent="0.35">
      <c r="A6" t="s">
        <v>65</v>
      </c>
      <c r="B6" s="2" t="s">
        <v>100</v>
      </c>
      <c r="C6" s="2"/>
      <c r="E6" t="b">
        <f>28 &lt;= MidCalc!B13</f>
        <v>0</v>
      </c>
      <c r="F6" t="b">
        <f>28 &lt;= MidCalc!C13</f>
        <v>0</v>
      </c>
      <c r="G6" t="b">
        <f>28 &lt;= MidCalc!D13</f>
        <v>0</v>
      </c>
    </row>
    <row r="7" spans="1:7" x14ac:dyDescent="0.35">
      <c r="B7" s="2" t="s">
        <v>101</v>
      </c>
      <c r="C7" s="2"/>
      <c r="E7" t="b">
        <f>COUNTA(_xlfn.ANCHORARRAY(Wymagania!$B$18)) &lt;= MidCalc!B14</f>
        <v>0</v>
      </c>
      <c r="F7" t="b">
        <f>COUNTA(_xlfn.ANCHORARRAY(Wymagania!$B$18)) &lt;= MidCalc!C14</f>
        <v>0</v>
      </c>
      <c r="G7" t="b">
        <f>COUNTA(_xlfn.ANCHORARRAY(Wymagania!$B$18)) &lt;= MidCalc!D14</f>
        <v>0</v>
      </c>
    </row>
    <row r="8" spans="1:7" x14ac:dyDescent="0.35">
      <c r="A8" t="s">
        <v>66</v>
      </c>
      <c r="B8" s="2" t="s">
        <v>78</v>
      </c>
      <c r="C8" s="2"/>
      <c r="E8" t="b">
        <f>1&lt;=MidCalc!B9</f>
        <v>0</v>
      </c>
      <c r="F8" t="b">
        <f>1&lt;=MidCalc!C9</f>
        <v>0</v>
      </c>
      <c r="G8" t="b">
        <f>1&lt;=MidCalc!D9</f>
        <v>0</v>
      </c>
    </row>
    <row r="9" spans="1:7" x14ac:dyDescent="0.35">
      <c r="A9" t="s">
        <v>67</v>
      </c>
      <c r="B9" t="s">
        <v>79</v>
      </c>
      <c r="C9" t="s">
        <v>80</v>
      </c>
      <c r="E9" t="b">
        <f>4 &lt;= MidCalc!B15</f>
        <v>0</v>
      </c>
      <c r="F9" t="b">
        <f>4 &lt;= MidCalc!C15</f>
        <v>0</v>
      </c>
      <c r="G9" t="b">
        <f>4 &lt;= MidCalc!D15</f>
        <v>0</v>
      </c>
    </row>
    <row r="10" spans="1:7" x14ac:dyDescent="0.35">
      <c r="A10" t="s">
        <v>68</v>
      </c>
      <c r="B10" s="2" t="s">
        <v>81</v>
      </c>
      <c r="C10" s="2"/>
      <c r="E10" t="b">
        <f>5&lt;=MidCalc!B16</f>
        <v>0</v>
      </c>
      <c r="F10" t="b">
        <f>5&lt;=MidCalc!C16</f>
        <v>0</v>
      </c>
      <c r="G10" t="b">
        <f>5&lt;=MidCalc!D16</f>
        <v>0</v>
      </c>
    </row>
    <row r="11" spans="1:7" x14ac:dyDescent="0.35">
      <c r="A11" t="s">
        <v>69</v>
      </c>
      <c r="B11" s="2" t="s">
        <v>82</v>
      </c>
      <c r="C11" s="2"/>
      <c r="E11" t="b">
        <f>1&lt;=MidCalc!B17</f>
        <v>0</v>
      </c>
      <c r="F11" t="b">
        <f>1&lt;=MidCalc!C17</f>
        <v>0</v>
      </c>
      <c r="G11" t="b">
        <f>1&lt;=MidCalc!D17</f>
        <v>0</v>
      </c>
    </row>
    <row r="12" spans="1:7" x14ac:dyDescent="0.35">
      <c r="A12" t="s">
        <v>70</v>
      </c>
      <c r="B12" t="s">
        <v>75</v>
      </c>
      <c r="C12" t="s">
        <v>83</v>
      </c>
      <c r="E12" t="b">
        <f>2&lt;=MidCalc!B18</f>
        <v>0</v>
      </c>
      <c r="F12" t="b">
        <f>2&lt;=MidCalc!C18</f>
        <v>0</v>
      </c>
      <c r="G12" t="b">
        <f>2&lt;=MidCalc!D18</f>
        <v>0</v>
      </c>
    </row>
    <row r="13" spans="1:7" x14ac:dyDescent="0.35">
      <c r="A13" t="s">
        <v>71</v>
      </c>
      <c r="B13" s="2" t="s">
        <v>84</v>
      </c>
      <c r="C13" s="2"/>
      <c r="E13" t="b">
        <f>12&lt;=MidCalc!B19</f>
        <v>1</v>
      </c>
      <c r="F13" t="b">
        <f>12&lt;=MidCalc!C19</f>
        <v>1</v>
      </c>
      <c r="G13" t="b">
        <f>12&lt;=MidCalc!D19</f>
        <v>0</v>
      </c>
    </row>
    <row r="14" spans="1:7" x14ac:dyDescent="0.35">
      <c r="A14" t="s">
        <v>102</v>
      </c>
      <c r="B14" s="2" t="s">
        <v>103</v>
      </c>
      <c r="C14" s="2"/>
    </row>
  </sheetData>
  <mergeCells count="7">
    <mergeCell ref="B14:C14"/>
    <mergeCell ref="B6:C6"/>
    <mergeCell ref="B8:C8"/>
    <mergeCell ref="B10:C10"/>
    <mergeCell ref="B11:C11"/>
    <mergeCell ref="B13:C13"/>
    <mergeCell ref="B7:C7"/>
  </mergeCells>
  <conditionalFormatting sqref="E2:G13">
    <cfRule type="containsText" dxfId="1" priority="1" operator="containsText" text="FAŁSZ">
      <formula>NOT(ISERROR(SEARCH("FAŁSZ",E2)))</formula>
    </cfRule>
    <cfRule type="cellIs" dxfId="0" priority="2" operator="equal">
      <formula>TRUE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E5977-1768-491C-AA71-0FCCCCE69C5F}">
  <dimension ref="A1:F19"/>
  <sheetViews>
    <sheetView workbookViewId="0">
      <selection activeCell="F20" sqref="F20"/>
    </sheetView>
  </sheetViews>
  <sheetFormatPr defaultRowHeight="14.5" x14ac:dyDescent="0.35"/>
  <cols>
    <col min="1" max="1" width="11.90625" bestFit="1" customWidth="1"/>
    <col min="2" max="3" width="10.54296875" bestFit="1" customWidth="1"/>
    <col min="6" max="6" width="18.08984375" bestFit="1" customWidth="1"/>
  </cols>
  <sheetData>
    <row r="1" spans="1:6" x14ac:dyDescent="0.35">
      <c r="A1" t="s">
        <v>94</v>
      </c>
      <c r="B1">
        <v>10</v>
      </c>
      <c r="C1">
        <f>'Stan faktyczny'!H2</f>
        <v>1</v>
      </c>
      <c r="D1">
        <f>C1-1</f>
        <v>0</v>
      </c>
      <c r="F1" t="s">
        <v>113</v>
      </c>
    </row>
    <row r="2" spans="1:6" x14ac:dyDescent="0.35">
      <c r="A2" t="s">
        <v>53</v>
      </c>
      <c r="B2">
        <f>SUM('Stan faktyczny'!$C$1:$C$105)</f>
        <v>71</v>
      </c>
      <c r="C2" cm="1">
        <f t="array" ref="C2">SUM(IF('Stan faktyczny'!$B$1:$B$105 &lt;= C$1, 'Stan faktyczny'!$C$1:$C$105, 0))</f>
        <v>33</v>
      </c>
      <c r="D2" cm="1">
        <f t="array" ref="D2">SUM(IF('Stan faktyczny'!$B$1:$B$105 &lt;= D$1, 'Stan faktyczny'!$C$1:$C$105, 0))</f>
        <v>0</v>
      </c>
      <c r="F2" t="s">
        <v>114</v>
      </c>
    </row>
    <row r="3" spans="1:6" x14ac:dyDescent="0.35">
      <c r="A3" t="s">
        <v>4</v>
      </c>
      <c r="B3" cm="1">
        <f t="array" ref="B3">SUMPRODUCT('Stan faktyczny'!$C$1:$C$105, SIGN(COUNTIF(Wymagania!$L$5:$L$8, 'Stan faktyczny'!$D$1:$D$105)))</f>
        <v>12</v>
      </c>
      <c r="C3" cm="1">
        <f t="array" ref="C3">SUMPRODUCT('Stan faktyczny'!$C$1:$C$105, SIGN(COUNTIF(Wymagania!$L$5:$L$8, 'Stan faktyczny'!$D$1:$D$105)), IF('Stan faktyczny'!$B$1:$B$105 &lt;= C$1, 1, 0))</f>
        <v>0</v>
      </c>
      <c r="D3" cm="1">
        <f t="array" ref="D3">SUMPRODUCT('Stan faktyczny'!$C$1:$C$105, SIGN(COUNTIF(Wymagania!$L$5:$L$8, 'Stan faktyczny'!$D$1:$D$105)), IF('Stan faktyczny'!$B$1:$B$105 &lt;= D$1, 1, 0))</f>
        <v>0</v>
      </c>
      <c r="F3" t="s">
        <v>115</v>
      </c>
    </row>
    <row r="4" spans="1:6" x14ac:dyDescent="0.35">
      <c r="A4" t="s">
        <v>5</v>
      </c>
      <c r="B4" cm="1">
        <f t="array" ref="B4">SUMPRODUCT('Stan faktyczny'!$C$1:$C$105, SIGN(COUNTIF(Wymagania!$M$5:$M$8, 'Stan faktyczny'!$D$1:$D$105)))</f>
        <v>16</v>
      </c>
      <c r="C4" cm="1">
        <f t="array" ref="C4">SUMPRODUCT('Stan faktyczny'!$C$1:$C$105, SIGN(COUNTIF(Wymagania!$M$5:$M$8, 'Stan faktyczny'!$D$1:$D$105)), IF('Stan faktyczny'!$B$1:$B$105 &lt; C$1, 1, 0))</f>
        <v>0</v>
      </c>
      <c r="D4" cm="1">
        <f t="array" ref="D4">SUMPRODUCT('Stan faktyczny'!$C$1:$C$105, SIGN(COUNTIF(Wymagania!$M$5:$M$8, 'Stan faktyczny'!$D$1:$D$105)), IF('Stan faktyczny'!$B$1:$B$105 &lt; D$1, 1, 0))</f>
        <v>0</v>
      </c>
      <c r="F4" t="s">
        <v>116</v>
      </c>
    </row>
    <row r="5" spans="1:6" x14ac:dyDescent="0.35">
      <c r="A5" t="s">
        <v>9</v>
      </c>
      <c r="B5" cm="1">
        <f t="array" ref="B5">SUMPRODUCT('Stan faktyczny'!$C$1:$C$105, SIGN(COUNTIF($A5, 'Stan faktyczny'!$D$1:$D$105)))</f>
        <v>6</v>
      </c>
      <c r="C5" cm="1">
        <f t="array" ref="C5">SUMPRODUCT('Stan faktyczny'!$C$1:$C$105, SIGN(COUNTIF($A5, 'Stan faktyczny'!$D$1:$D$105)), IF('Stan faktyczny'!$B$1:$B$105 &lt;= C$1, 1, 0))</f>
        <v>0</v>
      </c>
      <c r="D5" cm="1">
        <f t="array" ref="D5">SUMPRODUCT('Stan faktyczny'!$C$1:$C$105, SIGN(COUNTIF($A5, 'Stan faktyczny'!$D$1:$D$105)), IF('Stan faktyczny'!$B$1:$B$105 &lt;= D$1, 1, 0))</f>
        <v>0</v>
      </c>
      <c r="F5" t="s">
        <v>117</v>
      </c>
    </row>
    <row r="6" spans="1:6" x14ac:dyDescent="0.35">
      <c r="A6" t="s">
        <v>11</v>
      </c>
      <c r="B6" cm="1">
        <f t="array" ref="B6">SUMPRODUCT('Stan faktyczny'!$C$1:$C$105, SIGN(COUNTIF($A6, 'Stan faktyczny'!$D$1:$D$105)))</f>
        <v>3</v>
      </c>
      <c r="C6" cm="1">
        <f t="array" ref="C6">SUMPRODUCT('Stan faktyczny'!$C$1:$C$105, SIGN(COUNTIF($A6, 'Stan faktyczny'!$D$1:$D$105)), IF('Stan faktyczny'!$B$1:$B$105 &lt;= C$1, 1, 0))</f>
        <v>0</v>
      </c>
      <c r="D6" cm="1">
        <f t="array" ref="D6">SUMPRODUCT('Stan faktyczny'!$C$1:$C$105, SIGN(COUNTIF($A6, 'Stan faktyczny'!$D$1:$D$105)), IF('Stan faktyczny'!$B$1:$B$105 &lt;= D$1, 1, 0))</f>
        <v>0</v>
      </c>
      <c r="F6" t="s">
        <v>118</v>
      </c>
    </row>
    <row r="7" spans="1:6" x14ac:dyDescent="0.35">
      <c r="A7" t="s">
        <v>6</v>
      </c>
      <c r="B7" cm="1">
        <f t="array" ref="B7">SUMPRODUCT('Stan faktyczny'!$C$1:$C$105, SIGN(COUNTIF($A7, 'Stan faktyczny'!$D$1:$D$105)))</f>
        <v>0</v>
      </c>
      <c r="C7" cm="1">
        <f t="array" ref="C7">SUMPRODUCT('Stan faktyczny'!$C$1:$C$105, SIGN(COUNTIF($A7, 'Stan faktyczny'!$D$1:$D$105)), IF('Stan faktyczny'!$B$1:$B$105 &lt;= C$1, 1, 0))</f>
        <v>0</v>
      </c>
      <c r="D7" cm="1">
        <f t="array" ref="D7">SUMPRODUCT('Stan faktyczny'!$C$1:$C$105, SIGN(COUNTIF($A7, 'Stan faktyczny'!$D$1:$D$105)), IF('Stan faktyczny'!$B$1:$B$105 &lt;= D$1, 1, 0))</f>
        <v>0</v>
      </c>
      <c r="F7" t="s">
        <v>119</v>
      </c>
    </row>
    <row r="8" spans="1:6" x14ac:dyDescent="0.35">
      <c r="A8" t="s">
        <v>49</v>
      </c>
      <c r="B8" cm="1">
        <f t="array" ref="B8">SUMPRODUCT('Stan faktyczny'!$C$1:$C$105, SIGN(COUNTIF($A8, 'Stan faktyczny'!$D$1:$D$105)))</f>
        <v>27</v>
      </c>
      <c r="C8" cm="1">
        <f t="array" ref="C8">SUMPRODUCT('Stan faktyczny'!$C$1:$C$105, SIGN(COUNTIF($A8, 'Stan faktyczny'!$D$1:$D$105)), IF('Stan faktyczny'!$B$1:$B$105 &lt;= C$1, 1, 0))</f>
        <v>9</v>
      </c>
      <c r="D8" cm="1">
        <f t="array" ref="D8">SUMPRODUCT('Stan faktyczny'!$C$1:$C$105, SIGN(COUNTIF($A8, 'Stan faktyczny'!$D$1:$D$105)), IF('Stan faktyczny'!$B$1:$B$105 &lt;= D$1, 1, 0))</f>
        <v>0</v>
      </c>
    </row>
    <row r="9" spans="1:6" x14ac:dyDescent="0.35">
      <c r="A9" t="s">
        <v>60</v>
      </c>
      <c r="B9" cm="1">
        <f t="array" ref="B9">SUMPRODUCT('Stan faktyczny'!$C$1:$C$105, SIGN(COUNTIF($A9, 'Stan faktyczny'!$D$1:$D$105)))</f>
        <v>0</v>
      </c>
      <c r="C9" cm="1">
        <f t="array" ref="C9">SUMPRODUCT('Stan faktyczny'!$C$1:$C$105, SIGN(COUNTIF($A9, 'Stan faktyczny'!$D$1:$D$105)), IF('Stan faktyczny'!$B$1:$B$105 &lt;= C$1, 1, 0))</f>
        <v>0</v>
      </c>
      <c r="D9" cm="1">
        <f t="array" ref="D9">SUMPRODUCT('Stan faktyczny'!$C$1:$C$105, SIGN(COUNTIF($A9, 'Stan faktyczny'!$D$1:$D$105)), IF('Stan faktyczny'!$B$1:$B$105 &lt;= D$1, 1, 0))</f>
        <v>0</v>
      </c>
    </row>
    <row r="10" spans="1:6" x14ac:dyDescent="0.35">
      <c r="A10" t="s">
        <v>98</v>
      </c>
      <c r="B10">
        <f>SUM(B7:B8, B3:B4)</f>
        <v>55</v>
      </c>
      <c r="C10">
        <f t="shared" ref="C10:D10" si="0">SUM(C7:C8, C3:C4)</f>
        <v>9</v>
      </c>
      <c r="D10">
        <f t="shared" si="0"/>
        <v>0</v>
      </c>
      <c r="F10" t="s">
        <v>7</v>
      </c>
    </row>
    <row r="11" spans="1:6" x14ac:dyDescent="0.35">
      <c r="A11" t="s">
        <v>57</v>
      </c>
      <c r="B11" cm="1">
        <f t="array" ref="B11">SUMPRODUCT('Stan faktyczny'!$C$1:$C$105, SIGN(COUNTIF(Wymagania!$L$6:$L$7, 'Stan faktyczny'!$D$1:$D$105)), SIGN(COUNTIF(_xlfn.ANCHORARRAY(Wymagania!$B$18), 'Stan faktyczny'!$E$1:$E$105)))</f>
        <v>6</v>
      </c>
      <c r="C11" cm="1">
        <f t="array" ref="C11">SUMPRODUCT('Stan faktyczny'!$C$1:$C$105, SIGN(COUNTIF(Wymagania!$L$6:$L$7, 'Stan faktyczny'!$D$1:$D$105)), SIGN(COUNTIF(_xlfn.ANCHORARRAY(Wymagania!$B$18), 'Stan faktyczny'!$E$1:$E$105)), IF('Stan faktyczny'!$B$1:$B$105 &lt;= C$1, 1, 0))</f>
        <v>0</v>
      </c>
      <c r="D11" cm="1">
        <f t="array" ref="D11">SUMPRODUCT('Stan faktyczny'!$C$1:$C$105, SIGN(COUNTIF(Wymagania!$L$6:$L$7, 'Stan faktyczny'!$D$1:$D$105)), SIGN(COUNTIF(_xlfn.ANCHORARRAY(Wymagania!$B$18), 'Stan faktyczny'!$E$1:$E$105)), IF('Stan faktyczny'!$B$1:$B$105 &lt;= D$1, 1, 0))</f>
        <v>0</v>
      </c>
      <c r="F11" t="s">
        <v>120</v>
      </c>
    </row>
    <row r="12" spans="1:6" x14ac:dyDescent="0.35">
      <c r="A12" t="s">
        <v>58</v>
      </c>
      <c r="B12" cm="1">
        <f t="array" ref="B12">SUMPRODUCT('Stan faktyczny'!$C$1:$C$105, SIGN(COUNTIF(Wymagania!$M$6:$M$7, 'Stan faktyczny'!$D$1:$D$105)),SIGN(COUNTIF(_xlfn.ANCHORARRAY(Wymagania!$B$18), 'Stan faktyczny'!$E$1:$E$105)))</f>
        <v>3</v>
      </c>
      <c r="C12" cm="1">
        <f t="array" ref="C12">SUMPRODUCT('Stan faktyczny'!$C$1:$C$105, SIGN(COUNTIF(Wymagania!$M$6:$M$7, 'Stan faktyczny'!$D$1:$D$105)),SIGN(COUNTIF(_xlfn.ANCHORARRAY(Wymagania!$B$18), 'Stan faktyczny'!$E$1:$E$105)), IF('Stan faktyczny'!$B$1:$B$105 &lt;= C$1, 1, 0))</f>
        <v>0</v>
      </c>
      <c r="D12" cm="1">
        <f t="array" ref="D12">SUMPRODUCT('Stan faktyczny'!$C$1:$C$105, SIGN(COUNTIF(Wymagania!$M$6:$M$7, 'Stan faktyczny'!$D$1:$D$105)),SIGN(COUNTIF(_xlfn.ANCHORARRAY(Wymagania!$B$18), 'Stan faktyczny'!$E$1:$E$105)), IF('Stan faktyczny'!$B$1:$B$105 &lt;= D$1, 1, 0))</f>
        <v>0</v>
      </c>
    </row>
    <row r="13" spans="1:6" x14ac:dyDescent="0.35">
      <c r="A13" t="s">
        <v>59</v>
      </c>
      <c r="B13">
        <f>B12+B11</f>
        <v>9</v>
      </c>
      <c r="C13">
        <f t="shared" ref="C13:D13" si="1">C12+C11</f>
        <v>0</v>
      </c>
      <c r="D13">
        <f t="shared" si="1"/>
        <v>0</v>
      </c>
    </row>
    <row r="14" spans="1:6" x14ac:dyDescent="0.35">
      <c r="A14" t="s">
        <v>99</v>
      </c>
      <c r="B14" cm="1">
        <f t="array" ref="B14">SUM(SIGN(COUNTIF(_xlfn.ANCHORARRAY(Wymagania!$B$18), _xlfn.UNIQUE('Stan faktyczny'!$E$1:$E$103))))</f>
        <v>2</v>
      </c>
      <c r="C14" cm="1">
        <f t="array" ref="C14">SUM(SIGN(COUNTIF(_xlfn.ANCHORARRAY(Wymagania!$B$18), _xlfn.UNIQUE(IF('Stan faktyczny'!$B:$B &lt;= MidCalc!C$1,'Stan faktyczny'!$E$1:$E$103,0)))))</f>
        <v>0</v>
      </c>
      <c r="D14" cm="1">
        <f t="array" ref="D14">SUM(SIGN(COUNTIF(_xlfn.ANCHORARRAY(Wymagania!$B$18), _xlfn.UNIQUE(IF('Stan faktyczny'!$B:$B &lt;= MidCalc!D$1,'Stan faktyczny'!$E$1:$E$103,0)))))</f>
        <v>0</v>
      </c>
      <c r="F14" t="s">
        <v>121</v>
      </c>
    </row>
    <row r="15" spans="1:6" x14ac:dyDescent="0.35">
      <c r="A15" t="s">
        <v>27</v>
      </c>
      <c r="B15">
        <f>SUMIF('Stan faktyczny'!$D$1:$D$105, $A15, 'Stan faktyczny'!$C$1:$C$105)</f>
        <v>0</v>
      </c>
      <c r="C15" cm="1">
        <f t="array" ref="C15">SUMPRODUCT('Stan faktyczny'!$C$1:$C$105, IF('Stan faktyczny'!$D$1:$D$105 = $A15, 1, 0), IF('Stan faktyczny'!$B$1:$B$105 &lt;= C$1, 1, 0))</f>
        <v>0</v>
      </c>
      <c r="D15" cm="1">
        <f t="array" ref="D15">SUMPRODUCT('Stan faktyczny'!$C$1:$C$105, IF('Stan faktyczny'!$D$1:$D$105 = $A15, 1, 0), IF('Stan faktyczny'!$B$1:$B$105 &lt;= D$1, 1, 0))</f>
        <v>0</v>
      </c>
    </row>
    <row r="16" spans="1:6" x14ac:dyDescent="0.35">
      <c r="A16" t="s">
        <v>28</v>
      </c>
      <c r="B16">
        <f>SUMIF('Stan faktyczny'!$D$1:$D$105, $A16, 'Stan faktyczny'!$C$1:$C$105)</f>
        <v>0</v>
      </c>
      <c r="C16" cm="1">
        <f t="array" ref="C16">SUMPRODUCT('Stan faktyczny'!$C$1:$C$105, IF('Stan faktyczny'!$D$1:$D$105 = $A16, 1, 0), IF('Stan faktyczny'!$B$1:$B$105 &lt;= C$1, 1, 0))</f>
        <v>0</v>
      </c>
      <c r="D16" cm="1">
        <f t="array" ref="D16">SUMPRODUCT('Stan faktyczny'!$C$1:$C$105, IF('Stan faktyczny'!$D$1:$D$105 = $A16, 1, 0), IF('Stan faktyczny'!$B$1:$B$105 &lt;= D$1, 1, 0))</f>
        <v>0</v>
      </c>
    </row>
    <row r="17" spans="1:4" x14ac:dyDescent="0.35">
      <c r="A17" t="s">
        <v>29</v>
      </c>
      <c r="B17">
        <f>SUMIF('Stan faktyczny'!$D$1:$D$105, $A17, 'Stan faktyczny'!$C$1:$C$105)</f>
        <v>0</v>
      </c>
      <c r="C17" cm="1">
        <f t="array" ref="C17">SUMPRODUCT('Stan faktyczny'!$C$1:$C$105, IF('Stan faktyczny'!$D$1:$D$105 = $A17, 1, 0), IF('Stan faktyczny'!$B$1:$B$105 &lt;= C$1, 1, 0))</f>
        <v>0</v>
      </c>
      <c r="D17" cm="1">
        <f t="array" ref="D17">SUMPRODUCT('Stan faktyczny'!$C$1:$C$105, IF('Stan faktyczny'!$D$1:$D$105 = $A17, 1, 0), IF('Stan faktyczny'!$B$1:$B$105 &lt;= D$1, 1, 0))</f>
        <v>0</v>
      </c>
    </row>
    <row r="18" spans="1:4" x14ac:dyDescent="0.35">
      <c r="A18" t="s">
        <v>30</v>
      </c>
      <c r="B18">
        <f>SUMIF('Stan faktyczny'!$D$1:$D$105, $A18, 'Stan faktyczny'!$C$1:$C$105)</f>
        <v>0</v>
      </c>
      <c r="C18" cm="1">
        <f t="array" ref="C18">SUMPRODUCT('Stan faktyczny'!$C$1:$C$105, IF('Stan faktyczny'!$D$1:$D$105 = $A18, 1, 0), IF('Stan faktyczny'!$B$1:$B$105 &lt;= C$1, 1, 0))</f>
        <v>0</v>
      </c>
      <c r="D18" cm="1">
        <f t="array" ref="D18">SUMPRODUCT('Stan faktyczny'!$C$1:$C$105, IF('Stan faktyczny'!$D$1:$D$105 = $A18, 1, 0), IF('Stan faktyczny'!$B$1:$B$105 &lt;= D$1, 1, 0))</f>
        <v>0</v>
      </c>
    </row>
    <row r="19" spans="1:4" x14ac:dyDescent="0.35">
      <c r="A19" t="s">
        <v>31</v>
      </c>
      <c r="B19">
        <f>SUMIF('Stan faktyczny'!$D$1:$D$105, $A19, 'Stan faktyczny'!$C$1:$C$105)</f>
        <v>12</v>
      </c>
      <c r="C19" cm="1">
        <f t="array" ref="C19">SUMPRODUCT('Stan faktyczny'!$C$1:$C$105, IF('Stan faktyczny'!$D$1:$D$105 = $A19, 1, 0), IF('Stan faktyczny'!$B$1:$B$105 &lt;= C$1, 1, 0))</f>
        <v>12</v>
      </c>
      <c r="D19" cm="1">
        <f t="array" ref="D19">SUMPRODUCT('Stan faktyczny'!$C$1:$C$105, IF('Stan faktyczny'!$D$1:$D$105 = $A19, 1, 0), IF('Stan faktyczny'!$B$1:$B$105 &lt;= D$1, 1, 0))</f>
        <v>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F552E-A2FE-4799-834D-CAC8A1822862}">
  <sheetPr codeName="Arkusz1"/>
  <dimension ref="A1:M32"/>
  <sheetViews>
    <sheetView workbookViewId="0">
      <selection activeCell="L10" sqref="L10"/>
    </sheetView>
  </sheetViews>
  <sheetFormatPr defaultRowHeight="14.5" x14ac:dyDescent="0.35"/>
  <cols>
    <col min="6" max="6" width="9.453125" bestFit="1" customWidth="1"/>
  </cols>
  <sheetData>
    <row r="1" spans="1:13" x14ac:dyDescent="0.35">
      <c r="B1" t="s">
        <v>1</v>
      </c>
      <c r="C1" t="s">
        <v>2</v>
      </c>
      <c r="E1" t="s">
        <v>55</v>
      </c>
      <c r="F1">
        <v>10</v>
      </c>
    </row>
    <row r="2" spans="1:13" x14ac:dyDescent="0.35">
      <c r="A2" t="s">
        <v>0</v>
      </c>
      <c r="B2">
        <v>180</v>
      </c>
      <c r="C2">
        <v>210</v>
      </c>
    </row>
    <row r="5" spans="1:13" x14ac:dyDescent="0.35">
      <c r="A5" t="s">
        <v>3</v>
      </c>
      <c r="B5" t="s">
        <v>1</v>
      </c>
      <c r="C5" t="s">
        <v>2</v>
      </c>
      <c r="E5" t="s">
        <v>3</v>
      </c>
      <c r="F5" t="s">
        <v>8</v>
      </c>
      <c r="I5" t="s">
        <v>24</v>
      </c>
      <c r="L5" t="s">
        <v>4</v>
      </c>
      <c r="M5" t="s">
        <v>5</v>
      </c>
    </row>
    <row r="6" spans="1:13" x14ac:dyDescent="0.35">
      <c r="A6" t="s">
        <v>10</v>
      </c>
      <c r="B6">
        <v>54</v>
      </c>
      <c r="C6">
        <v>66</v>
      </c>
      <c r="E6" t="s">
        <v>14</v>
      </c>
      <c r="F6" t="s">
        <v>16</v>
      </c>
      <c r="G6" t="s">
        <v>23</v>
      </c>
      <c r="I6" t="s">
        <v>25</v>
      </c>
      <c r="J6" t="s">
        <v>26</v>
      </c>
      <c r="L6" t="s">
        <v>14</v>
      </c>
      <c r="M6" t="s">
        <v>15</v>
      </c>
    </row>
    <row r="7" spans="1:13" x14ac:dyDescent="0.35">
      <c r="A7" t="s">
        <v>9</v>
      </c>
      <c r="B7">
        <v>0</v>
      </c>
      <c r="C7">
        <v>12</v>
      </c>
      <c r="E7" t="s">
        <v>9</v>
      </c>
      <c r="F7" t="s">
        <v>17</v>
      </c>
      <c r="G7" t="s">
        <v>23</v>
      </c>
      <c r="I7" t="s">
        <v>31</v>
      </c>
      <c r="J7" t="s">
        <v>32</v>
      </c>
      <c r="L7" t="s">
        <v>9</v>
      </c>
      <c r="M7" t="s">
        <v>11</v>
      </c>
    </row>
    <row r="8" spans="1:13" x14ac:dyDescent="0.35">
      <c r="A8" t="s">
        <v>11</v>
      </c>
      <c r="C8">
        <v>10</v>
      </c>
      <c r="E8" t="s">
        <v>15</v>
      </c>
      <c r="F8" t="s">
        <v>18</v>
      </c>
      <c r="G8" t="s">
        <v>23</v>
      </c>
      <c r="L8" t="s">
        <v>52</v>
      </c>
      <c r="M8" t="s">
        <v>56</v>
      </c>
    </row>
    <row r="9" spans="1:13" x14ac:dyDescent="0.35">
      <c r="A9" t="s">
        <v>6</v>
      </c>
      <c r="B9" t="s">
        <v>12</v>
      </c>
      <c r="C9" t="s">
        <v>13</v>
      </c>
      <c r="E9" t="s">
        <v>11</v>
      </c>
      <c r="F9" t="s">
        <v>19</v>
      </c>
      <c r="G9" t="s">
        <v>23</v>
      </c>
    </row>
    <row r="10" spans="1:13" x14ac:dyDescent="0.35">
      <c r="A10" t="s">
        <v>49</v>
      </c>
      <c r="F10" t="s">
        <v>20</v>
      </c>
      <c r="G10" t="s">
        <v>23</v>
      </c>
    </row>
    <row r="11" spans="1:13" x14ac:dyDescent="0.35">
      <c r="A11" t="s">
        <v>7</v>
      </c>
      <c r="B11">
        <v>140</v>
      </c>
      <c r="C11">
        <v>170</v>
      </c>
      <c r="F11" t="s">
        <v>21</v>
      </c>
      <c r="G11" t="s">
        <v>23</v>
      </c>
    </row>
    <row r="12" spans="1:13" x14ac:dyDescent="0.35">
      <c r="A12" t="s">
        <v>27</v>
      </c>
      <c r="B12">
        <v>3</v>
      </c>
      <c r="C12">
        <v>4</v>
      </c>
      <c r="F12" t="s">
        <v>22</v>
      </c>
      <c r="G12" t="s">
        <v>23</v>
      </c>
    </row>
    <row r="13" spans="1:13" x14ac:dyDescent="0.35">
      <c r="A13" t="s">
        <v>28</v>
      </c>
      <c r="B13">
        <v>5</v>
      </c>
      <c r="C13">
        <v>5</v>
      </c>
      <c r="F13">
        <v>28</v>
      </c>
    </row>
    <row r="14" spans="1:13" x14ac:dyDescent="0.35">
      <c r="A14" t="s">
        <v>29</v>
      </c>
      <c r="B14">
        <v>1</v>
      </c>
      <c r="C14">
        <v>1</v>
      </c>
    </row>
    <row r="15" spans="1:13" x14ac:dyDescent="0.35">
      <c r="A15" t="s">
        <v>30</v>
      </c>
      <c r="B15">
        <v>0</v>
      </c>
      <c r="C15">
        <v>2</v>
      </c>
    </row>
    <row r="17" spans="1:2" x14ac:dyDescent="0.35">
      <c r="A17" t="s">
        <v>3</v>
      </c>
      <c r="B17" t="s">
        <v>40</v>
      </c>
    </row>
    <row r="18" spans="1:2" x14ac:dyDescent="0.35">
      <c r="A18" t="str" cm="1">
        <f t="array" ref="A18:A21">A7:A10</f>
        <v>Iinż</v>
      </c>
      <c r="B18" t="str" cm="1">
        <f t="array" ref="B18:B24">F6:F12</f>
        <v>RPiS</v>
      </c>
    </row>
    <row r="19" spans="1:2" x14ac:dyDescent="0.35">
      <c r="A19" t="str">
        <v>Kinż</v>
      </c>
      <c r="B19" t="str">
        <v>IO</v>
      </c>
    </row>
    <row r="20" spans="1:2" x14ac:dyDescent="0.35">
      <c r="A20" t="str">
        <v>P</v>
      </c>
      <c r="B20" t="str">
        <v>PiPO</v>
      </c>
    </row>
    <row r="21" spans="1:2" x14ac:dyDescent="0.35">
      <c r="A21" t="str">
        <v>O</v>
      </c>
      <c r="B21" t="str">
        <v>ASK</v>
      </c>
    </row>
    <row r="22" spans="1:2" x14ac:dyDescent="0.35">
      <c r="A22" t="str" cm="1">
        <f t="array" ref="A22:A25">A12:A15</f>
        <v>Praktyka</v>
      </c>
      <c r="B22" t="str">
        <v>SO</v>
      </c>
    </row>
    <row r="23" spans="1:2" x14ac:dyDescent="0.35">
      <c r="A23" t="str">
        <v>HS</v>
      </c>
      <c r="B23" t="str">
        <v>SK</v>
      </c>
    </row>
    <row r="24" spans="1:2" x14ac:dyDescent="0.35">
      <c r="A24" t="str">
        <v>OWI</v>
      </c>
      <c r="B24" t="str">
        <v>BD</v>
      </c>
    </row>
    <row r="25" spans="1:2" x14ac:dyDescent="0.35">
      <c r="A25" t="str">
        <v>E</v>
      </c>
    </row>
    <row r="26" spans="1:2" x14ac:dyDescent="0.35">
      <c r="A26" t="str" cm="1">
        <f t="array" ref="A26:A29">E6:E9</f>
        <v>I1</v>
      </c>
    </row>
    <row r="27" spans="1:2" x14ac:dyDescent="0.35">
      <c r="A27" t="str">
        <v>Iinż</v>
      </c>
    </row>
    <row r="28" spans="1:2" x14ac:dyDescent="0.35">
      <c r="A28" t="str">
        <v>K1</v>
      </c>
    </row>
    <row r="29" spans="1:2" x14ac:dyDescent="0.35">
      <c r="A29" t="str">
        <v>Kinż</v>
      </c>
    </row>
    <row r="30" spans="1:2" x14ac:dyDescent="0.35">
      <c r="A30" t="str" cm="1">
        <f t="array" ref="A30:A31">I6:I7</f>
        <v xml:space="preserve">PS </v>
      </c>
    </row>
    <row r="31" spans="1:2" x14ac:dyDescent="0.35">
      <c r="A31" t="str">
        <v>J.Obcy</v>
      </c>
    </row>
    <row r="32" spans="1:2" x14ac:dyDescent="0.35">
      <c r="A3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HELPME</vt:lpstr>
      <vt:lpstr>Stan faktyczny</vt:lpstr>
      <vt:lpstr>Result</vt:lpstr>
      <vt:lpstr>MidCalc</vt:lpstr>
      <vt:lpstr>Wymagania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Flama</dc:creator>
  <cp:lastModifiedBy>Patryk Flama</cp:lastModifiedBy>
  <dcterms:created xsi:type="dcterms:W3CDTF">2025-01-15T14:43:49Z</dcterms:created>
  <dcterms:modified xsi:type="dcterms:W3CDTF">2025-01-16T21:58:15Z</dcterms:modified>
</cp:coreProperties>
</file>