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 Jarvis (local)\Documents\Geneva\teaching\modeling_volcanic_processes\exercise1\"/>
    </mc:Choice>
  </mc:AlternateContent>
  <bookViews>
    <workbookView xWindow="0" yWindow="0" windowWidth="19200" windowHeight="7050" activeTab="1"/>
  </bookViews>
  <sheets>
    <sheet name="Question1" sheetId="1" r:id="rId1"/>
    <sheet name="Question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60" i="2"/>
  <c r="J42" i="2"/>
  <c r="F42" i="2"/>
  <c r="F40" i="2"/>
  <c r="E44" i="2"/>
  <c r="F44" i="2" s="1"/>
  <c r="I43" i="2"/>
  <c r="J43" i="2" s="1"/>
  <c r="E43" i="2"/>
  <c r="F43" i="2" s="1"/>
  <c r="I42" i="2"/>
  <c r="E42" i="2"/>
  <c r="I41" i="2"/>
  <c r="J41" i="2" s="1"/>
  <c r="E41" i="2"/>
  <c r="F41" i="2" s="1"/>
  <c r="I40" i="2"/>
  <c r="J40" i="2" s="1"/>
  <c r="E40" i="2"/>
  <c r="I39" i="2"/>
  <c r="J39" i="2" s="1"/>
  <c r="E39" i="2"/>
  <c r="E49" i="2" s="1"/>
  <c r="F49" i="2" s="1"/>
  <c r="I38" i="2"/>
  <c r="J38" i="2" s="1"/>
  <c r="E38" i="2"/>
  <c r="J20" i="2"/>
  <c r="J22" i="2"/>
  <c r="J23" i="2"/>
  <c r="J19" i="2"/>
  <c r="F29" i="2"/>
  <c r="F30" i="2"/>
  <c r="F20" i="2"/>
  <c r="F22" i="2"/>
  <c r="F23" i="2"/>
  <c r="F19" i="2"/>
  <c r="E30" i="2"/>
  <c r="E29" i="2"/>
  <c r="I24" i="2"/>
  <c r="J24" i="2" s="1"/>
  <c r="I23" i="2"/>
  <c r="I22" i="2"/>
  <c r="I21" i="2"/>
  <c r="J21" i="2" s="1"/>
  <c r="I20" i="2"/>
  <c r="I19" i="2"/>
  <c r="E25" i="2"/>
  <c r="F25" i="2" s="1"/>
  <c r="E24" i="2"/>
  <c r="F24" i="2" s="1"/>
  <c r="E23" i="2"/>
  <c r="E22" i="2"/>
  <c r="E21" i="2"/>
  <c r="F21" i="2" s="1"/>
  <c r="E20" i="2"/>
  <c r="E19" i="2"/>
  <c r="D66" i="1"/>
  <c r="D67" i="1"/>
  <c r="D68" i="1"/>
  <c r="D65" i="1"/>
  <c r="C68" i="1"/>
  <c r="B68" i="1"/>
  <c r="C43" i="1"/>
  <c r="C44" i="1"/>
  <c r="C45" i="1"/>
  <c r="C46" i="1"/>
  <c r="C47" i="1"/>
  <c r="C48" i="1"/>
  <c r="C49" i="1"/>
  <c r="C50" i="1"/>
  <c r="D50" i="1" s="1"/>
  <c r="C51" i="1"/>
  <c r="C52" i="1"/>
  <c r="C53" i="1"/>
  <c r="D53" i="1" s="1"/>
  <c r="D45" i="1"/>
  <c r="B56" i="1"/>
  <c r="D43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30" i="1"/>
  <c r="E28" i="1"/>
  <c r="E27" i="1"/>
  <c r="F27" i="1" s="1"/>
  <c r="E26" i="1"/>
  <c r="E25" i="1"/>
  <c r="E24" i="1"/>
  <c r="E23" i="1"/>
  <c r="E22" i="1"/>
  <c r="E21" i="1"/>
  <c r="F21" i="1" s="1"/>
  <c r="E20" i="1"/>
  <c r="E19" i="1"/>
  <c r="F20" i="1"/>
  <c r="F22" i="1"/>
  <c r="F23" i="1"/>
  <c r="F24" i="1"/>
  <c r="F25" i="1"/>
  <c r="F26" i="1"/>
  <c r="F28" i="1"/>
  <c r="F29" i="1"/>
  <c r="F30" i="1"/>
  <c r="F19" i="1"/>
  <c r="E29" i="1"/>
  <c r="D20" i="1"/>
  <c r="D21" i="1"/>
  <c r="D22" i="1"/>
  <c r="D23" i="1"/>
  <c r="D24" i="1"/>
  <c r="D25" i="1"/>
  <c r="D26" i="1"/>
  <c r="D27" i="1"/>
  <c r="D28" i="1"/>
  <c r="D29" i="1"/>
  <c r="D30" i="1"/>
  <c r="C20" i="1"/>
  <c r="C21" i="1"/>
  <c r="C22" i="1"/>
  <c r="C23" i="1"/>
  <c r="C24" i="1"/>
  <c r="C25" i="1"/>
  <c r="C26" i="1"/>
  <c r="C27" i="1"/>
  <c r="C28" i="1"/>
  <c r="C29" i="1"/>
  <c r="C30" i="1"/>
  <c r="C19" i="1"/>
  <c r="D19" i="1" s="1"/>
  <c r="B33" i="1"/>
  <c r="E47" i="2" l="1"/>
  <c r="F47" i="2" s="1"/>
  <c r="F38" i="2"/>
  <c r="F39" i="2"/>
  <c r="F45" i="2" s="1"/>
  <c r="E48" i="2"/>
  <c r="F48" i="2" s="1"/>
  <c r="F50" i="2" s="1"/>
  <c r="E28" i="2"/>
  <c r="F28" i="2" s="1"/>
  <c r="J25" i="2"/>
  <c r="I28" i="2"/>
  <c r="J28" i="2" s="1"/>
  <c r="J33" i="2" s="1"/>
  <c r="J44" i="2"/>
  <c r="I47" i="2"/>
  <c r="J47" i="2" s="1"/>
  <c r="F26" i="2"/>
  <c r="F31" i="2"/>
  <c r="D69" i="1"/>
  <c r="D49" i="1"/>
  <c r="C42" i="1"/>
  <c r="D42" i="1" s="1"/>
  <c r="D46" i="1"/>
  <c r="D52" i="1"/>
  <c r="D48" i="1"/>
  <c r="D44" i="1"/>
  <c r="D51" i="1"/>
  <c r="D47" i="1"/>
  <c r="F54" i="1"/>
  <c r="F31" i="1"/>
  <c r="D31" i="1"/>
  <c r="F52" i="2" l="1"/>
  <c r="J52" i="2"/>
  <c r="F33" i="2"/>
  <c r="M33" i="2" s="1"/>
  <c r="D54" i="1"/>
  <c r="E57" i="1" s="1"/>
  <c r="E58" i="1" s="1"/>
  <c r="E34" i="1"/>
  <c r="E35" i="1" s="1"/>
  <c r="M52" i="2" l="1"/>
  <c r="E60" i="2" s="1"/>
</calcChain>
</file>

<file path=xl/sharedStrings.xml><?xml version="1.0" encoding="utf-8"?>
<sst xmlns="http://schemas.openxmlformats.org/spreadsheetml/2006/main" count="192" uniqueCount="93">
  <si>
    <t>Component</t>
  </si>
  <si>
    <t>SiO2</t>
  </si>
  <si>
    <t>TiO2</t>
  </si>
  <si>
    <t>Al2O3</t>
  </si>
  <si>
    <t>Fe2O3</t>
  </si>
  <si>
    <t>FeO</t>
  </si>
  <si>
    <t>MgO</t>
  </si>
  <si>
    <t>CaO</t>
  </si>
  <si>
    <t>Na2O</t>
  </si>
  <si>
    <t>K2O</t>
  </si>
  <si>
    <t>Li2O</t>
  </si>
  <si>
    <t>H2O</t>
  </si>
  <si>
    <t>CO2</t>
  </si>
  <si>
    <t>Density model parameters</t>
  </si>
  <si>
    <r>
      <t>Partial molar volume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</si>
  <si>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Thermal expansion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K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</si>
  <si>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Compressibility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GPa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</si>
  <si>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Temperature /</t>
    </r>
    <r>
      <rPr>
        <sz val="11"/>
        <color theme="1"/>
        <rFont val="Calibri"/>
        <family val="2"/>
      </rPr>
      <t>°C</t>
    </r>
  </si>
  <si>
    <t>Pressure /Gpa</t>
  </si>
  <si>
    <t>Temperature /K</t>
  </si>
  <si>
    <t>Reference temperature /K</t>
  </si>
  <si>
    <t>Reference pressure /Gpa</t>
  </si>
  <si>
    <t>Sum</t>
  </si>
  <si>
    <t>Component mass /g</t>
  </si>
  <si>
    <t>Density /kg m-3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</si>
  <si>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/mol%</t>
    </r>
  </si>
  <si>
    <r>
      <t>Sum in square bracket 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</si>
  <si>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Product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mol%</t>
    </r>
  </si>
  <si>
    <r>
      <t>Molar mass /g 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</si>
  <si>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Density /g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</si>
  <si>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t>Phase</t>
  </si>
  <si>
    <t>Volume fraction</t>
  </si>
  <si>
    <t>Orthopyroxene</t>
  </si>
  <si>
    <t>Clinopyroxene</t>
  </si>
  <si>
    <t>Feldspar</t>
  </si>
  <si>
    <t>Melt</t>
  </si>
  <si>
    <r>
      <t>Density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</si>
  <si>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Product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</si>
  <si>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Magma density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</si>
  <si>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1a) Calculation of Unzen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melt density</t>
    </r>
  </si>
  <si>
    <r>
      <t>1b) Calculation of Unzen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melt density</t>
    </r>
  </si>
  <si>
    <r>
      <t>1c) Calculation of Unzen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magma density</t>
    </r>
  </si>
  <si>
    <t>Viscosity model parameters</t>
  </si>
  <si>
    <t>Fe</t>
  </si>
  <si>
    <t>MnO</t>
  </si>
  <si>
    <t>P2O5</t>
  </si>
  <si>
    <t>F2O</t>
  </si>
  <si>
    <t>A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</si>
  <si>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</si>
  <si>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</si>
  <si>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</si>
  <si>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</si>
  <si>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</si>
  <si>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</si>
  <si>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</si>
  <si>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</si>
  <si>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</si>
  <si>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</si>
  <si>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</si>
  <si>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</si>
  <si>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</si>
  <si>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</si>
  <si>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</si>
  <si>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</si>
  <si>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11</t>
    </r>
  </si>
  <si>
    <t>2a) Calculation of the Unzen2 magma viscosity</t>
  </si>
  <si>
    <t>M1</t>
  </si>
  <si>
    <t>M2</t>
  </si>
  <si>
    <t>M3</t>
  </si>
  <si>
    <t>M4</t>
  </si>
  <si>
    <t>M5</t>
  </si>
  <si>
    <t>M6</t>
  </si>
  <si>
    <t>M7</t>
  </si>
  <si>
    <t>N1</t>
  </si>
  <si>
    <t>N2</t>
  </si>
  <si>
    <t>N3</t>
  </si>
  <si>
    <t>N4</t>
  </si>
  <si>
    <t>N5</t>
  </si>
  <si>
    <t>N6</t>
  </si>
  <si>
    <t>M11</t>
  </si>
  <si>
    <t>M12</t>
  </si>
  <si>
    <t>M13</t>
  </si>
  <si>
    <t>C11</t>
  </si>
  <si>
    <t>B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</si>
  <si>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</si>
  <si>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</si>
  <si>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Viscosity /Pa s</t>
  </si>
  <si>
    <t>C</t>
  </si>
  <si>
    <t>2b) Calculation of the Unzen1 magma viscosity</t>
  </si>
  <si>
    <t>2c) Calculation of the viscosity of the Unzen 2 magma</t>
  </si>
  <si>
    <t>Total</t>
  </si>
  <si>
    <t>2d) Calculation of the yield stress</t>
  </si>
  <si>
    <t>Yield stress 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</si>
</sst>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1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17" workbookViewId="0">
      <selection activeCell="E35" sqref="E35"/>
    </sheetView>
  </sheetViews>
  <sheetFormatPr defaultRowHeight="14.5" x14ac:dyDescent="0.35"/>
  <cols>
    <col min="1" max="1" width="14.90625" customWidth="1"/>
    <col min="2" max="2" width="26.7265625" bestFit="1" customWidth="1"/>
    <col min="3" max="3" width="27.90625" bestFit="1" customWidth="1"/>
    <col min="4" max="4" width="27.08984375" bestFit="1" customWidth="1"/>
    <col min="5" max="5" width="17.6328125" bestFit="1" customWidth="1"/>
    <col min="6" max="6" width="23" bestFit="1" customWidth="1"/>
    <col min="7" max="7" width="21.81640625" bestFit="1" customWidth="1"/>
  </cols>
  <sheetData>
    <row r="1" spans="1:7" x14ac:dyDescent="0.35">
      <c r="A1" s="6" t="s">
        <v>13</v>
      </c>
      <c r="B1" s="6"/>
      <c r="C1" s="6"/>
      <c r="D1" s="6"/>
    </row>
    <row r="2" spans="1:7" ht="16.5" x14ac:dyDescent="0.35">
      <c r="A2" s="2" t="s">
        <v>0</v>
      </c>
      <c r="B2" s="2" t="s">
        <v>14</v>
      </c>
      <c r="C2" s="2" t="s">
        <v>15</v>
      </c>
      <c r="D2" s="2" t="s">
        <v>16</v>
      </c>
      <c r="F2" s="2" t="s">
        <v>20</v>
      </c>
      <c r="G2" s="2" t="s">
        <v>21</v>
      </c>
    </row>
    <row r="3" spans="1:7" x14ac:dyDescent="0.35">
      <c r="A3" t="s">
        <v>1</v>
      </c>
      <c r="B3" s="3">
        <v>2.686E-5</v>
      </c>
      <c r="C3" s="3">
        <v>0</v>
      </c>
      <c r="D3" s="3">
        <v>-1.8899999999999999E-6</v>
      </c>
      <c r="F3" s="1">
        <v>1673</v>
      </c>
      <c r="G3" s="1">
        <v>1E-4</v>
      </c>
    </row>
    <row r="4" spans="1:7" x14ac:dyDescent="0.35">
      <c r="A4" t="s">
        <v>2</v>
      </c>
      <c r="B4" s="3">
        <v>2.3159999999999998E-5</v>
      </c>
      <c r="C4" s="3">
        <v>7.2399999999999998E-9</v>
      </c>
      <c r="D4" s="3">
        <v>-2.3099999999999999E-6</v>
      </c>
    </row>
    <row r="5" spans="1:7" x14ac:dyDescent="0.35">
      <c r="A5" t="s">
        <v>3</v>
      </c>
      <c r="B5" s="3">
        <v>3.7419999999999997E-5</v>
      </c>
      <c r="C5" s="3">
        <v>0</v>
      </c>
      <c r="D5" s="3">
        <v>-2.3099999999999999E-6</v>
      </c>
    </row>
    <row r="6" spans="1:7" x14ac:dyDescent="0.35">
      <c r="A6" t="s">
        <v>4</v>
      </c>
      <c r="B6" s="3">
        <v>4.2129999999999998E-5</v>
      </c>
      <c r="C6" s="3">
        <v>9.0900000000000007E-9</v>
      </c>
      <c r="D6" s="3">
        <v>-2.5299999999999999E-6</v>
      </c>
    </row>
    <row r="7" spans="1:7" x14ac:dyDescent="0.35">
      <c r="A7" t="s">
        <v>5</v>
      </c>
      <c r="B7" s="3">
        <v>1.365E-5</v>
      </c>
      <c r="C7" s="3">
        <v>2.9199999999999998E-9</v>
      </c>
      <c r="D7" s="3">
        <v>-4.4999999999999998E-7</v>
      </c>
    </row>
    <row r="8" spans="1:7" x14ac:dyDescent="0.35">
      <c r="A8" t="s">
        <v>6</v>
      </c>
      <c r="B8" s="3">
        <v>1.169E-5</v>
      </c>
      <c r="C8" s="3">
        <v>3.2700000000000001E-9</v>
      </c>
      <c r="D8" s="3">
        <v>2.7000000000000001E-7</v>
      </c>
    </row>
    <row r="9" spans="1:7" x14ac:dyDescent="0.35">
      <c r="A9" t="s">
        <v>7</v>
      </c>
      <c r="B9" s="3">
        <v>1.6529999999999999E-5</v>
      </c>
      <c r="C9" s="3">
        <v>3.7399999999999999E-9</v>
      </c>
      <c r="D9" s="3">
        <v>3.3999999999999997E-7</v>
      </c>
    </row>
    <row r="10" spans="1:7" x14ac:dyDescent="0.35">
      <c r="A10" t="s">
        <v>8</v>
      </c>
      <c r="B10" s="3">
        <v>2.8880000000000001E-5</v>
      </c>
      <c r="C10" s="3">
        <v>7.6799999999999999E-9</v>
      </c>
      <c r="D10" s="3">
        <v>2.3999999999999999E-6</v>
      </c>
    </row>
    <row r="11" spans="1:7" x14ac:dyDescent="0.35">
      <c r="A11" t="s">
        <v>9</v>
      </c>
      <c r="B11" s="3">
        <v>4.507E-5</v>
      </c>
      <c r="C11" s="3">
        <v>1.208E-8</v>
      </c>
      <c r="D11" s="3">
        <v>-6.7499999999999997E-6</v>
      </c>
    </row>
    <row r="12" spans="1:7" x14ac:dyDescent="0.35">
      <c r="A12" t="s">
        <v>10</v>
      </c>
      <c r="B12" s="3">
        <v>1.685E-5</v>
      </c>
      <c r="C12" s="3">
        <v>5.2499999999999999E-9</v>
      </c>
      <c r="D12" s="3">
        <v>-1.02E-6</v>
      </c>
    </row>
    <row r="13" spans="1:7" x14ac:dyDescent="0.35">
      <c r="A13" t="s">
        <v>11</v>
      </c>
      <c r="B13" s="3">
        <v>2.6270000000000001E-5</v>
      </c>
      <c r="C13" s="3">
        <v>9.46E-9</v>
      </c>
      <c r="D13" s="3">
        <v>-3.1499999999999999E-6</v>
      </c>
    </row>
    <row r="14" spans="1:7" x14ac:dyDescent="0.35">
      <c r="A14" t="s">
        <v>12</v>
      </c>
      <c r="B14" s="3">
        <v>3.3000000000000003E-5</v>
      </c>
      <c r="C14" s="3">
        <v>0</v>
      </c>
      <c r="D14" s="3">
        <v>0</v>
      </c>
    </row>
    <row r="16" spans="1:7" ht="16.5" x14ac:dyDescent="0.35">
      <c r="A16" s="6" t="s">
        <v>39</v>
      </c>
      <c r="B16" s="6"/>
    </row>
    <row r="18" spans="1:6" ht="17.5" x14ac:dyDescent="0.45">
      <c r="A18" s="2" t="s">
        <v>0</v>
      </c>
      <c r="B18" s="2" t="s">
        <v>25</v>
      </c>
      <c r="C18" s="2" t="s">
        <v>26</v>
      </c>
      <c r="D18" s="2" t="s">
        <v>27</v>
      </c>
      <c r="E18" s="2" t="s">
        <v>28</v>
      </c>
      <c r="F18" s="2" t="s">
        <v>23</v>
      </c>
    </row>
    <row r="19" spans="1:6" x14ac:dyDescent="0.35">
      <c r="A19" t="s">
        <v>1</v>
      </c>
      <c r="B19">
        <v>67.430000000000007</v>
      </c>
      <c r="C19" s="1">
        <f t="shared" ref="C19:C30" si="0">B3+C3*($B$33-$F$3)+D3*($B$34-$G$3)</f>
        <v>2.3080189E-5</v>
      </c>
      <c r="D19" s="1">
        <f>B19*C19</f>
        <v>1.5562971442700001E-3</v>
      </c>
      <c r="E19">
        <f>28+2*16</f>
        <v>60</v>
      </c>
      <c r="F19">
        <f>B19*E19</f>
        <v>4045.8</v>
      </c>
    </row>
    <row r="20" spans="1:6" x14ac:dyDescent="0.35">
      <c r="A20" t="s">
        <v>2</v>
      </c>
      <c r="B20">
        <v>0.16</v>
      </c>
      <c r="C20" s="1">
        <f t="shared" si="0"/>
        <v>1.4016316999999998E-5</v>
      </c>
      <c r="D20" s="1">
        <f t="shared" ref="D20:D30" si="1">B20*C20</f>
        <v>2.2426107199999998E-6</v>
      </c>
      <c r="E20">
        <f>48+2*16</f>
        <v>80</v>
      </c>
      <c r="F20">
        <f t="shared" ref="F20:F30" si="2">B20*E20</f>
        <v>12.8</v>
      </c>
    </row>
    <row r="21" spans="1:6" x14ac:dyDescent="0.35">
      <c r="A21" t="s">
        <v>3</v>
      </c>
      <c r="B21">
        <v>6.86</v>
      </c>
      <c r="C21" s="1">
        <f t="shared" si="0"/>
        <v>3.2800230999999996E-5</v>
      </c>
      <c r="D21" s="1">
        <f t="shared" si="1"/>
        <v>2.2500958465999999E-4</v>
      </c>
      <c r="E21">
        <f>2*27+3*16</f>
        <v>102</v>
      </c>
      <c r="F21">
        <f t="shared" si="2"/>
        <v>699.72</v>
      </c>
    </row>
    <row r="22" spans="1:6" x14ac:dyDescent="0.35">
      <c r="A22" t="s">
        <v>4</v>
      </c>
      <c r="B22">
        <v>0.1</v>
      </c>
      <c r="C22" s="1">
        <f t="shared" si="0"/>
        <v>3.1390366499999995E-5</v>
      </c>
      <c r="D22" s="1">
        <f t="shared" si="1"/>
        <v>3.1390366499999997E-6</v>
      </c>
      <c r="E22">
        <f>2*56+2*16</f>
        <v>144</v>
      </c>
      <c r="F22">
        <f t="shared" si="2"/>
        <v>14.4</v>
      </c>
    </row>
    <row r="23" spans="1:6" x14ac:dyDescent="0.35">
      <c r="A23" t="s">
        <v>5</v>
      </c>
      <c r="B23">
        <v>0.54</v>
      </c>
      <c r="C23" s="1">
        <f t="shared" si="0"/>
        <v>1.0925483000000001E-5</v>
      </c>
      <c r="D23" s="1">
        <f t="shared" si="1"/>
        <v>5.8997608200000004E-6</v>
      </c>
      <c r="E23">
        <f>56+16</f>
        <v>72</v>
      </c>
      <c r="F23">
        <f t="shared" si="2"/>
        <v>38.880000000000003</v>
      </c>
    </row>
    <row r="24" spans="1:6" x14ac:dyDescent="0.35">
      <c r="A24" t="s">
        <v>6</v>
      </c>
      <c r="B24">
        <v>0.34</v>
      </c>
      <c r="C24" s="1">
        <f t="shared" si="0"/>
        <v>1.0186713500000001E-5</v>
      </c>
      <c r="D24" s="1">
        <f t="shared" si="1"/>
        <v>3.4634825900000005E-6</v>
      </c>
      <c r="E24">
        <f>124+16</f>
        <v>140</v>
      </c>
      <c r="F24">
        <f t="shared" si="2"/>
        <v>47.6</v>
      </c>
    </row>
    <row r="25" spans="1:6" x14ac:dyDescent="0.35">
      <c r="A25" t="s">
        <v>7</v>
      </c>
      <c r="B25">
        <v>2.29</v>
      </c>
      <c r="C25" s="1">
        <f t="shared" si="0"/>
        <v>1.4873027E-5</v>
      </c>
      <c r="D25" s="1">
        <f t="shared" si="1"/>
        <v>3.4059231830000001E-5</v>
      </c>
      <c r="E25">
        <f>40+16</f>
        <v>56</v>
      </c>
      <c r="F25">
        <f t="shared" si="2"/>
        <v>128.24</v>
      </c>
    </row>
    <row r="26" spans="1:6" x14ac:dyDescent="0.35">
      <c r="A26" t="s">
        <v>8</v>
      </c>
      <c r="B26">
        <v>2.29</v>
      </c>
      <c r="C26" s="1">
        <f t="shared" si="0"/>
        <v>2.8880912000000003E-5</v>
      </c>
      <c r="D26" s="1">
        <f t="shared" si="1"/>
        <v>6.6137288480000014E-5</v>
      </c>
      <c r="E26">
        <f>2*23+16</f>
        <v>62</v>
      </c>
      <c r="F26">
        <f t="shared" si="2"/>
        <v>141.97999999999999</v>
      </c>
    </row>
    <row r="27" spans="1:6" x14ac:dyDescent="0.35">
      <c r="A27" t="s">
        <v>9</v>
      </c>
      <c r="B27">
        <v>2.86</v>
      </c>
      <c r="C27" s="1">
        <f t="shared" si="0"/>
        <v>2.4022487000000004E-5</v>
      </c>
      <c r="D27" s="1">
        <f t="shared" si="1"/>
        <v>6.8704312820000004E-5</v>
      </c>
      <c r="E27">
        <f>2*39+16</f>
        <v>94</v>
      </c>
      <c r="F27">
        <f t="shared" si="2"/>
        <v>268.83999999999997</v>
      </c>
    </row>
    <row r="28" spans="1:6" x14ac:dyDescent="0.35">
      <c r="A28" t="s">
        <v>10</v>
      </c>
      <c r="B28">
        <v>0</v>
      </c>
      <c r="C28" s="1">
        <f t="shared" si="0"/>
        <v>1.15296395E-5</v>
      </c>
      <c r="D28" s="1">
        <f t="shared" si="1"/>
        <v>0</v>
      </c>
      <c r="E28">
        <f>2*7+16</f>
        <v>30</v>
      </c>
      <c r="F28">
        <f t="shared" si="2"/>
        <v>0</v>
      </c>
    </row>
    <row r="29" spans="1:6" x14ac:dyDescent="0.35">
      <c r="A29" t="s">
        <v>11</v>
      </c>
      <c r="B29">
        <v>16.57</v>
      </c>
      <c r="C29" s="1">
        <f t="shared" si="0"/>
        <v>1.4059234000000002E-5</v>
      </c>
      <c r="D29" s="1">
        <f t="shared" si="1"/>
        <v>2.3296150738000003E-4</v>
      </c>
      <c r="E29">
        <f>2+16</f>
        <v>18</v>
      </c>
      <c r="F29">
        <f t="shared" si="2"/>
        <v>298.26</v>
      </c>
    </row>
    <row r="30" spans="1:6" x14ac:dyDescent="0.35">
      <c r="A30" t="s">
        <v>12</v>
      </c>
      <c r="B30">
        <v>0</v>
      </c>
      <c r="C30" s="1">
        <f t="shared" si="0"/>
        <v>3.3000000000000003E-5</v>
      </c>
      <c r="D30" s="1">
        <f t="shared" si="1"/>
        <v>0</v>
      </c>
      <c r="E30">
        <f>12+2*16</f>
        <v>44</v>
      </c>
      <c r="F30">
        <f t="shared" si="2"/>
        <v>0</v>
      </c>
    </row>
    <row r="31" spans="1:6" x14ac:dyDescent="0.35">
      <c r="C31" s="4" t="s">
        <v>22</v>
      </c>
      <c r="D31" s="1">
        <f>SUM(D19:D30)</f>
        <v>2.19791396022E-3</v>
      </c>
      <c r="E31" s="2" t="s">
        <v>22</v>
      </c>
      <c r="F31">
        <f>SUM(F19:F30)</f>
        <v>5696.52</v>
      </c>
    </row>
    <row r="32" spans="1:6" x14ac:dyDescent="0.35">
      <c r="A32" t="s">
        <v>17</v>
      </c>
      <c r="B32">
        <v>775</v>
      </c>
    </row>
    <row r="33" spans="1:6" x14ac:dyDescent="0.35">
      <c r="A33" t="s">
        <v>19</v>
      </c>
      <c r="B33">
        <f>B32+273.15</f>
        <v>1048.1500000000001</v>
      </c>
    </row>
    <row r="34" spans="1:6" ht="16.5" x14ac:dyDescent="0.35">
      <c r="A34" t="s">
        <v>18</v>
      </c>
      <c r="B34">
        <v>2</v>
      </c>
      <c r="D34" s="2" t="s">
        <v>29</v>
      </c>
      <c r="E34" s="1">
        <f>F31/D31</f>
        <v>2591784.8028181265</v>
      </c>
    </row>
    <row r="35" spans="1:6" x14ac:dyDescent="0.35">
      <c r="D35" s="2" t="s">
        <v>24</v>
      </c>
      <c r="E35" s="1">
        <f>E34/1000</f>
        <v>2591.7848028181265</v>
      </c>
    </row>
    <row r="39" spans="1:6" ht="16.5" x14ac:dyDescent="0.35">
      <c r="A39" s="6" t="s">
        <v>40</v>
      </c>
      <c r="B39" s="6"/>
    </row>
    <row r="41" spans="1:6" ht="17.5" x14ac:dyDescent="0.45">
      <c r="A41" s="2" t="s">
        <v>0</v>
      </c>
      <c r="B41" s="2" t="s">
        <v>25</v>
      </c>
      <c r="C41" s="2" t="s">
        <v>26</v>
      </c>
      <c r="D41" s="2" t="s">
        <v>27</v>
      </c>
      <c r="E41" s="2" t="s">
        <v>28</v>
      </c>
      <c r="F41" s="2" t="s">
        <v>23</v>
      </c>
    </row>
    <row r="42" spans="1:6" x14ac:dyDescent="0.35">
      <c r="A42" t="s">
        <v>1</v>
      </c>
      <c r="B42">
        <v>53.5</v>
      </c>
      <c r="C42" s="1">
        <f>B3+C3*($B$56-$F$3)+D3*($B$57-$G$3)</f>
        <v>2.3080189E-5</v>
      </c>
      <c r="D42" s="1">
        <f>B42*C42</f>
        <v>1.2347901114999999E-3</v>
      </c>
      <c r="E42">
        <f>28+2*16</f>
        <v>60</v>
      </c>
      <c r="F42">
        <f>B42*E42</f>
        <v>3210</v>
      </c>
    </row>
    <row r="43" spans="1:6" x14ac:dyDescent="0.35">
      <c r="A43" t="s">
        <v>2</v>
      </c>
      <c r="B43">
        <v>1.23</v>
      </c>
      <c r="C43" s="1">
        <f t="shared" ref="C43:C53" si="3">B4+C4*($B$56-$F$3)+D4*($B$57-$G$3)</f>
        <v>1.6217277000000002E-5</v>
      </c>
      <c r="D43" s="1">
        <f t="shared" ref="D43:D53" si="4">B43*C43</f>
        <v>1.9947250710000002E-5</v>
      </c>
      <c r="E43">
        <f>48+2*16</f>
        <v>80</v>
      </c>
      <c r="F43">
        <f t="shared" ref="F43:F53" si="5">B43*E43</f>
        <v>98.4</v>
      </c>
    </row>
    <row r="44" spans="1:6" x14ac:dyDescent="0.35">
      <c r="A44" t="s">
        <v>3</v>
      </c>
      <c r="B44">
        <v>10.49</v>
      </c>
      <c r="C44" s="1">
        <f t="shared" si="3"/>
        <v>3.2800230999999996E-5</v>
      </c>
      <c r="D44" s="1">
        <f t="shared" si="4"/>
        <v>3.4407442318999996E-4</v>
      </c>
      <c r="E44">
        <f>2*27+3*16</f>
        <v>102</v>
      </c>
      <c r="F44">
        <f t="shared" si="5"/>
        <v>1069.98</v>
      </c>
    </row>
    <row r="45" spans="1:6" x14ac:dyDescent="0.35">
      <c r="A45" t="s">
        <v>4</v>
      </c>
      <c r="B45">
        <v>0.1</v>
      </c>
      <c r="C45" s="1">
        <f t="shared" si="3"/>
        <v>3.4153726499999994E-5</v>
      </c>
      <c r="D45" s="1">
        <f t="shared" si="4"/>
        <v>3.4153726499999996E-6</v>
      </c>
      <c r="E45">
        <f>2*56+2*16</f>
        <v>144</v>
      </c>
      <c r="F45">
        <f t="shared" si="5"/>
        <v>14.4</v>
      </c>
    </row>
    <row r="46" spans="1:6" x14ac:dyDescent="0.35">
      <c r="A46" t="s">
        <v>5</v>
      </c>
      <c r="B46">
        <v>0.54</v>
      </c>
      <c r="C46" s="1">
        <f t="shared" si="3"/>
        <v>1.1813162999999999E-5</v>
      </c>
      <c r="D46" s="1">
        <f t="shared" si="4"/>
        <v>6.3791080200000003E-6</v>
      </c>
      <c r="E46">
        <f>56+16</f>
        <v>72</v>
      </c>
      <c r="F46">
        <f t="shared" si="5"/>
        <v>38.880000000000003</v>
      </c>
    </row>
    <row r="47" spans="1:6" x14ac:dyDescent="0.35">
      <c r="A47" t="s">
        <v>6</v>
      </c>
      <c r="B47">
        <v>6.79</v>
      </c>
      <c r="C47" s="1">
        <f t="shared" si="3"/>
        <v>1.11807935E-5</v>
      </c>
      <c r="D47" s="1">
        <f t="shared" si="4"/>
        <v>7.5917587865000004E-5</v>
      </c>
      <c r="E47">
        <f>124+16</f>
        <v>140</v>
      </c>
      <c r="F47">
        <f t="shared" si="5"/>
        <v>950.6</v>
      </c>
    </row>
    <row r="48" spans="1:6" x14ac:dyDescent="0.35">
      <c r="A48" t="s">
        <v>7</v>
      </c>
      <c r="B48">
        <v>2.2000000000000002</v>
      </c>
      <c r="C48" s="1">
        <f t="shared" si="3"/>
        <v>1.6009987000000002E-5</v>
      </c>
      <c r="D48" s="1">
        <f t="shared" si="4"/>
        <v>3.522197140000001E-5</v>
      </c>
      <c r="E48">
        <f>40+16</f>
        <v>56</v>
      </c>
      <c r="F48">
        <f t="shared" si="5"/>
        <v>123.20000000000002</v>
      </c>
    </row>
    <row r="49" spans="1:6" x14ac:dyDescent="0.35">
      <c r="A49" t="s">
        <v>8</v>
      </c>
      <c r="B49">
        <v>2.29</v>
      </c>
      <c r="C49" s="1">
        <f t="shared" si="3"/>
        <v>3.1215632000000001E-5</v>
      </c>
      <c r="D49" s="1">
        <f t="shared" si="4"/>
        <v>7.1483797280000002E-5</v>
      </c>
      <c r="E49">
        <f>2*23+16</f>
        <v>62</v>
      </c>
      <c r="F49">
        <f t="shared" si="5"/>
        <v>141.97999999999999</v>
      </c>
    </row>
    <row r="50" spans="1:6" x14ac:dyDescent="0.35">
      <c r="A50" t="s">
        <v>9</v>
      </c>
      <c r="B50">
        <v>2.86</v>
      </c>
      <c r="C50" s="1">
        <f t="shared" si="3"/>
        <v>2.7694807E-5</v>
      </c>
      <c r="D50" s="1">
        <f t="shared" si="4"/>
        <v>7.920714802E-5</v>
      </c>
      <c r="E50">
        <f>2*39+16</f>
        <v>94</v>
      </c>
      <c r="F50">
        <f t="shared" si="5"/>
        <v>268.83999999999997</v>
      </c>
    </row>
    <row r="51" spans="1:6" x14ac:dyDescent="0.35">
      <c r="A51" t="s">
        <v>10</v>
      </c>
      <c r="B51">
        <v>0</v>
      </c>
      <c r="C51" s="1">
        <f t="shared" si="3"/>
        <v>1.31256395E-5</v>
      </c>
      <c r="D51" s="1">
        <f t="shared" si="4"/>
        <v>0</v>
      </c>
      <c r="E51">
        <f>2*7+16</f>
        <v>30</v>
      </c>
      <c r="F51">
        <f t="shared" si="5"/>
        <v>0</v>
      </c>
    </row>
    <row r="52" spans="1:6" x14ac:dyDescent="0.35">
      <c r="A52" t="s">
        <v>11</v>
      </c>
      <c r="B52">
        <v>20</v>
      </c>
      <c r="C52" s="1">
        <f t="shared" si="3"/>
        <v>1.6935074000000002E-5</v>
      </c>
      <c r="D52" s="1">
        <f t="shared" si="4"/>
        <v>3.3870148000000004E-4</v>
      </c>
      <c r="E52">
        <f>2+16</f>
        <v>18</v>
      </c>
      <c r="F52">
        <f t="shared" si="5"/>
        <v>360</v>
      </c>
    </row>
    <row r="53" spans="1:6" x14ac:dyDescent="0.35">
      <c r="A53" t="s">
        <v>12</v>
      </c>
      <c r="B53">
        <v>0</v>
      </c>
      <c r="C53" s="1">
        <f t="shared" si="3"/>
        <v>3.3000000000000003E-5</v>
      </c>
      <c r="D53" s="1">
        <f t="shared" si="4"/>
        <v>0</v>
      </c>
      <c r="E53">
        <f>12+2*16</f>
        <v>44</v>
      </c>
      <c r="F53">
        <f t="shared" si="5"/>
        <v>0</v>
      </c>
    </row>
    <row r="54" spans="1:6" x14ac:dyDescent="0.35">
      <c r="C54" s="4" t="s">
        <v>22</v>
      </c>
      <c r="D54" s="1">
        <f>SUM(D42:D53)</f>
        <v>2.209138250635E-3</v>
      </c>
      <c r="E54" s="2" t="s">
        <v>22</v>
      </c>
      <c r="F54">
        <f>SUM(F42:F53)</f>
        <v>6276.28</v>
      </c>
    </row>
    <row r="55" spans="1:6" x14ac:dyDescent="0.35">
      <c r="A55" t="s">
        <v>17</v>
      </c>
      <c r="B55">
        <v>1079</v>
      </c>
    </row>
    <row r="56" spans="1:6" x14ac:dyDescent="0.35">
      <c r="A56" t="s">
        <v>19</v>
      </c>
      <c r="B56">
        <f>B55+273.15</f>
        <v>1352.15</v>
      </c>
    </row>
    <row r="57" spans="1:6" ht="16.5" x14ac:dyDescent="0.35">
      <c r="A57" t="s">
        <v>18</v>
      </c>
      <c r="B57">
        <v>2</v>
      </c>
      <c r="D57" s="2" t="s">
        <v>29</v>
      </c>
      <c r="E57" s="1">
        <f>F54/D54</f>
        <v>2841053.5185817052</v>
      </c>
    </row>
    <row r="58" spans="1:6" x14ac:dyDescent="0.35">
      <c r="D58" s="2" t="s">
        <v>24</v>
      </c>
      <c r="E58" s="1">
        <f>E57/1000</f>
        <v>2841.0535185817052</v>
      </c>
    </row>
    <row r="62" spans="1:6" ht="16.5" x14ac:dyDescent="0.35">
      <c r="A62" s="6" t="s">
        <v>41</v>
      </c>
      <c r="B62" s="6"/>
    </row>
    <row r="64" spans="1:6" ht="16.5" x14ac:dyDescent="0.35">
      <c r="A64" s="2" t="s">
        <v>30</v>
      </c>
      <c r="B64" s="2" t="s">
        <v>31</v>
      </c>
      <c r="C64" s="2" t="s">
        <v>36</v>
      </c>
      <c r="D64" s="2" t="s">
        <v>37</v>
      </c>
    </row>
    <row r="65" spans="1:4" x14ac:dyDescent="0.35">
      <c r="A65" t="s">
        <v>32</v>
      </c>
      <c r="B65">
        <v>7.0000000000000007E-2</v>
      </c>
      <c r="C65">
        <v>3520</v>
      </c>
      <c r="D65">
        <f>B65*C65</f>
        <v>246.40000000000003</v>
      </c>
    </row>
    <row r="66" spans="1:4" x14ac:dyDescent="0.35">
      <c r="A66" t="s">
        <v>33</v>
      </c>
      <c r="B66">
        <v>0.02</v>
      </c>
      <c r="C66">
        <v>3350</v>
      </c>
      <c r="D66">
        <f t="shared" ref="D66:D68" si="6">B66*C66</f>
        <v>67</v>
      </c>
    </row>
    <row r="67" spans="1:4" x14ac:dyDescent="0.35">
      <c r="A67" t="s">
        <v>34</v>
      </c>
      <c r="B67">
        <v>0.3</v>
      </c>
      <c r="C67">
        <v>2620</v>
      </c>
      <c r="D67">
        <f t="shared" si="6"/>
        <v>786</v>
      </c>
    </row>
    <row r="68" spans="1:4" x14ac:dyDescent="0.35">
      <c r="A68" t="s">
        <v>35</v>
      </c>
      <c r="B68">
        <f>1-SUM(B65:B67)</f>
        <v>0.61</v>
      </c>
      <c r="C68" s="1">
        <f>E35</f>
        <v>2591.7848028181265</v>
      </c>
      <c r="D68">
        <f t="shared" si="6"/>
        <v>1580.9887297190571</v>
      </c>
    </row>
    <row r="69" spans="1:4" ht="16.5" x14ac:dyDescent="0.35">
      <c r="C69" s="2" t="s">
        <v>38</v>
      </c>
      <c r="D69">
        <f>SUM(D65:D68)</f>
        <v>2680.3887297190572</v>
      </c>
    </row>
  </sheetData>
  <mergeCells count="4">
    <mergeCell ref="A1:D1"/>
    <mergeCell ref="A16:B16"/>
    <mergeCell ref="A39:B39"/>
    <mergeCell ref="A62:B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38" workbookViewId="0">
      <selection activeCell="B43" sqref="B43"/>
    </sheetView>
  </sheetViews>
  <sheetFormatPr defaultRowHeight="14.5" x14ac:dyDescent="0.35"/>
  <cols>
    <col min="1" max="1" width="14.08984375" bestFit="1" customWidth="1"/>
    <col min="2" max="2" width="14.1796875" bestFit="1" customWidth="1"/>
    <col min="4" max="4" width="12.7265625" bestFit="1" customWidth="1"/>
    <col min="8" max="8" width="12.453125" bestFit="1" customWidth="1"/>
    <col min="12" max="12" width="12.7265625" bestFit="1" customWidth="1"/>
  </cols>
  <sheetData>
    <row r="1" spans="1:5" x14ac:dyDescent="0.35">
      <c r="A1" s="6" t="s">
        <v>42</v>
      </c>
      <c r="B1" s="6"/>
      <c r="C1" s="6"/>
      <c r="D1" s="6"/>
      <c r="E1" s="6"/>
    </row>
    <row r="3" spans="1:5" x14ac:dyDescent="0.35">
      <c r="A3" s="2" t="s">
        <v>47</v>
      </c>
      <c r="B3">
        <v>-4.55</v>
      </c>
    </row>
    <row r="5" spans="1:5" ht="16.5" x14ac:dyDescent="0.45">
      <c r="A5" s="2" t="s">
        <v>48</v>
      </c>
      <c r="B5">
        <v>159.6</v>
      </c>
      <c r="D5" s="2" t="s">
        <v>58</v>
      </c>
      <c r="E5">
        <v>2.75</v>
      </c>
    </row>
    <row r="6" spans="1:5" ht="16.5" x14ac:dyDescent="0.45">
      <c r="A6" s="2" t="s">
        <v>49</v>
      </c>
      <c r="B6">
        <v>-173.3</v>
      </c>
      <c r="D6" s="2" t="s">
        <v>59</v>
      </c>
      <c r="E6">
        <v>15.7</v>
      </c>
    </row>
    <row r="7" spans="1:5" ht="16.5" x14ac:dyDescent="0.45">
      <c r="A7" s="2" t="s">
        <v>50</v>
      </c>
      <c r="B7">
        <v>72.099999999999994</v>
      </c>
      <c r="D7" s="2" t="s">
        <v>60</v>
      </c>
      <c r="E7">
        <v>8.3000000000000007</v>
      </c>
    </row>
    <row r="8" spans="1:5" ht="16.5" x14ac:dyDescent="0.45">
      <c r="A8" s="2" t="s">
        <v>51</v>
      </c>
      <c r="B8">
        <v>75.7</v>
      </c>
      <c r="D8" s="2" t="s">
        <v>61</v>
      </c>
      <c r="E8">
        <v>10.199999999999999</v>
      </c>
    </row>
    <row r="9" spans="1:5" ht="16.5" x14ac:dyDescent="0.45">
      <c r="A9" s="2" t="s">
        <v>52</v>
      </c>
      <c r="B9">
        <v>-39.9</v>
      </c>
      <c r="D9" s="2" t="s">
        <v>62</v>
      </c>
      <c r="E9">
        <v>-12.3</v>
      </c>
    </row>
    <row r="10" spans="1:5" ht="16.5" x14ac:dyDescent="0.45">
      <c r="A10" s="2" t="s">
        <v>53</v>
      </c>
      <c r="B10">
        <v>-84.1</v>
      </c>
      <c r="D10" s="2" t="s">
        <v>63</v>
      </c>
      <c r="E10">
        <v>-99.1</v>
      </c>
    </row>
    <row r="11" spans="1:5" ht="16.5" x14ac:dyDescent="0.45">
      <c r="A11" s="2" t="s">
        <v>54</v>
      </c>
      <c r="B11">
        <v>141.5</v>
      </c>
    </row>
    <row r="13" spans="1:5" ht="16.5" x14ac:dyDescent="0.45">
      <c r="A13" s="2" t="s">
        <v>55</v>
      </c>
      <c r="B13">
        <v>-2.4300000000000002</v>
      </c>
      <c r="D13" s="2" t="s">
        <v>64</v>
      </c>
      <c r="E13">
        <v>0.3</v>
      </c>
    </row>
    <row r="14" spans="1:5" ht="16.5" x14ac:dyDescent="0.45">
      <c r="A14" s="2" t="s">
        <v>56</v>
      </c>
      <c r="B14">
        <v>-0.91</v>
      </c>
    </row>
    <row r="15" spans="1:5" ht="16.5" x14ac:dyDescent="0.45">
      <c r="A15" s="2" t="s">
        <v>57</v>
      </c>
      <c r="B15">
        <v>17.600000000000001</v>
      </c>
    </row>
    <row r="17" spans="1:11" x14ac:dyDescent="0.35">
      <c r="A17" s="6" t="s">
        <v>65</v>
      </c>
      <c r="B17" s="6"/>
      <c r="C17" s="6"/>
      <c r="D17" s="6"/>
      <c r="E17" s="6"/>
    </row>
    <row r="18" spans="1:11" ht="16.5" x14ac:dyDescent="0.45">
      <c r="F18" s="2" t="s">
        <v>84</v>
      </c>
      <c r="G18" s="2"/>
      <c r="J18" s="2" t="s">
        <v>85</v>
      </c>
    </row>
    <row r="19" spans="1:11" ht="16.5" x14ac:dyDescent="0.45">
      <c r="A19" s="2" t="s">
        <v>0</v>
      </c>
      <c r="B19" s="2" t="s">
        <v>25</v>
      </c>
      <c r="D19" s="2" t="s">
        <v>66</v>
      </c>
      <c r="E19">
        <f>B20+B21</f>
        <v>54.73</v>
      </c>
      <c r="F19">
        <f>B5*E19</f>
        <v>8734.9079999999994</v>
      </c>
      <c r="H19" s="2" t="s">
        <v>73</v>
      </c>
      <c r="I19">
        <f>B20</f>
        <v>53.5</v>
      </c>
      <c r="J19">
        <f>E5*I19</f>
        <v>147.125</v>
      </c>
      <c r="K19" s="2"/>
    </row>
    <row r="20" spans="1:11" x14ac:dyDescent="0.35">
      <c r="A20" s="5" t="s">
        <v>1</v>
      </c>
      <c r="B20">
        <v>53.5</v>
      </c>
      <c r="D20" s="2" t="s">
        <v>67</v>
      </c>
      <c r="E20">
        <f>B22</f>
        <v>10.49</v>
      </c>
      <c r="F20">
        <f t="shared" ref="F20:F25" si="0">B6*E20</f>
        <v>-1817.9170000000001</v>
      </c>
      <c r="H20" s="2" t="s">
        <v>74</v>
      </c>
      <c r="I20">
        <f>B21+B22</f>
        <v>11.72</v>
      </c>
      <c r="J20">
        <f t="shared" ref="J20:J24" si="1">E6*I20</f>
        <v>184.00399999999999</v>
      </c>
    </row>
    <row r="21" spans="1:11" x14ac:dyDescent="0.35">
      <c r="A21" s="5" t="s">
        <v>2</v>
      </c>
      <c r="B21">
        <v>1.23</v>
      </c>
      <c r="D21" s="2" t="s">
        <v>68</v>
      </c>
      <c r="E21">
        <f>B23+B24+B25</f>
        <v>1.76</v>
      </c>
      <c r="F21">
        <f t="shared" si="0"/>
        <v>126.89599999999999</v>
      </c>
      <c r="H21" s="2" t="s">
        <v>75</v>
      </c>
      <c r="I21">
        <f>B23+B24+B26</f>
        <v>8.48</v>
      </c>
      <c r="J21">
        <f t="shared" si="1"/>
        <v>70.384000000000015</v>
      </c>
    </row>
    <row r="22" spans="1:11" x14ac:dyDescent="0.35">
      <c r="A22" s="5" t="s">
        <v>3</v>
      </c>
      <c r="B22">
        <v>10.49</v>
      </c>
      <c r="D22" s="2" t="s">
        <v>69</v>
      </c>
      <c r="E22">
        <f>B26</f>
        <v>6.79</v>
      </c>
      <c r="F22">
        <f t="shared" si="0"/>
        <v>514.00300000000004</v>
      </c>
      <c r="H22" s="2" t="s">
        <v>76</v>
      </c>
      <c r="I22">
        <f>B27</f>
        <v>2.2000000000000002</v>
      </c>
      <c r="J22">
        <f t="shared" si="1"/>
        <v>22.44</v>
      </c>
    </row>
    <row r="23" spans="1:11" x14ac:dyDescent="0.35">
      <c r="A23" s="5" t="s">
        <v>43</v>
      </c>
      <c r="B23">
        <v>1.54</v>
      </c>
      <c r="D23" s="2" t="s">
        <v>70</v>
      </c>
      <c r="E23">
        <f>B27</f>
        <v>2.2000000000000002</v>
      </c>
      <c r="F23">
        <f t="shared" si="0"/>
        <v>-87.78</v>
      </c>
      <c r="H23" s="2" t="s">
        <v>77</v>
      </c>
      <c r="I23">
        <f>B28+B31</f>
        <v>5.15</v>
      </c>
      <c r="J23">
        <f t="shared" si="1"/>
        <v>-63.345000000000006</v>
      </c>
    </row>
    <row r="24" spans="1:11" x14ac:dyDescent="0.35">
      <c r="A24" s="5" t="s">
        <v>44</v>
      </c>
      <c r="B24">
        <v>0.15</v>
      </c>
      <c r="D24" s="2" t="s">
        <v>71</v>
      </c>
      <c r="E24">
        <f>B28+B29+B30</f>
        <v>22.29</v>
      </c>
      <c r="F24">
        <f t="shared" si="0"/>
        <v>-1874.5889999999997</v>
      </c>
      <c r="H24" s="2" t="s">
        <v>78</v>
      </c>
      <c r="I24">
        <f>LN(1+B29+B30)</f>
        <v>3.044522437723423</v>
      </c>
      <c r="J24">
        <f t="shared" si="1"/>
        <v>-301.71217357839123</v>
      </c>
    </row>
    <row r="25" spans="1:11" x14ac:dyDescent="0.35">
      <c r="A25" s="5" t="s">
        <v>45</v>
      </c>
      <c r="B25">
        <v>7.0000000000000007E-2</v>
      </c>
      <c r="D25" s="2" t="s">
        <v>72</v>
      </c>
      <c r="E25">
        <f>B29+B30+LN(1+B29)</f>
        <v>23.044522437723423</v>
      </c>
      <c r="F25">
        <f t="shared" si="0"/>
        <v>3260.7999249378645</v>
      </c>
      <c r="H25" s="2"/>
      <c r="I25" s="2" t="s">
        <v>22</v>
      </c>
      <c r="J25">
        <f>SUM(J19:J24)</f>
        <v>58.895826421608774</v>
      </c>
    </row>
    <row r="26" spans="1:11" x14ac:dyDescent="0.35">
      <c r="A26" s="5" t="s">
        <v>6</v>
      </c>
      <c r="B26">
        <v>6.79</v>
      </c>
      <c r="E26" s="2" t="s">
        <v>22</v>
      </c>
      <c r="F26">
        <f>SUM(F19:F25)</f>
        <v>8856.3209249378633</v>
      </c>
    </row>
    <row r="27" spans="1:11" x14ac:dyDescent="0.35">
      <c r="A27" s="5" t="s">
        <v>7</v>
      </c>
      <c r="B27">
        <v>2.2000000000000002</v>
      </c>
      <c r="D27" s="2"/>
    </row>
    <row r="28" spans="1:11" x14ac:dyDescent="0.35">
      <c r="A28" s="5" t="s">
        <v>8</v>
      </c>
      <c r="B28">
        <v>2.29</v>
      </c>
      <c r="D28" s="2" t="s">
        <v>79</v>
      </c>
      <c r="E28">
        <f>E19*I21</f>
        <v>464.11039999999997</v>
      </c>
      <c r="F28">
        <f>E28*B13</f>
        <v>-1127.788272</v>
      </c>
      <c r="H28" s="2" t="s">
        <v>82</v>
      </c>
      <c r="I28">
        <f>(E20+I21+I22-B25)*(I23+B29+B30)</f>
        <v>530.66499999999996</v>
      </c>
      <c r="J28">
        <f>E13*I28</f>
        <v>159.19949999999997</v>
      </c>
    </row>
    <row r="29" spans="1:11" x14ac:dyDescent="0.35">
      <c r="A29" s="5" t="s">
        <v>11</v>
      </c>
      <c r="B29">
        <v>20</v>
      </c>
      <c r="D29" s="2" t="s">
        <v>80</v>
      </c>
      <c r="E29">
        <f>(I19+I20+B25)*(I23+B29)</f>
        <v>1642.0434999999998</v>
      </c>
      <c r="F29">
        <f>E29*B14</f>
        <v>-1494.2595849999998</v>
      </c>
    </row>
    <row r="30" spans="1:11" x14ac:dyDescent="0.35">
      <c r="A30" s="5" t="s">
        <v>46</v>
      </c>
      <c r="B30">
        <v>0</v>
      </c>
      <c r="D30" s="2" t="s">
        <v>81</v>
      </c>
      <c r="E30">
        <f>E20*I23</f>
        <v>54.023500000000006</v>
      </c>
      <c r="F30">
        <f>E30*B15</f>
        <v>950.81360000000018</v>
      </c>
    </row>
    <row r="31" spans="1:11" x14ac:dyDescent="0.35">
      <c r="A31" s="5" t="s">
        <v>9</v>
      </c>
      <c r="B31">
        <v>2.86</v>
      </c>
      <c r="E31" s="2" t="s">
        <v>22</v>
      </c>
      <c r="F31">
        <f>SUM(F28:F30)</f>
        <v>-1671.2342569999994</v>
      </c>
    </row>
    <row r="33" spans="1:13" x14ac:dyDescent="0.35">
      <c r="A33" s="2" t="s">
        <v>19</v>
      </c>
      <c r="B33">
        <v>1352.15</v>
      </c>
      <c r="E33" s="2" t="s">
        <v>83</v>
      </c>
      <c r="F33">
        <f>F26+F31</f>
        <v>7185.0866679378641</v>
      </c>
      <c r="H33" s="2"/>
      <c r="I33" s="2" t="s">
        <v>87</v>
      </c>
      <c r="J33">
        <f>J25+J28</f>
        <v>218.09532642160875</v>
      </c>
      <c r="L33" s="2" t="s">
        <v>86</v>
      </c>
      <c r="M33">
        <f>10^(B3+F33/(B33-J33))</f>
        <v>61.059015423788821</v>
      </c>
    </row>
    <row r="35" spans="1:13" x14ac:dyDescent="0.35">
      <c r="A35" s="6" t="s">
        <v>88</v>
      </c>
      <c r="B35" s="6"/>
      <c r="C35" s="6"/>
      <c r="D35" s="6"/>
      <c r="E35" s="6"/>
    </row>
    <row r="37" spans="1:13" ht="16.5" x14ac:dyDescent="0.45">
      <c r="F37" s="2" t="s">
        <v>84</v>
      </c>
      <c r="G37" s="2"/>
      <c r="J37" s="2" t="s">
        <v>85</v>
      </c>
    </row>
    <row r="38" spans="1:13" ht="16.5" x14ac:dyDescent="0.45">
      <c r="A38" s="2" t="s">
        <v>0</v>
      </c>
      <c r="B38" s="2" t="s">
        <v>25</v>
      </c>
      <c r="D38" s="2" t="s">
        <v>66</v>
      </c>
      <c r="E38">
        <f>B39+B40</f>
        <v>67.59</v>
      </c>
      <c r="F38">
        <f t="shared" ref="F38:F44" si="2">B5*E38</f>
        <v>10787.364</v>
      </c>
      <c r="H38" s="2" t="s">
        <v>73</v>
      </c>
      <c r="I38">
        <f>B39</f>
        <v>67.430000000000007</v>
      </c>
      <c r="J38">
        <f t="shared" ref="J38:J43" si="3">E5*I38</f>
        <v>185.4325</v>
      </c>
      <c r="K38" s="2"/>
    </row>
    <row r="39" spans="1:13" x14ac:dyDescent="0.35">
      <c r="A39" s="5" t="s">
        <v>1</v>
      </c>
      <c r="B39">
        <v>67.430000000000007</v>
      </c>
      <c r="D39" s="2" t="s">
        <v>67</v>
      </c>
      <c r="E39">
        <f>B41</f>
        <v>6.86</v>
      </c>
      <c r="F39">
        <f t="shared" si="2"/>
        <v>-1188.8380000000002</v>
      </c>
      <c r="H39" s="2" t="s">
        <v>74</v>
      </c>
      <c r="I39">
        <f>B40+B41</f>
        <v>7.0200000000000005</v>
      </c>
      <c r="J39">
        <f t="shared" si="3"/>
        <v>110.214</v>
      </c>
    </row>
    <row r="40" spans="1:13" x14ac:dyDescent="0.35">
      <c r="A40" s="5" t="s">
        <v>2</v>
      </c>
      <c r="B40">
        <v>0.16</v>
      </c>
      <c r="D40" s="2" t="s">
        <v>68</v>
      </c>
      <c r="E40">
        <f>B42+B43+B44</f>
        <v>0.47000000000000003</v>
      </c>
      <c r="F40">
        <f t="shared" si="2"/>
        <v>33.887</v>
      </c>
      <c r="H40" s="2" t="s">
        <v>75</v>
      </c>
      <c r="I40">
        <f>B42+B43+B45</f>
        <v>0.74</v>
      </c>
      <c r="J40">
        <f t="shared" si="3"/>
        <v>6.1420000000000003</v>
      </c>
    </row>
    <row r="41" spans="1:13" x14ac:dyDescent="0.35">
      <c r="A41" s="5" t="s">
        <v>3</v>
      </c>
      <c r="B41">
        <v>6.86</v>
      </c>
      <c r="D41" s="2" t="s">
        <v>69</v>
      </c>
      <c r="E41">
        <f>B45</f>
        <v>0.34</v>
      </c>
      <c r="F41">
        <f t="shared" si="2"/>
        <v>25.738000000000003</v>
      </c>
      <c r="H41" s="2" t="s">
        <v>76</v>
      </c>
      <c r="I41">
        <f>B46</f>
        <v>2.29</v>
      </c>
      <c r="J41">
        <f t="shared" si="3"/>
        <v>23.357999999999997</v>
      </c>
    </row>
    <row r="42" spans="1:13" x14ac:dyDescent="0.35">
      <c r="A42" s="5" t="s">
        <v>43</v>
      </c>
      <c r="B42">
        <v>0.25</v>
      </c>
      <c r="D42" s="2" t="s">
        <v>70</v>
      </c>
      <c r="E42">
        <f>B46</f>
        <v>2.29</v>
      </c>
      <c r="F42">
        <f t="shared" si="2"/>
        <v>-91.370999999999995</v>
      </c>
      <c r="H42" s="2" t="s">
        <v>77</v>
      </c>
      <c r="I42">
        <f>B47+B50</f>
        <v>5.15</v>
      </c>
      <c r="J42">
        <f t="shared" si="3"/>
        <v>-63.345000000000006</v>
      </c>
    </row>
    <row r="43" spans="1:13" x14ac:dyDescent="0.35">
      <c r="A43" s="5" t="s">
        <v>44</v>
      </c>
      <c r="B43">
        <v>0.15</v>
      </c>
      <c r="D43" s="2" t="s">
        <v>71</v>
      </c>
      <c r="E43">
        <f>B47+B48+B49</f>
        <v>18.86</v>
      </c>
      <c r="F43">
        <f t="shared" si="2"/>
        <v>-1586.1259999999997</v>
      </c>
      <c r="H43" s="2" t="s">
        <v>78</v>
      </c>
      <c r="I43">
        <f>LN(1+B48+B49)</f>
        <v>2.866192902199006</v>
      </c>
      <c r="J43">
        <f t="shared" si="3"/>
        <v>-284.03971660792149</v>
      </c>
    </row>
    <row r="44" spans="1:13" x14ac:dyDescent="0.35">
      <c r="A44" s="5" t="s">
        <v>45</v>
      </c>
      <c r="B44">
        <v>7.0000000000000007E-2</v>
      </c>
      <c r="D44" s="2" t="s">
        <v>72</v>
      </c>
      <c r="E44">
        <f>B48+B49+LN(1+B48)</f>
        <v>19.436192902199007</v>
      </c>
      <c r="F44">
        <f t="shared" si="2"/>
        <v>2750.2212956611597</v>
      </c>
      <c r="H44" s="2"/>
      <c r="I44" s="2" t="s">
        <v>22</v>
      </c>
      <c r="J44">
        <f>SUM(J38:J43)</f>
        <v>-22.238216607921515</v>
      </c>
    </row>
    <row r="45" spans="1:13" x14ac:dyDescent="0.35">
      <c r="A45" s="5" t="s">
        <v>6</v>
      </c>
      <c r="B45">
        <v>0.34</v>
      </c>
      <c r="E45" s="2" t="s">
        <v>22</v>
      </c>
      <c r="F45">
        <f>SUM(F38:F44)</f>
        <v>10730.875295661161</v>
      </c>
    </row>
    <row r="46" spans="1:13" x14ac:dyDescent="0.35">
      <c r="A46" s="5" t="s">
        <v>7</v>
      </c>
      <c r="B46">
        <v>2.29</v>
      </c>
      <c r="D46" s="2"/>
    </row>
    <row r="47" spans="1:13" x14ac:dyDescent="0.35">
      <c r="A47" s="5" t="s">
        <v>8</v>
      </c>
      <c r="B47">
        <v>2.29</v>
      </c>
      <c r="D47" s="2" t="s">
        <v>79</v>
      </c>
      <c r="E47">
        <f>E38*I40</f>
        <v>50.016600000000004</v>
      </c>
      <c r="F47">
        <f>E47*B13</f>
        <v>-121.54033800000002</v>
      </c>
      <c r="H47" s="2" t="s">
        <v>82</v>
      </c>
      <c r="I47">
        <f>(E39+I40+I41-B44)*(I42+B48+B49)</f>
        <v>213.29040000000001</v>
      </c>
      <c r="J47">
        <f>E13*I47</f>
        <v>63.987119999999997</v>
      </c>
    </row>
    <row r="48" spans="1:13" x14ac:dyDescent="0.35">
      <c r="A48" s="5" t="s">
        <v>11</v>
      </c>
      <c r="B48">
        <v>16.57</v>
      </c>
      <c r="D48" s="2" t="s">
        <v>80</v>
      </c>
      <c r="E48">
        <f>(I38+I39+B44)*(I42+B48)</f>
        <v>1618.5743999999997</v>
      </c>
      <c r="F48">
        <f>E48*B14</f>
        <v>-1472.9027039999999</v>
      </c>
    </row>
    <row r="49" spans="1:13" x14ac:dyDescent="0.35">
      <c r="A49" s="5" t="s">
        <v>46</v>
      </c>
      <c r="B49">
        <v>0</v>
      </c>
      <c r="D49" s="2" t="s">
        <v>81</v>
      </c>
      <c r="E49">
        <f>E39*I42</f>
        <v>35.329000000000001</v>
      </c>
      <c r="F49">
        <f>E49*B15</f>
        <v>621.79040000000009</v>
      </c>
    </row>
    <row r="50" spans="1:13" x14ac:dyDescent="0.35">
      <c r="A50" s="5" t="s">
        <v>9</v>
      </c>
      <c r="B50">
        <v>2.86</v>
      </c>
      <c r="E50" s="2" t="s">
        <v>22</v>
      </c>
      <c r="F50">
        <f>SUM(F47:F49)</f>
        <v>-972.65264199999979</v>
      </c>
    </row>
    <row r="52" spans="1:13" x14ac:dyDescent="0.35">
      <c r="A52" s="2" t="s">
        <v>19</v>
      </c>
      <c r="B52">
        <v>1048.95</v>
      </c>
      <c r="E52" s="2" t="s">
        <v>83</v>
      </c>
      <c r="F52">
        <f>F45+F50</f>
        <v>9758.2226536611615</v>
      </c>
      <c r="H52" s="2"/>
      <c r="I52" s="2" t="s">
        <v>87</v>
      </c>
      <c r="J52">
        <f>J44+J47</f>
        <v>41.748903392078482</v>
      </c>
      <c r="L52" s="2" t="s">
        <v>86</v>
      </c>
      <c r="M52">
        <f>10^(B3+F52/(B52-J52))</f>
        <v>137548.27622847148</v>
      </c>
    </row>
    <row r="54" spans="1:13" x14ac:dyDescent="0.35">
      <c r="A54" s="6" t="s">
        <v>89</v>
      </c>
      <c r="B54" s="6"/>
      <c r="C54" s="6"/>
      <c r="D54" s="6"/>
      <c r="E54" s="6"/>
    </row>
    <row r="56" spans="1:13" x14ac:dyDescent="0.35">
      <c r="A56" s="2" t="s">
        <v>30</v>
      </c>
      <c r="B56" s="2" t="s">
        <v>31</v>
      </c>
    </row>
    <row r="57" spans="1:13" x14ac:dyDescent="0.35">
      <c r="A57" t="s">
        <v>32</v>
      </c>
      <c r="B57">
        <v>7.0000000000000007E-2</v>
      </c>
    </row>
    <row r="58" spans="1:13" x14ac:dyDescent="0.35">
      <c r="A58" t="s">
        <v>33</v>
      </c>
      <c r="B58">
        <v>0.02</v>
      </c>
    </row>
    <row r="59" spans="1:13" x14ac:dyDescent="0.35">
      <c r="A59" t="s">
        <v>34</v>
      </c>
      <c r="B59">
        <v>0.3</v>
      </c>
    </row>
    <row r="60" spans="1:13" x14ac:dyDescent="0.35">
      <c r="A60" s="2" t="s">
        <v>90</v>
      </c>
      <c r="B60">
        <f>SUM(B57:B59)</f>
        <v>0.39</v>
      </c>
      <c r="D60" s="2" t="s">
        <v>86</v>
      </c>
      <c r="E60">
        <f>M52*(1-B60/0.4)^(-2.5*0.4)</f>
        <v>5501931.0491388543</v>
      </c>
    </row>
    <row r="63" spans="1:13" x14ac:dyDescent="0.35">
      <c r="A63" s="6" t="s">
        <v>91</v>
      </c>
      <c r="B63" s="6"/>
    </row>
    <row r="65" spans="1:2" x14ac:dyDescent="0.35">
      <c r="A65" s="2" t="s">
        <v>92</v>
      </c>
      <c r="B65">
        <f>6.9*(B60/0.2 - 1)/(1-B60/0.4)</f>
        <v>262.19999999999976</v>
      </c>
    </row>
  </sheetData>
  <mergeCells count="5">
    <mergeCell ref="A1:E1"/>
    <mergeCell ref="A17:E17"/>
    <mergeCell ref="A35:E35"/>
    <mergeCell ref="A54:E54"/>
    <mergeCell ref="A63:B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2020-11-11T13:40:20Z</dcterms:created>
  <dcterms:modified xsi:type="dcterms:W3CDTF">2020-11-13T20:35:41Z</dcterms:modified>
</cp:coreProperties>
</file>